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Volumes/theicct/Shared/Programs/Bunkers/Marine/Projects by funder/ECCC/2020 Scrubbers in Canada/Report/Final Report and Supplemental/Supplemental material for WEBSITE/"/>
    </mc:Choice>
  </mc:AlternateContent>
  <xr:revisionPtr revIDLastSave="0" documentId="13_ncr:1_{0C06B597-4D06-7E41-9973-0DA9082A19C5}" xr6:coauthVersionLast="45" xr6:coauthVersionMax="45" xr10:uidLastSave="{00000000-0000-0000-0000-000000000000}"/>
  <bookViews>
    <workbookView xWindow="0" yWindow="460" windowWidth="28800" windowHeight="17540" xr2:uid="{37E91DC0-534A-314B-9BE7-C5A6154556E0}"/>
  </bookViews>
  <sheets>
    <sheet name="Summary Table (WATER)" sheetId="9" r:id="rId1"/>
    <sheet name="WaterEF Table" sheetId="36" r:id="rId2"/>
    <sheet name="Summary Table (AIR)" sheetId="37" r:id="rId3"/>
    <sheet name="Table 5 and 6 - Air EFs" sheetId="38" r:id="rId4"/>
    <sheet name="Table 7 - life-cycle CO2" sheetId="39" r:id="rId5"/>
  </sheets>
  <definedNames>
    <definedName name="_xlnm._FilterDatabase" localSheetId="0" hidden="1">'Summary Table (WATER)'!$A$3:$AO$117</definedName>
    <definedName name="_xlnm._FilterDatabase" localSheetId="3" hidden="1">'Table 5 and 6 - Air EFs'!$L$3:$X$15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1" i="38" l="1"/>
  <c r="AL12" i="38"/>
  <c r="AL13" i="38"/>
  <c r="AL14" i="38"/>
  <c r="AL15" i="38"/>
  <c r="AL10" i="38"/>
  <c r="AL5" i="38"/>
  <c r="AL6" i="38"/>
  <c r="AL7" i="38"/>
  <c r="AL8" i="38"/>
  <c r="AL9" i="38"/>
  <c r="AL4" i="38"/>
  <c r="BI18" i="37" l="1"/>
  <c r="BI19" i="37"/>
  <c r="BI20" i="37"/>
  <c r="BI21" i="37"/>
  <c r="BI22" i="37"/>
  <c r="BI23" i="37"/>
  <c r="BI24" i="37"/>
  <c r="BI25" i="37"/>
  <c r="BI26" i="37"/>
  <c r="BI27" i="37"/>
  <c r="BI28" i="37"/>
  <c r="BI29" i="37"/>
  <c r="BI30" i="37"/>
  <c r="BI31" i="37"/>
  <c r="BI32" i="37"/>
  <c r="BI17" i="37"/>
  <c r="BI11" i="37"/>
  <c r="BI12" i="37"/>
  <c r="BI13" i="37"/>
  <c r="BI14" i="37"/>
  <c r="BI15" i="37"/>
  <c r="BI16" i="37"/>
  <c r="BI10" i="37"/>
  <c r="X10" i="38" l="1"/>
  <c r="AB4" i="38"/>
  <c r="AG4" i="38"/>
  <c r="BJ10" i="37"/>
  <c r="AB5" i="38" l="1"/>
  <c r="AB6" i="38"/>
  <c r="AB7" i="38"/>
  <c r="AB8" i="38"/>
  <c r="AB9" i="38"/>
  <c r="AB10" i="38"/>
  <c r="AB11" i="38"/>
  <c r="AB12" i="38"/>
  <c r="AB13" i="38"/>
  <c r="AB14" i="38"/>
  <c r="AB15" i="38"/>
  <c r="B4" i="39" l="1"/>
  <c r="C4" i="39"/>
  <c r="E4" i="39"/>
  <c r="F4" i="39" s="1"/>
  <c r="P4" i="39"/>
  <c r="R4" i="39"/>
  <c r="D5" i="39"/>
  <c r="E5" i="39" s="1"/>
  <c r="I5" i="39"/>
  <c r="B6" i="39"/>
  <c r="B5" i="39" s="1"/>
  <c r="E6" i="39"/>
  <c r="F6" i="39" s="1"/>
  <c r="P6" i="39"/>
  <c r="R6" i="39"/>
  <c r="B7" i="39"/>
  <c r="C7" i="39" s="1"/>
  <c r="D7" i="39"/>
  <c r="E7" i="39" s="1"/>
  <c r="P7" i="39"/>
  <c r="C4" i="38"/>
  <c r="D4" i="38"/>
  <c r="E4" i="38"/>
  <c r="F4" i="38" s="1"/>
  <c r="G4" i="38"/>
  <c r="AJ4" i="38" s="1"/>
  <c r="H4" i="38"/>
  <c r="AK6" i="38" s="1"/>
  <c r="I4" i="38"/>
  <c r="J4" i="38"/>
  <c r="R4" i="38"/>
  <c r="S4" i="38"/>
  <c r="T4" i="38"/>
  <c r="U4" i="38" s="1"/>
  <c r="X4" i="38"/>
  <c r="AF4" i="38"/>
  <c r="AH4" i="38"/>
  <c r="AI4" i="38" s="1"/>
  <c r="C5" i="38"/>
  <c r="D5" i="38"/>
  <c r="E5" i="38"/>
  <c r="F5" i="38"/>
  <c r="G5" i="38"/>
  <c r="H5" i="38"/>
  <c r="R5" i="38"/>
  <c r="S5" i="38"/>
  <c r="T5" i="38"/>
  <c r="AH5" i="38" s="1"/>
  <c r="AI5" i="38" s="1"/>
  <c r="U5" i="38"/>
  <c r="X5" i="38"/>
  <c r="AF5" i="38"/>
  <c r="AG5" i="38"/>
  <c r="AJ5" i="38"/>
  <c r="C6" i="38"/>
  <c r="D6" i="38"/>
  <c r="E6" i="38"/>
  <c r="F6" i="38"/>
  <c r="G6" i="38"/>
  <c r="H6" i="38"/>
  <c r="R6" i="38"/>
  <c r="AF6" i="38" s="1"/>
  <c r="S6" i="38"/>
  <c r="AG6" i="38" s="1"/>
  <c r="T6" i="38"/>
  <c r="U6" i="38" s="1"/>
  <c r="X6" i="38"/>
  <c r="AH6" i="38"/>
  <c r="AI6" i="38"/>
  <c r="AJ6" i="38"/>
  <c r="C7" i="38"/>
  <c r="D7" i="38"/>
  <c r="E7" i="38"/>
  <c r="F7" i="38"/>
  <c r="G7" i="38"/>
  <c r="H7" i="38"/>
  <c r="R7" i="38"/>
  <c r="S7" i="38"/>
  <c r="T7" i="38"/>
  <c r="AH7" i="38" s="1"/>
  <c r="AI7" i="38" s="1"/>
  <c r="U7" i="38"/>
  <c r="X7" i="38"/>
  <c r="AF7" i="38"/>
  <c r="AG7" i="38"/>
  <c r="AJ7" i="38"/>
  <c r="R8" i="38"/>
  <c r="AF8" i="38" s="1"/>
  <c r="S8" i="38"/>
  <c r="AG8" i="38" s="1"/>
  <c r="T8" i="38"/>
  <c r="U8" i="38" s="1"/>
  <c r="X8" i="38"/>
  <c r="AH8" i="38"/>
  <c r="AI8" i="38"/>
  <c r="AJ8" i="38"/>
  <c r="R9" i="38"/>
  <c r="S9" i="38"/>
  <c r="T9" i="38"/>
  <c r="AH9" i="38" s="1"/>
  <c r="AI9" i="38" s="1"/>
  <c r="U9" i="38"/>
  <c r="X9" i="38"/>
  <c r="AF9" i="38"/>
  <c r="AG9" i="38"/>
  <c r="AJ9" i="38"/>
  <c r="R10" i="38"/>
  <c r="AF10" i="38" s="1"/>
  <c r="S10" i="38"/>
  <c r="AG10" i="38" s="1"/>
  <c r="T10" i="38"/>
  <c r="U10" i="38" s="1"/>
  <c r="AH10" i="38"/>
  <c r="AI10" i="38"/>
  <c r="AJ10" i="38"/>
  <c r="R11" i="38"/>
  <c r="S11" i="38"/>
  <c r="T11" i="38"/>
  <c r="AH11" i="38" s="1"/>
  <c r="AI11" i="38" s="1"/>
  <c r="U11" i="38"/>
  <c r="X11" i="38"/>
  <c r="AF11" i="38"/>
  <c r="AG11" i="38"/>
  <c r="AJ11" i="38"/>
  <c r="R12" i="38"/>
  <c r="AF12" i="38" s="1"/>
  <c r="S12" i="38"/>
  <c r="AG12" i="38" s="1"/>
  <c r="T12" i="38"/>
  <c r="U12" i="38" s="1"/>
  <c r="V12" i="38"/>
  <c r="AJ12" i="38" s="1"/>
  <c r="X12" i="38"/>
  <c r="AH12" i="38"/>
  <c r="AI12" i="38"/>
  <c r="R13" i="38"/>
  <c r="AF13" i="38" s="1"/>
  <c r="S13" i="38"/>
  <c r="T13" i="38"/>
  <c r="AH13" i="38" s="1"/>
  <c r="AI13" i="38" s="1"/>
  <c r="U13" i="38"/>
  <c r="V13" i="38"/>
  <c r="AJ13" i="38" s="1"/>
  <c r="X13" i="38"/>
  <c r="AG13" i="38"/>
  <c r="AK13" i="38"/>
  <c r="R14" i="38"/>
  <c r="S14" i="38"/>
  <c r="T14" i="38"/>
  <c r="AH14" i="38" s="1"/>
  <c r="AI14" i="38" s="1"/>
  <c r="V14" i="38"/>
  <c r="X14" i="38"/>
  <c r="AF14" i="38"/>
  <c r="AG14" i="38"/>
  <c r="AJ14" i="38"/>
  <c r="AK14" i="38"/>
  <c r="R15" i="38"/>
  <c r="AF15" i="38" s="1"/>
  <c r="S15" i="38"/>
  <c r="AG15" i="38" s="1"/>
  <c r="T15" i="38"/>
  <c r="U15" i="38" s="1"/>
  <c r="X15" i="38"/>
  <c r="AJ15" i="38"/>
  <c r="AK15" i="38"/>
  <c r="V6" i="37"/>
  <c r="AL6" i="37"/>
  <c r="V7" i="37"/>
  <c r="AL7" i="37"/>
  <c r="V8" i="37"/>
  <c r="AL8" i="37"/>
  <c r="V9" i="37"/>
  <c r="AL9" i="37"/>
  <c r="I10" i="37"/>
  <c r="J10" i="37"/>
  <c r="V10" i="37" s="1"/>
  <c r="W10" i="37" s="1"/>
  <c r="N10" i="37"/>
  <c r="O10" i="37"/>
  <c r="Q10" i="37"/>
  <c r="R10" i="37"/>
  <c r="S10" i="37"/>
  <c r="AD10" i="37"/>
  <c r="AE10" i="37"/>
  <c r="AG10" i="37"/>
  <c r="AH10" i="37"/>
  <c r="AL10" i="37"/>
  <c r="AT10" i="37" s="1"/>
  <c r="AM10" i="37"/>
  <c r="AO10" i="37"/>
  <c r="AP10" i="37"/>
  <c r="AQ10" i="37"/>
  <c r="BA10" i="37"/>
  <c r="BD10" i="37"/>
  <c r="BG10" i="37"/>
  <c r="BH10" i="37"/>
  <c r="I11" i="37"/>
  <c r="J11" i="37"/>
  <c r="V11" i="37" s="1"/>
  <c r="W11" i="37" s="1"/>
  <c r="N11" i="37"/>
  <c r="O11" i="37"/>
  <c r="Q11" i="37"/>
  <c r="R11" i="37"/>
  <c r="S11" i="37"/>
  <c r="AD11" i="37"/>
  <c r="AD44" i="37" s="1"/>
  <c r="AF28" i="37" s="1"/>
  <c r="AE11" i="37"/>
  <c r="AG11" i="37"/>
  <c r="AH11" i="37"/>
  <c r="AL11" i="37"/>
  <c r="AT11" i="37" s="1"/>
  <c r="AM11" i="37"/>
  <c r="AO11" i="37"/>
  <c r="AP11" i="37"/>
  <c r="AQ11" i="37"/>
  <c r="BA11" i="37"/>
  <c r="BD11" i="37"/>
  <c r="BG11" i="37"/>
  <c r="BH11" i="37"/>
  <c r="BJ11" i="37"/>
  <c r="I12" i="37"/>
  <c r="J12" i="37"/>
  <c r="V12" i="37" s="1"/>
  <c r="W12" i="37" s="1"/>
  <c r="N12" i="37"/>
  <c r="O12" i="37"/>
  <c r="Q12" i="37"/>
  <c r="R12" i="37"/>
  <c r="S12" i="37"/>
  <c r="AD12" i="37"/>
  <c r="AE12" i="37"/>
  <c r="AG12" i="37"/>
  <c r="AH12" i="37"/>
  <c r="AL12" i="37"/>
  <c r="AT12" i="37" s="1"/>
  <c r="AM12" i="37"/>
  <c r="AO12" i="37"/>
  <c r="AP12" i="37"/>
  <c r="AQ12" i="37"/>
  <c r="BA12" i="37"/>
  <c r="BD12" i="37"/>
  <c r="BG12" i="37"/>
  <c r="BH12" i="37"/>
  <c r="BJ12" i="37"/>
  <c r="I13" i="37"/>
  <c r="J13" i="37"/>
  <c r="V13" i="37" s="1"/>
  <c r="W13" i="37" s="1"/>
  <c r="N13" i="37"/>
  <c r="O13" i="37"/>
  <c r="Q13" i="37"/>
  <c r="R13" i="37"/>
  <c r="S13" i="37"/>
  <c r="AD13" i="37"/>
  <c r="AE13" i="37"/>
  <c r="AG13" i="37"/>
  <c r="AH13" i="37"/>
  <c r="AL13" i="37"/>
  <c r="AT13" i="37" s="1"/>
  <c r="AM13" i="37"/>
  <c r="AO13" i="37"/>
  <c r="AP13" i="37"/>
  <c r="AQ13" i="37"/>
  <c r="BA13" i="37"/>
  <c r="BD13" i="37"/>
  <c r="BG13" i="37"/>
  <c r="BH13" i="37"/>
  <c r="BJ13" i="37"/>
  <c r="I14" i="37"/>
  <c r="J14" i="37"/>
  <c r="V14" i="37" s="1"/>
  <c r="W14" i="37" s="1"/>
  <c r="N14" i="37"/>
  <c r="O14" i="37"/>
  <c r="Q14" i="37"/>
  <c r="R14" i="37"/>
  <c r="S14" i="37"/>
  <c r="AD14" i="37"/>
  <c r="AE14" i="37"/>
  <c r="AG14" i="37"/>
  <c r="AH14" i="37"/>
  <c r="AL14" i="37"/>
  <c r="AT14" i="37" s="1"/>
  <c r="AM14" i="37"/>
  <c r="AO14" i="37"/>
  <c r="AP14" i="37"/>
  <c r="AQ14" i="37"/>
  <c r="BA14" i="37"/>
  <c r="BD14" i="37"/>
  <c r="BG14" i="37"/>
  <c r="BH14" i="37"/>
  <c r="BJ14" i="37"/>
  <c r="I15" i="37"/>
  <c r="J15" i="37"/>
  <c r="V15" i="37" s="1"/>
  <c r="W15" i="37" s="1"/>
  <c r="N15" i="37"/>
  <c r="O15" i="37"/>
  <c r="Q15" i="37"/>
  <c r="R15" i="37"/>
  <c r="S15" i="37"/>
  <c r="AD15" i="37"/>
  <c r="AE15" i="37"/>
  <c r="AG15" i="37"/>
  <c r="AH15" i="37"/>
  <c r="AL15" i="37"/>
  <c r="AT15" i="37" s="1"/>
  <c r="AM15" i="37"/>
  <c r="AO15" i="37"/>
  <c r="AP15" i="37"/>
  <c r="AQ15" i="37"/>
  <c r="BA15" i="37"/>
  <c r="BD15" i="37"/>
  <c r="BG15" i="37"/>
  <c r="BH15" i="37"/>
  <c r="BJ15" i="37"/>
  <c r="J16" i="37"/>
  <c r="I16" i="37" s="1"/>
  <c r="R16" i="37"/>
  <c r="AD16" i="37"/>
  <c r="AM16" i="37"/>
  <c r="BA16" i="37"/>
  <c r="BD16" i="37"/>
  <c r="BG16" i="37"/>
  <c r="I17" i="37"/>
  <c r="N17" i="37"/>
  <c r="O17" i="37"/>
  <c r="Q17" i="37"/>
  <c r="R17" i="37"/>
  <c r="S17" i="37"/>
  <c r="V17" i="37"/>
  <c r="W17" i="37" s="1"/>
  <c r="AD17" i="37"/>
  <c r="AE17" i="37"/>
  <c r="AF17" i="37" s="1"/>
  <c r="AG17" i="37"/>
  <c r="AH17" i="37"/>
  <c r="AL17" i="37"/>
  <c r="AT17" i="37" s="1"/>
  <c r="AM17" i="37"/>
  <c r="AO17" i="37"/>
  <c r="AP17" i="37"/>
  <c r="AQ17" i="37"/>
  <c r="BA17" i="37"/>
  <c r="BD17" i="37"/>
  <c r="BG17" i="37"/>
  <c r="BH17" i="37"/>
  <c r="BJ17" i="37"/>
  <c r="I18" i="37"/>
  <c r="V18" i="37"/>
  <c r="W18" i="37" s="1"/>
  <c r="AD18" i="37"/>
  <c r="BA18" i="37"/>
  <c r="BA44" i="37" s="1"/>
  <c r="BD18" i="37"/>
  <c r="BG18" i="37"/>
  <c r="I19" i="37"/>
  <c r="N19" i="37" s="1"/>
  <c r="V19" i="37"/>
  <c r="W19" i="37"/>
  <c r="AD19" i="37"/>
  <c r="AO19" i="37"/>
  <c r="BA19" i="37"/>
  <c r="BD19" i="37"/>
  <c r="BG19" i="37"/>
  <c r="J20" i="37"/>
  <c r="AD20" i="37"/>
  <c r="BA20" i="37"/>
  <c r="BD20" i="37"/>
  <c r="BG20" i="37"/>
  <c r="J21" i="37"/>
  <c r="AD21" i="37"/>
  <c r="BA21" i="37"/>
  <c r="BD21" i="37"/>
  <c r="BG21" i="37"/>
  <c r="J22" i="37"/>
  <c r="AD22" i="37"/>
  <c r="BA22" i="37"/>
  <c r="BD22" i="37"/>
  <c r="BG22" i="37"/>
  <c r="J23" i="37"/>
  <c r="AD23" i="37"/>
  <c r="BA23" i="37"/>
  <c r="BD23" i="37"/>
  <c r="BG23" i="37"/>
  <c r="J24" i="37"/>
  <c r="I24" i="37" s="1"/>
  <c r="V24" i="37"/>
  <c r="W24" i="37"/>
  <c r="AD24" i="37"/>
  <c r="BA24" i="37"/>
  <c r="BD24" i="37"/>
  <c r="BG24" i="37"/>
  <c r="I25" i="37"/>
  <c r="J25" i="37"/>
  <c r="N25" i="37"/>
  <c r="V25" i="37"/>
  <c r="W25" i="37"/>
  <c r="AD25" i="37"/>
  <c r="AG25" i="37"/>
  <c r="AH25" i="37"/>
  <c r="AO25" i="37"/>
  <c r="AP25" i="37"/>
  <c r="BA25" i="37"/>
  <c r="BD25" i="37"/>
  <c r="BG25" i="37"/>
  <c r="I26" i="37"/>
  <c r="J26" i="37"/>
  <c r="N26" i="37"/>
  <c r="V26" i="37"/>
  <c r="W26" i="37" s="1"/>
  <c r="AD26" i="37"/>
  <c r="AG26" i="37"/>
  <c r="AH26" i="37"/>
  <c r="AO26" i="37"/>
  <c r="AP26" i="37"/>
  <c r="BA26" i="37"/>
  <c r="BD26" i="37"/>
  <c r="BG26" i="37"/>
  <c r="I27" i="37"/>
  <c r="J27" i="37"/>
  <c r="N27" i="37"/>
  <c r="V27" i="37"/>
  <c r="W27" i="37" s="1"/>
  <c r="AD27" i="37"/>
  <c r="AG27" i="37"/>
  <c r="AH27" i="37"/>
  <c r="AM27" i="37"/>
  <c r="BA27" i="37"/>
  <c r="BD27" i="37"/>
  <c r="BD44" i="37" s="1"/>
  <c r="BG27" i="37"/>
  <c r="I28" i="37"/>
  <c r="J28" i="37"/>
  <c r="N28" i="37"/>
  <c r="S28" i="37"/>
  <c r="V28" i="37"/>
  <c r="W28" i="37"/>
  <c r="AD28" i="37"/>
  <c r="AE28" i="37"/>
  <c r="AG28" i="37"/>
  <c r="AH28" i="37"/>
  <c r="AM28" i="37"/>
  <c r="AO28" i="37"/>
  <c r="AP28" i="37"/>
  <c r="BA28" i="37"/>
  <c r="BD28" i="37"/>
  <c r="BG28" i="37"/>
  <c r="I29" i="37"/>
  <c r="AE29" i="37" s="1"/>
  <c r="AF29" i="37" s="1"/>
  <c r="J29" i="37"/>
  <c r="V29" i="37" s="1"/>
  <c r="W29" i="37" s="1"/>
  <c r="AD29" i="37"/>
  <c r="BA29" i="37"/>
  <c r="BD29" i="37"/>
  <c r="J30" i="37"/>
  <c r="I30" i="37" s="1"/>
  <c r="V30" i="37"/>
  <c r="W30" i="37" s="1"/>
  <c r="AD30" i="37"/>
  <c r="BA30" i="37"/>
  <c r="BD30" i="37"/>
  <c r="J31" i="37"/>
  <c r="AD31" i="37"/>
  <c r="BA31" i="37"/>
  <c r="BD31" i="37"/>
  <c r="I32" i="37"/>
  <c r="AG32" i="37" s="1"/>
  <c r="J32" i="37"/>
  <c r="N32" i="37"/>
  <c r="O32" i="37"/>
  <c r="Q32" i="37"/>
  <c r="R32" i="37"/>
  <c r="S32" i="37"/>
  <c r="V32" i="37"/>
  <c r="W32" i="37" s="1"/>
  <c r="AD32" i="37"/>
  <c r="AE32" i="37"/>
  <c r="AF32" i="37" s="1"/>
  <c r="AH32" i="37"/>
  <c r="AL32" i="37"/>
  <c r="AT32" i="37" s="1"/>
  <c r="AM32" i="37"/>
  <c r="AP32" i="37"/>
  <c r="AQ32" i="37"/>
  <c r="BA32" i="37"/>
  <c r="BD32" i="37"/>
  <c r="BH32" i="37"/>
  <c r="BK32" i="37" s="1"/>
  <c r="BJ32" i="37"/>
  <c r="BG44" i="37"/>
  <c r="BG47" i="37"/>
  <c r="BK17" i="37" s="1"/>
  <c r="H7" i="39" l="1"/>
  <c r="F7" i="39"/>
  <c r="C5" i="39"/>
  <c r="Q5" i="39"/>
  <c r="F5" i="39"/>
  <c r="H5" i="39"/>
  <c r="H11" i="39" s="1"/>
  <c r="G4" i="39"/>
  <c r="S4" i="39"/>
  <c r="G6" i="39"/>
  <c r="S6" i="39"/>
  <c r="H6" i="39"/>
  <c r="R7" i="39"/>
  <c r="R5" i="39"/>
  <c r="H4" i="39"/>
  <c r="C6" i="39"/>
  <c r="AH15" i="38"/>
  <c r="AI15" i="38" s="1"/>
  <c r="AK11" i="38"/>
  <c r="AK9" i="38"/>
  <c r="AK7" i="38"/>
  <c r="AK5" i="38"/>
  <c r="U14" i="38"/>
  <c r="AK4" i="38"/>
  <c r="AK12" i="38"/>
  <c r="AK10" i="38"/>
  <c r="AK8" i="38"/>
  <c r="AI29" i="37"/>
  <c r="Q30" i="37"/>
  <c r="BJ30" i="37"/>
  <c r="R30" i="37"/>
  <c r="AL30" i="37"/>
  <c r="AT30" i="37" s="1"/>
  <c r="S30" i="37"/>
  <c r="AE30" i="37"/>
  <c r="AF30" i="37" s="1"/>
  <c r="AM30" i="37"/>
  <c r="AO30" i="37"/>
  <c r="AQ30" i="37"/>
  <c r="AG30" i="37"/>
  <c r="O30" i="37"/>
  <c r="AP30" i="37"/>
  <c r="N30" i="37"/>
  <c r="AH30" i="37"/>
  <c r="BH30" i="37"/>
  <c r="O24" i="37"/>
  <c r="AQ24" i="37"/>
  <c r="BH24" i="37"/>
  <c r="BK24" i="37" s="1"/>
  <c r="Q24" i="37"/>
  <c r="R24" i="37"/>
  <c r="AL24" i="37"/>
  <c r="AT24" i="37" s="1"/>
  <c r="BJ24" i="37"/>
  <c r="S24" i="37"/>
  <c r="AE24" i="37"/>
  <c r="AF24" i="37" s="1"/>
  <c r="AM24" i="37"/>
  <c r="AG24" i="37"/>
  <c r="N24" i="37"/>
  <c r="AH24" i="37"/>
  <c r="AO24" i="37"/>
  <c r="AP24" i="37"/>
  <c r="AK32" i="37"/>
  <c r="AI32" i="37"/>
  <c r="AJ32" i="37"/>
  <c r="AI17" i="37"/>
  <c r="AJ17" i="37"/>
  <c r="AK17" i="37"/>
  <c r="AI28" i="37"/>
  <c r="AJ28" i="37"/>
  <c r="AK28" i="37"/>
  <c r="I31" i="37"/>
  <c r="V31" i="37"/>
  <c r="W31" i="37" s="1"/>
  <c r="I22" i="37"/>
  <c r="V22" i="37"/>
  <c r="W22" i="37" s="1"/>
  <c r="I20" i="37"/>
  <c r="V20" i="37"/>
  <c r="W20" i="37" s="1"/>
  <c r="N18" i="37"/>
  <c r="AH18" i="37"/>
  <c r="AP18" i="37"/>
  <c r="O18" i="37"/>
  <c r="AQ18" i="37"/>
  <c r="BH18" i="37"/>
  <c r="BK18" i="37" s="1"/>
  <c r="Q18" i="37"/>
  <c r="R18" i="37"/>
  <c r="AL18" i="37"/>
  <c r="AT18" i="37" s="1"/>
  <c r="BJ18" i="37"/>
  <c r="S18" i="37"/>
  <c r="AE18" i="37"/>
  <c r="AF18" i="37" s="1"/>
  <c r="AM18" i="37"/>
  <c r="AG16" i="37"/>
  <c r="AO16" i="37"/>
  <c r="N16" i="37"/>
  <c r="AH16" i="37"/>
  <c r="AP16" i="37"/>
  <c r="O16" i="37"/>
  <c r="AQ16" i="37"/>
  <c r="BH16" i="37"/>
  <c r="Q16" i="37"/>
  <c r="AF15" i="37"/>
  <c r="AF14" i="37"/>
  <c r="AF13" i="37"/>
  <c r="AF12" i="37"/>
  <c r="AF11" i="37"/>
  <c r="AO18" i="37"/>
  <c r="O27" i="37"/>
  <c r="AQ27" i="37"/>
  <c r="BH27" i="37"/>
  <c r="Q27" i="37"/>
  <c r="R27" i="37"/>
  <c r="AL27" i="37"/>
  <c r="AT27" i="37" s="1"/>
  <c r="BJ27" i="37"/>
  <c r="S27" i="37"/>
  <c r="I23" i="37"/>
  <c r="V23" i="37"/>
  <c r="W23" i="37" s="1"/>
  <c r="I21" i="37"/>
  <c r="V21" i="37"/>
  <c r="W21" i="37" s="1"/>
  <c r="AP19" i="37"/>
  <c r="AG18" i="37"/>
  <c r="AL16" i="37"/>
  <c r="AT16" i="37" s="1"/>
  <c r="BK15" i="37"/>
  <c r="BK14" i="37"/>
  <c r="BK13" i="37"/>
  <c r="BK12" i="37"/>
  <c r="BK11" i="37"/>
  <c r="BK10" i="37"/>
  <c r="O29" i="37"/>
  <c r="AQ29" i="37"/>
  <c r="BH29" i="37"/>
  <c r="BK29" i="37" s="1"/>
  <c r="Q29" i="37"/>
  <c r="BJ29" i="37"/>
  <c r="R29" i="37"/>
  <c r="AL29" i="37"/>
  <c r="AT29" i="37" s="1"/>
  <c r="AP29" i="37"/>
  <c r="O19" i="37"/>
  <c r="AQ19" i="37"/>
  <c r="BH19" i="37"/>
  <c r="BK19" i="37" s="1"/>
  <c r="Q19" i="37"/>
  <c r="R19" i="37"/>
  <c r="AL19" i="37"/>
  <c r="AT19" i="37" s="1"/>
  <c r="BJ19" i="37"/>
  <c r="S19" i="37"/>
  <c r="AE19" i="37"/>
  <c r="AF19" i="37" s="1"/>
  <c r="AM19" i="37"/>
  <c r="BJ16" i="37"/>
  <c r="AE16" i="37"/>
  <c r="AF16" i="37" s="1"/>
  <c r="AO29" i="37"/>
  <c r="O26" i="37"/>
  <c r="AQ26" i="37"/>
  <c r="BH26" i="37"/>
  <c r="Q26" i="37"/>
  <c r="R26" i="37"/>
  <c r="AL26" i="37"/>
  <c r="AT26" i="37" s="1"/>
  <c r="BJ26" i="37"/>
  <c r="S26" i="37"/>
  <c r="AE26" i="37"/>
  <c r="AF26" i="37" s="1"/>
  <c r="AM26" i="37"/>
  <c r="AH29" i="37"/>
  <c r="AK29" i="37" s="1"/>
  <c r="S29" i="37"/>
  <c r="AP27" i="37"/>
  <c r="O25" i="37"/>
  <c r="AQ25" i="37"/>
  <c r="BH25" i="37"/>
  <c r="BK25" i="37" s="1"/>
  <c r="Q25" i="37"/>
  <c r="R25" i="37"/>
  <c r="AL25" i="37"/>
  <c r="AT25" i="37" s="1"/>
  <c r="BJ25" i="37"/>
  <c r="S25" i="37"/>
  <c r="AE25" i="37"/>
  <c r="AF25" i="37" s="1"/>
  <c r="AM25" i="37"/>
  <c r="AH19" i="37"/>
  <c r="AM29" i="37"/>
  <c r="AE27" i="37"/>
  <c r="AF27" i="37" s="1"/>
  <c r="AG29" i="37"/>
  <c r="AJ29" i="37" s="1"/>
  <c r="N29" i="37"/>
  <c r="O28" i="37"/>
  <c r="AQ28" i="37"/>
  <c r="BH28" i="37"/>
  <c r="BK28" i="37" s="1"/>
  <c r="Q28" i="37"/>
  <c r="R28" i="37"/>
  <c r="AL28" i="37"/>
  <c r="AT28" i="37" s="1"/>
  <c r="BJ28" i="37"/>
  <c r="AO27" i="37"/>
  <c r="AG19" i="37"/>
  <c r="S16" i="37"/>
  <c r="AF10" i="37"/>
  <c r="AO32" i="37"/>
  <c r="V16" i="37"/>
  <c r="W16" i="37" s="1"/>
  <c r="J7" i="39" l="1"/>
  <c r="T7" i="39" s="1"/>
  <c r="H13" i="39"/>
  <c r="J6" i="39"/>
  <c r="H12" i="39"/>
  <c r="K5" i="39"/>
  <c r="N5" i="39"/>
  <c r="G5" i="39"/>
  <c r="S5" i="39"/>
  <c r="U5" i="39" s="1"/>
  <c r="H10" i="39"/>
  <c r="J4" i="39"/>
  <c r="K7" i="39"/>
  <c r="N7" i="39"/>
  <c r="G7" i="39"/>
  <c r="S7" i="39"/>
  <c r="U7" i="39" s="1"/>
  <c r="J5" i="39"/>
  <c r="T5" i="39" s="1"/>
  <c r="O22" i="37"/>
  <c r="AQ22" i="37"/>
  <c r="BH22" i="37"/>
  <c r="Q22" i="37"/>
  <c r="R22" i="37"/>
  <c r="AL22" i="37"/>
  <c r="AT22" i="37" s="1"/>
  <c r="BJ22" i="37"/>
  <c r="S22" i="37"/>
  <c r="AE22" i="37"/>
  <c r="AF22" i="37" s="1"/>
  <c r="AM22" i="37"/>
  <c r="N22" i="37"/>
  <c r="AG22" i="37"/>
  <c r="AH22" i="37"/>
  <c r="AO22" i="37"/>
  <c r="AP22" i="37"/>
  <c r="AI19" i="37"/>
  <c r="AJ19" i="37"/>
  <c r="AK19" i="37"/>
  <c r="AI18" i="37"/>
  <c r="AJ18" i="37"/>
  <c r="AK18" i="37"/>
  <c r="P30" i="37"/>
  <c r="Q31" i="37"/>
  <c r="R31" i="37"/>
  <c r="AL31" i="37"/>
  <c r="AT31" i="37" s="1"/>
  <c r="S31" i="37"/>
  <c r="AE31" i="37"/>
  <c r="AF31" i="37" s="1"/>
  <c r="AM31" i="37"/>
  <c r="N31" i="37"/>
  <c r="AQ31" i="37"/>
  <c r="AH31" i="37"/>
  <c r="BH31" i="37"/>
  <c r="BK31" i="37" s="1"/>
  <c r="O31" i="37"/>
  <c r="P31" i="37" s="1"/>
  <c r="AG31" i="37"/>
  <c r="AO31" i="37"/>
  <c r="AP31" i="37"/>
  <c r="BJ31" i="37"/>
  <c r="AI13" i="37"/>
  <c r="AJ13" i="37"/>
  <c r="AK13" i="37"/>
  <c r="AI10" i="37"/>
  <c r="AJ10" i="37"/>
  <c r="AK10" i="37"/>
  <c r="AI25" i="37"/>
  <c r="AJ25" i="37"/>
  <c r="AK25" i="37"/>
  <c r="BK16" i="37"/>
  <c r="BK44" i="37" s="1"/>
  <c r="P19" i="37"/>
  <c r="BK27" i="37"/>
  <c r="AI24" i="37"/>
  <c r="AJ24" i="37"/>
  <c r="AK24" i="37"/>
  <c r="P24" i="37"/>
  <c r="AI27" i="37"/>
  <c r="AJ27" i="37"/>
  <c r="AK27" i="37"/>
  <c r="AI15" i="37"/>
  <c r="AJ15" i="37"/>
  <c r="AK15" i="37"/>
  <c r="BK30" i="37"/>
  <c r="P25" i="37"/>
  <c r="P29" i="37"/>
  <c r="AI11" i="37"/>
  <c r="AJ11" i="37"/>
  <c r="AK11" i="37"/>
  <c r="P18" i="37"/>
  <c r="AI12" i="37"/>
  <c r="AJ12" i="37"/>
  <c r="AK12" i="37"/>
  <c r="BK26" i="37"/>
  <c r="O21" i="37"/>
  <c r="AQ21" i="37"/>
  <c r="BH21" i="37"/>
  <c r="Q21" i="37"/>
  <c r="R21" i="37"/>
  <c r="AL21" i="37"/>
  <c r="AT21" i="37" s="1"/>
  <c r="AT44" i="37" s="1"/>
  <c r="BJ21" i="37"/>
  <c r="S21" i="37"/>
  <c r="AE21" i="37"/>
  <c r="AF21" i="37" s="1"/>
  <c r="AM21" i="37"/>
  <c r="AG21" i="37"/>
  <c r="AH21" i="37"/>
  <c r="AO21" i="37"/>
  <c r="AP21" i="37"/>
  <c r="N21" i="37"/>
  <c r="AI14" i="37"/>
  <c r="AJ14" i="37"/>
  <c r="AK14" i="37"/>
  <c r="W44" i="37"/>
  <c r="AI26" i="37"/>
  <c r="AJ26" i="37"/>
  <c r="AK26" i="37"/>
  <c r="P26" i="37"/>
  <c r="AI16" i="37"/>
  <c r="AJ16" i="37"/>
  <c r="AK16" i="37"/>
  <c r="O23" i="37"/>
  <c r="P23" i="37" s="1"/>
  <c r="AQ23" i="37"/>
  <c r="BH23" i="37"/>
  <c r="BK23" i="37" s="1"/>
  <c r="Q23" i="37"/>
  <c r="R23" i="37"/>
  <c r="AL23" i="37"/>
  <c r="AT23" i="37" s="1"/>
  <c r="BJ23" i="37"/>
  <c r="S23" i="37"/>
  <c r="AE23" i="37"/>
  <c r="AF23" i="37" s="1"/>
  <c r="AM23" i="37"/>
  <c r="AG23" i="37"/>
  <c r="AH23" i="37"/>
  <c r="AO23" i="37"/>
  <c r="AP23" i="37"/>
  <c r="N23" i="37"/>
  <c r="P27" i="37"/>
  <c r="O20" i="37"/>
  <c r="P20" i="37" s="1"/>
  <c r="AQ20" i="37"/>
  <c r="BH20" i="37"/>
  <c r="BK20" i="37" s="1"/>
  <c r="Q20" i="37"/>
  <c r="R20" i="37"/>
  <c r="AL20" i="37"/>
  <c r="AT20" i="37" s="1"/>
  <c r="BJ20" i="37"/>
  <c r="S20" i="37"/>
  <c r="AE20" i="37"/>
  <c r="AF20" i="37" s="1"/>
  <c r="AM20" i="37"/>
  <c r="N20" i="37"/>
  <c r="AG20" i="37"/>
  <c r="AH20" i="37"/>
  <c r="AO20" i="37"/>
  <c r="AP20" i="37"/>
  <c r="AJ30" i="37"/>
  <c r="AK30" i="37"/>
  <c r="AI30" i="37"/>
  <c r="I6" i="38" l="1"/>
  <c r="I7" i="38"/>
  <c r="T6" i="39"/>
  <c r="U6" i="39" s="1"/>
  <c r="K6" i="39"/>
  <c r="N6" i="39"/>
  <c r="T4" i="39"/>
  <c r="U4" i="39" s="1"/>
  <c r="V4" i="39" s="1"/>
  <c r="K4" i="39"/>
  <c r="L4" i="39" s="1"/>
  <c r="N4" i="39"/>
  <c r="AN28" i="37"/>
  <c r="AN17" i="37"/>
  <c r="AN32" i="37"/>
  <c r="AN14" i="37"/>
  <c r="AN13" i="37"/>
  <c r="AN27" i="37"/>
  <c r="AN15" i="37"/>
  <c r="AN12" i="37"/>
  <c r="AN10" i="37"/>
  <c r="AN11" i="37"/>
  <c r="AN16" i="37"/>
  <c r="AN25" i="37"/>
  <c r="AN24" i="37"/>
  <c r="AN19" i="37"/>
  <c r="AN18" i="37"/>
  <c r="AN26" i="37"/>
  <c r="AN29" i="37"/>
  <c r="AN30" i="37"/>
  <c r="Y25" i="37"/>
  <c r="Z25" i="37"/>
  <c r="AA25" i="37"/>
  <c r="X25" i="37"/>
  <c r="Y19" i="37"/>
  <c r="Z19" i="37"/>
  <c r="AA19" i="37"/>
  <c r="X19" i="37"/>
  <c r="Y31" i="37"/>
  <c r="X31" i="37"/>
  <c r="Z31" i="37"/>
  <c r="AA31" i="37"/>
  <c r="Z30" i="37"/>
  <c r="AA30" i="37"/>
  <c r="X30" i="37"/>
  <c r="Y30" i="37"/>
  <c r="AN20" i="37"/>
  <c r="Y24" i="37"/>
  <c r="Z24" i="37"/>
  <c r="AA24" i="37"/>
  <c r="X24" i="37"/>
  <c r="Y23" i="37"/>
  <c r="Z23" i="37"/>
  <c r="AA23" i="37"/>
  <c r="X23" i="37"/>
  <c r="BK22" i="37"/>
  <c r="AI23" i="37"/>
  <c r="AJ23" i="37"/>
  <c r="AK23" i="37"/>
  <c r="AN23" i="37"/>
  <c r="Y20" i="37"/>
  <c r="Z20" i="37"/>
  <c r="AA20" i="37"/>
  <c r="X20" i="37"/>
  <c r="AI20" i="37"/>
  <c r="AI44" i="37" s="1"/>
  <c r="AJ20" i="37"/>
  <c r="AJ44" i="37" s="1"/>
  <c r="AK20" i="37"/>
  <c r="AK44" i="37" s="1"/>
  <c r="X18" i="37"/>
  <c r="Y18" i="37"/>
  <c r="Z18" i="37"/>
  <c r="AA18" i="37"/>
  <c r="Y27" i="37"/>
  <c r="Z27" i="37"/>
  <c r="AA27" i="37"/>
  <c r="X27" i="37"/>
  <c r="P10" i="37"/>
  <c r="P11" i="37"/>
  <c r="P12" i="37"/>
  <c r="P13" i="37"/>
  <c r="P14" i="37"/>
  <c r="P15" i="37"/>
  <c r="P32" i="37"/>
  <c r="P17" i="37"/>
  <c r="BK21" i="37"/>
  <c r="P16" i="37"/>
  <c r="AN22" i="37"/>
  <c r="AN21" i="37"/>
  <c r="AN31" i="37"/>
  <c r="P28" i="37"/>
  <c r="AI22" i="37"/>
  <c r="AJ22" i="37"/>
  <c r="AK22" i="37"/>
  <c r="P22" i="37"/>
  <c r="AI21" i="37"/>
  <c r="AJ21" i="37"/>
  <c r="AK21" i="37"/>
  <c r="P21" i="37"/>
  <c r="AI31" i="37"/>
  <c r="AJ31" i="37"/>
  <c r="AK31" i="37"/>
  <c r="Y26" i="37"/>
  <c r="Z26" i="37"/>
  <c r="AA26" i="37"/>
  <c r="X26" i="37"/>
  <c r="Y29" i="37"/>
  <c r="Z29" i="37"/>
  <c r="AA29" i="37"/>
  <c r="X29" i="37"/>
  <c r="BK47" i="37" l="1"/>
  <c r="J6" i="38" s="1"/>
  <c r="L7" i="39"/>
  <c r="V5" i="39"/>
  <c r="L5" i="39"/>
  <c r="V7" i="39"/>
  <c r="L6" i="39"/>
  <c r="V6" i="39"/>
  <c r="AX12" i="37"/>
  <c r="AU12" i="37"/>
  <c r="AV12" i="37"/>
  <c r="AW12" i="37"/>
  <c r="AX15" i="37"/>
  <c r="AU15" i="37"/>
  <c r="AV15" i="37"/>
  <c r="AW15" i="37"/>
  <c r="Y21" i="37"/>
  <c r="Z21" i="37"/>
  <c r="AA21" i="37"/>
  <c r="X21" i="37"/>
  <c r="X14" i="37"/>
  <c r="Y14" i="37"/>
  <c r="Z14" i="37"/>
  <c r="AA14" i="37"/>
  <c r="AX13" i="37"/>
  <c r="AU13" i="37"/>
  <c r="AV13" i="37"/>
  <c r="AW13" i="37"/>
  <c r="X13" i="37"/>
  <c r="Y13" i="37"/>
  <c r="Z13" i="37"/>
  <c r="AA13" i="37"/>
  <c r="X17" i="37"/>
  <c r="Y17" i="37"/>
  <c r="Z17" i="37"/>
  <c r="AA17" i="37"/>
  <c r="X15" i="37"/>
  <c r="Y15" i="37"/>
  <c r="Z15" i="37"/>
  <c r="AA15" i="37"/>
  <c r="AU27" i="37"/>
  <c r="AV27" i="37"/>
  <c r="AW27" i="37"/>
  <c r="AX27" i="37"/>
  <c r="AU25" i="37"/>
  <c r="AV25" i="37"/>
  <c r="AW25" i="37"/>
  <c r="AX25" i="37"/>
  <c r="AU26" i="37"/>
  <c r="AV26" i="37"/>
  <c r="AW26" i="37"/>
  <c r="AX26" i="37"/>
  <c r="Y32" i="37"/>
  <c r="Z32" i="37"/>
  <c r="X32" i="37"/>
  <c r="AA32" i="37"/>
  <c r="AU18" i="37"/>
  <c r="AV18" i="37"/>
  <c r="AW18" i="37"/>
  <c r="AX18" i="37"/>
  <c r="Y28" i="37"/>
  <c r="Z28" i="37"/>
  <c r="AA28" i="37"/>
  <c r="X28" i="37"/>
  <c r="AU19" i="37"/>
  <c r="AV19" i="37"/>
  <c r="AW19" i="37"/>
  <c r="AX19" i="37"/>
  <c r="AV31" i="37"/>
  <c r="AW31" i="37"/>
  <c r="AX31" i="37"/>
  <c r="AU31" i="37"/>
  <c r="AU24" i="37"/>
  <c r="AV24" i="37"/>
  <c r="AW24" i="37"/>
  <c r="AX24" i="37"/>
  <c r="AU21" i="37"/>
  <c r="AV21" i="37"/>
  <c r="AW21" i="37"/>
  <c r="AX21" i="37"/>
  <c r="AU20" i="37"/>
  <c r="AV20" i="37"/>
  <c r="AW20" i="37"/>
  <c r="AX20" i="37"/>
  <c r="AX14" i="37"/>
  <c r="AU14" i="37"/>
  <c r="AV14" i="37"/>
  <c r="AW14" i="37"/>
  <c r="AU22" i="37"/>
  <c r="AV22" i="37"/>
  <c r="AW22" i="37"/>
  <c r="AX22" i="37"/>
  <c r="X12" i="37"/>
  <c r="Y12" i="37"/>
  <c r="Z12" i="37"/>
  <c r="AA12" i="37"/>
  <c r="AX16" i="37"/>
  <c r="AU16" i="37"/>
  <c r="AV16" i="37"/>
  <c r="AW16" i="37"/>
  <c r="AU32" i="37"/>
  <c r="AX32" i="37"/>
  <c r="AV32" i="37"/>
  <c r="AW32" i="37"/>
  <c r="Y22" i="37"/>
  <c r="Z22" i="37"/>
  <c r="AA22" i="37"/>
  <c r="X22" i="37"/>
  <c r="X16" i="37"/>
  <c r="Y16" i="37"/>
  <c r="Z16" i="37"/>
  <c r="AA16" i="37"/>
  <c r="X11" i="37"/>
  <c r="Y11" i="37"/>
  <c r="Z11" i="37"/>
  <c r="AA11" i="37"/>
  <c r="AU30" i="37"/>
  <c r="AV30" i="37"/>
  <c r="AW30" i="37"/>
  <c r="AX30" i="37"/>
  <c r="AX11" i="37"/>
  <c r="AU11" i="37"/>
  <c r="AV11" i="37"/>
  <c r="AW11" i="37"/>
  <c r="AU17" i="37"/>
  <c r="AV17" i="37"/>
  <c r="AW17" i="37"/>
  <c r="AX17" i="37"/>
  <c r="X10" i="37"/>
  <c r="Y10" i="37"/>
  <c r="Z10" i="37"/>
  <c r="AA10" i="37"/>
  <c r="AU23" i="37"/>
  <c r="AV23" i="37"/>
  <c r="AW23" i="37"/>
  <c r="AX23" i="37"/>
  <c r="AU29" i="37"/>
  <c r="AV29" i="37"/>
  <c r="AW29" i="37"/>
  <c r="AX29" i="37"/>
  <c r="AX10" i="37"/>
  <c r="AU10" i="37"/>
  <c r="AU44" i="37" s="1"/>
  <c r="AV10" i="37"/>
  <c r="AV44" i="37" s="1"/>
  <c r="AW10" i="37"/>
  <c r="AW44" i="37" s="1"/>
  <c r="AU28" i="37"/>
  <c r="AV28" i="37"/>
  <c r="AW28" i="37"/>
  <c r="AX28" i="37"/>
  <c r="J7" i="38" l="1"/>
  <c r="AX44" i="37"/>
  <c r="AA44" i="37"/>
  <c r="Y44" i="37"/>
  <c r="Z44" i="37"/>
  <c r="X44" i="37"/>
  <c r="AJ105" i="9" l="1"/>
  <c r="AB5" i="9"/>
  <c r="W5" i="9"/>
  <c r="O108" i="9" l="1"/>
  <c r="O107" i="9"/>
  <c r="O103" i="9"/>
  <c r="O104" i="9"/>
  <c r="AJ46" i="9" l="1"/>
  <c r="AK46" i="9"/>
  <c r="AL46" i="9"/>
  <c r="AJ47" i="9"/>
  <c r="AK47" i="9"/>
  <c r="AL47" i="9"/>
  <c r="AO47" i="9"/>
  <c r="AJ49" i="9"/>
  <c r="AK49" i="9"/>
  <c r="AL49" i="9"/>
  <c r="AO49" i="9"/>
  <c r="AJ50" i="9"/>
  <c r="AK50" i="9"/>
  <c r="AL50" i="9"/>
  <c r="AO50" i="9"/>
  <c r="AJ51" i="9"/>
  <c r="AK51" i="9"/>
  <c r="AL51" i="9"/>
  <c r="AO51" i="9"/>
  <c r="AJ62" i="9"/>
  <c r="AK62" i="9"/>
  <c r="AL62" i="9"/>
  <c r="AO62" i="9"/>
  <c r="AJ63" i="9"/>
  <c r="AK63" i="9"/>
  <c r="AL63" i="9"/>
  <c r="AO63" i="9"/>
  <c r="AJ64" i="9"/>
  <c r="AK64" i="9"/>
  <c r="AJ65" i="9"/>
  <c r="AK65" i="9"/>
  <c r="AJ66" i="9"/>
  <c r="AK66" i="9"/>
  <c r="AL66" i="9"/>
  <c r="AJ68" i="9"/>
  <c r="AK68" i="9"/>
  <c r="AL68" i="9"/>
  <c r="AJ69" i="9"/>
  <c r="AK69" i="9"/>
  <c r="AL69" i="9"/>
  <c r="AJ71" i="9"/>
  <c r="AK71" i="9"/>
  <c r="AL71" i="9"/>
  <c r="AJ72" i="9"/>
  <c r="AK72" i="9"/>
  <c r="AJ73" i="9"/>
  <c r="AK73" i="9"/>
  <c r="AJ74" i="9"/>
  <c r="AK74" i="9"/>
  <c r="AJ75" i="9"/>
  <c r="AK75" i="9"/>
  <c r="AJ76" i="9"/>
  <c r="AK76" i="9"/>
  <c r="AL76" i="9"/>
  <c r="AJ77" i="9"/>
  <c r="AK77" i="9"/>
  <c r="AL77" i="9"/>
  <c r="AJ78" i="9"/>
  <c r="AK78" i="9"/>
  <c r="AJ79" i="9"/>
  <c r="AK79" i="9"/>
  <c r="AJ80" i="9"/>
  <c r="AK80" i="9"/>
  <c r="AL80" i="9"/>
  <c r="AJ81" i="9"/>
  <c r="AK81" i="9"/>
  <c r="AL81" i="9"/>
  <c r="AO81" i="9"/>
  <c r="AJ82" i="9"/>
  <c r="AK82" i="9"/>
  <c r="AL82" i="9"/>
  <c r="AJ83" i="9"/>
  <c r="AK83" i="9"/>
  <c r="AL83" i="9"/>
  <c r="AJ84" i="9"/>
  <c r="AK84" i="9"/>
  <c r="AL84" i="9"/>
  <c r="AJ85" i="9"/>
  <c r="AK85" i="9"/>
  <c r="AL85" i="9"/>
  <c r="AJ86" i="9"/>
  <c r="AK86" i="9"/>
  <c r="AJ88" i="9"/>
  <c r="AK88" i="9"/>
  <c r="AJ89" i="9"/>
  <c r="AJ90" i="9"/>
  <c r="AK90" i="9"/>
  <c r="AJ91" i="9"/>
  <c r="AK91" i="9"/>
  <c r="AJ92" i="9"/>
  <c r="AK92" i="9"/>
  <c r="AL92" i="9"/>
  <c r="AJ93" i="9"/>
  <c r="AK93" i="9"/>
  <c r="AL93" i="9"/>
  <c r="AJ94" i="9"/>
  <c r="AK94" i="9"/>
  <c r="AJ96" i="9"/>
  <c r="AK96" i="9"/>
  <c r="AL96" i="9"/>
  <c r="AJ99" i="9"/>
  <c r="AK99" i="9"/>
  <c r="AL99" i="9"/>
  <c r="AJ100" i="9"/>
  <c r="AK100" i="9"/>
  <c r="AL100" i="9"/>
  <c r="AO100" i="9"/>
  <c r="AJ101" i="9"/>
  <c r="AK101" i="9"/>
  <c r="AL101" i="9"/>
  <c r="AJ102" i="9"/>
  <c r="AK102" i="9"/>
  <c r="AL102" i="9"/>
  <c r="AJ103" i="9"/>
  <c r="AK103" i="9"/>
  <c r="AL103" i="9"/>
  <c r="AM103" i="9"/>
  <c r="AO103" i="9"/>
  <c r="AJ104" i="9"/>
  <c r="AK104" i="9"/>
  <c r="AL104" i="9"/>
  <c r="AM104" i="9"/>
  <c r="AO104" i="9"/>
  <c r="AL105" i="9"/>
  <c r="AM105" i="9"/>
  <c r="AN105" i="9"/>
  <c r="AO105" i="9"/>
  <c r="AB93" i="9" l="1"/>
  <c r="AB94" i="9"/>
  <c r="AB96" i="9"/>
  <c r="AB97" i="9"/>
  <c r="AB98" i="9"/>
  <c r="AB99" i="9"/>
  <c r="AB100" i="9"/>
  <c r="AB101" i="9"/>
  <c r="AB102" i="9"/>
  <c r="AB63" i="9"/>
  <c r="AB64" i="9"/>
  <c r="AB65" i="9"/>
  <c r="AB66" i="9"/>
  <c r="AB68" i="9"/>
  <c r="AB69" i="9"/>
  <c r="AB71" i="9"/>
  <c r="AB72" i="9"/>
  <c r="AB73" i="9"/>
  <c r="AB74" i="9"/>
  <c r="AB75" i="9"/>
  <c r="AB76" i="9"/>
  <c r="AB77" i="9"/>
  <c r="AB78" i="9"/>
  <c r="AB79" i="9"/>
  <c r="AB80" i="9"/>
  <c r="AB81" i="9"/>
  <c r="AB82" i="9"/>
  <c r="AB83" i="9"/>
  <c r="AB84" i="9"/>
  <c r="AB85" i="9"/>
  <c r="AB86" i="9"/>
  <c r="AB88" i="9"/>
  <c r="AB89" i="9"/>
  <c r="AB90" i="9"/>
  <c r="AB91" i="9"/>
  <c r="AB92" i="9"/>
  <c r="AB62" i="9"/>
  <c r="AB47" i="9"/>
  <c r="AB49" i="9"/>
  <c r="AB50" i="9"/>
  <c r="AB51" i="9"/>
  <c r="AB46" i="9"/>
  <c r="V117" i="9" l="1"/>
  <c r="S117" i="9"/>
  <c r="O117" i="9" l="1"/>
  <c r="K117" i="9" l="1"/>
  <c r="AJ117" i="9" s="1"/>
  <c r="AA116" i="9"/>
  <c r="AA115" i="9"/>
  <c r="AJ115" i="9" l="1"/>
  <c r="AK115" i="9"/>
  <c r="AL115" i="9"/>
  <c r="AJ116" i="9"/>
  <c r="AK116" i="9"/>
  <c r="AL116" i="9"/>
  <c r="AN117" i="9"/>
  <c r="AL117" i="9"/>
  <c r="AK117" i="9"/>
  <c r="W117" i="9"/>
  <c r="AB115" i="9"/>
  <c r="AB116" i="9"/>
  <c r="S115" i="9"/>
  <c r="S116" i="9"/>
  <c r="O116" i="9"/>
  <c r="AO26" i="9"/>
  <c r="AJ26" i="9" l="1"/>
  <c r="AK26" i="9"/>
  <c r="AL26" i="9"/>
  <c r="AM26" i="9"/>
  <c r="AA7" i="9"/>
  <c r="AA12" i="9"/>
  <c r="AA13" i="9"/>
  <c r="AB13" i="9" s="1"/>
  <c r="AA18" i="9"/>
  <c r="AA20" i="9"/>
  <c r="AA21" i="9"/>
  <c r="AA23" i="9"/>
  <c r="AA26" i="9"/>
  <c r="AB26" i="9" s="1"/>
  <c r="S9" i="9"/>
  <c r="S11" i="9"/>
  <c r="S17" i="9"/>
  <c r="S19" i="9"/>
  <c r="O11" i="9"/>
  <c r="O12" i="9"/>
  <c r="O14" i="9"/>
  <c r="O15" i="9"/>
  <c r="O17" i="9"/>
  <c r="O20" i="9"/>
  <c r="O21" i="9"/>
  <c r="AJ25" i="9" l="1"/>
  <c r="AL25" i="9"/>
  <c r="V25" i="9"/>
  <c r="O8" i="9"/>
  <c r="O19" i="9"/>
  <c r="S23" i="9"/>
  <c r="S24" i="9"/>
  <c r="S16" i="9"/>
  <c r="S8" i="9"/>
  <c r="O18" i="9"/>
  <c r="AA10" i="9"/>
  <c r="AB10" i="9" s="1"/>
  <c r="O7" i="9"/>
  <c r="O9" i="9"/>
  <c r="AA19" i="9"/>
  <c r="AB19" i="9" s="1"/>
  <c r="AA11" i="9"/>
  <c r="AB11" i="9" s="1"/>
  <c r="AA15" i="9"/>
  <c r="AB15" i="9" s="1"/>
  <c r="S18" i="9"/>
  <c r="S10" i="9"/>
  <c r="O23" i="9"/>
  <c r="S15" i="9"/>
  <c r="S7" i="9"/>
  <c r="AA22" i="9"/>
  <c r="AB22" i="9" s="1"/>
  <c r="AA14" i="9"/>
  <c r="AB14" i="9" s="1"/>
  <c r="O10" i="9"/>
  <c r="S22" i="9"/>
  <c r="S14" i="9"/>
  <c r="O24" i="9"/>
  <c r="O16" i="9"/>
  <c r="S21" i="9"/>
  <c r="S13" i="9"/>
  <c r="S20" i="9"/>
  <c r="S12" i="9"/>
  <c r="AA25" i="9"/>
  <c r="AB25" i="9" s="1"/>
  <c r="AA17" i="9"/>
  <c r="AB17" i="9" s="1"/>
  <c r="AA9" i="9"/>
  <c r="AB9" i="9" s="1"/>
  <c r="O22" i="9"/>
  <c r="AA24" i="9"/>
  <c r="AB24" i="9" s="1"/>
  <c r="AA16" i="9"/>
  <c r="AB16" i="9" s="1"/>
  <c r="AA8" i="9"/>
  <c r="AB8" i="9" s="1"/>
  <c r="O13" i="9"/>
  <c r="AO25" i="9"/>
  <c r="AK25" i="9"/>
  <c r="AM25" i="9"/>
  <c r="AB23" i="9"/>
  <c r="AB21" i="9"/>
  <c r="AB20" i="9"/>
  <c r="AB18" i="9"/>
  <c r="AB12" i="9"/>
  <c r="AB7" i="9"/>
  <c r="W25" i="9"/>
  <c r="V26" i="9"/>
  <c r="W26" i="9" s="1"/>
  <c r="S114" i="9"/>
  <c r="O114" i="9"/>
  <c r="O105" i="9" l="1"/>
  <c r="S105" i="9"/>
  <c r="O109" i="9"/>
  <c r="O110" i="9"/>
  <c r="O111" i="9"/>
  <c r="O112" i="9"/>
  <c r="O113" i="9"/>
  <c r="AA28" i="9" l="1"/>
  <c r="AA29" i="9"/>
  <c r="AA30" i="9"/>
  <c r="AA27" i="9"/>
  <c r="V44" i="9"/>
  <c r="V43" i="9"/>
  <c r="V42" i="9"/>
  <c r="V41" i="9"/>
  <c r="S37" i="9"/>
  <c r="K40" i="9"/>
  <c r="K37" i="9"/>
  <c r="S40" i="9" l="1"/>
  <c r="S39" i="9"/>
  <c r="S38" i="9"/>
  <c r="O37" i="9"/>
  <c r="O44" i="9"/>
  <c r="O43" i="9"/>
  <c r="O42" i="9"/>
  <c r="O41" i="9"/>
  <c r="O40" i="9"/>
  <c r="O39" i="9"/>
  <c r="O38" i="9"/>
  <c r="O28" i="9" l="1"/>
  <c r="O29" i="9"/>
  <c r="O30" i="9"/>
  <c r="O31" i="9"/>
  <c r="O35" i="9"/>
  <c r="O27" i="9" l="1"/>
  <c r="O34" i="9"/>
  <c r="O32" i="9"/>
  <c r="K44" i="9"/>
  <c r="K43" i="9"/>
  <c r="K42" i="9"/>
  <c r="K41" i="9"/>
  <c r="W41" i="9" s="1"/>
  <c r="K39" i="9"/>
  <c r="K38" i="9"/>
  <c r="K36" i="9"/>
  <c r="K35" i="9"/>
  <c r="K34" i="9"/>
  <c r="K33" i="9"/>
  <c r="AM33" i="9" s="1"/>
  <c r="K32" i="9"/>
  <c r="K31" i="9"/>
  <c r="K30" i="9"/>
  <c r="K29" i="9"/>
  <c r="K28" i="9"/>
  <c r="AB28" i="9" l="1"/>
  <c r="AJ28" i="9"/>
  <c r="AO28" i="9"/>
  <c r="AK28" i="9"/>
  <c r="AL28" i="9"/>
  <c r="AN28" i="9"/>
  <c r="AJ32" i="9"/>
  <c r="AO32" i="9"/>
  <c r="AK32" i="9"/>
  <c r="AL32" i="9"/>
  <c r="AN32" i="9"/>
  <c r="AK36" i="9"/>
  <c r="AL36" i="9"/>
  <c r="AO36" i="9"/>
  <c r="AJ36" i="9"/>
  <c r="AB29" i="9"/>
  <c r="AN29" i="9"/>
  <c r="AJ29" i="9"/>
  <c r="AO29" i="9"/>
  <c r="AK29" i="9"/>
  <c r="AL29" i="9"/>
  <c r="AJ33" i="9"/>
  <c r="AO33" i="9"/>
  <c r="AK33" i="9"/>
  <c r="AL33" i="9"/>
  <c r="AB30" i="9"/>
  <c r="AL30" i="9"/>
  <c r="AN30" i="9"/>
  <c r="AJ30" i="9"/>
  <c r="AO30" i="9"/>
  <c r="AK30" i="9"/>
  <c r="AL34" i="9"/>
  <c r="AO34" i="9"/>
  <c r="AJ34" i="9"/>
  <c r="AK34" i="9"/>
  <c r="AK31" i="9"/>
  <c r="AL31" i="9"/>
  <c r="AN31" i="9"/>
  <c r="AJ31" i="9"/>
  <c r="AO31" i="9"/>
  <c r="AJ35" i="9"/>
  <c r="AM35" i="9"/>
  <c r="AN35" i="9"/>
  <c r="AK35" i="9"/>
  <c r="AO35" i="9"/>
  <c r="AL35" i="9"/>
  <c r="K27" i="9"/>
  <c r="W42" i="9"/>
  <c r="W43" i="9"/>
  <c r="W44" i="9"/>
  <c r="AB27" i="9" l="1"/>
  <c r="AK27" i="9"/>
  <c r="AL27" i="9"/>
  <c r="AN27" i="9"/>
  <c r="AJ27" i="9"/>
  <c r="AO2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tc={C8F9644B-68F8-D549-B95A-0B43DA5807C6}</author>
    <author>tc={60F95FA1-1E49-4EC7-B973-388D8A6BBEE8}</author>
    <author>tc={4C52BE79-FFEC-4789-BD64-615127CFBD72}</author>
    <author>tc={A730F18F-5DA7-4EB0-B007-A40345708B2D}</author>
    <author>tc={20B2AF0C-8E4E-4F3A-BA60-5F8D6CFDFE38}</author>
    <author>tc={1B804695-4019-44B5-96C7-131BB5604EC0}</author>
    <author>tc={E10A066F-7242-4F10-991B-CCFB67D6FE36}</author>
    <author>tc={CE8187D6-7933-48AC-970F-CF6192D11BF2}</author>
    <author>tc={0BCBE67F-EC85-413D-808B-6E895EE231F0}</author>
  </authors>
  <commentList>
    <comment ref="S2" authorId="0" shapeId="0" xr:uid="{C8F9644B-68F8-D549-B95A-0B43DA5807C6}">
      <text>
        <t>[Threaded comment]
Your version of Excel allows you to read this threaded comment; however, any edits to it will get removed if the file is opened in a newer version of Excel. Learn more: https://go.microsoft.com/fwlink/?linkid=870924
Comment:
    Hansen (2012) and Ushakov et al. (2020) use FNU; the rest use NTU</t>
      </text>
    </comment>
    <comment ref="N4" authorId="1" shapeId="0" xr:uid="{60F95FA1-1E49-4EC7-B973-388D8A6BBEE8}">
      <text>
        <t>[Threaded comment]
Your version of Excel allows you to read this threaded comment; however, any edits to it will get removed if the file is opened in a newer version of Excel. Learn more: https://go.microsoft.com/fwlink/?linkid=870924
Comment:
    The pH has to comply with one of the following requirements under IMO guidelines:
(1) No lower than 6.5 at the ship's overboard discharge with the exception that during maneuvering and transit, a maximum difference of 2 pH units is allowed between the inlet water and overboard discharge values. 
OR
(2) No lower than 6.5 at a distance of 4 m from the overboard discharge point when the ship is stationary. 
Note, EPA 2013 VGP limits it to no less than 6.0 at the discharge point, with the same allowance of a max difference of 2 pH units when the ship is maneuvering and in transit.</t>
      </text>
    </comment>
    <comment ref="O4" authorId="2" shapeId="0" xr:uid="{4C52BE79-FFEC-4789-BD64-615127CFBD72}">
      <text>
        <t>[Threaded comment]
Your version of Excel allows you to read this threaded comment; however, any edits to it will get removed if the file is opened in a newer version of Excel. Learn more: https://go.microsoft.com/fwlink/?linkid=870924
Comment:
    Max difference between input and output pH when maneuvering and in transit cannot exceed 2 pH units.</t>
      </text>
    </comment>
    <comment ref="W4" authorId="3" shapeId="0" xr:uid="{A730F18F-5DA7-4EB0-B007-A40345708B2D}">
      <text>
        <t>[Threaded comment]
Your version of Excel allows you to read this threaded comment; however, any edits to it will get removed if the file is opened in a newer version of Excel. Learn more: https://go.microsoft.com/fwlink/?linkid=870924
Comment:
    2700 mg/L * 1000 L/m3 * 1m3/t * 1t/MWh= 2,700,000 mg/MWh</t>
      </text>
    </comment>
    <comment ref="AB4" authorId="4" shapeId="0" xr:uid="{20B2AF0C-8E4E-4F3A-BA60-5F8D6CFDFE38}">
      <text>
        <t>[Threaded comment]
Your version of Excel allows you to read this threaded comment; however, any edits to it will get removed if the file is opened in a newer version of Excel. Learn more: https://go.microsoft.com/fwlink/?linkid=870924
Comment:
    2250 ug/L * 1000 L/m3 * 1m3/t * 1t/MWh= 2,250,000 ug/MWh.
The limit is above whatever the inlet water PAH concentration is, so we're assuming that the inlet water has no PAHs.</t>
      </text>
    </comment>
    <comment ref="K5" authorId="5" shapeId="0" xr:uid="{1B804695-4019-44B5-96C7-131BB5604EC0}">
      <text>
        <t>[Threaded comment]
Your version of Excel allows you to read this threaded comment; however, any edits to it will get removed if the file is opened in a newer version of Excel. Learn more: https://go.microsoft.com/fwlink/?linkid=870924
Comment:
    Evaluating at 1 t/MWh is a good way to compare the emissions per MWh agains the criteria, since they are all proportionate to the discharge water flow rate such that the total mass of pollutant is the same per hour.</t>
      </text>
    </comment>
    <comment ref="AD25" authorId="6" shapeId="0" xr:uid="{E10A066F-7242-4F10-991B-CCFB67D6FE36}">
      <text>
        <t>[Threaded comment]
Your version of Excel allows you to read this threaded comment; however, any edits to it will get removed if the file is opened in a newer version of Excel. Learn more: https://go.microsoft.com/fwlink/?linkid=870924
Comment:
    Recorded metals are dissolved fraction - other option was suspended particle matter</t>
      </text>
    </comment>
    <comment ref="E37" authorId="7" shapeId="0" xr:uid="{CE8187D6-7933-48AC-970F-CF6192D11BF2}">
      <text>
        <t>[Threaded comment]
Your version of Excel allows you to read this threaded comment; however, any edits to it will get removed if the file is opened in a newer version of Excel. Learn more: https://go.microsoft.com/fwlink/?linkid=870924
Comment:
    magnesium</t>
      </text>
    </comment>
    <comment ref="AC114" authorId="8" shapeId="0" xr:uid="{0BCBE67F-EC85-413D-808B-6E895EE231F0}">
      <text>
        <t>[Threaded comment]
Your version of Excel allows you to read this threaded comment; however, any edits to it will get removed if the file is opened in a newer version of Excel. Learn more: https://go.microsoft.com/fwlink/?linkid=870924
Comment:
    min - max</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tc={C810951D-E3C1-A849-A35A-3ECC39B6AEFC}</author>
    <author>tc={F3CF1839-7054-144A-A15B-933DD8883C87}</author>
    <author>tc={1E22AEC3-B260-9D44-9D95-EA7521360D86}</author>
    <author>tc={B71974F2-D0F1-6D4D-9ACD-2E6B02414E6B}</author>
    <author>tc={402D7771-70D2-014A-8875-D179F1F8BC77}</author>
    <author>tc={2BBEFD22-6961-614C-A73C-88F064B5F23A}</author>
    <author>tc={C4EFF847-66CD-A940-A628-9926E425D72E}</author>
    <author>tc={FE716E88-D5E5-2F4A-BA0B-C1B6F926657F}</author>
    <author>tc={42A06B1A-95FA-DF48-A8E3-858C2254C680}</author>
    <author>tc={21DCD9E9-FEFB-AF40-B38F-E3B03DBB004B}</author>
    <author>tc={29720745-0EFE-6042-86DA-B4514FB56485}</author>
    <author>tc={6A333ACD-F846-D049-8F66-D354E503AF68}</author>
    <author>tc={2171B23D-F7B0-1847-A162-2BE326947E0A}</author>
    <author>tc={4F781122-274D-1645-8DED-6620AFBEB7E1}</author>
    <author>tc={61814378-7D9E-CE40-97CE-203C6C15838B}</author>
    <author>tc={0B71853E-16B4-F545-BB92-D2BAF6BE5B55}</author>
    <author>tc={E92D4A90-0599-6A4E-927D-096FF5A12A41}</author>
    <author>tc={4E79CBFF-2FC1-B946-B5AF-61068BCC0599}</author>
    <author>tc={C0A1D7E4-DCB8-F441-8961-53D74CA3DF05}</author>
    <author>tc={DF183613-8D2F-8F49-9522-26DA9ED7E6E6}</author>
    <author>tc={CB5C0487-DC90-8A4C-8E47-4E92BA04A831}</author>
    <author>tc={16FA553E-E23F-EC4D-A44D-794048715DBE}</author>
    <author>tc={660CC43E-DC1B-D340-B022-B87A5BD05018}</author>
    <author>tc={1F0A02B8-7608-7742-9F21-E41B9BC40D99}</author>
    <author>tc={2FB3DE28-F6FF-2248-A6F4-4DC12FE8818E}</author>
    <author>tc={C99DABD4-0EEA-3A49-9FDE-4BA30EAAB6D1}</author>
    <author>tc={9A622C31-D47B-0E4A-AF90-72AD69A214F5}</author>
    <author>tc={4395A854-F298-2A49-9833-B4CB4422C135}</author>
    <author>tc={60AAA3B4-E837-D742-967A-6B52C591F806}</author>
    <author>tc={A66BE79C-FE68-FF4D-9792-5F78BC963A32}</author>
    <author>tc={44902BC8-AE3E-1A45-9348-52181307D97E}</author>
    <author>tc={592538A0-7972-024A-9BFF-CCE46E897C21}</author>
    <author>tc={907B2320-744E-D341-8502-8D4C6192C268}</author>
  </authors>
  <commentList>
    <comment ref="E3" authorId="0" shapeId="0" xr:uid="{C810951D-E3C1-A849-A35A-3ECC39B6AEFC}">
      <text>
        <t>[Threaded comment]
Your version of Excel allows you to read this threaded comment; however, any edits to it will get removed if the file is opened in a newer version of Excel. Learn more: https://go.microsoft.com/fwlink/?linkid=870924
Comment:
    OL = open-loop; CL = closed loop; H = hybrid</t>
      </text>
    </comment>
    <comment ref="I3" authorId="1" shapeId="0" xr:uid="{F3CF1839-7054-144A-A15B-933DD8883C87}">
      <text>
        <t>[Threaded comment]
Your version of Excel allows you to read this threaded comment; however, any edits to it will get removed if the file is opened in a newer version of Excel. Learn more: https://go.microsoft.com/fwlink/?linkid=870924
Comment:
    Multiplied by 0.98 if unavailable (see pink cells)</t>
      </text>
    </comment>
    <comment ref="AG3" authorId="2" shapeId="0" xr:uid="{1E22AEC3-B260-9D44-9D95-EA7521360D86}">
      <text>
        <t xml:space="preserve">[Threaded comment]
Your version of Excel allows you to read this threaded comment; however, any edits to it will get removed if the file is opened in a newer version of Excel. Learn more: https://go.microsoft.com/fwlink/?linkid=870924
Comment:
    Assumes SFOC improves by about 8 g fuel/kWh compared to using HFO. Reflects an assumption of an 80%/20% Distillate to Residual blend. Using distillate usually results in a 10 g/kWh decrease in fuel consumption. Distillate gCO2/gfuel = 3.206 versus 3.114 for Residual. </t>
      </text>
    </comment>
    <comment ref="AH3" authorId="3" shapeId="0" xr:uid="{B71974F2-D0F1-6D4D-9ACD-2E6B02414E6B}">
      <text>
        <t>[Threaded comment]
Your version of Excel allows you to read this threaded comment; however, any edits to it will get removed if the file is opened in a newer version of Excel. Learn more: https://go.microsoft.com/fwlink/?linkid=870924
Comment:
    Subracts 10 from SFOC to reflect better fuel efficiency when using MGO vs HFO</t>
      </text>
    </comment>
    <comment ref="BH3" authorId="4" shapeId="0" xr:uid="{402D7771-70D2-014A-8875-D179F1F8BC77}">
      <text>
        <t>[Threaded comment]
Your version of Excel allows you to read this threaded comment; however, any edits to it will get removed if the file is opened in a newer version of Excel. Learn more: https://go.microsoft.com/fwlink/?linkid=870924
Comment:
    These BC EFs are consistent with the Fourth IMO GHG Study methodology. The engines that were tested have low pre-scrubber BC emissions that are not expected to be representative of the global in-use fleet. This column provides expected BC emissions from ships in the global in-use fleet. They vary as a function of engine type, fuel type, and engine load.</t>
      </text>
    </comment>
    <comment ref="BI3" authorId="5" shapeId="0" xr:uid="{2BBEFD22-6961-614C-A73C-88F064B5F23A}">
      <text>
        <t>[Threaded comment]
Your version of Excel allows you to read this threaded comment; however, any edits to it will get removed if the file is opened in a newer version of Excel. Learn more: https://go.microsoft.com/fwlink/?linkid=870924
Comment:
    Applies the average BC reduction from the scrubber.</t>
      </text>
    </comment>
    <comment ref="BJ3" authorId="6" shapeId="0" xr:uid="{C4EFF847-66CD-A940-A628-9926E425D72E}">
      <text>
        <t>[Threaded comment]
Your version of Excel allows you to read this threaded comment; however, any edits to it will get removed if the file is opened in a newer version of Excel. Learn more: https://go.microsoft.com/fwlink/?linkid=870924
Comment:
    Assumes using MGO reduces SFOC by 10 g/kWh</t>
      </text>
    </comment>
    <comment ref="AR13" authorId="7" shapeId="0" xr:uid="{FE716E88-D5E5-2F4A-BA0B-C1B6F926657F}">
      <text>
        <t>[Threaded comment]
Your version of Excel allows you to read this threaded comment; however, any edits to it will get removed if the file is opened in a newer version of Excel. Learn more: https://go.microsoft.com/fwlink/?linkid=870924
Comment:
    Johnson reports PM2.5. We assume that 92% of PM10 is PM2.5.</t>
      </text>
    </comment>
    <comment ref="J16" authorId="8" shapeId="0" xr:uid="{42A06B1A-95FA-DF48-A8E3-858C2254C680}">
      <text>
        <t>[Threaded comment]
Your version of Excel allows you to read this threaded comment; however, any edits to it will get removed if the file is opened in a newer version of Excel. Learn more: https://go.microsoft.com/fwlink/?linkid=870924
Comment:
    Based on 11 g CO/kWh and 63.9 g CO/kg fuel before the scrubber, which should indicate fuel consumption in g/kWh if you multiply that ratio by 1000</t>
      </text>
    </comment>
    <comment ref="BG16" authorId="9" shapeId="0" xr:uid="{21DCD9E9-FEFB-AF40-B38F-E3B03DBB004B}">
      <text>
        <t>[Threaded comment]
Your version of Excel allows you to read this threaded comment; however, any edits to it will get removed if the file is opened in a newer version of Excel. Learn more: https://go.microsoft.com/fwlink/?linkid=870924
Comment:
    Did not use an IMO "appropriate" BC measurement method and is suspiciously large decrease in BC after the scrubber.</t>
      </text>
    </comment>
    <comment ref="J17" authorId="10" shapeId="0" xr:uid="{29720745-0EFE-6042-86DA-B4514FB56485}">
      <text>
        <t>[Threaded comment]
Your version of Excel allows you to read this threaded comment; however, any edits to it will get removed if the file is opened in a newer version of Excel. Learn more: https://go.microsoft.com/fwlink/?linkid=870924
Comment:
    Winnes et al. (2020) report their SFOC. The CO2 values suggest that SFOC was actually higher than these values, but we use these, since that's what they reported.</t>
      </text>
    </comment>
    <comment ref="E29" authorId="11" shapeId="0" xr:uid="{6A333ACD-F846-D049-8F66-D354E503AF68}">
      <text>
        <t>[Threaded comment]
Your version of Excel allows you to read this threaded comment; however, any edits to it will get removed if the file is opened in a newer version of Excel. Learn more: https://go.microsoft.com/fwlink/?linkid=870924
Comment:
    Did not state what kind of scrubber, if it was OL, H, or CL; assuming OL</t>
      </text>
    </comment>
    <comment ref="E30" authorId="12" shapeId="0" xr:uid="{2171B23D-F7B0-1847-A162-2BE326947E0A}">
      <text>
        <t>[Threaded comment]
Your version of Excel allows you to read this threaded comment; however, any edits to it will get removed if the file is opened in a newer version of Excel. Learn more: https://go.microsoft.com/fwlink/?linkid=870924
Comment:
    Did not state what kind of scrubber, if it was OL, H, or CL; assuming OL</t>
      </text>
    </comment>
    <comment ref="E31" authorId="13" shapeId="0" xr:uid="{4F781122-274D-1645-8DED-6620AFBEB7E1}">
      <text>
        <t>[Threaded comment]
Your version of Excel allows you to read this threaded comment; however, any edits to it will get removed if the file is opened in a newer version of Excel. Learn more: https://go.microsoft.com/fwlink/?linkid=870924
Comment:
    Assuming OL</t>
      </text>
    </comment>
    <comment ref="E32" authorId="14" shapeId="0" xr:uid="{61814378-7D9E-CE40-97CE-203C6C15838B}">
      <text>
        <t>[Threaded comment]
Your version of Excel allows you to read this threaded comment; however, any edits to it will get removed if the file is opened in a newer version of Excel. Learn more: https://go.microsoft.com/fwlink/?linkid=870924
Comment:
    Assuming OL</t>
      </text>
    </comment>
    <comment ref="L33" authorId="15" shapeId="0" xr:uid="{0B71853E-16B4-F545-BB92-D2BAF6BE5B55}">
      <text>
        <t>[Threaded comment]
Your version of Excel allows you to read this threaded comment; however, any edits to it will get removed if the file is opened in a newer version of Excel. Learn more: https://go.microsoft.com/fwlink/?linkid=870924
Comment:
    Maximum value, given that ppm was &lt;2 ppm and recorded as zero since it was below instrument detection levels. Same for all of the Wartsila (2010) results</t>
      </text>
    </comment>
    <comment ref="W44" authorId="16" shapeId="0" xr:uid="{E92D4A90-0599-6A4E-927D-096FF5A12A41}">
      <text>
        <t>[Threaded comment]
Your version of Excel allows you to read this threaded comment; however, any edits to it will get removed if the file is opened in a newer version of Excel. Learn more: https://go.microsoft.com/fwlink/?linkid=870924
Comment:
    Suggests that one can take the expected SO2 or SOx EF and reduce it by 98% to arrive at the expected SO2 or SOx EF after the scrubber</t>
      </text>
    </comment>
    <comment ref="Y44" authorId="17" shapeId="0" xr:uid="{4E79CBFF-2FC1-B946-B5AF-61068BCC0599}">
      <text>
        <t>[Threaded comment]
Your version of Excel allows you to read this threaded comment; however, any edits to it will get removed if the file is opened in a newer version of Excel. Learn more: https://go.microsoft.com/fwlink/?linkid=870924
Comment:
    Scrubbers emit less SO2 than 0.50% S VLSFO</t>
      </text>
    </comment>
    <comment ref="Z44" authorId="18" shapeId="0" xr:uid="{C0A1D7E4-DCB8-F441-8961-53D74CA3DF05}">
      <text>
        <t>[Threaded comment]
Your version of Excel allows you to read this threaded comment; however, any edits to it will get removed if the file is opened in a newer version of Excel. Learn more: https://go.microsoft.com/fwlink/?linkid=870924
Comment:
    Scrubbers emit less SO2 than 0.10% S MGO</t>
      </text>
    </comment>
    <comment ref="AA44" authorId="19" shapeId="0" xr:uid="{DF183613-8D2F-8F49-9522-26DA9ED7E6E6}">
      <text>
        <t>[Threaded comment]
Your version of Excel allows you to read this threaded comment; however, any edits to it will get removed if the file is opened in a newer version of Excel. Learn more: https://go.microsoft.com/fwlink/?linkid=870924
Comment:
    Scrubbers emit less SO2 than 0.07% S MGO</t>
      </text>
    </comment>
    <comment ref="AD44" authorId="20" shapeId="0" xr:uid="{CB5C0487-DC90-8A4C-8E47-4E92BA04A831}">
      <text>
        <t>[Threaded comment]
Your version of Excel allows you to read this threaded comment; however, any edits to it will get removed if the file is opened in a newer version of Excel. Learn more: https://go.microsoft.com/fwlink/?linkid=870924
Comment:
    Suggests a 2% increase in CO2 for the scrubber</t>
      </text>
    </comment>
    <comment ref="AJ44" authorId="21" shapeId="0" xr:uid="{16FA553E-E23F-EC4D-A44D-794048715DBE}">
      <text>
        <t>[Threaded comment]
Your version of Excel allows you to read this threaded comment; however, any edits to it will get removed if the file is opened in a newer version of Excel. Learn more: https://go.microsoft.com/fwlink/?linkid=870924
Comment:
    HFO + scrubbers emit more CO2 than VLSFO</t>
      </text>
    </comment>
    <comment ref="AK44" authorId="22" shapeId="0" xr:uid="{660CC43E-DC1B-D340-B022-B87A5BD05018}">
      <text>
        <t>[Threaded comment]
Your version of Excel allows you to read this threaded comment; however, any edits to it will get removed if the file is opened in a newer version of Excel. Learn more: https://go.microsoft.com/fwlink/?linkid=870924
Comment:
    HFO + scrubbers emit more CO2 than MGO</t>
      </text>
    </comment>
    <comment ref="AT44" authorId="23" shapeId="0" xr:uid="{1F0A02B8-7608-7742-9F21-E41B9BC40D99}">
      <text>
        <t>[Threaded comment]
Your version of Excel allows you to read this threaded comment; however, any edits to it will get removed if the file is opened in a newer version of Excel. Learn more: https://go.microsoft.com/fwlink/?linkid=870924
Comment:
    Taking out very high EFs (highlighted in pink/red) the average reduction is about 79%. Suggests that one can reduce expected pre-scrubber PM by 79% to estimate PM after scrubber. Same for PM2.5, which is usually estimated by multiplying PM10 EF by 0.92 (assumes 92% of PM from marine engines is PM2.5)</t>
      </text>
    </comment>
    <comment ref="AV44" authorId="24" shapeId="0" xr:uid="{2FB3DE28-F6FF-2248-A6F4-4DC12FE8818E}">
      <text>
        <t>[Threaded comment]
Your version of Excel allows you to read this threaded comment; however, any edits to it will get removed if the file is opened in a newer version of Excel. Learn more: https://go.microsoft.com/fwlink/?linkid=870924
Comment:
    Bryan Comer
HFO + scrubbers emit less PM10 than using 0.5% VLSFO</t>
      </text>
    </comment>
    <comment ref="AW44" authorId="25" shapeId="0" xr:uid="{C99DABD4-0EEA-3A49-9FDE-4BA30EAAB6D1}">
      <text>
        <t>[Threaded comment]
Your version of Excel allows you to read this threaded comment; however, any edits to it will get removed if the file is opened in a newer version of Excel. Learn more: https://go.microsoft.com/fwlink/?linkid=870924
Comment:
    HFO + scrubbers emit more PM10 than using 0.1%S MGO</t>
      </text>
    </comment>
    <comment ref="AX44" authorId="26" shapeId="0" xr:uid="{9A622C31-D47B-0E4A-AF90-72AD69A214F5}">
      <text>
        <t>[Threaded comment]
Your version of Excel allows you to read this threaded comment; however, any edits to it will get removed if the file is opened in a newer version of Excel. Learn more: https://go.microsoft.com/fwlink/?linkid=870924
Comment:
    HFO + scrubbers emit more PM10 than using 0.07%S MGO</t>
      </text>
    </comment>
    <comment ref="BA44" authorId="27" shapeId="0" xr:uid="{4395A854-F298-2A49-9833-B4CB4422C135}">
      <text>
        <t>[Threaded comment]
Your version of Excel allows you to read this threaded comment; however, any edits to it will get removed if the file is opened in a newer version of Excel. Learn more: https://go.microsoft.com/fwlink/?linkid=870924
Comment:
    Suggest no change to NOx EF, since the impact is variable.</t>
      </text>
    </comment>
    <comment ref="BD44" authorId="28" shapeId="0" xr:uid="{60AAA3B4-E837-D742-967A-6B52C591F806}">
      <text>
        <t>[Threaded comment]
Your version of Excel allows you to read this threaded comment; however, any edits to it will get removed if the file is opened in a newer version of Excel. Learn more: https://go.microsoft.com/fwlink/?linkid=870924
Comment:
    HFO + scrubber emits less CO than other fuels. The Fourth IMO GHG Study CO EFs do not change as a function of fuel type or engine type or engine age, so this relationship is expected across engine types and fuels</t>
      </text>
    </comment>
    <comment ref="BG44" authorId="29" shapeId="0" xr:uid="{A66BE79C-FE68-FF4D-9792-5F78BC963A32}">
      <text>
        <t>[Threaded comment]
Your version of Excel allows you to read this threaded comment; however, any edits to it will get removed if the file is opened in a newer version of Excel. Learn more: https://go.microsoft.com/fwlink/?linkid=870924
Comment:
    Suggest -9% in BC emissions from using scrubbers for ships with SSD engines. Whatever the BC EF equation suggests for a given fuel type, engine type, and engine load, multiply by 0.91 to arrive at the post-scrubber BC EF.</t>
      </text>
    </comment>
    <comment ref="BK44" authorId="30" shapeId="0" xr:uid="{44902BC8-AE3E-1A45-9348-52181307D97E}">
      <text>
        <t>[Threaded comment]
Your version of Excel allows you to read this threaded comment; however, any edits to it will get removed if the file is opened in a newer version of Excel. Learn more: https://go.microsoft.com/fwlink/?linkid=870924
Comment:
    HFO+scrubbers is expected to emit more BC than if ships used MGO. The amount that emissions are higher is sensitive to engine type (SSD or MSD) and, to a lesser extent, engine load, so this average value needs to be unerstood in the context of the engine types and loads. In this case, BC emissions from SSD engines are much higher when using HFO+scrubber compared to MDO.</t>
      </text>
    </comment>
    <comment ref="BG47" authorId="31" shapeId="0" xr:uid="{592538A0-7972-024A-9BFF-CCE46E897C21}">
      <text>
        <t>[Threaded comment]
Your version of Excel allows you to read this threaded comment; however, any edits to it will get removed if the file is opened in a newer version of Excel. Learn more: https://go.microsoft.com/fwlink/?linkid=870924
Comment:
    Suggest -11% in BC emissions from using scrubbers with MSD engines. Whatever the BC EF equation suggests for a given fuel type, engine type, and engine load, multiply by 0.89 to arrive at the post-scrubber BC EF.</t>
      </text>
    </comment>
    <comment ref="BK47" authorId="32" shapeId="0" xr:uid="{907B2320-744E-D341-8502-8D4C6192C268}">
      <text>
        <t>[Threaded comment]
Your version of Excel allows you to read this threaded comment; however, any edits to it will get removed if the file is opened in a newer version of Excel. Learn more: https://go.microsoft.com/fwlink/?linkid=870924
Comment:
    HFO+scrubbers is expected to emit more BC than if ships used MGO in MSD engines. The amount that emissions are higher is sensitive to engine type (SSD or MSD) and, to a lesser extent, engine load, so this average value needs to be understood in the context of the engine types and loads.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tc={79EE5D14-87DC-9549-BB43-F3D9C3840819}</author>
    <author>tc={D472F878-D37C-914F-99DF-666E2A888DFA}</author>
  </authors>
  <commentList>
    <comment ref="X3" authorId="0" shapeId="0" xr:uid="{79EE5D14-87DC-9549-BB43-F3D9C3840819}">
      <text>
        <t>[Threaded comment]
Your version of Excel allows you to read this threaded comment; however, any edits to it will get removed if the file is opened in a newer version of Excel. Learn more: https://go.microsoft.com/fwlink/?linkid=870924
Comment:
    Assumes ship is operating at 50% load</t>
      </text>
    </comment>
    <comment ref="AL3" authorId="1" shapeId="0" xr:uid="{D472F878-D37C-914F-99DF-666E2A888DFA}">
      <text>
        <t>[Threaded comment]
Your version of Excel allows you to read this threaded comment; however, any edits to it will get removed if the file is opened in a newer version of Excel. Learn more: https://go.microsoft.com/fwlink/?linkid=870924
Comment:
    Assumes ship is operating at 50% load.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tc={45B16A45-88DF-AE48-9144-915F77BD2815}</author>
  </authors>
  <commentList>
    <comment ref="I3" authorId="0" shapeId="0" xr:uid="{45B16A45-88DF-AE48-9144-915F77BD2815}">
      <text>
        <t>[Threaded comment]
Your version of Excel allows you to read this threaded comment; however, any edits to it will get removed if the file is opened in a newer version of Excel. Learn more: https://go.microsoft.com/fwlink/?linkid=870924
Comment:
    Source = GREET, except for VLSFO which is 80/20 MGO/HFO</t>
      </text>
    </comment>
  </commentList>
</comments>
</file>

<file path=xl/sharedStrings.xml><?xml version="1.0" encoding="utf-8"?>
<sst xmlns="http://schemas.openxmlformats.org/spreadsheetml/2006/main" count="1293" uniqueCount="353">
  <si>
    <t>Zhu, Y. et al. (2016) Shipboard Trials of Magnesium-based Exhaust gas cleaning system</t>
  </si>
  <si>
    <t>Kjolholt, J. et al. (2012) Assessment of possible impacts of scrubber water discharges on the marine environment</t>
  </si>
  <si>
    <t>Ushakov, S., Stenersen, D., Einang, P., &amp; Ask, T., (2019) Meeting future emission regulation at sea by combining low‐pressure EGR and seawater scrubbing</t>
  </si>
  <si>
    <t>Magnusson, K., Thor,. &amp; Granberg, M. (2018) Scrubbers: Closing the loop, Activity 3: Task 2, Risk Assessment of marine exhaust gas scrubber water</t>
  </si>
  <si>
    <t>Hufnagl et al. (2005) Effects of Sea Water Scrubbing</t>
  </si>
  <si>
    <t>pH</t>
  </si>
  <si>
    <t>Turbidity</t>
  </si>
  <si>
    <t>Notes</t>
  </si>
  <si>
    <t>Scrubber type</t>
  </si>
  <si>
    <t>Scrubber mode</t>
  </si>
  <si>
    <t>Engine load</t>
  </si>
  <si>
    <t xml:space="preserve"> </t>
  </si>
  <si>
    <t>NTU</t>
  </si>
  <si>
    <t>mg/L</t>
  </si>
  <si>
    <t>ug/L</t>
  </si>
  <si>
    <t>Germany (2018) Scrubber Washwater Survey. Retrieved from IMO PPR6/INF20 at https://docs.imo.org/</t>
  </si>
  <si>
    <t>ship continuous monitoring</t>
  </si>
  <si>
    <t>SHIP 1 OL OUTPUT</t>
  </si>
  <si>
    <t>SHIP 1 CL OUTPUT</t>
  </si>
  <si>
    <t>SHIP 2 OL OUTPUT</t>
  </si>
  <si>
    <t>SHIP 2 CL OUTPUT</t>
  </si>
  <si>
    <t>na</t>
  </si>
  <si>
    <t>SHIP 3 OL OUTPUT</t>
  </si>
  <si>
    <t>SHIP 4 OL OUTPUT</t>
  </si>
  <si>
    <t>SHIP 4 CL OUTPUT</t>
  </si>
  <si>
    <t>(53%)SHIP 5 OL OUTPUT</t>
  </si>
  <si>
    <t>(60%)SHIP 5 CL OUTPUT</t>
  </si>
  <si>
    <t>BHS in-situ onboard testing</t>
  </si>
  <si>
    <t>Average</t>
  </si>
  <si>
    <t>Average - OL Discharge</t>
  </si>
  <si>
    <t>Average - CL Discharge</t>
  </si>
  <si>
    <t>Closed Loop</t>
  </si>
  <si>
    <t>Y</t>
  </si>
  <si>
    <t>N/A</t>
  </si>
  <si>
    <t>C</t>
  </si>
  <si>
    <t>N</t>
  </si>
  <si>
    <t>&lt;1</t>
  </si>
  <si>
    <t>&lt;.2</t>
  </si>
  <si>
    <t>mg/MWh</t>
  </si>
  <si>
    <t>Open Loop</t>
  </si>
  <si>
    <t>&lt;10</t>
  </si>
  <si>
    <t>&lt;2</t>
  </si>
  <si>
    <t>Winnes et al. 2018 Environmental analysis of marine exhaust gas EGCSs on two Stena Line ships, Summary Activity 3, EGCSs closing the loop</t>
  </si>
  <si>
    <t>Buhaug et al 2006 (MEPC 56/INF.5)</t>
  </si>
  <si>
    <t>&lt;0.1</t>
  </si>
  <si>
    <t>Open</t>
  </si>
  <si>
    <t>&lt;0.10</t>
  </si>
  <si>
    <t>&lt;4.1</t>
  </si>
  <si>
    <t>&lt;3.1</t>
  </si>
  <si>
    <t>&lt;6.1</t>
  </si>
  <si>
    <t>&lt;20</t>
  </si>
  <si>
    <t>A</t>
  </si>
  <si>
    <t>Hybrid</t>
  </si>
  <si>
    <t>&lt; 10</t>
  </si>
  <si>
    <t>A(2)</t>
  </si>
  <si>
    <t>B</t>
  </si>
  <si>
    <t>B(2)</t>
  </si>
  <si>
    <t>Closed</t>
  </si>
  <si>
    <t>B(3)</t>
  </si>
  <si>
    <t>D</t>
  </si>
  <si>
    <t>E</t>
  </si>
  <si>
    <t>F</t>
  </si>
  <si>
    <t>G</t>
  </si>
  <si>
    <t>H</t>
  </si>
  <si>
    <t>H(2)</t>
  </si>
  <si>
    <t>I</t>
  </si>
  <si>
    <t>J</t>
  </si>
  <si>
    <t>K</t>
  </si>
  <si>
    <t>K(2)</t>
  </si>
  <si>
    <t>L</t>
  </si>
  <si>
    <t>M</t>
  </si>
  <si>
    <t>N(2)</t>
  </si>
  <si>
    <t>O (=A)</t>
  </si>
  <si>
    <t>P</t>
  </si>
  <si>
    <t>Q (=B)</t>
  </si>
  <si>
    <t>R (=H)</t>
  </si>
  <si>
    <t>S</t>
  </si>
  <si>
    <t>T</t>
  </si>
  <si>
    <t>U</t>
  </si>
  <si>
    <t>V (=J)</t>
  </si>
  <si>
    <t>W (=Q  &amp; B)</t>
  </si>
  <si>
    <t>X (=V  &amp; J)</t>
  </si>
  <si>
    <t>X2 (=V  &amp; J)</t>
  </si>
  <si>
    <t>X3 (=V  &amp; J)</t>
  </si>
  <si>
    <t>Z</t>
  </si>
  <si>
    <t>AA</t>
  </si>
  <si>
    <t>BB</t>
  </si>
  <si>
    <t>Test number</t>
  </si>
  <si>
    <t>Reference</t>
  </si>
  <si>
    <t>FNU or NTU above the inlet water turbidity</t>
  </si>
  <si>
    <t>ug/MWh</t>
  </si>
  <si>
    <t>Flow rate (m3/hr)</t>
  </si>
  <si>
    <t>Fuel S content</t>
  </si>
  <si>
    <t>pH (pre)</t>
  </si>
  <si>
    <t>pH (post)</t>
  </si>
  <si>
    <t>pH (post-pre)</t>
  </si>
  <si>
    <t>Temp (°C post)</t>
  </si>
  <si>
    <t>Turbidity (pre)</t>
  </si>
  <si>
    <t>Turbidity (post)</t>
  </si>
  <si>
    <t>Turbidity (post-pre)</t>
  </si>
  <si>
    <t>Nitrate (pre)</t>
  </si>
  <si>
    <t>Nitrate (post)</t>
  </si>
  <si>
    <t>Nitrate (post-pre)</t>
  </si>
  <si>
    <t>Nitrate + Nitrite (post)</t>
  </si>
  <si>
    <t>PAHphe (inlet)</t>
  </si>
  <si>
    <t>PAHphe (discharge)</t>
  </si>
  <si>
    <t>PAHphe (discharge-inlet)</t>
  </si>
  <si>
    <t>V</t>
  </si>
  <si>
    <t>Ni</t>
  </si>
  <si>
    <t>Cu</t>
  </si>
  <si>
    <t>Cd</t>
  </si>
  <si>
    <t>Hg</t>
  </si>
  <si>
    <t>Pb</t>
  </si>
  <si>
    <t>PPR 7/22/Add.1 Annex 9</t>
  </si>
  <si>
    <t>Draft 2020 Guidelines for EGCS (same limits as the 2015 guidelines)</t>
  </si>
  <si>
    <t>All</t>
  </si>
  <si>
    <t>Any</t>
  </si>
  <si>
    <t>mg/MWh limit</t>
  </si>
  <si>
    <t>ug/MWh limit</t>
  </si>
  <si>
    <t>&lt;0.2</t>
  </si>
  <si>
    <t>&lt;0.05</t>
  </si>
  <si>
    <t>Teuchies et al. (2020) onboard sampling</t>
  </si>
  <si>
    <t>&lt; 0.2</t>
  </si>
  <si>
    <t>Teuchies et al. (2020) received dataset</t>
  </si>
  <si>
    <t>&lt;0,2</t>
  </si>
  <si>
    <t>Teuchies et al. (2020) EGCSA dataset</t>
  </si>
  <si>
    <t>&lt;05</t>
  </si>
  <si>
    <t>Hansen, 2012</t>
  </si>
  <si>
    <t>High load</t>
  </si>
  <si>
    <t>6499 - 7103</t>
  </si>
  <si>
    <t>&lt;6</t>
  </si>
  <si>
    <t>IMO method</t>
  </si>
  <si>
    <t>&lt;.05</t>
  </si>
  <si>
    <t>EPA VGP method</t>
  </si>
  <si>
    <t>Lead</t>
  </si>
  <si>
    <t>Copper</t>
  </si>
  <si>
    <t>Cadmium</t>
  </si>
  <si>
    <t>Mercury</t>
  </si>
  <si>
    <t>Vanadium</t>
  </si>
  <si>
    <t>Nitrates</t>
  </si>
  <si>
    <t>PAHphe</t>
  </si>
  <si>
    <t>Scrubber Mode</t>
  </si>
  <si>
    <t>Nickle</t>
  </si>
  <si>
    <t>Below is a table summarizing our recommendations for water emission factors for ships with scrubbers, based on rounded median values from the literature</t>
  </si>
  <si>
    <t>Heavy Metals (ug/MWh)</t>
  </si>
  <si>
    <t>Engine Power at load (MW)</t>
  </si>
  <si>
    <t>Installed engine Power (MW) connected to scrubber</t>
  </si>
  <si>
    <t>Flow Rate (m3/MWh; equiv to t/MWh)</t>
  </si>
  <si>
    <t>Ship Information (if available)</t>
  </si>
  <si>
    <t>Container (1700 TEU)</t>
  </si>
  <si>
    <t>RoRo (Ficaria Seaways)</t>
  </si>
  <si>
    <t>Oil tanker (Fjordshell)</t>
  </si>
  <si>
    <t>RoRo Ferry (Kronprins Harald)</t>
  </si>
  <si>
    <t>Ro-pax Ferry (Pride of Kent)</t>
  </si>
  <si>
    <t>Ro-pax (Stena Britannica)</t>
  </si>
  <si>
    <t>LPG carrier (Clipper Herald)</t>
  </si>
  <si>
    <t>Table 9. Recommended scrubber discharge water emission factors</t>
  </si>
  <si>
    <t>PAH16</t>
  </si>
  <si>
    <t>BC AS vs MGO in MSD</t>
  </si>
  <si>
    <t>BC AS (MSD)</t>
  </si>
  <si>
    <t>BC AS vs MGO in SSD</t>
  </si>
  <si>
    <t>BC AS (SSD)</t>
  </si>
  <si>
    <t>CO</t>
  </si>
  <si>
    <t>NOx</t>
  </si>
  <si>
    <t>PM10 vs MGO (0.07% S)</t>
  </si>
  <si>
    <t>PM10 vs MGO (0.1% S)</t>
  </si>
  <si>
    <t>PM10 vs VLSFO (0.5% S)</t>
  </si>
  <si>
    <r>
      <t>PM10 vs 2.6%</t>
    </r>
    <r>
      <rPr>
        <b/>
        <sz val="12"/>
        <color theme="1"/>
        <rFont val="Calibri"/>
        <family val="2"/>
        <scheme val="minor"/>
      </rPr>
      <t xml:space="preserve"> HFO</t>
    </r>
  </si>
  <si>
    <t>PM10 AS vs HFO (any fuel S content)</t>
  </si>
  <si>
    <t>CO2 AS vs MGO</t>
  </si>
  <si>
    <t>CO2 AS vs VLSFO</t>
  </si>
  <si>
    <t>CO2 AS vs HFO</t>
  </si>
  <si>
    <t>CO2 AS (using HFO)</t>
  </si>
  <si>
    <t>SO2 AS vs MGO (0.07% S)</t>
  </si>
  <si>
    <t>SO2 AS vs MGO (0.1% S)</t>
  </si>
  <si>
    <t>SO2 AS vs VLSFO (0.5% S)</t>
  </si>
  <si>
    <t>SO2 after scrubber (AS)</t>
  </si>
  <si>
    <t>SO2ppm/CO2 %v/v</t>
  </si>
  <si>
    <t>MSD</t>
  </si>
  <si>
    <t>CL</t>
  </si>
  <si>
    <t>Oil/Chemical Tanker</t>
  </si>
  <si>
    <t>Wärtsilä (2010)</t>
  </si>
  <si>
    <t>J8</t>
  </si>
  <si>
    <t>J7</t>
  </si>
  <si>
    <t>J6</t>
  </si>
  <si>
    <t>J5</t>
  </si>
  <si>
    <t>J4</t>
  </si>
  <si>
    <t>J3</t>
  </si>
  <si>
    <t>J2</t>
  </si>
  <si>
    <t>J1</t>
  </si>
  <si>
    <t>Not given, in these units, but Fig 3.15 shows that emissions are similar after scrubber, if slightly lower</t>
  </si>
  <si>
    <t>Not given in these units, but ~15% lower after scrubber</t>
  </si>
  <si>
    <t>N/A: SCR</t>
  </si>
  <si>
    <t>g/kWh</t>
  </si>
  <si>
    <t>Not given in these units, but similar, if a bit lower, after scrubber</t>
  </si>
  <si>
    <t>not reported</t>
  </si>
  <si>
    <t>OL + SCR (upstream of scrubber)</t>
  </si>
  <si>
    <t>Cruise</t>
  </si>
  <si>
    <t>Timonen et al. (2017)</t>
  </si>
  <si>
    <t>I4</t>
  </si>
  <si>
    <t>I3</t>
  </si>
  <si>
    <t>Not given in these units, but 6% to 11% lower after scrubber</t>
  </si>
  <si>
    <t>OL</t>
  </si>
  <si>
    <t>I2</t>
  </si>
  <si>
    <t>I1</t>
  </si>
  <si>
    <t>Bulk carrier</t>
  </si>
  <si>
    <t>Interlake Steamship Company (2018)</t>
  </si>
  <si>
    <t>H2</t>
  </si>
  <si>
    <t>H1</t>
  </si>
  <si>
    <t>G2</t>
  </si>
  <si>
    <t>G1</t>
  </si>
  <si>
    <t>N/A: DOC</t>
  </si>
  <si>
    <t>OL + DOC (upstream of scrubber)</t>
  </si>
  <si>
    <t>Ro-pax ferry</t>
  </si>
  <si>
    <t>Lehtoranta, et al. (2019)</t>
  </si>
  <si>
    <t>F1</t>
  </si>
  <si>
    <t>H + SCR (upstream of scrubber)</t>
  </si>
  <si>
    <t>E4</t>
  </si>
  <si>
    <t>E3</t>
  </si>
  <si>
    <t>E2</t>
  </si>
  <si>
    <t>E1</t>
  </si>
  <si>
    <t>Winnes et al. (2020)</t>
  </si>
  <si>
    <t>D3</t>
  </si>
  <si>
    <t>D2</t>
  </si>
  <si>
    <t>D1</t>
  </si>
  <si>
    <t>SSD</t>
  </si>
  <si>
    <t>H (OL mode)</t>
  </si>
  <si>
    <t>Ro/Ro</t>
  </si>
  <si>
    <t>Fridell et al. (2016)</t>
  </si>
  <si>
    <t>C1</t>
  </si>
  <si>
    <t>Vehicle carrier</t>
  </si>
  <si>
    <t>Johnson et al. (2018)</t>
  </si>
  <si>
    <t>B3</t>
  </si>
  <si>
    <t>B2</t>
  </si>
  <si>
    <t>B1</t>
  </si>
  <si>
    <t>Container</t>
  </si>
  <si>
    <t>Johnson et al. (2017)</t>
  </si>
  <si>
    <t>A3</t>
  </si>
  <si>
    <t>A2</t>
  </si>
  <si>
    <t>A1</t>
  </si>
  <si>
    <t>Typical emissions using this fuel 2019 with a newer (2001+) SSD engine; basically what ships are emitting inside of ECAs today</t>
  </si>
  <si>
    <t>MGO (0.07%)</t>
  </si>
  <si>
    <t>Typical emissions using this fuel 2019 with a newer (2001+) SSD engine; basically, what ships are allowed to emit inside of ECAs today, but most MGO is 30% lower sulfur than 0.1%</t>
  </si>
  <si>
    <t>MGO (0.1%)</t>
  </si>
  <si>
    <t>Typical emissions using this fuel 2019 with a newer (2001+) SSD engine; basically what ships are emitting outside of ECAs today</t>
  </si>
  <si>
    <t>VLSFO (0.50%)</t>
  </si>
  <si>
    <t>Typical emissions using this fuel 2019 with a newer (2001+) SSD engine; basically what ships were emitting outside of ECAs before 2020</t>
  </si>
  <si>
    <t>HFO (2.6%)</t>
  </si>
  <si>
    <t>Max allowable sulfur dioxide to carbon dioxide ratio to comply inside of ECAs while using HFO + scrubber</t>
  </si>
  <si>
    <t>IMO threshold (0.1% sulfur content)</t>
  </si>
  <si>
    <t>Max allowable sulfur dioxide to carbon dioxide ratio to comply outside of ECAs while using HFO + scrubber</t>
  </si>
  <si>
    <t>IMO threshold (0.5% sulfur content)</t>
  </si>
  <si>
    <t>BC AS vs MGO</t>
  </si>
  <si>
    <t>BC using MGO</t>
  </si>
  <si>
    <t>BC using HFO + scrubber</t>
  </si>
  <si>
    <t>BC using HFO</t>
  </si>
  <si>
    <t>Change after scrubber</t>
  </si>
  <si>
    <t>Post Scrubber</t>
  </si>
  <si>
    <t>Pre Scrubber</t>
  </si>
  <si>
    <t>PM10 AS vs 0.07% S MGO</t>
  </si>
  <si>
    <t>PM10 AS with 2.6% HFO vs 0.1% S MGO</t>
  </si>
  <si>
    <t>PM10 AS with 2.6% HFO vs 0.5% S VLSFO</t>
  </si>
  <si>
    <t>PM10 AS with 2.6% HFO vs 2.6% S HFO</t>
  </si>
  <si>
    <t>Change from expected pre-scrubber PM EF</t>
  </si>
  <si>
    <t>Unit</t>
  </si>
  <si>
    <t>Value/Range</t>
  </si>
  <si>
    <t>Expected PM at 0.07% S (g/kWh)</t>
  </si>
  <si>
    <t>Expected PM at 0.1% S (g/kWh)</t>
  </si>
  <si>
    <t>Expected PM at 0.5% S (g/kWh)</t>
  </si>
  <si>
    <t>Expected PM at 2.6% with scrubber (g/kWh)</t>
  </si>
  <si>
    <t>Expected PM at 2.6% S (g/kWh)</t>
  </si>
  <si>
    <t>Expected PM10 pre-scrubber at fuel S content (g/kWh)</t>
  </si>
  <si>
    <t>CO2 after scrubber vs. MGO</t>
  </si>
  <si>
    <t>CO2 after scrubber vs. VLSFO</t>
  </si>
  <si>
    <t>CO2 after scrubber with HFO vs. HFO</t>
  </si>
  <si>
    <t>CO2 with MGO no scrubber (g/kWh)</t>
  </si>
  <si>
    <t>CO2 with VLSFO no scrubber (g/kWh)</t>
  </si>
  <si>
    <t>Expected CO2 with scrubber and HFO (any fuel S content)</t>
  </si>
  <si>
    <t>Expected CO2 with HFO no scrubber (g/kWh)</t>
  </si>
  <si>
    <t>CO2 after (g/kWh)</t>
  </si>
  <si>
    <t>CO2 before (g/kWh)</t>
  </si>
  <si>
    <t>SO2 AS with 2.6% S HFO vs 2.6% HFO</t>
  </si>
  <si>
    <t>Change from beginning S content or SO2 EF</t>
  </si>
  <si>
    <t>Fuel S equiv (%)</t>
  </si>
  <si>
    <t>SO2 reference at 0.07% S for this engine (g/kWh)</t>
  </si>
  <si>
    <t>SO2 reference at 0.10% S for this engine (g/kWh)</t>
  </si>
  <si>
    <t>SO2 reference at 0.50% S for this engine (g/kWh)</t>
  </si>
  <si>
    <t>SO2 after scrubber at 2.6% S HFO</t>
  </si>
  <si>
    <t>SO2 reference at 2.6% S for this engine</t>
  </si>
  <si>
    <t>SO2 expected at original fuel S content (g/kWh)</t>
  </si>
  <si>
    <t>SO2/CO2 ratio</t>
  </si>
  <si>
    <t>SFOC w/scrubber (g/kWh)</t>
  </si>
  <si>
    <t>SFOC without scrubber (g/kWh)</t>
  </si>
  <si>
    <t>Engine Power (MW)</t>
  </si>
  <si>
    <t>Engine Type</t>
  </si>
  <si>
    <t>Ship Type</t>
  </si>
  <si>
    <t>Meaning</t>
  </si>
  <si>
    <t>Expected BC (g/kWh) based on 4th IMO GHG Study</t>
  </si>
  <si>
    <t>BC (g/kWh)</t>
  </si>
  <si>
    <t>CO, without SCR (g/kWh)</t>
  </si>
  <si>
    <t>NOx, without SCR (g/kWh)</t>
  </si>
  <si>
    <t>PM10</t>
  </si>
  <si>
    <t>CO2</t>
  </si>
  <si>
    <t>SO2</t>
  </si>
  <si>
    <t>2016+ in ECA</t>
  </si>
  <si>
    <t>2016+ outside ECA</t>
  </si>
  <si>
    <t>2011-2015</t>
  </si>
  <si>
    <t>2000-2010</t>
  </si>
  <si>
    <t>1984-1999</t>
  </si>
  <si>
    <t>&lt;1984</t>
  </si>
  <si>
    <t>&lt;130</t>
  </si>
  <si>
    <t>MGO</t>
  </si>
  <si>
    <t>unknown</t>
  </si>
  <si>
    <t>VLSFO</t>
  </si>
  <si>
    <t>HFO</t>
  </si>
  <si>
    <t>BC</t>
  </si>
  <si>
    <t>PM2.5</t>
  </si>
  <si>
    <t>Engine RPM</t>
  </si>
  <si>
    <t>Cf (gCO2/g fuel)</t>
  </si>
  <si>
    <t>Sulfur Content</t>
  </si>
  <si>
    <t>SFOC (g/kWh)</t>
  </si>
  <si>
    <t>Engine Age</t>
  </si>
  <si>
    <t>BC (MSD)</t>
  </si>
  <si>
    <t>BC (SSD)</t>
  </si>
  <si>
    <t>Fuel</t>
  </si>
  <si>
    <t>Recommended EF for ships with HFO+scrubbers (g/kWh)</t>
  </si>
  <si>
    <t xml:space="preserve"> EFs using HFO without a scrubber (g/kWh)</t>
  </si>
  <si>
    <t>Relative emisssions change for a ship with HFO+scrubber versus other fuels</t>
  </si>
  <si>
    <t>Table 6: Recommended emission factors (g/kWh) for ships using HFO + scrubbers</t>
  </si>
  <si>
    <t>Table 5: Relative emissions change after the scrubber when using HFO (2.6% S) compared with other fuels</t>
  </si>
  <si>
    <t>Efficiency in %</t>
  </si>
  <si>
    <t>HFO + scrubber</t>
  </si>
  <si>
    <t>WtWa Change relative to MGO</t>
  </si>
  <si>
    <t>well-to-wake</t>
  </si>
  <si>
    <t>upstream</t>
  </si>
  <si>
    <t>combustion</t>
  </si>
  <si>
    <t>SFOC (g fuel/kWh out)</t>
  </si>
  <si>
    <t>Energy Content (MJ/kg)</t>
  </si>
  <si>
    <t>gCO2/MJ out</t>
  </si>
  <si>
    <t>gCO2/MJ in</t>
  </si>
  <si>
    <t>MJ in/MJ out</t>
  </si>
  <si>
    <t>SOFC (g fuel/MJ out)</t>
  </si>
  <si>
    <t>g fuel/MJ in</t>
  </si>
  <si>
    <t>MJ in/g fuel</t>
  </si>
  <si>
    <t>gCO2/kWh out</t>
  </si>
  <si>
    <t>%downstream</t>
  </si>
  <si>
    <t>Well-to-Wake vs MGO</t>
  </si>
  <si>
    <t>Well-to-Wake</t>
  </si>
  <si>
    <t>upstream CO2</t>
  </si>
  <si>
    <t>Tank to Wake vs MGO</t>
  </si>
  <si>
    <t>downstream CO2</t>
  </si>
  <si>
    <t>2001+ engine</t>
  </si>
  <si>
    <t>Table 7: Life-cycle CO2 emissions for ships using HFO + scrubbers relative to other fuels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</si>
</sst>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00%"/>
    <numFmt numFmtId="168" formatCode="0.000"/>
  </numFmts>
  <fonts count="10" x14ac:knownFonts="1">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1"/>
      <color rgb="FF9C0006"/>
      <name val="Calibri"/>
      <family val="2"/>
      <scheme val="minor"/>
    </font>
    <font>
      <sz val="11"/>
      <color rgb="FF000000"/>
      <name val="Calibri"/>
      <family val="2"/>
      <charset val="1"/>
    </font>
    <font>
      <sz val="11"/>
      <color rgb="FF000000"/>
      <name val="Calibri"/>
      <family val="2"/>
    </font>
    <font>
      <sz val="12"/>
      <name val="Calibri"/>
      <family val="2"/>
      <scheme val="minor"/>
    </font>
    <font>
      <sz val="12"/>
      <color theme="1"/>
      <name val="Calibri"/>
      <family val="2"/>
      <scheme val="minor"/>
    </font>
    <font>
      <sz val="11"/>
      <color rgb="FF006100"/>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CE4D6"/>
        <bgColor indexed="64"/>
      </patternFill>
    </fill>
    <fill>
      <patternFill patternType="solid">
        <fgColor rgb="FFFFC7CE"/>
      </patternFill>
    </fill>
    <fill>
      <patternFill patternType="solid">
        <fgColor rgb="FFFFF2CC"/>
        <bgColor indexed="64"/>
      </patternFill>
    </fill>
    <fill>
      <patternFill patternType="solid">
        <fgColor rgb="FFE2EFDA"/>
        <bgColor indexed="64"/>
      </patternFill>
    </fill>
    <fill>
      <patternFill patternType="solid">
        <fgColor rgb="FFDDEBF7"/>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C6EFCE"/>
      </patternFill>
    </fill>
    <fill>
      <patternFill patternType="solid">
        <fgColor rgb="FF70AD47"/>
        <bgColor indexed="64"/>
      </patternFill>
    </fill>
    <fill>
      <patternFill patternType="solid">
        <fgColor theme="5"/>
        <bgColor indexed="64"/>
      </patternFill>
    </fill>
    <fill>
      <patternFill patternType="solid">
        <fgColor theme="7" tint="0.79998168889431442"/>
        <bgColor indexed="64"/>
      </patternFill>
    </fill>
  </fills>
  <borders count="20">
    <border>
      <left/>
      <right/>
      <top/>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70AD47"/>
      </left>
      <right style="medium">
        <color rgb="FF70AD47"/>
      </right>
      <top style="medium">
        <color rgb="FF70AD47"/>
      </top>
      <bottom style="medium">
        <color rgb="FF70AD47"/>
      </bottom>
      <diagonal/>
    </border>
    <border>
      <left style="thin">
        <color rgb="FF000000"/>
      </left>
      <right style="thin">
        <color rgb="FF000000"/>
      </right>
      <top style="thin">
        <color rgb="FF000000"/>
      </top>
      <bottom/>
      <diagonal/>
    </border>
    <border>
      <left style="medium">
        <color rgb="FF70AD47"/>
      </left>
      <right/>
      <top style="medium">
        <color rgb="FF70AD47"/>
      </top>
      <bottom style="medium">
        <color rgb="FF70AD47"/>
      </bottom>
      <diagonal/>
    </border>
    <border>
      <left/>
      <right/>
      <top/>
      <bottom style="thin">
        <color theme="9"/>
      </bottom>
      <diagonal/>
    </border>
    <border>
      <left style="medium">
        <color theme="9"/>
      </left>
      <right style="medium">
        <color theme="9"/>
      </right>
      <top style="medium">
        <color theme="9"/>
      </top>
      <bottom style="medium">
        <color theme="9"/>
      </bottom>
      <diagonal/>
    </border>
    <border>
      <left/>
      <right style="medium">
        <color rgb="FF70AD47"/>
      </right>
      <top style="medium">
        <color rgb="FF70AD47"/>
      </top>
      <bottom style="medium">
        <color rgb="FF70AD47"/>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s>
  <cellStyleXfs count="5">
    <xf numFmtId="0" fontId="0" fillId="0" borderId="0"/>
    <xf numFmtId="0" fontId="4" fillId="5"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9" fillId="12" borderId="0" applyNumberFormat="0" applyBorder="0" applyAlignment="0" applyProtection="0"/>
  </cellStyleXfs>
  <cellXfs count="161">
    <xf numFmtId="0" fontId="0" fillId="0" borderId="0" xfId="0"/>
    <xf numFmtId="0" fontId="0" fillId="0" borderId="0" xfId="0" applyBorder="1"/>
    <xf numFmtId="9" fontId="0" fillId="0" borderId="0" xfId="0" applyNumberFormat="1"/>
    <xf numFmtId="0" fontId="0" fillId="0" borderId="1" xfId="0" applyBorder="1"/>
    <xf numFmtId="0" fontId="0" fillId="0" borderId="2" xfId="0" applyBorder="1"/>
    <xf numFmtId="0" fontId="0" fillId="0" borderId="0" xfId="0" applyFill="1"/>
    <xf numFmtId="0" fontId="1" fillId="0" borderId="4" xfId="0" applyFont="1" applyBorder="1"/>
    <xf numFmtId="0" fontId="1" fillId="0" borderId="0" xfId="0" applyFont="1"/>
    <xf numFmtId="3" fontId="0" fillId="0" borderId="0" xfId="0" applyNumberFormat="1"/>
    <xf numFmtId="0" fontId="0" fillId="2" borderId="0" xfId="0" applyFill="1"/>
    <xf numFmtId="0" fontId="2" fillId="0" borderId="0" xfId="0" applyFont="1" applyBorder="1"/>
    <xf numFmtId="0" fontId="2" fillId="0" borderId="0" xfId="0" applyFont="1"/>
    <xf numFmtId="0" fontId="3" fillId="0" borderId="0" xfId="0" applyFont="1" applyBorder="1" applyAlignment="1">
      <alignment horizontal="center"/>
    </xf>
    <xf numFmtId="9" fontId="2" fillId="0" borderId="0" xfId="0" applyNumberFormat="1" applyFont="1"/>
    <xf numFmtId="10" fontId="0" fillId="0" borderId="0" xfId="0" applyNumberFormat="1"/>
    <xf numFmtId="0" fontId="2" fillId="3" borderId="0" xfId="0" applyFont="1" applyFill="1"/>
    <xf numFmtId="2" fontId="2" fillId="0" borderId="0" xfId="0" applyNumberFormat="1" applyFont="1" applyBorder="1"/>
    <xf numFmtId="2" fontId="2" fillId="0" borderId="0" xfId="0" applyNumberFormat="1" applyFont="1"/>
    <xf numFmtId="2" fontId="0" fillId="0" borderId="0" xfId="0" applyNumberFormat="1"/>
    <xf numFmtId="0" fontId="2" fillId="4" borderId="0" xfId="0" applyFont="1" applyFill="1"/>
    <xf numFmtId="0" fontId="0" fillId="3" borderId="0" xfId="0" applyFill="1"/>
    <xf numFmtId="2" fontId="0" fillId="4" borderId="0" xfId="0" applyNumberFormat="1" applyFill="1"/>
    <xf numFmtId="10" fontId="0" fillId="0" borderId="2" xfId="0" applyNumberFormat="1" applyBorder="1"/>
    <xf numFmtId="0" fontId="2" fillId="0" borderId="1" xfId="0" applyFont="1" applyBorder="1"/>
    <xf numFmtId="10" fontId="2" fillId="0" borderId="1" xfId="0" applyNumberFormat="1" applyFont="1" applyBorder="1"/>
    <xf numFmtId="10" fontId="0" fillId="0" borderId="1" xfId="0" applyNumberFormat="1" applyBorder="1"/>
    <xf numFmtId="2" fontId="0" fillId="0" borderId="0" xfId="0" applyNumberFormat="1" applyBorder="1"/>
    <xf numFmtId="0" fontId="1" fillId="0" borderId="7" xfId="0" applyFont="1" applyBorder="1"/>
    <xf numFmtId="0" fontId="3" fillId="0" borderId="0" xfId="0" applyFont="1" applyBorder="1" applyAlignment="1">
      <alignment horizontal="left"/>
    </xf>
    <xf numFmtId="2" fontId="3" fillId="0" borderId="0" xfId="0" applyNumberFormat="1" applyFont="1" applyBorder="1" applyAlignment="1">
      <alignment horizontal="center"/>
    </xf>
    <xf numFmtId="2" fontId="3" fillId="0" borderId="1" xfId="0" applyNumberFormat="1" applyFont="1" applyBorder="1" applyAlignment="1">
      <alignment horizontal="center"/>
    </xf>
    <xf numFmtId="2" fontId="0" fillId="6" borderId="0" xfId="0" applyNumberFormat="1" applyFill="1"/>
    <xf numFmtId="2" fontId="0" fillId="7" borderId="0" xfId="0" applyNumberFormat="1" applyFill="1"/>
    <xf numFmtId="0" fontId="0" fillId="4" borderId="0" xfId="0" applyFill="1"/>
    <xf numFmtId="0" fontId="0" fillId="6" borderId="0" xfId="0" applyFill="1"/>
    <xf numFmtId="0" fontId="0" fillId="7" borderId="0" xfId="0" applyFill="1"/>
    <xf numFmtId="0" fontId="0" fillId="0" borderId="6" xfId="0" applyBorder="1"/>
    <xf numFmtId="0" fontId="0" fillId="0" borderId="8" xfId="0" applyBorder="1"/>
    <xf numFmtId="165" fontId="0" fillId="7" borderId="0" xfId="0" applyNumberFormat="1" applyFill="1"/>
    <xf numFmtId="165" fontId="0" fillId="0" borderId="6" xfId="0" applyNumberFormat="1" applyBorder="1"/>
    <xf numFmtId="164" fontId="0" fillId="0" borderId="0" xfId="0" applyNumberFormat="1"/>
    <xf numFmtId="165" fontId="0" fillId="3" borderId="0" xfId="0" applyNumberFormat="1" applyFill="1"/>
    <xf numFmtId="0" fontId="0" fillId="8" borderId="0" xfId="0" applyFill="1"/>
    <xf numFmtId="165" fontId="0" fillId="0" borderId="0" xfId="0" applyNumberFormat="1" applyBorder="1"/>
    <xf numFmtId="165" fontId="4" fillId="5" borderId="0" xfId="1" applyNumberFormat="1"/>
    <xf numFmtId="1" fontId="0" fillId="7" borderId="0" xfId="0" applyNumberFormat="1" applyFill="1"/>
    <xf numFmtId="0" fontId="4" fillId="5" borderId="0" xfId="1"/>
    <xf numFmtId="164" fontId="2" fillId="3" borderId="0" xfId="0" applyNumberFormat="1" applyFont="1" applyFill="1" applyBorder="1"/>
    <xf numFmtId="2" fontId="4" fillId="5" borderId="0" xfId="1" applyNumberFormat="1"/>
    <xf numFmtId="0" fontId="0" fillId="0" borderId="10" xfId="0" applyBorder="1"/>
    <xf numFmtId="165" fontId="0" fillId="9" borderId="0" xfId="0" applyNumberFormat="1" applyFill="1"/>
    <xf numFmtId="165" fontId="0" fillId="10" borderId="0" xfId="0" applyNumberFormat="1" applyFill="1"/>
    <xf numFmtId="0" fontId="2" fillId="0" borderId="0" xfId="0" applyFont="1" applyAlignment="1">
      <alignment horizontal="right"/>
    </xf>
    <xf numFmtId="2" fontId="2" fillId="4" borderId="0" xfId="0" applyNumberFormat="1" applyFont="1" applyFill="1"/>
    <xf numFmtId="0" fontId="2" fillId="0" borderId="9" xfId="0" applyFont="1" applyBorder="1"/>
    <xf numFmtId="165" fontId="2" fillId="7" borderId="0" xfId="0" applyNumberFormat="1" applyFont="1" applyFill="1"/>
    <xf numFmtId="0" fontId="5" fillId="0" borderId="0" xfId="0" applyFont="1" applyBorder="1" applyAlignment="1"/>
    <xf numFmtId="0" fontId="5" fillId="0" borderId="2" xfId="0" applyFont="1" applyBorder="1" applyAlignment="1"/>
    <xf numFmtId="164" fontId="2" fillId="0" borderId="0" xfId="0" applyNumberFormat="1" applyFont="1"/>
    <xf numFmtId="9" fontId="2" fillId="3" borderId="0" xfId="0" applyNumberFormat="1" applyFont="1" applyFill="1"/>
    <xf numFmtId="0" fontId="2" fillId="7" borderId="0" xfId="0" applyFont="1" applyFill="1"/>
    <xf numFmtId="2" fontId="2" fillId="7" borderId="0" xfId="0" applyNumberFormat="1" applyFont="1" applyFill="1"/>
    <xf numFmtId="0" fontId="2" fillId="0" borderId="0" xfId="0" applyFont="1" applyFill="1"/>
    <xf numFmtId="0" fontId="6" fillId="0" borderId="0" xfId="0" applyFont="1"/>
    <xf numFmtId="164" fontId="2" fillId="0" borderId="0" xfId="0" applyNumberFormat="1" applyFont="1" applyFill="1"/>
    <xf numFmtId="9" fontId="2" fillId="0" borderId="0" xfId="0" applyNumberFormat="1" applyFont="1" applyFill="1"/>
    <xf numFmtId="1" fontId="2" fillId="0" borderId="0" xfId="0" applyNumberFormat="1" applyFont="1" applyFill="1"/>
    <xf numFmtId="10" fontId="2" fillId="0" borderId="1" xfId="0" applyNumberFormat="1" applyFont="1" applyFill="1" applyBorder="1"/>
    <xf numFmtId="10" fontId="2" fillId="0" borderId="0" xfId="0" applyNumberFormat="1" applyFont="1" applyFill="1"/>
    <xf numFmtId="2" fontId="2" fillId="0" borderId="0" xfId="0" applyNumberFormat="1" applyFont="1" applyFill="1"/>
    <xf numFmtId="165" fontId="2" fillId="0" borderId="0" xfId="0" applyNumberFormat="1" applyFont="1" applyFill="1"/>
    <xf numFmtId="0" fontId="2" fillId="0" borderId="0" xfId="0" applyFont="1" applyFill="1" applyBorder="1"/>
    <xf numFmtId="1" fontId="2" fillId="0" borderId="0" xfId="0" applyNumberFormat="1" applyFont="1" applyFill="1" applyBorder="1"/>
    <xf numFmtId="2" fontId="2" fillId="0" borderId="0" xfId="0" applyNumberFormat="1" applyFont="1" applyFill="1" applyBorder="1"/>
    <xf numFmtId="0" fontId="5" fillId="0" borderId="0" xfId="0" applyFont="1" applyFill="1" applyBorder="1" applyAlignment="1"/>
    <xf numFmtId="0" fontId="7" fillId="0" borderId="0" xfId="0" applyFont="1"/>
    <xf numFmtId="0" fontId="3" fillId="0" borderId="5"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0" fillId="4" borderId="2" xfId="0" applyFill="1" applyBorder="1"/>
    <xf numFmtId="165" fontId="0" fillId="0" borderId="0" xfId="2" applyNumberFormat="1" applyFont="1"/>
    <xf numFmtId="1" fontId="2" fillId="0" borderId="0" xfId="0" applyNumberFormat="1" applyFont="1"/>
    <xf numFmtId="165" fontId="2" fillId="11" borderId="0" xfId="0" applyNumberFormat="1" applyFont="1" applyFill="1"/>
    <xf numFmtId="0" fontId="2" fillId="11" borderId="0" xfId="0" applyFont="1" applyFill="1"/>
    <xf numFmtId="165" fontId="0" fillId="0" borderId="0" xfId="2" applyNumberFormat="1" applyFont="1" applyFill="1"/>
    <xf numFmtId="9" fontId="0" fillId="2" borderId="1" xfId="0" applyNumberFormat="1" applyFill="1" applyBorder="1"/>
    <xf numFmtId="9" fontId="0" fillId="2" borderId="0" xfId="0" applyNumberFormat="1" applyFill="1"/>
    <xf numFmtId="9" fontId="0" fillId="3" borderId="0" xfId="0" applyNumberFormat="1" applyFill="1"/>
    <xf numFmtId="1" fontId="0" fillId="0" borderId="0" xfId="0" applyNumberFormat="1"/>
    <xf numFmtId="2" fontId="0" fillId="13" borderId="0" xfId="0" applyNumberFormat="1" applyFill="1"/>
    <xf numFmtId="9" fontId="9" fillId="12" borderId="1" xfId="4" applyNumberFormat="1" applyBorder="1"/>
    <xf numFmtId="2" fontId="9" fillId="12" borderId="0" xfId="4" applyNumberFormat="1" applyBorder="1"/>
    <xf numFmtId="9" fontId="9" fillId="12" borderId="0" xfId="4" applyNumberFormat="1" applyBorder="1"/>
    <xf numFmtId="9" fontId="4" fillId="5" borderId="0" xfId="1" applyNumberFormat="1" applyBorder="1"/>
    <xf numFmtId="166" fontId="9" fillId="12" borderId="0" xfId="4" applyNumberFormat="1" applyBorder="1"/>
    <xf numFmtId="2" fontId="9" fillId="12" borderId="0" xfId="4" applyNumberFormat="1"/>
    <xf numFmtId="166" fontId="4" fillId="5" borderId="0" xfId="1" applyNumberFormat="1" applyBorder="1"/>
    <xf numFmtId="166" fontId="9" fillId="12" borderId="1" xfId="4" applyNumberFormat="1" applyBorder="1"/>
    <xf numFmtId="167" fontId="2" fillId="13" borderId="0" xfId="0" applyNumberFormat="1" applyFont="1" applyFill="1"/>
    <xf numFmtId="1" fontId="0" fillId="3" borderId="0" xfId="0" applyNumberFormat="1" applyFill="1"/>
    <xf numFmtId="168" fontId="0" fillId="0" borderId="0" xfId="0" applyNumberFormat="1"/>
    <xf numFmtId="10" fontId="2" fillId="13" borderId="0" xfId="0" applyNumberFormat="1" applyFont="1" applyFill="1"/>
    <xf numFmtId="0" fontId="9" fillId="12" borderId="0" xfId="4"/>
    <xf numFmtId="0" fontId="0" fillId="13" borderId="0" xfId="0" applyFill="1"/>
    <xf numFmtId="0" fontId="0" fillId="0" borderId="0" xfId="0" applyAlignment="1">
      <alignment wrapText="1"/>
    </xf>
    <xf numFmtId="10" fontId="2" fillId="3" borderId="1" xfId="0" applyNumberFormat="1" applyFont="1" applyFill="1" applyBorder="1"/>
    <xf numFmtId="1" fontId="0" fillId="9" borderId="0" xfId="0" applyNumberFormat="1" applyFill="1"/>
    <xf numFmtId="9" fontId="4" fillId="5" borderId="1" xfId="1" applyNumberFormat="1" applyBorder="1"/>
    <xf numFmtId="166" fontId="2" fillId="0" borderId="0" xfId="0" applyNumberFormat="1" applyFont="1"/>
    <xf numFmtId="1" fontId="0" fillId="4" borderId="0" xfId="0" applyNumberFormat="1" applyFill="1"/>
    <xf numFmtId="0" fontId="4" fillId="5" borderId="0" xfId="1" applyBorder="1"/>
    <xf numFmtId="10" fontId="2" fillId="0" borderId="0" xfId="0" applyNumberFormat="1" applyFont="1"/>
    <xf numFmtId="0" fontId="3" fillId="0" borderId="0" xfId="0" applyFont="1"/>
    <xf numFmtId="10" fontId="2" fillId="0" borderId="6" xfId="0" applyNumberFormat="1" applyFont="1" applyBorder="1"/>
    <xf numFmtId="0" fontId="2" fillId="0" borderId="11" xfId="0" applyFont="1" applyBorder="1"/>
    <xf numFmtId="0" fontId="1" fillId="0" borderId="1" xfId="0" applyFont="1" applyBorder="1"/>
    <xf numFmtId="0" fontId="1" fillId="3" borderId="0" xfId="0" applyFont="1" applyFill="1"/>
    <xf numFmtId="0" fontId="1" fillId="2" borderId="0" xfId="0" applyFont="1" applyFill="1"/>
    <xf numFmtId="0" fontId="3" fillId="0" borderId="3" xfId="0" applyFont="1" applyBorder="1"/>
    <xf numFmtId="0" fontId="1" fillId="2" borderId="1" xfId="0" applyFont="1" applyFill="1" applyBorder="1"/>
    <xf numFmtId="0" fontId="3" fillId="2" borderId="0" xfId="0" applyFont="1" applyFill="1"/>
    <xf numFmtId="0" fontId="3" fillId="0" borderId="3" xfId="0" applyFont="1" applyBorder="1" applyAlignment="1">
      <alignment horizontal="left"/>
    </xf>
    <xf numFmtId="0" fontId="3" fillId="14" borderId="3" xfId="0" applyFont="1" applyFill="1" applyBorder="1" applyAlignment="1">
      <alignment horizontal="left"/>
    </xf>
    <xf numFmtId="0" fontId="3" fillId="0" borderId="12" xfId="0" applyFont="1" applyBorder="1" applyAlignment="1">
      <alignment horizontal="left"/>
    </xf>
    <xf numFmtId="0" fontId="3" fillId="3" borderId="3" xfId="0" applyFont="1" applyFill="1" applyBorder="1"/>
    <xf numFmtId="0" fontId="3" fillId="14" borderId="3" xfId="0" applyFont="1" applyFill="1" applyBorder="1"/>
    <xf numFmtId="0" fontId="3" fillId="2" borderId="5" xfId="0" applyFont="1" applyFill="1" applyBorder="1" applyAlignment="1">
      <alignment horizontal="left"/>
    </xf>
    <xf numFmtId="0" fontId="3" fillId="2" borderId="3" xfId="0" applyFont="1" applyFill="1" applyBorder="1" applyAlignment="1">
      <alignment horizontal="left"/>
    </xf>
    <xf numFmtId="0" fontId="2" fillId="0" borderId="3" xfId="0" applyFont="1" applyBorder="1" applyAlignment="1">
      <alignment horizontal="left"/>
    </xf>
    <xf numFmtId="0" fontId="3" fillId="0" borderId="5" xfId="0" applyFont="1" applyBorder="1"/>
    <xf numFmtId="0" fontId="3" fillId="0" borderId="0" xfId="0" applyFont="1" applyAlignment="1">
      <alignment horizontal="left"/>
    </xf>
    <xf numFmtId="0" fontId="3" fillId="0" borderId="0" xfId="0" applyFont="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1" fillId="0" borderId="2" xfId="0" applyFont="1" applyBorder="1"/>
    <xf numFmtId="0" fontId="1" fillId="0" borderId="15" xfId="0" applyFont="1" applyBorder="1"/>
    <xf numFmtId="2" fontId="0" fillId="0" borderId="0" xfId="3" applyNumberFormat="1" applyFont="1"/>
    <xf numFmtId="166" fontId="0" fillId="0" borderId="0" xfId="3" applyNumberFormat="1" applyFont="1"/>
    <xf numFmtId="9" fontId="0" fillId="0" borderId="0" xfId="3" applyFont="1"/>
    <xf numFmtId="166" fontId="0" fillId="11" borderId="16" xfId="3" applyNumberFormat="1" applyFont="1" applyFill="1" applyBorder="1"/>
    <xf numFmtId="1" fontId="0" fillId="11" borderId="16" xfId="0" applyNumberFormat="1" applyFill="1" applyBorder="1"/>
    <xf numFmtId="0" fontId="0" fillId="11" borderId="16" xfId="0" applyFill="1" applyBorder="1"/>
    <xf numFmtId="166" fontId="0" fillId="15" borderId="0" xfId="3" applyNumberFormat="1" applyFont="1" applyFill="1"/>
    <xf numFmtId="1" fontId="0" fillId="15" borderId="0" xfId="0" applyNumberFormat="1" applyFill="1"/>
    <xf numFmtId="164" fontId="0" fillId="15" borderId="0" xfId="0" applyNumberFormat="1" applyFill="1"/>
    <xf numFmtId="9" fontId="0" fillId="15" borderId="0" xfId="3" applyFont="1" applyFill="1"/>
    <xf numFmtId="0" fontId="1" fillId="11" borderId="16" xfId="0" applyFont="1" applyFill="1" applyBorder="1"/>
    <xf numFmtId="0" fontId="0" fillId="15" borderId="0" xfId="0" applyFill="1"/>
    <xf numFmtId="0" fontId="0" fillId="11" borderId="0" xfId="0" applyFill="1"/>
    <xf numFmtId="0" fontId="0" fillId="11" borderId="17" xfId="0" applyFill="1" applyBorder="1"/>
    <xf numFmtId="0" fontId="0" fillId="11" borderId="18" xfId="0" applyFill="1" applyBorder="1"/>
    <xf numFmtId="0" fontId="0" fillId="2" borderId="19" xfId="0" applyFill="1" applyBorder="1"/>
    <xf numFmtId="0" fontId="0" fillId="0" borderId="0" xfId="0"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4" xfId="0" applyFont="1" applyBorder="1" applyAlignment="1">
      <alignment horizontal="center"/>
    </xf>
    <xf numFmtId="0" fontId="1" fillId="11" borderId="16" xfId="0" applyFont="1" applyFill="1" applyBorder="1" applyAlignment="1">
      <alignment horizontal="center"/>
    </xf>
  </cellXfs>
  <cellStyles count="5">
    <cellStyle name="Bad" xfId="1" builtinId="27"/>
    <cellStyle name="Comma" xfId="2" builtinId="3"/>
    <cellStyle name="Good 2" xfId="4" xr:uid="{B0C415DA-B222-8E44-8E16-017C739F7D09}"/>
    <cellStyle name="Normal" xfId="0" builtinId="0"/>
    <cellStyle name="Percent" xfId="3" builtinId="5"/>
  </cellStyles>
  <dxfs count="1">
    <dxf>
      <font>
        <color rgb="FF006100"/>
      </font>
      <fill>
        <patternFill>
          <bgColor rgb="FFC6EFCE"/>
        </patternFill>
      </fill>
    </dxf>
  </dxfs>
  <tableStyles count="0" defaultTableStyle="TableStyleMedium2" defaultPivotStyle="PivotStyleLight16"/>
  <colors>
    <mruColors>
      <color rgb="FF5482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Liudmila Osipova" id="{ABA258FD-246C-42A5-B68A-8BFB9ECEEABF}" userId="S::l.osipova@theicct.org::04db5dd7-d160-4973-b01d-d9aa2ed014e3" providerId="AD"/>
  <person displayName="Elise Georgeff" id="{6D14C52E-CB09-447D-9F61-36535597F3D2}" userId="S::e.georgeff@theicct.org::bd03b40e-38e2-41c4-9352-aa76b70823ae" providerId="AD"/>
  <person displayName="Bryan Comer" id="{12BB78A2-2D13-4593-B7E6-3CE3D89F2AD6}" userId="S::bryan.comer@theicct.org::3201a3a0-f97a-4779-b339-758106f58f2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 dT="2020-11-02T14:46:21.30" personId="{12BB78A2-2D13-4593-B7E6-3CE3D89F2AD6}" id="{C8F9644B-68F8-D549-B95A-0B43DA5807C6}">
    <text>Hansen (2012) and Ushakov et al. (2020) use FNU; the rest use NTU</text>
  </threadedComment>
  <threadedComment ref="N4" dT="2020-09-01T18:35:43.35" personId="{12BB78A2-2D13-4593-B7E6-3CE3D89F2AD6}" id="{60F95FA1-1E49-4EC7-B973-388D8A6BBEE8}">
    <text>The pH has to comply with one of the following requirements under IMO guidelines:
(1) No lower than 6.5 at the ship's overboard discharge with the exception that during maneuvering and transit, a maximum difference of 2 pH units is allowed between the inlet water and overboard discharge values. 
OR
(2) No lower than 6.5 at a distance of 4 m from the overboard discharge point when the ship is stationary. 
Note, EPA 2013 VGP limits it to no less than 6.0 at the discharge point, with the same allowance of a max difference of 2 pH units when the ship is maneuvering and in transit.</text>
  </threadedComment>
  <threadedComment ref="O4" dT="2020-09-01T18:36:14.77" personId="{12BB78A2-2D13-4593-B7E6-3CE3D89F2AD6}" id="{4C52BE79-FFEC-4789-BD64-615127CFBD72}">
    <text>Max difference between input and output pH when maneuvering and in transit cannot exceed 2 pH units.</text>
  </threadedComment>
  <threadedComment ref="W4" dT="2020-09-01T21:24:35.87" personId="{12BB78A2-2D13-4593-B7E6-3CE3D89F2AD6}" id="{A730F18F-5DA7-4EB0-B007-A40345708B2D}">
    <text>2700 mg/L * 1000 L/m3 * 1m3/t * 1t/MWh= 2,700,000 mg/MWh</text>
  </threadedComment>
  <threadedComment ref="AB4" dT="2020-09-01T21:24:35.87" personId="{12BB78A2-2D13-4593-B7E6-3CE3D89F2AD6}" id="{20B2AF0C-8E4E-4F3A-BA60-5F8D6CFDFE38}">
    <text>2250 ug/L * 1000 L/m3 * 1m3/t * 1t/MWh= 2,250,000 ug/MWh.
The limit is above whatever the inlet water PAH concentration is, so we're assuming that the inlet water has no PAHs.</text>
  </threadedComment>
  <threadedComment ref="K5" dT="2020-09-01T18:32:48.88" personId="{12BB78A2-2D13-4593-B7E6-3CE3D89F2AD6}" id="{1B804695-4019-44B5-96C7-131BB5604EC0}">
    <text>Evaluating at 1 t/MWh is a good way to compare the emissions per MWh agains the criteria, since they are all proportionate to the discharge water flow rate such that the total mass of pollutant is the same per hour.</text>
  </threadedComment>
  <threadedComment ref="AD25" dT="2020-09-10T15:05:05.98" personId="{6D14C52E-CB09-447D-9F61-36535597F3D2}" id="{E10A066F-7242-4F10-991B-CCFB67D6FE36}">
    <text>Recorded metals are dissolved fraction - other option was suspended particle matter</text>
  </threadedComment>
  <threadedComment ref="E37" dT="2020-09-02T10:24:52.42" personId="{12BB78A2-2D13-4593-B7E6-3CE3D89F2AD6}" id="{CE8187D6-7933-48AC-970F-CF6192D11BF2}">
    <text>magnesium</text>
  </threadedComment>
  <threadedComment ref="AC114" dT="2020-09-15T14:05:48.84" personId="{ABA258FD-246C-42A5-B68A-8BFB9ECEEABF}" id="{0BCBE67F-EC85-413D-808B-6E895EE231F0}">
    <text>min - max</text>
  </threadedComment>
</ThreadedComments>
</file>

<file path=xl/threadedComments/threadedComment2.xml><?xml version="1.0" encoding="utf-8"?>
<ThreadedComments xmlns="http://schemas.microsoft.com/office/spreadsheetml/2018/threadedcomments" xmlns:x="http://schemas.openxmlformats.org/spreadsheetml/2006/main">
  <threadedComment ref="E3" dT="2020-08-07T14:32:13.41" personId="{12BB78A2-2D13-4593-B7E6-3CE3D89F2AD6}" id="{C810951D-E3C1-A849-A35A-3ECC39B6AEFC}">
    <text>OL = open-loop; CL = closed loop; H = hybrid</text>
  </threadedComment>
  <threadedComment ref="I3" dT="2020-09-22T22:24:32.12" personId="{12BB78A2-2D13-4593-B7E6-3CE3D89F2AD6}" id="{F3CF1839-7054-144A-A15B-933DD8883C87}">
    <text>Multiplied by 0.98 if unavailable (see pink cells)</text>
  </threadedComment>
  <threadedComment ref="AG3" dT="2020-08-07T14:10:35.49" personId="{12BB78A2-2D13-4593-B7E6-3CE3D89F2AD6}" id="{1E22AEC3-B260-9D44-9D95-EA7521360D86}">
    <text xml:space="preserve">Assumes SFOC improves by about 8 g fuel/kWh compared to using HFO. Reflects an assumption of an 80%/20% Distillate to Residual blend. Using distillate usually results in a 10 g/kWh decrease in fuel consumption. Distillate gCO2/gfuel = 3.206 versus 3.114 for Residual. </text>
  </threadedComment>
  <threadedComment ref="AH3" dT="2020-08-07T14:09:17.58" personId="{12BB78A2-2D13-4593-B7E6-3CE3D89F2AD6}" id="{B71974F2-D0F1-6D4D-9ACD-2E6B02414E6B}">
    <text>Subracts 10 from SFOC to reflect better fuel efficiency when using MGO vs HFO</text>
  </threadedComment>
  <threadedComment ref="BH3" dT="2020-08-07T19:04:27.77" personId="{12BB78A2-2D13-4593-B7E6-3CE3D89F2AD6}" id="{402D7771-70D2-014A-8875-D179F1F8BC77}">
    <text>These BC EFs are consistent with the Fourth IMO GHG Study methodology. The engines that were tested have low pre-scrubber BC emissions that are not expected to be representative of the global in-use fleet. This column provides expected BC emissions from ships in the global in-use fleet. They vary as a function of engine type, fuel type, and engine load.</text>
  </threadedComment>
  <threadedComment ref="BI3" dT="2020-08-07T19:15:06.69" personId="{12BB78A2-2D13-4593-B7E6-3CE3D89F2AD6}" id="{2BBEFD22-6961-614C-A73C-88F064B5F23A}">
    <text>Applies the average BC reduction from the scrubber.</text>
  </threadedComment>
  <threadedComment ref="BJ3" dT="2020-09-25T18:44:13.37" personId="{12BB78A2-2D13-4593-B7E6-3CE3D89F2AD6}" id="{C4EFF847-66CD-A940-A628-9926E425D72E}">
    <text>Assumes using MGO reduces SFOC by 10 g/kWh</text>
  </threadedComment>
  <threadedComment ref="AR13" dT="2020-08-06T18:42:29.56" personId="{12BB78A2-2D13-4593-B7E6-3CE3D89F2AD6}" id="{FE716E88-D5E5-2F4A-BA0B-C1B6F926657F}">
    <text>Johnson reports PM2.5. We assume that 92% of PM10 is PM2.5.</text>
  </threadedComment>
  <threadedComment ref="J16" dT="2020-08-06T17:06:46.44" personId="{12BB78A2-2D13-4593-B7E6-3CE3D89F2AD6}" id="{42A06B1A-95FA-DF48-A8E3-858C2254C680}">
    <text>Based on 11 g CO/kWh and 63.9 g CO/kg fuel before the scrubber, which should indicate fuel consumption in g/kWh if you multiply that ratio by 1000</text>
  </threadedComment>
  <threadedComment ref="BG16" dT="2020-08-07T20:01:34.69" personId="{12BB78A2-2D13-4593-B7E6-3CE3D89F2AD6}" id="{21DCD9E9-FEFB-AF40-B38F-E3B03DBB004B}">
    <text>Did not use an IMO "appropriate" BC measurement method and is suspiciously large decrease in BC after the scrubber.</text>
  </threadedComment>
  <threadedComment ref="J17" dT="2020-08-06T17:13:45.78" personId="{12BB78A2-2D13-4593-B7E6-3CE3D89F2AD6}" id="{29720745-0EFE-6042-86DA-B4514FB56485}">
    <text>Winnes et al. (2020) report their SFOC. The CO2 values suggest that SFOC was actually higher than these values, but we use these, since that's what they reported.</text>
  </threadedComment>
  <threadedComment ref="E29" dT="2020-08-06T16:04:18.78" personId="{12BB78A2-2D13-4593-B7E6-3CE3D89F2AD6}" id="{6A333ACD-F846-D049-8F66-D354E503AF68}">
    <text>Did not state what kind of scrubber, if it was OL, H, or CL; assuming OL</text>
  </threadedComment>
  <threadedComment ref="E30" dT="2020-08-06T16:04:18.78" personId="{12BB78A2-2D13-4593-B7E6-3CE3D89F2AD6}" id="{2171B23D-F7B0-1847-A162-2BE326947E0A}">
    <text>Did not state what kind of scrubber, if it was OL, H, or CL; assuming OL</text>
  </threadedComment>
  <threadedComment ref="E31" dT="2020-08-06T20:27:05.55" personId="{12BB78A2-2D13-4593-B7E6-3CE3D89F2AD6}" id="{4F781122-274D-1645-8DED-6620AFBEB7E1}">
    <text>Assuming OL</text>
  </threadedComment>
  <threadedComment ref="E32" dT="2020-08-06T20:27:13.02" personId="{12BB78A2-2D13-4593-B7E6-3CE3D89F2AD6}" id="{61814378-7D9E-CE40-97CE-203C6C15838B}">
    <text>Assuming OL</text>
  </threadedComment>
  <threadedComment ref="L33" dT="2020-08-06T16:49:14.40" personId="{12BB78A2-2D13-4593-B7E6-3CE3D89F2AD6}" id="{0B71853E-16B4-F545-BB92-D2BAF6BE5B55}">
    <text>Maximum value, given that ppm was &lt;2 ppm and recorded as zero since it was below instrument detection levels. Same for all of the Wartsila (2010) results</text>
  </threadedComment>
  <threadedComment ref="W44" dT="2020-08-06T21:57:38.75" personId="{12BB78A2-2D13-4593-B7E6-3CE3D89F2AD6}" id="{E92D4A90-0599-6A4E-927D-096FF5A12A41}">
    <text>Suggests that one can take the expected SO2 or SOx EF and reduce it by 98% to arrive at the expected SO2 or SOx EF after the scrubber</text>
  </threadedComment>
  <threadedComment ref="Y44" dT="2020-08-07T14:15:08.02" personId="{12BB78A2-2D13-4593-B7E6-3CE3D89F2AD6}" id="{4E79CBFF-2FC1-B946-B5AF-61068BCC0599}">
    <text>Scrubbers emit less SO2 than 0.50% S VLSFO</text>
  </threadedComment>
  <threadedComment ref="Z44" dT="2020-08-06T21:56:51.13" personId="{12BB78A2-2D13-4593-B7E6-3CE3D89F2AD6}" id="{C0A1D7E4-DCB8-F441-8961-53D74CA3DF05}">
    <text>Scrubbers emit less SO2 than 0.10% S MGO</text>
  </threadedComment>
  <threadedComment ref="AA44" dT="2020-08-06T21:56:43.05" personId="{12BB78A2-2D13-4593-B7E6-3CE3D89F2AD6}" id="{DF183613-8D2F-8F49-9522-26DA9ED7E6E6}">
    <text>Scrubbers emit less SO2 than 0.07% S MGO</text>
  </threadedComment>
  <threadedComment ref="AD44" dT="2020-08-06T21:58:05.19" personId="{12BB78A2-2D13-4593-B7E6-3CE3D89F2AD6}" id="{CB5C0487-DC90-8A4C-8E47-4E92BA04A831}">
    <text>Suggests a 2% increase in CO2 for the scrubber</text>
  </threadedComment>
  <threadedComment ref="AJ44" dT="2020-08-07T18:19:12.75" personId="{12BB78A2-2D13-4593-B7E6-3CE3D89F2AD6}" id="{16FA553E-E23F-EC4D-A44D-794048715DBE}">
    <text>HFO + scrubbers emit more CO2 than VLSFO</text>
  </threadedComment>
  <threadedComment ref="AK44" dT="2020-08-06T21:58:28.10" personId="{12BB78A2-2D13-4593-B7E6-3CE3D89F2AD6}" id="{660CC43E-DC1B-D340-B022-B87A5BD05018}">
    <text>HFO + scrubbers emit more CO2 than MGO</text>
  </threadedComment>
  <threadedComment ref="AT44" dT="2020-08-06T21:59:29.13" personId="{12BB78A2-2D13-4593-B7E6-3CE3D89F2AD6}" id="{1F0A02B8-7608-7742-9F21-E41B9BC40D99}">
    <text>Taking out very high EFs (highlighted in pink/red) the average reduction is about 79%. Suggests that one can reduce expected pre-scrubber PM by 79% to estimate PM after scrubber. Same for PM2.5, which is usually estimated by multiplying PM10 EF by 0.92 (assumes 92% of PM from marine engines is PM2.5)</text>
  </threadedComment>
  <threadedComment ref="AV44" dT="2020-08-07T14:05:48.55" personId="{12BB78A2-2D13-4593-B7E6-3CE3D89F2AD6}" id="{2FB3DE28-F6FF-2248-A6F4-4DC12FE8818E}">
    <text>Bryan Comer
HFO + scrubbers emit less PM10 than using 0.5% VLSFO</text>
  </threadedComment>
  <threadedComment ref="AW44" dT="2020-08-06T22:03:35.52" personId="{12BB78A2-2D13-4593-B7E6-3CE3D89F2AD6}" id="{C99DABD4-0EEA-3A49-9FDE-4BA30EAAB6D1}">
    <text>HFO + scrubbers emit more PM10 than using 0.1%S MGO</text>
  </threadedComment>
  <threadedComment ref="AX44" dT="2020-08-06T22:03:44.21" personId="{12BB78A2-2D13-4593-B7E6-3CE3D89F2AD6}" id="{9A622C31-D47B-0E4A-AF90-72AD69A214F5}">
    <text>HFO + scrubbers emit more PM10 than using 0.07%S MGO</text>
  </threadedComment>
  <threadedComment ref="BA44" dT="2020-08-06T22:04:35.74" personId="{12BB78A2-2D13-4593-B7E6-3CE3D89F2AD6}" id="{4395A854-F298-2A49-9833-B4CB4422C135}">
    <text>Suggest no change to NOx EF, since the impact is variable.</text>
  </threadedComment>
  <threadedComment ref="BD44" dT="2020-08-06T22:08:14.19" personId="{12BB78A2-2D13-4593-B7E6-3CE3D89F2AD6}" id="{60AAA3B4-E837-D742-967A-6B52C591F806}">
    <text>HFO + scrubber emits less CO than other fuels. The Fourth IMO GHG Study CO EFs do not change as a function of fuel type or engine type or engine age, so this relationship is expected across engine types and fuels</text>
  </threadedComment>
  <threadedComment ref="BG44" dT="2020-08-06T22:09:16.42" personId="{12BB78A2-2D13-4593-B7E6-3CE3D89F2AD6}" id="{A66BE79C-FE68-FF4D-9792-5F78BC963A32}">
    <text>Suggest -9% in BC emissions from using scrubbers for ships with SSD engines. Whatever the BC EF equation suggests for a given fuel type, engine type, and engine load, multiply by 0.91 to arrive at the post-scrubber BC EF.</text>
  </threadedComment>
  <threadedComment ref="BK44" dT="2020-08-07T19:01:16.55" personId="{12BB78A2-2D13-4593-B7E6-3CE3D89F2AD6}" id="{44902BC8-AE3E-1A45-9348-52181307D97E}">
    <text>HFO+scrubbers is expected to emit more BC than if ships used MGO. The amount that emissions are higher is sensitive to engine type (SSD or MSD) and, to a lesser extent, engine load, so this average value needs to be unerstood in the context of the engine types and loads. In this case, BC emissions from SSD engines are much higher when using HFO+scrubber compared to MDO.</text>
  </threadedComment>
  <threadedComment ref="BG47" dT="2020-09-24T20:45:15.81" personId="{12BB78A2-2D13-4593-B7E6-3CE3D89F2AD6}" id="{592538A0-7972-024A-9BFF-CCE46E897C21}">
    <text>Suggest -11% in BC emissions from using scrubbers with MSD engines. Whatever the BC EF equation suggests for a given fuel type, engine type, and engine load, multiply by 0.89 to arrive at the post-scrubber BC EF.</text>
  </threadedComment>
  <threadedComment ref="BK47" dT="2020-08-07T19:01:59.55" personId="{12BB78A2-2D13-4593-B7E6-3CE3D89F2AD6}" id="{907B2320-744E-D341-8502-8D4C6192C268}">
    <text>HFO+scrubbers is expected to emit more BC than if ships used MGO in MSD engines. The amount that emissions are higher is sensitive to engine type (SSD or MSD) and, to a lesser extent, engine load, so this average value needs to be understood in the context of the engine types and loads.</text>
  </threadedComment>
</ThreadedComments>
</file>

<file path=xl/threadedComments/threadedComment3.xml><?xml version="1.0" encoding="utf-8"?>
<ThreadedComments xmlns="http://schemas.microsoft.com/office/spreadsheetml/2018/threadedcomments" xmlns:x="http://schemas.openxmlformats.org/spreadsheetml/2006/main">
  <threadedComment ref="X3" dT="2020-09-25T19:34:54.30" personId="{12BB78A2-2D13-4593-B7E6-3CE3D89F2AD6}" id="{79EE5D14-87DC-9549-BB43-F3D9C3840819}">
    <text>Assumes ship is operating at 50% load</text>
  </threadedComment>
  <threadedComment ref="AL3" dT="2020-09-25T19:34:54.30" personId="{12BB78A2-2D13-4593-B7E6-3CE3D89F2AD6}" id="{D472F878-D37C-914F-99DF-666E2A888DFA}">
    <text>Assumes ship is operating at 50% load.</text>
  </threadedComment>
</ThreadedComments>
</file>

<file path=xl/threadedComments/threadedComment4.xml><?xml version="1.0" encoding="utf-8"?>
<ThreadedComments xmlns="http://schemas.microsoft.com/office/spreadsheetml/2018/threadedcomments" xmlns:x="http://schemas.openxmlformats.org/spreadsheetml/2006/main">
  <threadedComment ref="I3" dT="2020-10-15T12:39:02.20" personId="{12BB78A2-2D13-4593-B7E6-3CE3D89F2AD6}" id="{45B16A45-88DF-AE48-9144-915F77BD2815}">
    <text>Source = GREET, except for VLSFO which is 80/20 MGO/HFO</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FF84C-D5E3-4290-A409-CF22D6FB6D97}">
  <dimension ref="A1:AO136"/>
  <sheetViews>
    <sheetView tabSelected="1" zoomScale="80" zoomScaleNormal="80" workbookViewId="0">
      <selection activeCell="A4" sqref="A4"/>
    </sheetView>
  </sheetViews>
  <sheetFormatPr baseColWidth="10" defaultColWidth="8.83203125" defaultRowHeight="16" x14ac:dyDescent="0.2"/>
  <cols>
    <col min="1" max="1" width="10.5" customWidth="1"/>
    <col min="2" max="2" width="26" customWidth="1"/>
    <col min="3" max="3" width="22.83203125" customWidth="1"/>
    <col min="4" max="4" width="20.5" customWidth="1"/>
    <col min="5" max="5" width="16.83203125" customWidth="1"/>
    <col min="6" max="6" width="17.1640625" customWidth="1"/>
    <col min="7" max="7" width="15.6640625" customWidth="1"/>
    <col min="8" max="8" width="10.1640625" customWidth="1"/>
    <col min="9" max="10" width="15.1640625" customWidth="1"/>
    <col min="11" max="11" width="26.6640625" customWidth="1"/>
    <col min="12" max="12" width="12.1640625" style="3" customWidth="1"/>
    <col min="13" max="13" width="12.1640625" style="26" customWidth="1"/>
    <col min="14" max="14" width="14.6640625" customWidth="1"/>
    <col min="15" max="15" width="11.5" customWidth="1"/>
    <col min="16" max="18" width="10.6640625" customWidth="1"/>
    <col min="19" max="19" width="16.1640625" customWidth="1"/>
    <col min="20" max="20" width="12.6640625" customWidth="1"/>
    <col min="21" max="21" width="14" customWidth="1"/>
    <col min="22" max="23" width="18.6640625" customWidth="1"/>
    <col min="24" max="24" width="23.33203125" customWidth="1"/>
    <col min="28" max="28" width="16.6640625" customWidth="1"/>
    <col min="29" max="29" width="28.1640625" style="20" customWidth="1"/>
  </cols>
  <sheetData>
    <row r="1" spans="1:41" x14ac:dyDescent="0.2">
      <c r="C1" s="1"/>
      <c r="D1" s="1"/>
      <c r="E1" s="1"/>
      <c r="G1" s="1"/>
      <c r="H1" s="1"/>
      <c r="I1" s="1"/>
      <c r="J1" s="1"/>
      <c r="K1" s="1"/>
      <c r="AC1" s="5"/>
      <c r="AD1" s="5"/>
      <c r="AE1" s="5"/>
      <c r="AF1" s="5"/>
      <c r="AG1" s="5"/>
      <c r="AH1" s="5"/>
      <c r="AI1" s="5"/>
    </row>
    <row r="2" spans="1:41" ht="17" customHeight="1" x14ac:dyDescent="0.2">
      <c r="C2" s="78"/>
      <c r="D2" s="78"/>
      <c r="E2" s="78"/>
      <c r="F2" s="78"/>
      <c r="G2" s="78"/>
      <c r="H2" s="78"/>
      <c r="I2" s="78"/>
      <c r="J2" s="78"/>
      <c r="K2" s="78"/>
      <c r="L2" s="76"/>
      <c r="M2" s="29"/>
      <c r="S2" t="s">
        <v>89</v>
      </c>
      <c r="T2" t="s">
        <v>13</v>
      </c>
      <c r="U2" t="s">
        <v>13</v>
      </c>
      <c r="V2" t="s">
        <v>13</v>
      </c>
      <c r="W2" s="42" t="s">
        <v>38</v>
      </c>
      <c r="X2" t="s">
        <v>13</v>
      </c>
      <c r="Y2" t="s">
        <v>14</v>
      </c>
      <c r="Z2" t="s">
        <v>14</v>
      </c>
      <c r="AA2" t="s">
        <v>14</v>
      </c>
      <c r="AB2" s="42" t="s">
        <v>90</v>
      </c>
      <c r="AC2" t="s">
        <v>14</v>
      </c>
      <c r="AD2" t="s">
        <v>14</v>
      </c>
      <c r="AE2" t="s">
        <v>14</v>
      </c>
      <c r="AF2" t="s">
        <v>14</v>
      </c>
      <c r="AG2" t="s">
        <v>14</v>
      </c>
      <c r="AH2" t="s">
        <v>14</v>
      </c>
      <c r="AI2" t="s">
        <v>14</v>
      </c>
      <c r="AJ2" t="s">
        <v>90</v>
      </c>
      <c r="AK2" t="s">
        <v>90</v>
      </c>
      <c r="AL2" t="s">
        <v>90</v>
      </c>
      <c r="AM2" t="s">
        <v>90</v>
      </c>
      <c r="AN2" t="s">
        <v>90</v>
      </c>
      <c r="AO2" t="s">
        <v>90</v>
      </c>
    </row>
    <row r="3" spans="1:41" x14ac:dyDescent="0.2">
      <c r="A3" s="7" t="s">
        <v>87</v>
      </c>
      <c r="B3" s="7" t="s">
        <v>88</v>
      </c>
      <c r="C3" s="12" t="s">
        <v>7</v>
      </c>
      <c r="D3" s="28" t="s">
        <v>148</v>
      </c>
      <c r="E3" s="28" t="s">
        <v>8</v>
      </c>
      <c r="F3" s="28" t="s">
        <v>9</v>
      </c>
      <c r="G3" s="28" t="s">
        <v>146</v>
      </c>
      <c r="H3" s="12" t="s">
        <v>10</v>
      </c>
      <c r="I3" s="28" t="s">
        <v>145</v>
      </c>
      <c r="J3" s="28" t="s">
        <v>91</v>
      </c>
      <c r="K3" s="28" t="s">
        <v>147</v>
      </c>
      <c r="L3" s="77" t="s">
        <v>92</v>
      </c>
      <c r="M3" s="30" t="s">
        <v>93</v>
      </c>
      <c r="N3" s="27" t="s">
        <v>94</v>
      </c>
      <c r="O3" s="27" t="s">
        <v>95</v>
      </c>
      <c r="P3" s="27" t="s">
        <v>96</v>
      </c>
      <c r="Q3" s="27" t="s">
        <v>97</v>
      </c>
      <c r="R3" s="27" t="s">
        <v>98</v>
      </c>
      <c r="S3" s="27" t="s">
        <v>99</v>
      </c>
      <c r="T3" s="27" t="s">
        <v>100</v>
      </c>
      <c r="U3" s="27" t="s">
        <v>101</v>
      </c>
      <c r="V3" s="27" t="s">
        <v>102</v>
      </c>
      <c r="W3" s="27" t="s">
        <v>102</v>
      </c>
      <c r="X3" s="27" t="s">
        <v>103</v>
      </c>
      <c r="Y3" s="27" t="s">
        <v>104</v>
      </c>
      <c r="Z3" s="27" t="s">
        <v>105</v>
      </c>
      <c r="AA3" s="6" t="s">
        <v>106</v>
      </c>
      <c r="AB3" s="6" t="s">
        <v>106</v>
      </c>
      <c r="AC3" s="75" t="s">
        <v>157</v>
      </c>
      <c r="AD3" s="75" t="s">
        <v>107</v>
      </c>
      <c r="AE3" s="75" t="s">
        <v>108</v>
      </c>
      <c r="AF3" s="75" t="s">
        <v>109</v>
      </c>
      <c r="AG3" s="75" t="s">
        <v>110</v>
      </c>
      <c r="AH3" s="75" t="s">
        <v>111</v>
      </c>
      <c r="AI3" s="75" t="s">
        <v>112</v>
      </c>
      <c r="AJ3" t="s">
        <v>107</v>
      </c>
      <c r="AK3" t="s">
        <v>108</v>
      </c>
      <c r="AL3" t="s">
        <v>109</v>
      </c>
      <c r="AM3" t="s">
        <v>110</v>
      </c>
      <c r="AN3" t="s">
        <v>111</v>
      </c>
      <c r="AO3" t="s">
        <v>112</v>
      </c>
    </row>
    <row r="4" spans="1:41" x14ac:dyDescent="0.2">
      <c r="B4" t="s">
        <v>113</v>
      </c>
      <c r="C4" s="10" t="s">
        <v>114</v>
      </c>
      <c r="D4" s="10" t="s">
        <v>115</v>
      </c>
      <c r="E4" s="10" t="s">
        <v>115</v>
      </c>
      <c r="F4" s="10"/>
      <c r="G4" s="10" t="s">
        <v>115</v>
      </c>
      <c r="H4" s="10" t="s">
        <v>115</v>
      </c>
      <c r="J4" s="10"/>
      <c r="K4" s="10">
        <v>45</v>
      </c>
      <c r="L4" s="24" t="s">
        <v>116</v>
      </c>
      <c r="M4" s="16" t="s">
        <v>33</v>
      </c>
      <c r="N4" s="37">
        <v>6.5</v>
      </c>
      <c r="O4" s="36">
        <v>2</v>
      </c>
      <c r="P4" t="s">
        <v>33</v>
      </c>
      <c r="S4" s="49">
        <v>25</v>
      </c>
      <c r="V4">
        <v>60</v>
      </c>
      <c r="W4" t="s">
        <v>117</v>
      </c>
      <c r="X4">
        <v>60</v>
      </c>
      <c r="Y4" t="s">
        <v>33</v>
      </c>
      <c r="AA4">
        <v>50</v>
      </c>
      <c r="AB4" t="s">
        <v>118</v>
      </c>
      <c r="AC4"/>
    </row>
    <row r="5" spans="1:41" x14ac:dyDescent="0.2">
      <c r="B5" t="s">
        <v>113</v>
      </c>
      <c r="C5" s="10" t="s">
        <v>114</v>
      </c>
      <c r="D5" s="10" t="s">
        <v>115</v>
      </c>
      <c r="E5" s="10" t="s">
        <v>115</v>
      </c>
      <c r="F5" s="10"/>
      <c r="G5" s="10" t="s">
        <v>115</v>
      </c>
      <c r="H5" s="10" t="s">
        <v>115</v>
      </c>
      <c r="J5" s="10"/>
      <c r="K5" s="10">
        <v>1</v>
      </c>
      <c r="L5" s="24" t="s">
        <v>116</v>
      </c>
      <c r="M5" s="16" t="s">
        <v>33</v>
      </c>
      <c r="N5">
        <v>6.5</v>
      </c>
      <c r="O5">
        <v>2</v>
      </c>
      <c r="P5" t="s">
        <v>33</v>
      </c>
      <c r="S5">
        <v>25</v>
      </c>
      <c r="W5" s="39">
        <f>V4*45*1000</f>
        <v>2700000</v>
      </c>
      <c r="Y5" t="s">
        <v>33</v>
      </c>
      <c r="AB5" s="39">
        <f>AA4*45*1000</f>
        <v>2250000</v>
      </c>
      <c r="AC5"/>
    </row>
    <row r="6" spans="1:41" x14ac:dyDescent="0.2">
      <c r="B6" t="s">
        <v>113</v>
      </c>
      <c r="C6" s="10" t="s">
        <v>114</v>
      </c>
      <c r="D6" s="10" t="s">
        <v>115</v>
      </c>
      <c r="E6" s="10" t="s">
        <v>115</v>
      </c>
      <c r="F6" s="10" t="s">
        <v>9</v>
      </c>
      <c r="G6" s="10" t="s">
        <v>115</v>
      </c>
      <c r="H6" s="10" t="s">
        <v>115</v>
      </c>
      <c r="J6" s="10"/>
      <c r="K6" s="10"/>
      <c r="L6" s="24"/>
      <c r="M6" s="16"/>
      <c r="X6" s="43"/>
      <c r="AC6"/>
    </row>
    <row r="7" spans="1:41" x14ac:dyDescent="0.2">
      <c r="A7">
        <v>1</v>
      </c>
      <c r="B7" t="s">
        <v>15</v>
      </c>
      <c r="C7" s="15" t="s">
        <v>16</v>
      </c>
      <c r="D7" s="11" t="s">
        <v>17</v>
      </c>
      <c r="E7" s="11" t="s">
        <v>52</v>
      </c>
      <c r="F7" s="11" t="s">
        <v>45</v>
      </c>
      <c r="G7" s="11"/>
      <c r="H7" s="13"/>
      <c r="J7" s="11"/>
      <c r="K7" s="11">
        <v>92</v>
      </c>
      <c r="L7" s="24">
        <v>3.2000000000000001E-2</v>
      </c>
      <c r="M7" s="17">
        <v>8.1</v>
      </c>
      <c r="N7" s="33">
        <v>6</v>
      </c>
      <c r="O7" s="21">
        <f t="shared" ref="O7:O24" si="0">N7-M7</f>
        <v>-2.0999999999999996</v>
      </c>
      <c r="Q7">
        <v>0.2</v>
      </c>
      <c r="R7">
        <v>1</v>
      </c>
      <c r="S7" s="35">
        <f t="shared" ref="S7:S24" si="1">R7-Q7</f>
        <v>0.8</v>
      </c>
      <c r="Y7" s="46">
        <v>112.5</v>
      </c>
      <c r="Z7">
        <v>48.8</v>
      </c>
      <c r="AA7" s="46">
        <f t="shared" ref="AA7:AA27" si="2">Z7-Y7</f>
        <v>-63.7</v>
      </c>
      <c r="AB7" s="44">
        <f t="shared" ref="AB7:AB30" si="3">AA7*1000*K7</f>
        <v>-5860400</v>
      </c>
      <c r="AC7"/>
    </row>
    <row r="8" spans="1:41" x14ac:dyDescent="0.2">
      <c r="A8">
        <v>2</v>
      </c>
      <c r="B8" t="s">
        <v>15</v>
      </c>
      <c r="C8" s="15" t="s">
        <v>16</v>
      </c>
      <c r="D8" s="11" t="s">
        <v>18</v>
      </c>
      <c r="E8" s="11" t="s">
        <v>52</v>
      </c>
      <c r="F8" s="11" t="s">
        <v>57</v>
      </c>
      <c r="G8" s="11"/>
      <c r="H8" s="13"/>
      <c r="J8" s="11"/>
      <c r="K8" s="11"/>
      <c r="L8" s="24">
        <v>3.2000000000000001E-2</v>
      </c>
      <c r="M8" s="17">
        <v>8.1</v>
      </c>
      <c r="N8" s="35">
        <v>8.4</v>
      </c>
      <c r="O8" s="32">
        <f t="shared" si="0"/>
        <v>0.30000000000000071</v>
      </c>
      <c r="Q8">
        <v>0.2</v>
      </c>
      <c r="R8">
        <v>18</v>
      </c>
      <c r="S8" s="35">
        <f t="shared" si="1"/>
        <v>17.8</v>
      </c>
      <c r="Y8" s="46">
        <v>112.5</v>
      </c>
      <c r="Z8">
        <v>48.8</v>
      </c>
      <c r="AA8" s="46">
        <f t="shared" si="2"/>
        <v>-63.7</v>
      </c>
      <c r="AB8" s="44">
        <f t="shared" si="3"/>
        <v>0</v>
      </c>
      <c r="AC8"/>
    </row>
    <row r="9" spans="1:41" x14ac:dyDescent="0.2">
      <c r="A9">
        <v>3</v>
      </c>
      <c r="B9" t="s">
        <v>15</v>
      </c>
      <c r="C9" s="15" t="s">
        <v>16</v>
      </c>
      <c r="D9" s="11" t="s">
        <v>19</v>
      </c>
      <c r="E9" s="11" t="s">
        <v>52</v>
      </c>
      <c r="F9" s="11" t="s">
        <v>45</v>
      </c>
      <c r="G9" s="11"/>
      <c r="H9" s="13"/>
      <c r="J9" s="11"/>
      <c r="K9" s="11">
        <v>140</v>
      </c>
      <c r="L9" s="24">
        <v>2.5000000000000001E-2</v>
      </c>
      <c r="M9" s="17">
        <v>8.8000000000000007</v>
      </c>
      <c r="N9" s="33">
        <v>5.7</v>
      </c>
      <c r="O9" s="21">
        <f t="shared" si="0"/>
        <v>-3.1000000000000005</v>
      </c>
      <c r="Q9">
        <v>0.2</v>
      </c>
      <c r="R9">
        <v>0.1</v>
      </c>
      <c r="S9" s="46">
        <f t="shared" si="1"/>
        <v>-0.1</v>
      </c>
      <c r="Y9" s="46">
        <v>26.9</v>
      </c>
      <c r="Z9">
        <v>12.8</v>
      </c>
      <c r="AA9" s="46">
        <f t="shared" si="2"/>
        <v>-14.099999999999998</v>
      </c>
      <c r="AB9" s="44">
        <f t="shared" si="3"/>
        <v>-1973999.9999999998</v>
      </c>
      <c r="AC9"/>
    </row>
    <row r="10" spans="1:41" x14ac:dyDescent="0.2">
      <c r="A10">
        <v>4</v>
      </c>
      <c r="B10" t="s">
        <v>15</v>
      </c>
      <c r="C10" s="15" t="s">
        <v>16</v>
      </c>
      <c r="D10" s="11" t="s">
        <v>20</v>
      </c>
      <c r="E10" s="11" t="s">
        <v>52</v>
      </c>
      <c r="F10" s="11" t="s">
        <v>57</v>
      </c>
      <c r="G10" s="11"/>
      <c r="H10" s="13"/>
      <c r="J10" s="11"/>
      <c r="K10" s="11">
        <v>0.2</v>
      </c>
      <c r="L10" s="24">
        <v>2.5000000000000001E-2</v>
      </c>
      <c r="M10" s="17">
        <v>8.8000000000000007</v>
      </c>
      <c r="N10" s="35">
        <v>8.1999999999999993</v>
      </c>
      <c r="O10" s="32">
        <f t="shared" si="0"/>
        <v>-0.60000000000000142</v>
      </c>
      <c r="Q10">
        <v>0.2</v>
      </c>
      <c r="R10">
        <v>2.9</v>
      </c>
      <c r="S10" s="35">
        <f t="shared" si="1"/>
        <v>2.6999999999999997</v>
      </c>
      <c r="Y10" s="46">
        <v>26.9</v>
      </c>
      <c r="Z10">
        <v>50.9</v>
      </c>
      <c r="AA10" s="46">
        <f t="shared" si="2"/>
        <v>24</v>
      </c>
      <c r="AB10" s="44">
        <f t="shared" si="3"/>
        <v>4800</v>
      </c>
      <c r="AC10"/>
    </row>
    <row r="11" spans="1:41" x14ac:dyDescent="0.2">
      <c r="A11">
        <v>5</v>
      </c>
      <c r="B11" t="s">
        <v>15</v>
      </c>
      <c r="C11" s="15" t="s">
        <v>16</v>
      </c>
      <c r="D11" s="11" t="s">
        <v>22</v>
      </c>
      <c r="E11" s="11" t="s">
        <v>39</v>
      </c>
      <c r="F11" s="11" t="s">
        <v>45</v>
      </c>
      <c r="G11" s="11"/>
      <c r="H11" s="13"/>
      <c r="J11" s="11"/>
      <c r="K11" s="11">
        <v>102</v>
      </c>
      <c r="L11" s="24">
        <v>2.7E-2</v>
      </c>
      <c r="M11" s="17" t="s">
        <v>21</v>
      </c>
      <c r="N11" s="33">
        <v>5.3</v>
      </c>
      <c r="O11" s="48" t="e">
        <f t="shared" si="0"/>
        <v>#VALUE!</v>
      </c>
      <c r="Q11">
        <v>0</v>
      </c>
      <c r="R11">
        <v>8</v>
      </c>
      <c r="S11" s="35">
        <f t="shared" si="1"/>
        <v>8</v>
      </c>
      <c r="Y11">
        <v>1</v>
      </c>
      <c r="Z11">
        <v>17</v>
      </c>
      <c r="AA11">
        <f t="shared" si="2"/>
        <v>16</v>
      </c>
      <c r="AB11" s="38">
        <f t="shared" si="3"/>
        <v>1632000</v>
      </c>
      <c r="AC11"/>
    </row>
    <row r="12" spans="1:41" x14ac:dyDescent="0.2">
      <c r="A12">
        <v>6</v>
      </c>
      <c r="B12" t="s">
        <v>15</v>
      </c>
      <c r="C12" s="15" t="s">
        <v>16</v>
      </c>
      <c r="D12" s="11" t="s">
        <v>23</v>
      </c>
      <c r="E12" s="11" t="s">
        <v>52</v>
      </c>
      <c r="F12" s="11" t="s">
        <v>45</v>
      </c>
      <c r="G12" s="11"/>
      <c r="H12" s="13"/>
      <c r="J12" s="11"/>
      <c r="K12" s="11">
        <v>75</v>
      </c>
      <c r="L12" s="24">
        <v>7.0000000000000001E-3</v>
      </c>
      <c r="M12" s="17">
        <v>8.6999999999999993</v>
      </c>
      <c r="N12" s="33">
        <v>5.9</v>
      </c>
      <c r="O12" s="21">
        <f t="shared" si="0"/>
        <v>-2.7999999999999989</v>
      </c>
      <c r="Q12" s="46">
        <v>-5.4</v>
      </c>
      <c r="R12">
        <v>0.1</v>
      </c>
      <c r="S12" s="46">
        <f t="shared" si="1"/>
        <v>5.5</v>
      </c>
      <c r="Y12" s="46">
        <v>-11.1</v>
      </c>
      <c r="Z12">
        <v>1</v>
      </c>
      <c r="AA12" s="46">
        <f t="shared" si="2"/>
        <v>12.1</v>
      </c>
      <c r="AB12" s="44">
        <f t="shared" si="3"/>
        <v>907500</v>
      </c>
      <c r="AC12"/>
    </row>
    <row r="13" spans="1:41" x14ac:dyDescent="0.2">
      <c r="A13">
        <v>7</v>
      </c>
      <c r="B13" t="s">
        <v>15</v>
      </c>
      <c r="C13" s="15" t="s">
        <v>16</v>
      </c>
      <c r="D13" s="11" t="s">
        <v>24</v>
      </c>
      <c r="E13" s="11" t="s">
        <v>52</v>
      </c>
      <c r="F13" s="11" t="s">
        <v>57</v>
      </c>
      <c r="G13" s="11"/>
      <c r="H13" s="13"/>
      <c r="J13" s="11"/>
      <c r="K13" s="11">
        <v>0.2</v>
      </c>
      <c r="L13" s="24">
        <v>7.0000000000000001E-3</v>
      </c>
      <c r="M13" s="17" t="s">
        <v>21</v>
      </c>
      <c r="N13" t="s">
        <v>21</v>
      </c>
      <c r="O13" s="48" t="e">
        <f t="shared" si="0"/>
        <v>#VALUE!</v>
      </c>
      <c r="Q13" s="46">
        <v>-5.4</v>
      </c>
      <c r="R13">
        <v>3.6</v>
      </c>
      <c r="S13" s="46">
        <f t="shared" si="1"/>
        <v>9</v>
      </c>
      <c r="Y13" s="46">
        <v>-11.1</v>
      </c>
      <c r="Z13">
        <v>3.8</v>
      </c>
      <c r="AA13" s="46">
        <f t="shared" si="2"/>
        <v>14.899999999999999</v>
      </c>
      <c r="AB13" s="44">
        <f t="shared" si="3"/>
        <v>2980</v>
      </c>
      <c r="AC13"/>
    </row>
    <row r="14" spans="1:41" x14ac:dyDescent="0.2">
      <c r="A14">
        <v>8</v>
      </c>
      <c r="B14" t="s">
        <v>15</v>
      </c>
      <c r="C14" s="15" t="s">
        <v>16</v>
      </c>
      <c r="D14" s="11" t="s">
        <v>25</v>
      </c>
      <c r="E14" s="11" t="s">
        <v>52</v>
      </c>
      <c r="F14" s="11" t="s">
        <v>45</v>
      </c>
      <c r="G14" s="11"/>
      <c r="H14" s="13"/>
      <c r="J14" s="11"/>
      <c r="K14" s="11">
        <v>86</v>
      </c>
      <c r="L14" s="24">
        <v>0.02</v>
      </c>
      <c r="M14" s="17" t="s">
        <v>21</v>
      </c>
      <c r="N14" s="33">
        <v>4.2</v>
      </c>
      <c r="O14" s="48" t="e">
        <f t="shared" si="0"/>
        <v>#VALUE!</v>
      </c>
      <c r="Q14">
        <v>2.5</v>
      </c>
      <c r="R14">
        <v>3.6</v>
      </c>
      <c r="S14" s="35">
        <f t="shared" si="1"/>
        <v>1.1000000000000001</v>
      </c>
      <c r="Y14" s="46">
        <v>-8.4</v>
      </c>
      <c r="Z14">
        <v>19.5</v>
      </c>
      <c r="AA14" s="46">
        <f t="shared" si="2"/>
        <v>27.9</v>
      </c>
      <c r="AB14" s="44">
        <f t="shared" si="3"/>
        <v>2399400</v>
      </c>
      <c r="AC14"/>
    </row>
    <row r="15" spans="1:41" x14ac:dyDescent="0.2">
      <c r="A15">
        <v>9</v>
      </c>
      <c r="B15" t="s">
        <v>15</v>
      </c>
      <c r="C15" s="15" t="s">
        <v>16</v>
      </c>
      <c r="D15" s="11" t="s">
        <v>26</v>
      </c>
      <c r="E15" s="11" t="s">
        <v>52</v>
      </c>
      <c r="F15" s="11" t="s">
        <v>57</v>
      </c>
      <c r="G15" s="11"/>
      <c r="H15" s="13"/>
      <c r="J15" s="11"/>
      <c r="K15" s="11">
        <v>0.2</v>
      </c>
      <c r="L15" s="24">
        <v>0.02</v>
      </c>
      <c r="M15" s="17" t="s">
        <v>21</v>
      </c>
      <c r="N15" s="33">
        <v>5.4</v>
      </c>
      <c r="O15" s="48" t="e">
        <f t="shared" si="0"/>
        <v>#VALUE!</v>
      </c>
      <c r="Q15">
        <v>4.3</v>
      </c>
      <c r="R15">
        <v>3.9</v>
      </c>
      <c r="S15" s="46">
        <f t="shared" si="1"/>
        <v>-0.39999999999999991</v>
      </c>
      <c r="Y15">
        <v>7.3</v>
      </c>
      <c r="Z15">
        <v>40.1</v>
      </c>
      <c r="AA15">
        <f t="shared" si="2"/>
        <v>32.800000000000004</v>
      </c>
      <c r="AB15" s="38">
        <f t="shared" si="3"/>
        <v>6560.0000000000018</v>
      </c>
      <c r="AC15"/>
    </row>
    <row r="16" spans="1:41" x14ac:dyDescent="0.2">
      <c r="A16">
        <v>10</v>
      </c>
      <c r="B16" t="s">
        <v>15</v>
      </c>
      <c r="C16" s="15" t="s">
        <v>27</v>
      </c>
      <c r="D16" s="11" t="s">
        <v>17</v>
      </c>
      <c r="E16" s="11" t="s">
        <v>52</v>
      </c>
      <c r="F16" s="11" t="s">
        <v>45</v>
      </c>
      <c r="G16" s="11"/>
      <c r="H16" s="13"/>
      <c r="J16" s="11"/>
      <c r="K16" s="11">
        <v>92</v>
      </c>
      <c r="L16" s="24">
        <v>3.2000000000000001E-2</v>
      </c>
      <c r="M16" s="17">
        <v>7.9</v>
      </c>
      <c r="N16" s="33">
        <v>3.1</v>
      </c>
      <c r="O16" s="21">
        <f t="shared" si="0"/>
        <v>-4.8000000000000007</v>
      </c>
      <c r="Q16">
        <v>12.8</v>
      </c>
      <c r="R16">
        <v>17.3</v>
      </c>
      <c r="S16" s="35">
        <f t="shared" si="1"/>
        <v>4.5</v>
      </c>
      <c r="Y16">
        <v>16</v>
      </c>
      <c r="Z16">
        <v>30.3</v>
      </c>
      <c r="AA16">
        <f t="shared" si="2"/>
        <v>14.3</v>
      </c>
      <c r="AB16" s="38">
        <f t="shared" si="3"/>
        <v>1315600</v>
      </c>
      <c r="AC16"/>
    </row>
    <row r="17" spans="1:41" x14ac:dyDescent="0.2">
      <c r="A17">
        <v>11</v>
      </c>
      <c r="B17" t="s">
        <v>15</v>
      </c>
      <c r="C17" s="15" t="s">
        <v>27</v>
      </c>
      <c r="D17" s="11" t="s">
        <v>18</v>
      </c>
      <c r="E17" s="11" t="s">
        <v>52</v>
      </c>
      <c r="F17" s="11" t="s">
        <v>57</v>
      </c>
      <c r="G17" s="11"/>
      <c r="H17" s="13"/>
      <c r="J17" s="11"/>
      <c r="K17" s="11">
        <v>0.2</v>
      </c>
      <c r="L17" s="24">
        <v>3.2000000000000001E-2</v>
      </c>
      <c r="M17" s="17">
        <v>7.9</v>
      </c>
      <c r="N17" s="33">
        <v>6.3</v>
      </c>
      <c r="O17" s="32">
        <f t="shared" si="0"/>
        <v>-1.6000000000000005</v>
      </c>
      <c r="Q17">
        <v>12.8</v>
      </c>
      <c r="R17">
        <v>39.4</v>
      </c>
      <c r="S17" s="33">
        <f t="shared" si="1"/>
        <v>26.599999999999998</v>
      </c>
      <c r="Y17">
        <v>16</v>
      </c>
      <c r="Z17">
        <v>68.8</v>
      </c>
      <c r="AA17">
        <f t="shared" si="2"/>
        <v>52.8</v>
      </c>
      <c r="AB17" s="38">
        <f t="shared" si="3"/>
        <v>10560</v>
      </c>
      <c r="AC17"/>
    </row>
    <row r="18" spans="1:41" x14ac:dyDescent="0.2">
      <c r="A18">
        <v>12</v>
      </c>
      <c r="B18" t="s">
        <v>15</v>
      </c>
      <c r="C18" s="15" t="s">
        <v>27</v>
      </c>
      <c r="D18" s="11" t="s">
        <v>19</v>
      </c>
      <c r="E18" s="11" t="s">
        <v>52</v>
      </c>
      <c r="F18" s="11" t="s">
        <v>45</v>
      </c>
      <c r="G18" s="11"/>
      <c r="H18" s="13"/>
      <c r="J18" s="11"/>
      <c r="K18" s="11">
        <v>140</v>
      </c>
      <c r="L18" s="24">
        <v>2.5000000000000001E-2</v>
      </c>
      <c r="M18" s="17">
        <v>7.9</v>
      </c>
      <c r="N18" s="33">
        <v>5.2</v>
      </c>
      <c r="O18" s="21">
        <f t="shared" si="0"/>
        <v>-2.7</v>
      </c>
      <c r="Q18">
        <v>16.7</v>
      </c>
      <c r="R18">
        <v>4.5</v>
      </c>
      <c r="S18" s="46">
        <f t="shared" si="1"/>
        <v>-12.2</v>
      </c>
      <c r="Y18">
        <v>3.4</v>
      </c>
      <c r="Z18">
        <v>121.4</v>
      </c>
      <c r="AA18">
        <f t="shared" si="2"/>
        <v>118</v>
      </c>
      <c r="AB18" s="50">
        <f t="shared" si="3"/>
        <v>16520000</v>
      </c>
      <c r="AC18"/>
    </row>
    <row r="19" spans="1:41" x14ac:dyDescent="0.2">
      <c r="A19">
        <v>13</v>
      </c>
      <c r="B19" t="s">
        <v>15</v>
      </c>
      <c r="C19" s="15" t="s">
        <v>27</v>
      </c>
      <c r="D19" s="11" t="s">
        <v>20</v>
      </c>
      <c r="E19" s="11" t="s">
        <v>52</v>
      </c>
      <c r="F19" s="11" t="s">
        <v>57</v>
      </c>
      <c r="G19" s="11"/>
      <c r="H19" s="13"/>
      <c r="J19" s="11"/>
      <c r="K19" s="11">
        <v>0.2</v>
      </c>
      <c r="L19" s="24">
        <v>2.5000000000000001E-2</v>
      </c>
      <c r="M19" s="17">
        <v>7.9</v>
      </c>
      <c r="N19" s="33">
        <v>6.3</v>
      </c>
      <c r="O19" s="32">
        <f t="shared" si="0"/>
        <v>-1.6000000000000005</v>
      </c>
      <c r="Q19">
        <v>16.7</v>
      </c>
      <c r="R19">
        <v>4.5999999999999996</v>
      </c>
      <c r="S19" s="46">
        <f t="shared" si="1"/>
        <v>-12.1</v>
      </c>
      <c r="Y19">
        <v>3.4</v>
      </c>
      <c r="Z19">
        <v>49.2</v>
      </c>
      <c r="AA19">
        <f t="shared" si="2"/>
        <v>45.800000000000004</v>
      </c>
      <c r="AB19" s="38">
        <f t="shared" si="3"/>
        <v>9160.0000000000018</v>
      </c>
      <c r="AC19"/>
    </row>
    <row r="20" spans="1:41" x14ac:dyDescent="0.2">
      <c r="A20">
        <v>14</v>
      </c>
      <c r="B20" t="s">
        <v>15</v>
      </c>
      <c r="C20" s="15" t="s">
        <v>27</v>
      </c>
      <c r="D20" s="11" t="s">
        <v>22</v>
      </c>
      <c r="E20" s="11" t="s">
        <v>39</v>
      </c>
      <c r="F20" s="11" t="s">
        <v>45</v>
      </c>
      <c r="G20" s="11"/>
      <c r="H20" s="13"/>
      <c r="J20" s="11"/>
      <c r="K20" s="11">
        <v>102</v>
      </c>
      <c r="L20" s="24">
        <v>2.7E-2</v>
      </c>
      <c r="M20" s="17">
        <v>7.6</v>
      </c>
      <c r="N20" s="33">
        <v>4.4000000000000004</v>
      </c>
      <c r="O20" s="21">
        <f t="shared" si="0"/>
        <v>-3.1999999999999993</v>
      </c>
      <c r="Q20">
        <v>3.7</v>
      </c>
      <c r="R20">
        <v>4.7</v>
      </c>
      <c r="S20" s="35">
        <f t="shared" si="1"/>
        <v>1</v>
      </c>
      <c r="Y20">
        <v>8.6</v>
      </c>
      <c r="Z20">
        <v>63.9</v>
      </c>
      <c r="AA20">
        <f t="shared" si="2"/>
        <v>55.3</v>
      </c>
      <c r="AB20" s="50">
        <f t="shared" si="3"/>
        <v>5640600</v>
      </c>
      <c r="AC20"/>
    </row>
    <row r="21" spans="1:41" x14ac:dyDescent="0.2">
      <c r="A21">
        <v>15</v>
      </c>
      <c r="B21" t="s">
        <v>15</v>
      </c>
      <c r="C21" s="15" t="s">
        <v>27</v>
      </c>
      <c r="D21" s="11" t="s">
        <v>23</v>
      </c>
      <c r="E21" s="11" t="s">
        <v>52</v>
      </c>
      <c r="F21" s="11" t="s">
        <v>45</v>
      </c>
      <c r="G21" s="11"/>
      <c r="H21" s="13"/>
      <c r="J21" s="11"/>
      <c r="K21" s="11">
        <v>75</v>
      </c>
      <c r="L21" s="24">
        <v>7.0000000000000001E-3</v>
      </c>
      <c r="M21" s="17">
        <v>7.7</v>
      </c>
      <c r="N21" s="33">
        <v>5.5</v>
      </c>
      <c r="O21" s="21">
        <f t="shared" si="0"/>
        <v>-2.2000000000000002</v>
      </c>
      <c r="Q21">
        <v>4.0999999999999996</v>
      </c>
      <c r="R21">
        <v>4.7</v>
      </c>
      <c r="S21" s="35">
        <f t="shared" si="1"/>
        <v>0.60000000000000053</v>
      </c>
      <c r="Y21">
        <v>3.9</v>
      </c>
      <c r="Z21">
        <v>106</v>
      </c>
      <c r="AA21">
        <f t="shared" si="2"/>
        <v>102.1</v>
      </c>
      <c r="AB21" s="50">
        <f t="shared" si="3"/>
        <v>7657500</v>
      </c>
      <c r="AC21"/>
    </row>
    <row r="22" spans="1:41" x14ac:dyDescent="0.2">
      <c r="A22">
        <v>16</v>
      </c>
      <c r="B22" t="s">
        <v>15</v>
      </c>
      <c r="C22" s="15" t="s">
        <v>27</v>
      </c>
      <c r="D22" s="11" t="s">
        <v>24</v>
      </c>
      <c r="E22" s="11" t="s">
        <v>52</v>
      </c>
      <c r="F22" s="11" t="s">
        <v>57</v>
      </c>
      <c r="G22" s="11"/>
      <c r="H22" s="13"/>
      <c r="J22" s="11"/>
      <c r="K22" s="11">
        <v>0.2</v>
      </c>
      <c r="L22" s="24">
        <v>7.0000000000000001E-3</v>
      </c>
      <c r="M22" s="17">
        <v>7.7</v>
      </c>
      <c r="N22" s="35">
        <v>7.1</v>
      </c>
      <c r="O22" s="32">
        <f t="shared" si="0"/>
        <v>-0.60000000000000053</v>
      </c>
      <c r="Q22">
        <v>4.0999999999999996</v>
      </c>
      <c r="R22">
        <v>16.600000000000001</v>
      </c>
      <c r="S22" s="35">
        <f t="shared" si="1"/>
        <v>12.500000000000002</v>
      </c>
      <c r="Y22">
        <v>3.9</v>
      </c>
      <c r="Z22">
        <v>124.7</v>
      </c>
      <c r="AA22">
        <f t="shared" si="2"/>
        <v>120.8</v>
      </c>
      <c r="AB22" s="38">
        <f t="shared" si="3"/>
        <v>24160</v>
      </c>
      <c r="AC22"/>
    </row>
    <row r="23" spans="1:41" x14ac:dyDescent="0.2">
      <c r="A23">
        <v>17</v>
      </c>
      <c r="B23" t="s">
        <v>15</v>
      </c>
      <c r="C23" s="15" t="s">
        <v>27</v>
      </c>
      <c r="D23" s="11" t="s">
        <v>25</v>
      </c>
      <c r="E23" s="11" t="s">
        <v>52</v>
      </c>
      <c r="F23" s="11" t="s">
        <v>45</v>
      </c>
      <c r="G23" s="11"/>
      <c r="H23" s="13"/>
      <c r="J23" s="11"/>
      <c r="K23" s="11">
        <v>86</v>
      </c>
      <c r="L23" s="24">
        <v>0.02</v>
      </c>
      <c r="M23" s="17">
        <v>5.8</v>
      </c>
      <c r="N23" s="33">
        <v>2.8</v>
      </c>
      <c r="O23" s="21">
        <f t="shared" si="0"/>
        <v>-3</v>
      </c>
      <c r="Q23">
        <v>7.8</v>
      </c>
      <c r="R23">
        <v>6.6</v>
      </c>
      <c r="S23" s="46">
        <f t="shared" si="1"/>
        <v>-1.2000000000000002</v>
      </c>
      <c r="Y23">
        <v>12.9</v>
      </c>
      <c r="Z23">
        <v>85.5</v>
      </c>
      <c r="AA23">
        <f t="shared" si="2"/>
        <v>72.599999999999994</v>
      </c>
      <c r="AB23" s="50">
        <f t="shared" si="3"/>
        <v>6243600</v>
      </c>
      <c r="AC23"/>
    </row>
    <row r="24" spans="1:41" x14ac:dyDescent="0.2">
      <c r="A24">
        <v>18</v>
      </c>
      <c r="B24" t="s">
        <v>15</v>
      </c>
      <c r="C24" s="15" t="s">
        <v>27</v>
      </c>
      <c r="D24" s="11" t="s">
        <v>26</v>
      </c>
      <c r="E24" s="11" t="s">
        <v>52</v>
      </c>
      <c r="F24" s="11" t="s">
        <v>57</v>
      </c>
      <c r="G24" s="11"/>
      <c r="H24" s="13"/>
      <c r="J24" s="11"/>
      <c r="K24" s="11">
        <v>0.2</v>
      </c>
      <c r="L24" s="24">
        <v>0.02</v>
      </c>
      <c r="M24" s="17">
        <v>6.4</v>
      </c>
      <c r="N24" s="33">
        <v>3.6</v>
      </c>
      <c r="O24" s="21">
        <f t="shared" si="0"/>
        <v>-2.8000000000000003</v>
      </c>
      <c r="Q24">
        <v>2.5</v>
      </c>
      <c r="R24">
        <v>5.9</v>
      </c>
      <c r="S24" s="35">
        <f t="shared" si="1"/>
        <v>3.4000000000000004</v>
      </c>
      <c r="Y24">
        <v>17.600000000000001</v>
      </c>
      <c r="Z24">
        <v>74.099999999999994</v>
      </c>
      <c r="AA24">
        <f t="shared" si="2"/>
        <v>56.499999999999993</v>
      </c>
      <c r="AB24" s="38">
        <f t="shared" si="3"/>
        <v>11300</v>
      </c>
      <c r="AC24"/>
    </row>
    <row r="25" spans="1:41" x14ac:dyDescent="0.2">
      <c r="A25">
        <v>19</v>
      </c>
      <c r="B25" t="s">
        <v>15</v>
      </c>
      <c r="C25" s="15" t="s">
        <v>28</v>
      </c>
      <c r="D25" s="11" t="s">
        <v>29</v>
      </c>
      <c r="E25" s="11" t="s">
        <v>52</v>
      </c>
      <c r="F25" s="11" t="s">
        <v>45</v>
      </c>
      <c r="G25" s="11"/>
      <c r="H25" s="13"/>
      <c r="J25" s="11"/>
      <c r="K25" s="11">
        <v>99</v>
      </c>
      <c r="L25" s="24"/>
      <c r="M25" s="17"/>
      <c r="T25">
        <v>0.4</v>
      </c>
      <c r="U25">
        <v>0.6</v>
      </c>
      <c r="V25">
        <f>U25-T25</f>
        <v>0.19999999999999996</v>
      </c>
      <c r="W25" s="38">
        <f>V25*1000*K25</f>
        <v>19799.999999999993</v>
      </c>
      <c r="Y25">
        <v>0.01</v>
      </c>
      <c r="Z25">
        <v>1.61</v>
      </c>
      <c r="AA25">
        <f t="shared" si="2"/>
        <v>1.6</v>
      </c>
      <c r="AB25" s="38">
        <f t="shared" si="3"/>
        <v>158400</v>
      </c>
      <c r="AC25">
        <v>6.5</v>
      </c>
      <c r="AD25">
        <v>78.400000000000006</v>
      </c>
      <c r="AE25">
        <v>15.7</v>
      </c>
      <c r="AF25">
        <v>6.4</v>
      </c>
      <c r="AG25">
        <v>0.03</v>
      </c>
      <c r="AI25">
        <v>0.08</v>
      </c>
      <c r="AJ25">
        <f>AD25*1000*$K25</f>
        <v>7761600</v>
      </c>
      <c r="AK25">
        <f t="shared" ref="AJ25:AO26" si="4">AE25*1000*$K25</f>
        <v>1554300</v>
      </c>
      <c r="AL25">
        <f>AF25*1000*$K25</f>
        <v>633600</v>
      </c>
      <c r="AM25">
        <f t="shared" si="4"/>
        <v>2970</v>
      </c>
      <c r="AN25" s="5"/>
      <c r="AO25">
        <f t="shared" si="4"/>
        <v>7920</v>
      </c>
    </row>
    <row r="26" spans="1:41" x14ac:dyDescent="0.2">
      <c r="A26">
        <v>20</v>
      </c>
      <c r="B26" t="s">
        <v>15</v>
      </c>
      <c r="C26" s="15" t="s">
        <v>28</v>
      </c>
      <c r="D26" s="11" t="s">
        <v>30</v>
      </c>
      <c r="E26" s="11" t="s">
        <v>52</v>
      </c>
      <c r="F26" s="11" t="s">
        <v>57</v>
      </c>
      <c r="G26" s="11"/>
      <c r="H26" s="13"/>
      <c r="J26" s="11"/>
      <c r="K26" s="11">
        <v>0.2</v>
      </c>
      <c r="L26" s="24"/>
      <c r="M26" s="17"/>
      <c r="T26">
        <v>0.4</v>
      </c>
      <c r="U26">
        <v>159</v>
      </c>
      <c r="V26">
        <f>U26-T26</f>
        <v>158.6</v>
      </c>
      <c r="W26" s="38">
        <f>V26*1000*K26</f>
        <v>31720</v>
      </c>
      <c r="Y26">
        <v>0.01</v>
      </c>
      <c r="Z26">
        <v>9.25</v>
      </c>
      <c r="AA26">
        <f t="shared" si="2"/>
        <v>9.24</v>
      </c>
      <c r="AB26" s="38">
        <f t="shared" si="3"/>
        <v>1848</v>
      </c>
      <c r="AC26">
        <v>28.1</v>
      </c>
      <c r="AD26">
        <v>5726</v>
      </c>
      <c r="AE26">
        <v>1220</v>
      </c>
      <c r="AF26">
        <v>17.899999999999999</v>
      </c>
      <c r="AG26">
        <v>0.14000000000000001</v>
      </c>
      <c r="AI26">
        <v>0.01</v>
      </c>
      <c r="AJ26">
        <f t="shared" si="4"/>
        <v>1145200</v>
      </c>
      <c r="AK26">
        <f t="shared" si="4"/>
        <v>244000</v>
      </c>
      <c r="AL26">
        <f t="shared" si="4"/>
        <v>3580</v>
      </c>
      <c r="AM26">
        <f t="shared" si="4"/>
        <v>28</v>
      </c>
      <c r="AN26" s="5"/>
      <c r="AO26">
        <f>AI26*1000*$K26</f>
        <v>2</v>
      </c>
    </row>
    <row r="27" spans="1:41" s="11" customFormat="1" x14ac:dyDescent="0.2">
      <c r="A27" s="11">
        <v>21</v>
      </c>
      <c r="B27" s="11" t="s">
        <v>1</v>
      </c>
      <c r="D27" s="11" t="s">
        <v>150</v>
      </c>
      <c r="E27" s="11" t="s">
        <v>52</v>
      </c>
      <c r="F27" s="11" t="s">
        <v>45</v>
      </c>
      <c r="G27" s="58">
        <v>20.77</v>
      </c>
      <c r="H27" s="59">
        <v>0.9</v>
      </c>
      <c r="I27" s="40">
        <v>18.693000000000001</v>
      </c>
      <c r="J27" s="11">
        <v>1000</v>
      </c>
      <c r="K27" s="81">
        <f>J27/I27</f>
        <v>53.495961054940345</v>
      </c>
      <c r="L27" s="24">
        <v>2.1999999999999999E-2</v>
      </c>
      <c r="M27" s="17">
        <v>7.8</v>
      </c>
      <c r="N27" s="19">
        <v>3.7</v>
      </c>
      <c r="O27" s="53">
        <f t="shared" ref="O27:O32" si="5">N27-M27</f>
        <v>-4.0999999999999996</v>
      </c>
      <c r="P27" s="54"/>
      <c r="Q27" s="54"/>
      <c r="X27" s="11">
        <v>0.56000000000000005</v>
      </c>
      <c r="Y27" s="11">
        <v>0</v>
      </c>
      <c r="Z27" s="11">
        <v>0.62</v>
      </c>
      <c r="AA27" s="11">
        <f t="shared" si="2"/>
        <v>0.62</v>
      </c>
      <c r="AB27" s="55">
        <f t="shared" si="3"/>
        <v>33167.49585406301</v>
      </c>
      <c r="AC27" s="52">
        <v>0.96</v>
      </c>
      <c r="AD27" s="11">
        <v>180</v>
      </c>
      <c r="AE27" s="11">
        <v>43</v>
      </c>
      <c r="AF27" s="11">
        <v>260</v>
      </c>
      <c r="AG27" s="52" t="s">
        <v>119</v>
      </c>
      <c r="AH27" s="11">
        <v>8.5999999999999993E-2</v>
      </c>
      <c r="AI27" s="11">
        <v>21</v>
      </c>
      <c r="AJ27">
        <f t="shared" ref="AJ27:AJ88" si="6">AD27*1000*$K27</f>
        <v>9629272.9898892622</v>
      </c>
      <c r="AK27">
        <f t="shared" ref="AK27:AK88" si="7">AE27*1000*$K27</f>
        <v>2300326.3253624346</v>
      </c>
      <c r="AL27">
        <f t="shared" ref="AL27:AL85" si="8">AF27*1000*$K27</f>
        <v>13908949.874284489</v>
      </c>
      <c r="AM27"/>
      <c r="AN27">
        <f t="shared" ref="AN27:AN35" si="9">AH27*1000*$K27</f>
        <v>4600.65265072487</v>
      </c>
      <c r="AO27">
        <f t="shared" ref="AO27:AO81" si="10">AI27*1000*$K27</f>
        <v>1123415.1821537472</v>
      </c>
    </row>
    <row r="28" spans="1:41" s="11" customFormat="1" x14ac:dyDescent="0.2">
      <c r="A28" s="11">
        <v>22</v>
      </c>
      <c r="B28" s="11" t="s">
        <v>1</v>
      </c>
      <c r="D28" s="11" t="s">
        <v>150</v>
      </c>
      <c r="E28" s="11" t="s">
        <v>52</v>
      </c>
      <c r="F28" s="11" t="s">
        <v>45</v>
      </c>
      <c r="G28" s="58">
        <v>20.77</v>
      </c>
      <c r="H28" s="59">
        <v>0.45</v>
      </c>
      <c r="I28" s="40">
        <v>9.3465000000000007</v>
      </c>
      <c r="J28" s="11">
        <v>1000</v>
      </c>
      <c r="K28" s="81">
        <f t="shared" ref="K28:K44" si="11">J28/I28</f>
        <v>106.99192210988069</v>
      </c>
      <c r="L28" s="24">
        <v>2.1999999999999999E-2</v>
      </c>
      <c r="M28" s="17">
        <v>7.8</v>
      </c>
      <c r="N28" s="19">
        <v>5.2</v>
      </c>
      <c r="O28" s="53">
        <f t="shared" si="5"/>
        <v>-2.5999999999999996</v>
      </c>
      <c r="X28" s="11">
        <v>0.34</v>
      </c>
      <c r="Y28" s="11">
        <v>0</v>
      </c>
      <c r="Z28" s="11">
        <v>0.65</v>
      </c>
      <c r="AA28" s="11">
        <f t="shared" ref="AA28:AA30" si="12">Z28-Y28</f>
        <v>0.65</v>
      </c>
      <c r="AB28" s="55">
        <f t="shared" si="3"/>
        <v>69544.749371422455</v>
      </c>
      <c r="AC28" s="52">
        <v>1.1000000000000001</v>
      </c>
      <c r="AD28" s="11">
        <v>81</v>
      </c>
      <c r="AE28" s="11">
        <v>20</v>
      </c>
      <c r="AF28" s="11">
        <v>150</v>
      </c>
      <c r="AG28" s="52" t="s">
        <v>119</v>
      </c>
      <c r="AH28" s="11">
        <v>9.1999999999999998E-2</v>
      </c>
      <c r="AI28" s="11">
        <v>3.6</v>
      </c>
      <c r="AJ28">
        <f t="shared" si="6"/>
        <v>8666345.6909003351</v>
      </c>
      <c r="AK28">
        <f t="shared" si="7"/>
        <v>2139838.4421976139</v>
      </c>
      <c r="AL28">
        <f t="shared" si="8"/>
        <v>16048788.316482104</v>
      </c>
      <c r="AM28"/>
      <c r="AN28">
        <f t="shared" si="9"/>
        <v>9843.2568341090227</v>
      </c>
      <c r="AO28">
        <f t="shared" si="10"/>
        <v>385170.91959557048</v>
      </c>
    </row>
    <row r="29" spans="1:41" x14ac:dyDescent="0.2">
      <c r="A29" s="11">
        <v>23</v>
      </c>
      <c r="B29" s="11" t="s">
        <v>1</v>
      </c>
      <c r="C29" s="11"/>
      <c r="D29" s="11" t="s">
        <v>150</v>
      </c>
      <c r="E29" s="11" t="s">
        <v>52</v>
      </c>
      <c r="F29" s="11" t="s">
        <v>45</v>
      </c>
      <c r="G29" s="58">
        <v>20.77</v>
      </c>
      <c r="H29" s="59">
        <v>0.9</v>
      </c>
      <c r="I29" s="40">
        <v>18.693000000000001</v>
      </c>
      <c r="J29" s="11">
        <v>1000</v>
      </c>
      <c r="K29" s="81">
        <f t="shared" si="11"/>
        <v>53.495961054940345</v>
      </c>
      <c r="L29" s="24">
        <v>0.01</v>
      </c>
      <c r="M29" s="17">
        <v>7.8</v>
      </c>
      <c r="N29" s="33">
        <v>5.5</v>
      </c>
      <c r="O29" s="21">
        <f t="shared" si="5"/>
        <v>-2.2999999999999998</v>
      </c>
      <c r="X29">
        <v>0.36</v>
      </c>
      <c r="Y29">
        <v>0</v>
      </c>
      <c r="Z29">
        <v>0.78</v>
      </c>
      <c r="AA29">
        <f t="shared" si="12"/>
        <v>0.78</v>
      </c>
      <c r="AB29" s="38">
        <f t="shared" si="3"/>
        <v>41726.849622853471</v>
      </c>
      <c r="AC29" s="52">
        <v>1.8</v>
      </c>
      <c r="AD29" s="11">
        <v>49</v>
      </c>
      <c r="AE29" s="11">
        <v>19</v>
      </c>
      <c r="AF29" s="11">
        <v>110</v>
      </c>
      <c r="AG29" s="52" t="s">
        <v>119</v>
      </c>
      <c r="AH29" s="11">
        <v>9.9000000000000005E-2</v>
      </c>
      <c r="AI29" s="11">
        <v>5.8</v>
      </c>
      <c r="AJ29">
        <f t="shared" si="6"/>
        <v>2621302.091692077</v>
      </c>
      <c r="AK29">
        <f t="shared" si="7"/>
        <v>1016423.2600438666</v>
      </c>
      <c r="AL29">
        <f t="shared" si="8"/>
        <v>5884555.7160434378</v>
      </c>
      <c r="AN29">
        <f t="shared" si="9"/>
        <v>5296.100144439094</v>
      </c>
      <c r="AO29">
        <f t="shared" si="10"/>
        <v>310276.57411865401</v>
      </c>
    </row>
    <row r="30" spans="1:41" x14ac:dyDescent="0.2">
      <c r="A30" s="11">
        <v>24</v>
      </c>
      <c r="B30" s="11" t="s">
        <v>1</v>
      </c>
      <c r="C30" s="11"/>
      <c r="D30" s="11" t="s">
        <v>150</v>
      </c>
      <c r="E30" s="11" t="s">
        <v>52</v>
      </c>
      <c r="F30" s="11" t="s">
        <v>45</v>
      </c>
      <c r="G30" s="58">
        <v>20.77</v>
      </c>
      <c r="H30" s="59">
        <v>0.45</v>
      </c>
      <c r="I30" s="40">
        <v>9.3465000000000007</v>
      </c>
      <c r="J30" s="11">
        <v>1000</v>
      </c>
      <c r="K30" s="81">
        <f t="shared" si="11"/>
        <v>106.99192210988069</v>
      </c>
      <c r="L30" s="24">
        <v>0.01</v>
      </c>
      <c r="M30" s="17">
        <v>7.8</v>
      </c>
      <c r="N30" s="33">
        <v>5.8</v>
      </c>
      <c r="O30" s="31">
        <f t="shared" si="5"/>
        <v>-2</v>
      </c>
      <c r="X30">
        <v>0.22</v>
      </c>
      <c r="Y30">
        <v>0</v>
      </c>
      <c r="Z30">
        <v>0.86</v>
      </c>
      <c r="AA30">
        <f t="shared" si="12"/>
        <v>0.86</v>
      </c>
      <c r="AB30" s="38">
        <f t="shared" si="3"/>
        <v>92013.053014497389</v>
      </c>
      <c r="AC30" s="52">
        <v>1.6</v>
      </c>
      <c r="AD30" s="11">
        <v>25</v>
      </c>
      <c r="AE30" s="11">
        <v>9.1</v>
      </c>
      <c r="AF30" s="11">
        <v>150</v>
      </c>
      <c r="AG30" s="52" t="s">
        <v>119</v>
      </c>
      <c r="AH30" s="11">
        <v>6.4000000000000001E-2</v>
      </c>
      <c r="AI30" s="11">
        <v>3.8</v>
      </c>
      <c r="AJ30">
        <f t="shared" si="6"/>
        <v>2674798.0527470172</v>
      </c>
      <c r="AK30">
        <f t="shared" si="7"/>
        <v>973626.49119991425</v>
      </c>
      <c r="AL30">
        <f t="shared" si="8"/>
        <v>16048788.316482104</v>
      </c>
      <c r="AN30">
        <f t="shared" si="9"/>
        <v>6847.4830150323642</v>
      </c>
      <c r="AO30">
        <f t="shared" si="10"/>
        <v>406569.30401754664</v>
      </c>
    </row>
    <row r="31" spans="1:41" x14ac:dyDescent="0.2">
      <c r="A31" s="11">
        <v>26</v>
      </c>
      <c r="B31" s="11" t="s">
        <v>1</v>
      </c>
      <c r="C31" s="11"/>
      <c r="D31" s="11" t="s">
        <v>150</v>
      </c>
      <c r="E31" s="11" t="s">
        <v>52</v>
      </c>
      <c r="F31" s="11" t="s">
        <v>57</v>
      </c>
      <c r="G31" s="58">
        <v>20.77</v>
      </c>
      <c r="H31" s="59">
        <v>0.9</v>
      </c>
      <c r="I31" s="40">
        <v>18.693000000000001</v>
      </c>
      <c r="J31" s="11">
        <v>900</v>
      </c>
      <c r="K31" s="81">
        <f t="shared" si="11"/>
        <v>48.146364949446316</v>
      </c>
      <c r="L31" s="24">
        <v>2.1999999999999999E-2</v>
      </c>
      <c r="M31" s="17">
        <v>7.8</v>
      </c>
      <c r="N31" s="33">
        <v>5.9</v>
      </c>
      <c r="O31" s="32">
        <f t="shared" si="5"/>
        <v>-1.8999999999999995</v>
      </c>
      <c r="X31">
        <v>24</v>
      </c>
      <c r="AB31" s="41"/>
      <c r="AC31" s="52">
        <v>9.1999999999999993</v>
      </c>
      <c r="AD31" s="11">
        <v>4600</v>
      </c>
      <c r="AE31" s="11">
        <v>1200</v>
      </c>
      <c r="AF31" s="11">
        <v>560</v>
      </c>
      <c r="AG31" s="52" t="s">
        <v>120</v>
      </c>
      <c r="AH31" s="52">
        <v>8.3000000000000004E-2</v>
      </c>
      <c r="AI31" s="11">
        <v>24</v>
      </c>
      <c r="AJ31">
        <f t="shared" si="6"/>
        <v>221473278.76745304</v>
      </c>
      <c r="AK31">
        <f t="shared" si="7"/>
        <v>57775637.939335577</v>
      </c>
      <c r="AL31">
        <f t="shared" si="8"/>
        <v>26961964.371689938</v>
      </c>
      <c r="AN31">
        <f t="shared" si="9"/>
        <v>3996.1482908040443</v>
      </c>
      <c r="AO31">
        <f t="shared" si="10"/>
        <v>1155512.7587867116</v>
      </c>
    </row>
    <row r="32" spans="1:41" x14ac:dyDescent="0.2">
      <c r="A32" s="11">
        <v>27</v>
      </c>
      <c r="B32" s="11" t="s">
        <v>1</v>
      </c>
      <c r="C32" s="11"/>
      <c r="D32" s="11" t="s">
        <v>150</v>
      </c>
      <c r="E32" s="11" t="s">
        <v>52</v>
      </c>
      <c r="F32" s="11" t="s">
        <v>57</v>
      </c>
      <c r="G32" s="58">
        <v>20.77</v>
      </c>
      <c r="H32" s="59">
        <v>0.9</v>
      </c>
      <c r="I32" s="40">
        <v>18.693000000000001</v>
      </c>
      <c r="J32" s="11">
        <v>900</v>
      </c>
      <c r="K32" s="81">
        <f t="shared" si="11"/>
        <v>48.146364949446316</v>
      </c>
      <c r="L32" s="24">
        <v>2.1999999999999999E-2</v>
      </c>
      <c r="M32" s="17">
        <v>7.8</v>
      </c>
      <c r="N32" s="34">
        <v>6.5</v>
      </c>
      <c r="O32" s="32">
        <f t="shared" si="5"/>
        <v>-1.2999999999999998</v>
      </c>
      <c r="X32">
        <v>120</v>
      </c>
      <c r="AB32" s="41"/>
      <c r="AC32" s="52">
        <v>16</v>
      </c>
      <c r="AD32" s="11">
        <v>17000</v>
      </c>
      <c r="AE32" s="11">
        <v>4500</v>
      </c>
      <c r="AF32" s="11">
        <v>740</v>
      </c>
      <c r="AG32" s="52" t="s">
        <v>120</v>
      </c>
      <c r="AH32" s="52">
        <v>0.12</v>
      </c>
      <c r="AI32" s="11">
        <v>29</v>
      </c>
      <c r="AJ32">
        <f t="shared" si="6"/>
        <v>818488204.14058733</v>
      </c>
      <c r="AK32">
        <f t="shared" si="7"/>
        <v>216658642.27250841</v>
      </c>
      <c r="AL32">
        <f t="shared" si="8"/>
        <v>35628310.062590271</v>
      </c>
      <c r="AN32">
        <f t="shared" si="9"/>
        <v>5777.5637939335575</v>
      </c>
      <c r="AO32">
        <f t="shared" si="10"/>
        <v>1396244.5835339432</v>
      </c>
    </row>
    <row r="33" spans="1:41" x14ac:dyDescent="0.2">
      <c r="A33" s="11">
        <v>28</v>
      </c>
      <c r="B33" s="11" t="s">
        <v>1</v>
      </c>
      <c r="C33" s="11"/>
      <c r="D33" s="11" t="s">
        <v>150</v>
      </c>
      <c r="E33" s="11" t="s">
        <v>52</v>
      </c>
      <c r="F33" s="11" t="s">
        <v>57</v>
      </c>
      <c r="G33" s="58">
        <v>20.77</v>
      </c>
      <c r="H33" s="59">
        <v>0.9</v>
      </c>
      <c r="I33" s="40">
        <v>18.693000000000001</v>
      </c>
      <c r="J33" s="11">
        <v>900</v>
      </c>
      <c r="K33" s="81">
        <f t="shared" si="11"/>
        <v>48.146364949446316</v>
      </c>
      <c r="L33" s="24">
        <v>2.1999999999999999E-2</v>
      </c>
      <c r="M33" s="17">
        <v>7.8</v>
      </c>
      <c r="O33" s="18"/>
      <c r="X33">
        <v>120</v>
      </c>
      <c r="AB33" s="41"/>
      <c r="AC33" s="52">
        <v>3.8</v>
      </c>
      <c r="AD33" s="11">
        <v>14000</v>
      </c>
      <c r="AE33" s="11">
        <v>3100</v>
      </c>
      <c r="AF33" s="11">
        <v>860</v>
      </c>
      <c r="AG33" s="52">
        <v>9.4E-2</v>
      </c>
      <c r="AH33" s="52" t="s">
        <v>120</v>
      </c>
      <c r="AI33" s="11">
        <v>3.8</v>
      </c>
      <c r="AJ33">
        <f t="shared" si="6"/>
        <v>674049109.29224837</v>
      </c>
      <c r="AK33">
        <f t="shared" si="7"/>
        <v>149253731.34328356</v>
      </c>
      <c r="AL33">
        <f t="shared" si="8"/>
        <v>41405873.856523834</v>
      </c>
      <c r="AM33">
        <f>AG33*1000*$K33</f>
        <v>4525.758305247954</v>
      </c>
      <c r="AO33">
        <f t="shared" si="10"/>
        <v>182956.18680789601</v>
      </c>
    </row>
    <row r="34" spans="1:41" x14ac:dyDescent="0.2">
      <c r="A34" s="11">
        <v>29</v>
      </c>
      <c r="B34" s="11" t="s">
        <v>1</v>
      </c>
      <c r="C34" s="11"/>
      <c r="D34" s="11" t="s">
        <v>150</v>
      </c>
      <c r="E34" s="11" t="s">
        <v>52</v>
      </c>
      <c r="F34" s="11" t="s">
        <v>57</v>
      </c>
      <c r="G34" s="58">
        <v>20.77</v>
      </c>
      <c r="H34" s="59">
        <v>0.9</v>
      </c>
      <c r="I34" s="40">
        <v>18.693000000000001</v>
      </c>
      <c r="J34" s="11">
        <v>900</v>
      </c>
      <c r="K34" s="81">
        <f t="shared" si="11"/>
        <v>48.146364949446316</v>
      </c>
      <c r="L34" s="24">
        <v>0.01</v>
      </c>
      <c r="M34" s="17">
        <v>7.8</v>
      </c>
      <c r="N34" s="33">
        <v>6.2</v>
      </c>
      <c r="O34" s="32">
        <f>N34-M34</f>
        <v>-1.5999999999999996</v>
      </c>
      <c r="X34">
        <v>25</v>
      </c>
      <c r="AB34" s="41"/>
      <c r="AC34" s="52">
        <v>16</v>
      </c>
      <c r="AD34" s="11">
        <v>3400</v>
      </c>
      <c r="AE34" s="11">
        <v>930</v>
      </c>
      <c r="AF34" s="11">
        <v>470</v>
      </c>
      <c r="AG34" s="52" t="s">
        <v>120</v>
      </c>
      <c r="AH34" s="52" t="s">
        <v>120</v>
      </c>
      <c r="AI34" s="11">
        <v>19</v>
      </c>
      <c r="AJ34">
        <f t="shared" si="6"/>
        <v>163697640.82811746</v>
      </c>
      <c r="AK34">
        <f t="shared" si="7"/>
        <v>44776119.402985074</v>
      </c>
      <c r="AL34">
        <f t="shared" si="8"/>
        <v>22628791.526239768</v>
      </c>
      <c r="AO34">
        <f t="shared" si="10"/>
        <v>914780.93403947994</v>
      </c>
    </row>
    <row r="35" spans="1:41" x14ac:dyDescent="0.2">
      <c r="A35" s="11">
        <v>30</v>
      </c>
      <c r="B35" s="11" t="s">
        <v>1</v>
      </c>
      <c r="C35" s="11"/>
      <c r="D35" s="11" t="s">
        <v>150</v>
      </c>
      <c r="E35" s="11" t="s">
        <v>52</v>
      </c>
      <c r="F35" s="11" t="s">
        <v>57</v>
      </c>
      <c r="G35" s="58">
        <v>20.77</v>
      </c>
      <c r="H35" s="59">
        <v>0.9</v>
      </c>
      <c r="I35" s="40">
        <v>18.693000000000001</v>
      </c>
      <c r="J35" s="11">
        <v>900</v>
      </c>
      <c r="K35" s="81">
        <f t="shared" si="11"/>
        <v>48.146364949446316</v>
      </c>
      <c r="L35" s="24">
        <v>0.01</v>
      </c>
      <c r="M35" s="17">
        <v>7.8</v>
      </c>
      <c r="N35" s="35">
        <v>7</v>
      </c>
      <c r="O35" s="32">
        <f>N35-M35</f>
        <v>-0.79999999999999982</v>
      </c>
      <c r="X35">
        <v>55</v>
      </c>
      <c r="AB35" s="41"/>
      <c r="AC35" s="52">
        <v>30</v>
      </c>
      <c r="AD35" s="11">
        <v>7600</v>
      </c>
      <c r="AE35" s="11">
        <v>2200</v>
      </c>
      <c r="AF35" s="11">
        <v>500</v>
      </c>
      <c r="AG35" s="52">
        <v>6.3E-2</v>
      </c>
      <c r="AH35" s="52">
        <v>8.8999999999999996E-2</v>
      </c>
      <c r="AI35" s="11">
        <v>17</v>
      </c>
      <c r="AJ35">
        <f>AD35*1000*$K35</f>
        <v>365912373.61579198</v>
      </c>
      <c r="AK35">
        <f t="shared" si="7"/>
        <v>105922002.88878189</v>
      </c>
      <c r="AL35">
        <f t="shared" si="8"/>
        <v>24073182.474723157</v>
      </c>
      <c r="AM35">
        <f t="shared" ref="AM35" si="13">AG35*1000*$K35</f>
        <v>3033.2209918151179</v>
      </c>
      <c r="AN35">
        <f t="shared" si="9"/>
        <v>4285.0264805007218</v>
      </c>
      <c r="AO35">
        <f t="shared" si="10"/>
        <v>818488.20414058736</v>
      </c>
    </row>
    <row r="36" spans="1:41" x14ac:dyDescent="0.2">
      <c r="A36" s="11">
        <v>31</v>
      </c>
      <c r="B36" s="11" t="s">
        <v>1</v>
      </c>
      <c r="C36" s="11"/>
      <c r="D36" s="11" t="s">
        <v>150</v>
      </c>
      <c r="E36" s="11" t="s">
        <v>52</v>
      </c>
      <c r="F36" s="11" t="s">
        <v>57</v>
      </c>
      <c r="G36" s="58">
        <v>20.77</v>
      </c>
      <c r="H36" s="59">
        <v>0.9</v>
      </c>
      <c r="I36" s="40">
        <v>18.693000000000001</v>
      </c>
      <c r="J36" s="11">
        <v>900</v>
      </c>
      <c r="K36" s="81">
        <f t="shared" si="11"/>
        <v>48.146364949446316</v>
      </c>
      <c r="L36" s="24">
        <v>0.01</v>
      </c>
      <c r="M36" s="17">
        <v>7.8</v>
      </c>
      <c r="O36" s="18"/>
      <c r="X36">
        <v>86</v>
      </c>
      <c r="AB36" s="41"/>
      <c r="AC36" s="52">
        <v>24</v>
      </c>
      <c r="AD36" s="11">
        <v>6100</v>
      </c>
      <c r="AE36" s="11">
        <v>1300</v>
      </c>
      <c r="AF36" s="11">
        <v>390</v>
      </c>
      <c r="AG36" s="52" t="s">
        <v>120</v>
      </c>
      <c r="AH36" s="52" t="s">
        <v>120</v>
      </c>
      <c r="AI36" s="11">
        <v>1.6</v>
      </c>
      <c r="AJ36">
        <f t="shared" si="6"/>
        <v>293692826.1916225</v>
      </c>
      <c r="AK36">
        <f t="shared" si="7"/>
        <v>62590274.434280209</v>
      </c>
      <c r="AL36">
        <f t="shared" si="8"/>
        <v>18777082.330284063</v>
      </c>
      <c r="AO36">
        <f t="shared" si="10"/>
        <v>77034.183919114104</v>
      </c>
    </row>
    <row r="37" spans="1:41" s="62" customFormat="1" x14ac:dyDescent="0.2">
      <c r="A37" s="62">
        <v>32</v>
      </c>
      <c r="B37" s="62" t="s">
        <v>0</v>
      </c>
      <c r="D37" s="62" t="s">
        <v>149</v>
      </c>
      <c r="E37" s="62" t="s">
        <v>31</v>
      </c>
      <c r="F37" s="62" t="s">
        <v>57</v>
      </c>
      <c r="G37" s="64">
        <v>16.98</v>
      </c>
      <c r="H37" s="65"/>
      <c r="I37" s="64">
        <v>5.234</v>
      </c>
      <c r="J37" s="11">
        <v>200</v>
      </c>
      <c r="K37" s="81">
        <f>J37/I37</f>
        <v>38.211692777990066</v>
      </c>
      <c r="L37" s="67">
        <v>1.7500000000000002E-2</v>
      </c>
      <c r="M37" s="69">
        <v>7.66</v>
      </c>
      <c r="N37" s="62">
        <v>7.66</v>
      </c>
      <c r="O37" s="69">
        <f t="shared" ref="O37:O44" si="14">N37-M37</f>
        <v>0</v>
      </c>
      <c r="P37" s="62">
        <v>32</v>
      </c>
      <c r="Q37" s="62">
        <v>111</v>
      </c>
      <c r="R37" s="62">
        <v>134</v>
      </c>
      <c r="S37" s="83">
        <f t="shared" ref="S37:S40" si="15">R37-Q37</f>
        <v>23</v>
      </c>
      <c r="AB37" s="70"/>
      <c r="AC37" s="62">
        <v>236.85</v>
      </c>
      <c r="AJ37" s="5"/>
      <c r="AK37" s="5"/>
      <c r="AL37" s="5"/>
      <c r="AM37" s="5"/>
      <c r="AN37" s="5"/>
      <c r="AO37" s="5"/>
    </row>
    <row r="38" spans="1:41" s="62" customFormat="1" x14ac:dyDescent="0.2">
      <c r="A38" s="62">
        <v>33</v>
      </c>
      <c r="B38" s="62" t="s">
        <v>0</v>
      </c>
      <c r="D38" s="62" t="s">
        <v>149</v>
      </c>
      <c r="E38" s="62" t="s">
        <v>31</v>
      </c>
      <c r="F38" s="62" t="s">
        <v>57</v>
      </c>
      <c r="G38" s="64">
        <v>16.98</v>
      </c>
      <c r="H38" s="65"/>
      <c r="I38" s="64">
        <v>4.3570000000000002</v>
      </c>
      <c r="J38" s="11">
        <v>200</v>
      </c>
      <c r="K38" s="81">
        <f t="shared" si="11"/>
        <v>45.903144365389025</v>
      </c>
      <c r="L38" s="67">
        <v>1.7500000000000002E-2</v>
      </c>
      <c r="M38" s="69">
        <v>7.66</v>
      </c>
      <c r="N38" s="62">
        <v>7.7</v>
      </c>
      <c r="O38" s="69">
        <f t="shared" si="14"/>
        <v>4.0000000000000036E-2</v>
      </c>
      <c r="P38" s="62">
        <v>33.4</v>
      </c>
      <c r="Q38" s="62">
        <v>111</v>
      </c>
      <c r="R38" s="62">
        <v>56.8</v>
      </c>
      <c r="S38" s="46">
        <f t="shared" si="15"/>
        <v>-54.2</v>
      </c>
      <c r="AB38" s="70"/>
      <c r="AC38" s="62">
        <v>228.48</v>
      </c>
      <c r="AJ38" s="5"/>
      <c r="AK38" s="5"/>
      <c r="AL38" s="5"/>
      <c r="AM38" s="5"/>
      <c r="AN38" s="5"/>
      <c r="AO38" s="5"/>
    </row>
    <row r="39" spans="1:41" s="62" customFormat="1" x14ac:dyDescent="0.2">
      <c r="A39" s="62">
        <v>34</v>
      </c>
      <c r="B39" s="62" t="s">
        <v>0</v>
      </c>
      <c r="D39" s="62" t="s">
        <v>149</v>
      </c>
      <c r="E39" s="62" t="s">
        <v>31</v>
      </c>
      <c r="F39" s="62" t="s">
        <v>57</v>
      </c>
      <c r="G39" s="64">
        <v>16.98</v>
      </c>
      <c r="H39" s="65"/>
      <c r="I39" s="64">
        <v>2.0640000000000001</v>
      </c>
      <c r="J39" s="11">
        <v>200</v>
      </c>
      <c r="K39" s="81">
        <f t="shared" si="11"/>
        <v>96.899224806201545</v>
      </c>
      <c r="L39" s="67">
        <v>1.7500000000000002E-2</v>
      </c>
      <c r="M39" s="69">
        <v>7.66</v>
      </c>
      <c r="N39" s="62">
        <v>7.59</v>
      </c>
      <c r="O39" s="69">
        <f t="shared" si="14"/>
        <v>-7.0000000000000284E-2</v>
      </c>
      <c r="P39" s="62">
        <v>35.299999999999997</v>
      </c>
      <c r="Q39" s="62">
        <v>111</v>
      </c>
      <c r="R39" s="62">
        <v>0</v>
      </c>
      <c r="S39" s="46">
        <f t="shared" si="15"/>
        <v>-111</v>
      </c>
      <c r="AB39" s="70"/>
      <c r="AC39" s="62">
        <v>222.27</v>
      </c>
      <c r="AJ39" s="5"/>
      <c r="AK39" s="5"/>
      <c r="AL39" s="5"/>
      <c r="AM39" s="5"/>
      <c r="AN39" s="5"/>
      <c r="AO39" s="5"/>
    </row>
    <row r="40" spans="1:41" s="62" customFormat="1" x14ac:dyDescent="0.2">
      <c r="A40" s="62">
        <v>35</v>
      </c>
      <c r="B40" s="62" t="s">
        <v>0</v>
      </c>
      <c r="D40" s="62" t="s">
        <v>149</v>
      </c>
      <c r="E40" s="62" t="s">
        <v>31</v>
      </c>
      <c r="F40" s="62" t="s">
        <v>57</v>
      </c>
      <c r="G40" s="64">
        <v>16.98</v>
      </c>
      <c r="H40" s="65"/>
      <c r="I40" s="64">
        <v>0.85</v>
      </c>
      <c r="J40" s="11">
        <v>200</v>
      </c>
      <c r="K40" s="66">
        <f>J40/I40</f>
        <v>235.29411764705884</v>
      </c>
      <c r="L40" s="67">
        <v>1.7500000000000002E-2</v>
      </c>
      <c r="M40" s="69">
        <v>7.66</v>
      </c>
      <c r="N40" s="62">
        <v>7.58</v>
      </c>
      <c r="O40" s="69">
        <f t="shared" si="14"/>
        <v>-8.0000000000000071E-2</v>
      </c>
      <c r="P40" s="62">
        <v>36.1</v>
      </c>
      <c r="Q40" s="62">
        <v>111</v>
      </c>
      <c r="R40" s="62">
        <v>9.4</v>
      </c>
      <c r="S40" s="46">
        <f t="shared" si="15"/>
        <v>-101.6</v>
      </c>
      <c r="AB40" s="70"/>
      <c r="AC40" s="62">
        <v>219.79</v>
      </c>
      <c r="AJ40" s="5"/>
      <c r="AK40" s="5"/>
      <c r="AL40" s="5"/>
      <c r="AM40" s="5"/>
      <c r="AN40" s="5"/>
      <c r="AO40" s="5"/>
    </row>
    <row r="41" spans="1:41" s="62" customFormat="1" x14ac:dyDescent="0.2">
      <c r="A41" s="62">
        <v>36</v>
      </c>
      <c r="B41" s="62" t="s">
        <v>0</v>
      </c>
      <c r="D41" s="62" t="s">
        <v>149</v>
      </c>
      <c r="E41" s="62" t="s">
        <v>31</v>
      </c>
      <c r="F41" s="62" t="s">
        <v>57</v>
      </c>
      <c r="H41" s="65"/>
      <c r="I41" s="64">
        <v>5.234</v>
      </c>
      <c r="J41" s="71">
        <v>200</v>
      </c>
      <c r="K41" s="72">
        <f t="shared" si="11"/>
        <v>38.211692777990066</v>
      </c>
      <c r="L41" s="67">
        <v>1.7500000000000002E-2</v>
      </c>
      <c r="M41" s="73">
        <v>7.62</v>
      </c>
      <c r="N41" s="62">
        <v>8.0500000000000007</v>
      </c>
      <c r="O41" s="69">
        <f t="shared" si="14"/>
        <v>0.4300000000000006</v>
      </c>
      <c r="T41" s="62">
        <v>0.26400000000000001</v>
      </c>
      <c r="U41" s="62">
        <v>2.29</v>
      </c>
      <c r="V41" s="69">
        <f t="shared" ref="V41:V44" si="16">U41-T41</f>
        <v>2.0259999999999998</v>
      </c>
      <c r="W41" s="82">
        <f>V41*1000*K41</f>
        <v>77416.889568207873</v>
      </c>
      <c r="X41" s="5">
        <v>5.88</v>
      </c>
      <c r="AB41" s="70"/>
      <c r="AJ41" s="5"/>
      <c r="AK41" s="5"/>
      <c r="AL41" s="5"/>
      <c r="AM41" s="5"/>
      <c r="AN41" s="5"/>
      <c r="AO41" s="5"/>
    </row>
    <row r="42" spans="1:41" s="62" customFormat="1" x14ac:dyDescent="0.2">
      <c r="A42" s="62">
        <v>37</v>
      </c>
      <c r="B42" s="62" t="s">
        <v>0</v>
      </c>
      <c r="D42" s="62" t="s">
        <v>149</v>
      </c>
      <c r="E42" s="62" t="s">
        <v>31</v>
      </c>
      <c r="F42" s="62" t="s">
        <v>57</v>
      </c>
      <c r="H42" s="65"/>
      <c r="I42" s="64">
        <v>4.3570000000000002</v>
      </c>
      <c r="J42" s="71">
        <v>200</v>
      </c>
      <c r="K42" s="72">
        <f t="shared" si="11"/>
        <v>45.903144365389025</v>
      </c>
      <c r="L42" s="67">
        <v>1.7500000000000002E-2</v>
      </c>
      <c r="M42" s="73">
        <v>7.62</v>
      </c>
      <c r="N42" s="62">
        <v>8.2200000000000006</v>
      </c>
      <c r="O42" s="69">
        <f t="shared" si="14"/>
        <v>0.60000000000000053</v>
      </c>
      <c r="T42" s="62">
        <v>0.26400000000000001</v>
      </c>
      <c r="U42" s="62">
        <v>4.0199999999999996</v>
      </c>
      <c r="V42" s="69">
        <f t="shared" si="16"/>
        <v>3.7559999999999993</v>
      </c>
      <c r="W42" s="82">
        <f>V42*1000*K42</f>
        <v>172412.21023640115</v>
      </c>
      <c r="X42" s="62">
        <v>8.1</v>
      </c>
      <c r="AB42" s="70"/>
      <c r="AJ42" s="5"/>
      <c r="AK42" s="5"/>
      <c r="AL42" s="5"/>
      <c r="AM42" s="5"/>
      <c r="AN42" s="5"/>
      <c r="AO42" s="5"/>
    </row>
    <row r="43" spans="1:41" s="62" customFormat="1" x14ac:dyDescent="0.2">
      <c r="A43" s="62">
        <v>38</v>
      </c>
      <c r="B43" s="62" t="s">
        <v>0</v>
      </c>
      <c r="D43" s="62" t="s">
        <v>149</v>
      </c>
      <c r="E43" s="62" t="s">
        <v>31</v>
      </c>
      <c r="F43" s="62" t="s">
        <v>57</v>
      </c>
      <c r="H43" s="65"/>
      <c r="I43" s="64">
        <v>2.0640000000000001</v>
      </c>
      <c r="J43" s="71">
        <v>200</v>
      </c>
      <c r="K43" s="72">
        <f t="shared" si="11"/>
        <v>96.899224806201545</v>
      </c>
      <c r="L43" s="67">
        <v>1.7500000000000002E-2</v>
      </c>
      <c r="M43" s="73">
        <v>7.62</v>
      </c>
      <c r="N43" s="62">
        <v>8</v>
      </c>
      <c r="O43" s="69">
        <f t="shared" si="14"/>
        <v>0.37999999999999989</v>
      </c>
      <c r="T43" s="62">
        <v>0.26400000000000001</v>
      </c>
      <c r="U43" s="62">
        <v>3.95</v>
      </c>
      <c r="V43" s="69">
        <f t="shared" si="16"/>
        <v>3.6859999999999999</v>
      </c>
      <c r="W43" s="82">
        <f>V43*1000*K43</f>
        <v>357170.54263565887</v>
      </c>
      <c r="X43" s="62">
        <v>8.36</v>
      </c>
      <c r="AB43" s="70"/>
      <c r="AJ43" s="5"/>
      <c r="AK43" s="5"/>
      <c r="AL43" s="5"/>
      <c r="AM43" s="5"/>
      <c r="AN43" s="5"/>
      <c r="AO43" s="5"/>
    </row>
    <row r="44" spans="1:41" s="62" customFormat="1" x14ac:dyDescent="0.2">
      <c r="A44" s="62">
        <v>39</v>
      </c>
      <c r="B44" s="62" t="s">
        <v>0</v>
      </c>
      <c r="D44" s="62" t="s">
        <v>149</v>
      </c>
      <c r="E44" s="62" t="s">
        <v>31</v>
      </c>
      <c r="F44" s="62" t="s">
        <v>57</v>
      </c>
      <c r="H44" s="65"/>
      <c r="I44" s="64">
        <v>0.85</v>
      </c>
      <c r="J44" s="71">
        <v>200</v>
      </c>
      <c r="K44" s="72">
        <f t="shared" si="11"/>
        <v>235.29411764705884</v>
      </c>
      <c r="L44" s="67">
        <v>1.7500000000000002E-2</v>
      </c>
      <c r="M44" s="73">
        <v>7.62</v>
      </c>
      <c r="N44" s="62">
        <v>8.15</v>
      </c>
      <c r="O44" s="69">
        <f t="shared" si="14"/>
        <v>0.53000000000000025</v>
      </c>
      <c r="T44" s="62">
        <v>0.26400000000000001</v>
      </c>
      <c r="U44" s="62">
        <v>3.77</v>
      </c>
      <c r="V44" s="69">
        <f t="shared" si="16"/>
        <v>3.5060000000000002</v>
      </c>
      <c r="W44" s="82">
        <f>V44*1000*K44</f>
        <v>824941.17647058831</v>
      </c>
      <c r="X44" s="62">
        <v>9.08</v>
      </c>
      <c r="AB44" s="70"/>
      <c r="AJ44" s="5"/>
      <c r="AK44" s="5"/>
      <c r="AL44" s="5"/>
      <c r="AM44" s="5"/>
      <c r="AN44" s="5"/>
      <c r="AO44" s="5"/>
    </row>
    <row r="45" spans="1:41" s="62" customFormat="1" x14ac:dyDescent="0.2">
      <c r="A45" s="62">
        <v>40</v>
      </c>
      <c r="B45" s="62" t="s">
        <v>121</v>
      </c>
      <c r="D45" s="62">
        <v>1</v>
      </c>
      <c r="E45" s="62" t="s">
        <v>52</v>
      </c>
      <c r="F45" s="62" t="s">
        <v>57</v>
      </c>
      <c r="I45" s="64">
        <v>0.55249999999999999</v>
      </c>
      <c r="L45" s="68">
        <v>1.49E-2</v>
      </c>
      <c r="N45" s="62">
        <v>6.75</v>
      </c>
      <c r="Y45" s="62">
        <v>0</v>
      </c>
      <c r="Z45" s="62">
        <v>3.9</v>
      </c>
      <c r="AA45" s="62">
        <v>3.9</v>
      </c>
      <c r="AB45" s="70"/>
      <c r="AC45" s="74">
        <v>13</v>
      </c>
      <c r="AD45" s="74">
        <v>5500</v>
      </c>
      <c r="AE45" s="74">
        <v>1100</v>
      </c>
      <c r="AF45" s="74">
        <v>790</v>
      </c>
      <c r="AG45" s="74" t="s">
        <v>36</v>
      </c>
      <c r="AH45" s="74" t="s">
        <v>122</v>
      </c>
      <c r="AI45" s="74" t="s">
        <v>40</v>
      </c>
      <c r="AJ45" s="5"/>
      <c r="AK45" s="5"/>
      <c r="AL45" s="5"/>
      <c r="AM45" s="5"/>
      <c r="AN45" s="5"/>
      <c r="AO45" s="5"/>
    </row>
    <row r="46" spans="1:41" x14ac:dyDescent="0.2">
      <c r="A46">
        <v>41</v>
      </c>
      <c r="B46" t="s">
        <v>121</v>
      </c>
      <c r="D46">
        <v>1</v>
      </c>
      <c r="E46" t="s">
        <v>52</v>
      </c>
      <c r="F46" t="s">
        <v>57</v>
      </c>
      <c r="I46" s="40">
        <v>11.782</v>
      </c>
      <c r="K46">
        <v>1</v>
      </c>
      <c r="L46" s="14">
        <v>1.49E-2</v>
      </c>
      <c r="M46"/>
      <c r="N46" s="33">
        <v>3.5</v>
      </c>
      <c r="Y46">
        <v>0</v>
      </c>
      <c r="Z46">
        <v>6.7</v>
      </c>
      <c r="AA46">
        <v>6.7</v>
      </c>
      <c r="AB46" s="38">
        <f>AA46*1000*K46</f>
        <v>6700</v>
      </c>
      <c r="AC46" s="56">
        <v>18</v>
      </c>
      <c r="AD46" s="56">
        <v>7000</v>
      </c>
      <c r="AE46" s="56">
        <v>1500</v>
      </c>
      <c r="AF46" s="56">
        <v>1200</v>
      </c>
      <c r="AG46" s="56" t="s">
        <v>36</v>
      </c>
      <c r="AH46" s="56" t="s">
        <v>122</v>
      </c>
      <c r="AI46" s="56" t="s">
        <v>40</v>
      </c>
      <c r="AJ46">
        <f t="shared" si="6"/>
        <v>7000000</v>
      </c>
      <c r="AK46">
        <f t="shared" si="7"/>
        <v>1500000</v>
      </c>
      <c r="AL46">
        <f t="shared" si="8"/>
        <v>1200000</v>
      </c>
    </row>
    <row r="47" spans="1:41" x14ac:dyDescent="0.2">
      <c r="A47">
        <v>42</v>
      </c>
      <c r="B47" t="s">
        <v>121</v>
      </c>
      <c r="D47">
        <v>1</v>
      </c>
      <c r="E47" t="s">
        <v>52</v>
      </c>
      <c r="F47" t="s">
        <v>45</v>
      </c>
      <c r="I47" s="40">
        <v>11.718</v>
      </c>
      <c r="K47">
        <v>48</v>
      </c>
      <c r="L47" s="14">
        <v>1.49E-2</v>
      </c>
      <c r="M47">
        <v>7.75</v>
      </c>
      <c r="N47" s="33">
        <v>3.8</v>
      </c>
      <c r="O47" s="33">
        <v>-3.95</v>
      </c>
      <c r="Y47">
        <v>0</v>
      </c>
      <c r="Z47">
        <v>0.71</v>
      </c>
      <c r="AA47">
        <v>0.71</v>
      </c>
      <c r="AB47" s="38">
        <f>AA47*1000*K47</f>
        <v>34080</v>
      </c>
      <c r="AC47" s="56">
        <v>2.1</v>
      </c>
      <c r="AD47" s="56">
        <v>970</v>
      </c>
      <c r="AE47" s="56">
        <v>180</v>
      </c>
      <c r="AF47" s="56">
        <v>100</v>
      </c>
      <c r="AG47" s="56" t="s">
        <v>36</v>
      </c>
      <c r="AH47" s="56" t="s">
        <v>122</v>
      </c>
      <c r="AI47" s="56">
        <v>17</v>
      </c>
      <c r="AJ47">
        <f t="shared" si="6"/>
        <v>46560000</v>
      </c>
      <c r="AK47">
        <f t="shared" si="7"/>
        <v>8640000</v>
      </c>
      <c r="AL47">
        <f t="shared" si="8"/>
        <v>4800000</v>
      </c>
      <c r="AO47">
        <f t="shared" si="10"/>
        <v>816000</v>
      </c>
    </row>
    <row r="48" spans="1:41" x14ac:dyDescent="0.2">
      <c r="A48">
        <v>43</v>
      </c>
      <c r="B48" t="s">
        <v>121</v>
      </c>
      <c r="D48">
        <v>1</v>
      </c>
      <c r="E48" t="s">
        <v>52</v>
      </c>
      <c r="F48" t="s">
        <v>45</v>
      </c>
      <c r="I48" s="40">
        <v>11.718</v>
      </c>
      <c r="L48" s="14">
        <v>1.49E-2</v>
      </c>
      <c r="M48">
        <v>7.75</v>
      </c>
      <c r="N48" s="33">
        <v>3.85</v>
      </c>
      <c r="O48" s="33">
        <v>-3.9</v>
      </c>
      <c r="Y48">
        <v>0</v>
      </c>
      <c r="Z48">
        <v>0.8</v>
      </c>
      <c r="AA48">
        <v>0.8</v>
      </c>
      <c r="AB48" s="51"/>
      <c r="AC48" s="56">
        <v>2.1</v>
      </c>
      <c r="AD48" s="56">
        <v>550</v>
      </c>
      <c r="AE48" s="56">
        <v>96</v>
      </c>
      <c r="AF48" s="56">
        <v>70</v>
      </c>
      <c r="AG48" s="56" t="s">
        <v>36</v>
      </c>
      <c r="AH48" s="56" t="s">
        <v>122</v>
      </c>
      <c r="AI48" s="56">
        <v>12</v>
      </c>
    </row>
    <row r="49" spans="1:41" x14ac:dyDescent="0.2">
      <c r="A49">
        <v>44</v>
      </c>
      <c r="B49" t="s">
        <v>121</v>
      </c>
      <c r="D49">
        <v>2</v>
      </c>
      <c r="E49" t="s">
        <v>39</v>
      </c>
      <c r="F49" t="s">
        <v>45</v>
      </c>
      <c r="I49" s="40">
        <v>12.6</v>
      </c>
      <c r="K49">
        <v>59</v>
      </c>
      <c r="L49" s="14">
        <v>1.1299999999999999E-2</v>
      </c>
      <c r="M49">
        <v>7.7</v>
      </c>
      <c r="N49" s="33">
        <v>5.9</v>
      </c>
      <c r="O49" s="35">
        <v>-1.8</v>
      </c>
      <c r="Y49">
        <v>0</v>
      </c>
      <c r="Z49">
        <v>1.4</v>
      </c>
      <c r="AA49">
        <v>1.4</v>
      </c>
      <c r="AB49" s="38">
        <f>AA49*1000*K49</f>
        <v>82600</v>
      </c>
      <c r="AC49" s="56" t="s">
        <v>47</v>
      </c>
      <c r="AD49" s="56">
        <v>130</v>
      </c>
      <c r="AE49" s="56">
        <v>50</v>
      </c>
      <c r="AF49" s="56">
        <v>10</v>
      </c>
      <c r="AG49" s="56" t="s">
        <v>46</v>
      </c>
      <c r="AI49" s="56">
        <v>3.8</v>
      </c>
      <c r="AJ49">
        <f t="shared" si="6"/>
        <v>7670000</v>
      </c>
      <c r="AK49">
        <f t="shared" si="7"/>
        <v>2950000</v>
      </c>
      <c r="AL49">
        <f t="shared" si="8"/>
        <v>590000</v>
      </c>
      <c r="AO49">
        <f t="shared" si="10"/>
        <v>224200</v>
      </c>
    </row>
    <row r="50" spans="1:41" x14ac:dyDescent="0.2">
      <c r="A50">
        <v>45</v>
      </c>
      <c r="B50" t="s">
        <v>121</v>
      </c>
      <c r="D50">
        <v>2</v>
      </c>
      <c r="E50" t="s">
        <v>39</v>
      </c>
      <c r="F50" t="s">
        <v>45</v>
      </c>
      <c r="I50" s="40">
        <v>6.0060000000000002</v>
      </c>
      <c r="K50">
        <v>145</v>
      </c>
      <c r="L50" s="14">
        <v>1.1299999999999999E-2</v>
      </c>
      <c r="M50">
        <v>7.8</v>
      </c>
      <c r="N50" s="35">
        <v>6.6</v>
      </c>
      <c r="O50" s="35">
        <v>-1.2</v>
      </c>
      <c r="Y50">
        <v>0</v>
      </c>
      <c r="Z50">
        <v>1</v>
      </c>
      <c r="AA50">
        <v>1</v>
      </c>
      <c r="AB50" s="38">
        <f>AA50*1000*K50</f>
        <v>145000</v>
      </c>
      <c r="AC50" s="56" t="s">
        <v>48</v>
      </c>
      <c r="AD50" s="56">
        <v>75</v>
      </c>
      <c r="AE50" s="56">
        <v>33</v>
      </c>
      <c r="AF50" s="56">
        <v>15</v>
      </c>
      <c r="AG50" s="56" t="s">
        <v>46</v>
      </c>
      <c r="AI50" s="56">
        <v>8.3000000000000007</v>
      </c>
      <c r="AJ50">
        <f t="shared" si="6"/>
        <v>10875000</v>
      </c>
      <c r="AK50">
        <f t="shared" si="7"/>
        <v>4785000</v>
      </c>
      <c r="AL50">
        <f t="shared" si="8"/>
        <v>2175000</v>
      </c>
      <c r="AO50">
        <f t="shared" si="10"/>
        <v>1203500</v>
      </c>
    </row>
    <row r="51" spans="1:41" x14ac:dyDescent="0.2">
      <c r="A51">
        <v>46</v>
      </c>
      <c r="B51" t="s">
        <v>121</v>
      </c>
      <c r="D51">
        <v>2</v>
      </c>
      <c r="E51" t="s">
        <v>39</v>
      </c>
      <c r="F51" t="s">
        <v>45</v>
      </c>
      <c r="I51" s="40">
        <v>5.1100000000000003</v>
      </c>
      <c r="K51">
        <v>146</v>
      </c>
      <c r="L51" s="14">
        <v>1.1299999999999999E-2</v>
      </c>
      <c r="M51">
        <v>7.5</v>
      </c>
      <c r="N51" s="35">
        <v>6.6</v>
      </c>
      <c r="O51" s="35">
        <v>-0.9</v>
      </c>
      <c r="Y51">
        <v>0</v>
      </c>
      <c r="Z51">
        <v>1.6</v>
      </c>
      <c r="AA51">
        <v>1.6</v>
      </c>
      <c r="AB51" s="38">
        <f>AA51*1000*K51</f>
        <v>233600</v>
      </c>
      <c r="AC51" s="56" t="s">
        <v>49</v>
      </c>
      <c r="AD51" s="56">
        <v>30</v>
      </c>
      <c r="AE51" s="56">
        <v>14</v>
      </c>
      <c r="AF51" s="56">
        <v>9.4</v>
      </c>
      <c r="AG51" s="56" t="s">
        <v>46</v>
      </c>
      <c r="AI51" s="56">
        <v>2.1</v>
      </c>
      <c r="AJ51">
        <f t="shared" si="6"/>
        <v>4380000</v>
      </c>
      <c r="AK51">
        <f t="shared" si="7"/>
        <v>2044000</v>
      </c>
      <c r="AL51">
        <f t="shared" si="8"/>
        <v>1372400</v>
      </c>
      <c r="AO51">
        <f t="shared" si="10"/>
        <v>306600</v>
      </c>
    </row>
    <row r="52" spans="1:41" x14ac:dyDescent="0.2">
      <c r="A52">
        <v>47</v>
      </c>
      <c r="B52" t="s">
        <v>123</v>
      </c>
      <c r="D52">
        <v>3</v>
      </c>
      <c r="E52" t="s">
        <v>52</v>
      </c>
      <c r="F52" t="s">
        <v>45</v>
      </c>
      <c r="L52" s="14">
        <v>1.7500000000000002E-2</v>
      </c>
      <c r="M52">
        <v>7.25</v>
      </c>
      <c r="N52" s="33">
        <v>3.3</v>
      </c>
      <c r="O52" s="33">
        <v>-3.95</v>
      </c>
      <c r="AC52" s="56"/>
      <c r="AD52" s="56">
        <v>250</v>
      </c>
      <c r="AE52" s="56">
        <v>69</v>
      </c>
      <c r="AF52" s="56">
        <v>45</v>
      </c>
      <c r="AG52" s="56" t="s">
        <v>36</v>
      </c>
      <c r="AH52" s="56" t="s">
        <v>124</v>
      </c>
      <c r="AI52" s="56" t="s">
        <v>40</v>
      </c>
    </row>
    <row r="53" spans="1:41" x14ac:dyDescent="0.2">
      <c r="A53">
        <v>48</v>
      </c>
      <c r="B53" t="s">
        <v>123</v>
      </c>
      <c r="D53">
        <v>3</v>
      </c>
      <c r="E53" t="s">
        <v>52</v>
      </c>
      <c r="F53" t="s">
        <v>45</v>
      </c>
      <c r="L53" s="14">
        <v>1.7500000000000002E-2</v>
      </c>
      <c r="M53">
        <v>7.7</v>
      </c>
      <c r="N53" s="33">
        <v>5.55</v>
      </c>
      <c r="O53" s="33">
        <v>-2.15</v>
      </c>
      <c r="AC53" s="56"/>
      <c r="AD53" s="56">
        <v>22</v>
      </c>
      <c r="AE53" s="56" t="s">
        <v>50</v>
      </c>
      <c r="AF53" s="56" t="s">
        <v>50</v>
      </c>
      <c r="AG53" s="56" t="s">
        <v>41</v>
      </c>
      <c r="AH53" s="56" t="s">
        <v>11</v>
      </c>
      <c r="AI53" s="56" t="s">
        <v>50</v>
      </c>
    </row>
    <row r="54" spans="1:41" x14ac:dyDescent="0.2">
      <c r="A54">
        <v>49</v>
      </c>
      <c r="B54" t="s">
        <v>123</v>
      </c>
      <c r="D54">
        <v>3</v>
      </c>
      <c r="E54" t="s">
        <v>52</v>
      </c>
      <c r="F54" t="s">
        <v>57</v>
      </c>
      <c r="L54" s="14">
        <v>1.7500000000000002E-2</v>
      </c>
      <c r="M54"/>
      <c r="N54" s="35">
        <v>8</v>
      </c>
      <c r="AC54" s="56"/>
      <c r="AD54" s="56">
        <v>240</v>
      </c>
      <c r="AE54" s="56">
        <v>1700</v>
      </c>
      <c r="AF54" s="56">
        <v>1700</v>
      </c>
      <c r="AG54" s="56" t="s">
        <v>41</v>
      </c>
      <c r="AH54" s="56" t="s">
        <v>124</v>
      </c>
      <c r="AI54" s="56" t="s">
        <v>50</v>
      </c>
    </row>
    <row r="55" spans="1:41" x14ac:dyDescent="0.2">
      <c r="A55">
        <v>50</v>
      </c>
      <c r="B55" t="s">
        <v>123</v>
      </c>
      <c r="D55">
        <v>3</v>
      </c>
      <c r="E55" t="s">
        <v>52</v>
      </c>
      <c r="F55" t="s">
        <v>57</v>
      </c>
      <c r="L55" s="14">
        <v>1.7500000000000002E-2</v>
      </c>
      <c r="M55"/>
      <c r="N55" s="35">
        <v>7.6</v>
      </c>
      <c r="AC55" s="56"/>
      <c r="AD55" s="56">
        <v>240</v>
      </c>
      <c r="AE55" s="56">
        <v>3600</v>
      </c>
      <c r="AF55" s="56">
        <v>1900</v>
      </c>
      <c r="AG55" s="56" t="s">
        <v>41</v>
      </c>
      <c r="AH55" s="56" t="s">
        <v>124</v>
      </c>
      <c r="AI55" s="56" t="s">
        <v>50</v>
      </c>
    </row>
    <row r="56" spans="1:41" x14ac:dyDescent="0.2">
      <c r="A56">
        <v>51</v>
      </c>
      <c r="B56" t="s">
        <v>123</v>
      </c>
      <c r="D56">
        <v>3</v>
      </c>
      <c r="E56" t="s">
        <v>52</v>
      </c>
      <c r="F56" t="s">
        <v>57</v>
      </c>
      <c r="L56" s="14">
        <v>1.7500000000000002E-2</v>
      </c>
      <c r="M56"/>
      <c r="N56" s="35">
        <v>6.95</v>
      </c>
      <c r="AC56" s="56"/>
      <c r="AD56" s="56">
        <v>220</v>
      </c>
      <c r="AE56" s="56">
        <v>4800</v>
      </c>
      <c r="AF56" s="56">
        <v>1100</v>
      </c>
      <c r="AG56" s="56" t="s">
        <v>41</v>
      </c>
      <c r="AH56" s="56" t="s">
        <v>124</v>
      </c>
      <c r="AI56" s="56" t="s">
        <v>50</v>
      </c>
    </row>
    <row r="57" spans="1:41" x14ac:dyDescent="0.2">
      <c r="A57">
        <v>52</v>
      </c>
      <c r="B57" t="s">
        <v>123</v>
      </c>
      <c r="D57">
        <v>3</v>
      </c>
      <c r="E57" t="s">
        <v>52</v>
      </c>
      <c r="F57" t="s">
        <v>57</v>
      </c>
      <c r="L57" s="14">
        <v>1.7500000000000002E-2</v>
      </c>
      <c r="M57"/>
      <c r="N57" s="35">
        <v>8.1999999999999993</v>
      </c>
      <c r="AC57" s="56"/>
      <c r="AD57" s="56">
        <v>3000</v>
      </c>
      <c r="AE57" s="56">
        <v>390</v>
      </c>
      <c r="AF57" s="56">
        <v>420</v>
      </c>
      <c r="AG57" s="56" t="s">
        <v>41</v>
      </c>
      <c r="AH57" s="56" t="s">
        <v>11</v>
      </c>
      <c r="AI57" s="56" t="s">
        <v>50</v>
      </c>
    </row>
    <row r="58" spans="1:41" x14ac:dyDescent="0.2">
      <c r="A58">
        <v>53</v>
      </c>
      <c r="B58" t="s">
        <v>123</v>
      </c>
      <c r="D58">
        <v>4</v>
      </c>
      <c r="E58" t="s">
        <v>39</v>
      </c>
      <c r="F58" t="s">
        <v>45</v>
      </c>
      <c r="L58" s="14"/>
      <c r="M58">
        <v>7.9</v>
      </c>
      <c r="N58" s="33">
        <v>6</v>
      </c>
      <c r="O58" s="35">
        <v>-1.9</v>
      </c>
      <c r="Y58">
        <v>0</v>
      </c>
      <c r="Z58">
        <v>0.7</v>
      </c>
      <c r="AA58">
        <v>0.7</v>
      </c>
      <c r="AC58" s="56"/>
      <c r="AD58" s="56"/>
      <c r="AE58" s="56" t="s">
        <v>40</v>
      </c>
      <c r="AF58" s="56" t="s">
        <v>40</v>
      </c>
      <c r="AG58" s="56" t="s">
        <v>40</v>
      </c>
      <c r="AI58" s="56" t="s">
        <v>40</v>
      </c>
    </row>
    <row r="59" spans="1:41" x14ac:dyDescent="0.2">
      <c r="A59">
        <v>54</v>
      </c>
      <c r="B59" t="s">
        <v>123</v>
      </c>
      <c r="D59">
        <v>5</v>
      </c>
      <c r="E59" t="s">
        <v>39</v>
      </c>
      <c r="F59" t="s">
        <v>45</v>
      </c>
      <c r="L59" s="14"/>
      <c r="M59">
        <v>7.27</v>
      </c>
      <c r="N59" s="33">
        <v>6.33</v>
      </c>
      <c r="O59" s="35">
        <v>-0.94</v>
      </c>
      <c r="Y59">
        <v>0</v>
      </c>
      <c r="Z59">
        <v>0.86</v>
      </c>
      <c r="AA59">
        <v>0.86</v>
      </c>
      <c r="AC59" s="56">
        <v>2.2400000000000002</v>
      </c>
      <c r="AE59" s="56">
        <v>20</v>
      </c>
      <c r="AF59" s="56" t="s">
        <v>40</v>
      </c>
      <c r="AG59" s="56" t="s">
        <v>40</v>
      </c>
      <c r="AI59" s="56" t="s">
        <v>40</v>
      </c>
    </row>
    <row r="60" spans="1:41" x14ac:dyDescent="0.2">
      <c r="A60">
        <v>55</v>
      </c>
      <c r="B60" t="s">
        <v>123</v>
      </c>
      <c r="D60">
        <v>5</v>
      </c>
      <c r="E60" t="s">
        <v>39</v>
      </c>
      <c r="F60" t="s">
        <v>45</v>
      </c>
      <c r="L60" s="14"/>
      <c r="M60">
        <v>7.27</v>
      </c>
      <c r="N60" s="33">
        <v>6.34</v>
      </c>
      <c r="O60" s="35">
        <v>-0.93</v>
      </c>
      <c r="Y60">
        <v>0</v>
      </c>
      <c r="Z60">
        <v>0.79</v>
      </c>
      <c r="AA60">
        <v>0.79</v>
      </c>
      <c r="AC60" s="56">
        <v>2.42</v>
      </c>
      <c r="AE60" s="56">
        <v>40</v>
      </c>
      <c r="AF60" s="56" t="s">
        <v>40</v>
      </c>
      <c r="AG60" s="56" t="s">
        <v>40</v>
      </c>
      <c r="AI60" s="56" t="s">
        <v>40</v>
      </c>
    </row>
    <row r="61" spans="1:41" x14ac:dyDescent="0.2">
      <c r="A61">
        <v>56</v>
      </c>
      <c r="B61" t="s">
        <v>123</v>
      </c>
      <c r="D61">
        <v>5</v>
      </c>
      <c r="E61" t="s">
        <v>39</v>
      </c>
      <c r="F61" t="s">
        <v>45</v>
      </c>
      <c r="L61" s="14"/>
      <c r="M61">
        <v>7.27</v>
      </c>
      <c r="N61" s="33">
        <v>6.36</v>
      </c>
      <c r="O61" s="35">
        <v>-0.91</v>
      </c>
      <c r="Y61">
        <v>0</v>
      </c>
      <c r="Z61">
        <v>0.56000000000000005</v>
      </c>
      <c r="AA61">
        <v>0.56000000000000005</v>
      </c>
      <c r="AC61" s="56">
        <v>1.99</v>
      </c>
      <c r="AE61" s="56">
        <v>10</v>
      </c>
      <c r="AF61" s="56">
        <v>10</v>
      </c>
      <c r="AG61" s="56" t="s">
        <v>40</v>
      </c>
      <c r="AI61" s="56">
        <v>10</v>
      </c>
    </row>
    <row r="62" spans="1:41" x14ac:dyDescent="0.2">
      <c r="A62">
        <v>57</v>
      </c>
      <c r="B62" t="s">
        <v>125</v>
      </c>
      <c r="D62" t="s">
        <v>51</v>
      </c>
      <c r="E62" t="s">
        <v>52</v>
      </c>
      <c r="F62" t="s">
        <v>45</v>
      </c>
      <c r="I62">
        <v>10.8</v>
      </c>
      <c r="K62">
        <v>152</v>
      </c>
      <c r="L62" s="14">
        <v>2.35E-2</v>
      </c>
      <c r="M62"/>
      <c r="Y62">
        <v>0</v>
      </c>
      <c r="Z62">
        <v>0.62</v>
      </c>
      <c r="AA62">
        <v>0.62</v>
      </c>
      <c r="AB62" s="38">
        <f>AA62*1000*K62</f>
        <v>94240</v>
      </c>
      <c r="AC62" s="56">
        <v>4.67</v>
      </c>
      <c r="AD62" s="56">
        <v>500</v>
      </c>
      <c r="AE62" s="56">
        <v>130</v>
      </c>
      <c r="AF62" s="56">
        <v>80</v>
      </c>
      <c r="AG62" s="56" t="s">
        <v>41</v>
      </c>
      <c r="AH62" s="56" t="s">
        <v>122</v>
      </c>
      <c r="AI62" s="56">
        <v>90</v>
      </c>
      <c r="AJ62">
        <f t="shared" si="6"/>
        <v>76000000</v>
      </c>
      <c r="AK62">
        <f t="shared" si="7"/>
        <v>19760000</v>
      </c>
      <c r="AL62">
        <f t="shared" si="8"/>
        <v>12160000</v>
      </c>
      <c r="AO62">
        <f t="shared" si="10"/>
        <v>13680000</v>
      </c>
    </row>
    <row r="63" spans="1:41" x14ac:dyDescent="0.2">
      <c r="A63">
        <v>58</v>
      </c>
      <c r="B63" t="s">
        <v>125</v>
      </c>
      <c r="D63" t="s">
        <v>54</v>
      </c>
      <c r="E63" t="s">
        <v>52</v>
      </c>
      <c r="F63" t="s">
        <v>45</v>
      </c>
      <c r="I63">
        <v>10.8</v>
      </c>
      <c r="K63">
        <v>108</v>
      </c>
      <c r="L63" s="14">
        <v>2.87E-2</v>
      </c>
      <c r="M63"/>
      <c r="Y63">
        <v>0</v>
      </c>
      <c r="Z63">
        <v>1</v>
      </c>
      <c r="AA63">
        <v>1</v>
      </c>
      <c r="AB63" s="38">
        <f>AA63*1000*K63</f>
        <v>108000</v>
      </c>
      <c r="AC63" s="56">
        <v>8.8699999999999992</v>
      </c>
      <c r="AD63" s="56">
        <v>300</v>
      </c>
      <c r="AE63" s="56">
        <v>90</v>
      </c>
      <c r="AF63" s="56">
        <v>30</v>
      </c>
      <c r="AG63" s="56" t="s">
        <v>41</v>
      </c>
      <c r="AH63" s="56" t="s">
        <v>122</v>
      </c>
      <c r="AI63" s="56">
        <v>120</v>
      </c>
      <c r="AJ63">
        <f t="shared" si="6"/>
        <v>32400000</v>
      </c>
      <c r="AK63">
        <f t="shared" si="7"/>
        <v>9720000</v>
      </c>
      <c r="AL63">
        <f t="shared" si="8"/>
        <v>3240000</v>
      </c>
      <c r="AO63">
        <f t="shared" si="10"/>
        <v>12960000</v>
      </c>
    </row>
    <row r="64" spans="1:41" x14ac:dyDescent="0.2">
      <c r="A64">
        <v>59</v>
      </c>
      <c r="B64" t="s">
        <v>125</v>
      </c>
      <c r="D64" t="s">
        <v>54</v>
      </c>
      <c r="E64" t="s">
        <v>52</v>
      </c>
      <c r="F64" t="s">
        <v>45</v>
      </c>
      <c r="I64">
        <v>10.8</v>
      </c>
      <c r="K64">
        <v>156</v>
      </c>
      <c r="L64" s="14">
        <v>2.87E-2</v>
      </c>
      <c r="M64"/>
      <c r="Y64">
        <v>0</v>
      </c>
      <c r="Z64">
        <v>1</v>
      </c>
      <c r="AA64">
        <v>1</v>
      </c>
      <c r="AB64" s="38">
        <f>AA64*1000*K64</f>
        <v>156000</v>
      </c>
      <c r="AC64" s="56">
        <v>7.22</v>
      </c>
      <c r="AD64" s="56">
        <v>130</v>
      </c>
      <c r="AE64" s="56">
        <v>30</v>
      </c>
      <c r="AF64" s="56" t="s">
        <v>40</v>
      </c>
      <c r="AG64" s="56" t="s">
        <v>41</v>
      </c>
      <c r="AH64" s="56" t="s">
        <v>122</v>
      </c>
      <c r="AI64" s="56" t="s">
        <v>53</v>
      </c>
      <c r="AJ64">
        <f t="shared" si="6"/>
        <v>20280000</v>
      </c>
      <c r="AK64">
        <f t="shared" si="7"/>
        <v>4680000</v>
      </c>
    </row>
    <row r="65" spans="1:38" x14ac:dyDescent="0.2">
      <c r="A65">
        <v>60</v>
      </c>
      <c r="B65" t="s">
        <v>125</v>
      </c>
      <c r="D65" t="s">
        <v>55</v>
      </c>
      <c r="E65" t="s">
        <v>52</v>
      </c>
      <c r="F65" t="s">
        <v>45</v>
      </c>
      <c r="I65">
        <v>8.4</v>
      </c>
      <c r="K65">
        <v>60</v>
      </c>
      <c r="L65" s="14">
        <v>2.12E-2</v>
      </c>
      <c r="M65"/>
      <c r="Y65">
        <v>0</v>
      </c>
      <c r="Z65">
        <v>0.39</v>
      </c>
      <c r="AA65">
        <v>0.39</v>
      </c>
      <c r="AB65" s="38">
        <f>AA65*1000*K65</f>
        <v>23400</v>
      </c>
      <c r="AC65" s="56">
        <v>1.36</v>
      </c>
      <c r="AD65" s="56">
        <v>100</v>
      </c>
      <c r="AE65" s="56">
        <v>30</v>
      </c>
      <c r="AF65" s="56" t="s">
        <v>40</v>
      </c>
      <c r="AG65" s="56" t="s">
        <v>41</v>
      </c>
      <c r="AH65" s="56" t="s">
        <v>122</v>
      </c>
      <c r="AI65" s="56" t="s">
        <v>53</v>
      </c>
      <c r="AJ65">
        <f t="shared" si="6"/>
        <v>6000000</v>
      </c>
      <c r="AK65">
        <f t="shared" si="7"/>
        <v>1800000</v>
      </c>
    </row>
    <row r="66" spans="1:38" x14ac:dyDescent="0.2">
      <c r="A66">
        <v>61</v>
      </c>
      <c r="B66" t="s">
        <v>125</v>
      </c>
      <c r="D66" t="s">
        <v>56</v>
      </c>
      <c r="E66" t="s">
        <v>52</v>
      </c>
      <c r="F66" t="s">
        <v>57</v>
      </c>
      <c r="I66">
        <v>8.4</v>
      </c>
      <c r="K66">
        <v>1</v>
      </c>
      <c r="L66" s="14">
        <v>2.3800000000000002E-2</v>
      </c>
      <c r="M66"/>
      <c r="Y66">
        <v>0</v>
      </c>
      <c r="Z66">
        <v>2.2000000000000002</v>
      </c>
      <c r="AA66">
        <v>2.2000000000000002</v>
      </c>
      <c r="AB66" s="38">
        <f>AA66*1000*K66</f>
        <v>2200</v>
      </c>
      <c r="AC66" s="56">
        <v>5.09</v>
      </c>
      <c r="AD66" s="56">
        <v>14000</v>
      </c>
      <c r="AE66" s="56">
        <v>4300</v>
      </c>
      <c r="AF66" s="56">
        <v>30</v>
      </c>
      <c r="AG66" s="56" t="s">
        <v>41</v>
      </c>
      <c r="AH66" s="56" t="s">
        <v>122</v>
      </c>
      <c r="AI66" s="56" t="s">
        <v>53</v>
      </c>
      <c r="AJ66">
        <f t="shared" si="6"/>
        <v>14000000</v>
      </c>
      <c r="AK66">
        <f t="shared" si="7"/>
        <v>4300000</v>
      </c>
      <c r="AL66">
        <f t="shared" si="8"/>
        <v>30000</v>
      </c>
    </row>
    <row r="67" spans="1:38" x14ac:dyDescent="0.2">
      <c r="A67">
        <v>62</v>
      </c>
      <c r="B67" t="s">
        <v>125</v>
      </c>
      <c r="D67" t="s">
        <v>58</v>
      </c>
      <c r="E67" t="s">
        <v>52</v>
      </c>
      <c r="F67" t="s">
        <v>57</v>
      </c>
      <c r="I67">
        <v>8.4</v>
      </c>
      <c r="L67" s="14">
        <v>2.12E-2</v>
      </c>
      <c r="M67"/>
      <c r="Y67">
        <v>0</v>
      </c>
      <c r="Z67">
        <v>0.61</v>
      </c>
      <c r="AA67">
        <v>0.61</v>
      </c>
      <c r="AB67" s="51"/>
      <c r="AC67" s="56">
        <v>1.1100000000000001</v>
      </c>
      <c r="AD67" s="56">
        <v>6000</v>
      </c>
      <c r="AE67" s="56">
        <v>2700</v>
      </c>
      <c r="AF67" s="56" t="s">
        <v>40</v>
      </c>
      <c r="AG67" s="56" t="s">
        <v>41</v>
      </c>
      <c r="AH67" s="56" t="s">
        <v>122</v>
      </c>
      <c r="AI67" s="56" t="s">
        <v>53</v>
      </c>
    </row>
    <row r="68" spans="1:38" x14ac:dyDescent="0.2">
      <c r="A68">
        <v>63</v>
      </c>
      <c r="B68" t="s">
        <v>125</v>
      </c>
      <c r="D68" t="s">
        <v>34</v>
      </c>
      <c r="E68" t="s">
        <v>39</v>
      </c>
      <c r="F68" t="s">
        <v>45</v>
      </c>
      <c r="I68">
        <v>20</v>
      </c>
      <c r="K68">
        <v>73</v>
      </c>
      <c r="L68" s="14">
        <v>2.2800000000000001E-2</v>
      </c>
      <c r="M68"/>
      <c r="Y68">
        <v>0.05</v>
      </c>
      <c r="Z68">
        <v>2.2000000000000002</v>
      </c>
      <c r="AA68">
        <v>2.15</v>
      </c>
      <c r="AB68" s="38">
        <f>AA68*1000*K68</f>
        <v>156950</v>
      </c>
      <c r="AC68" s="56">
        <v>7.96</v>
      </c>
      <c r="AD68" s="56">
        <v>120</v>
      </c>
      <c r="AE68" s="56">
        <v>30</v>
      </c>
      <c r="AF68" s="56">
        <v>20</v>
      </c>
      <c r="AG68" s="56" t="s">
        <v>41</v>
      </c>
      <c r="AH68" s="56" t="s">
        <v>122</v>
      </c>
      <c r="AI68" s="56" t="s">
        <v>53</v>
      </c>
      <c r="AJ68">
        <f t="shared" si="6"/>
        <v>8760000</v>
      </c>
      <c r="AK68">
        <f t="shared" si="7"/>
        <v>2190000</v>
      </c>
      <c r="AL68">
        <f t="shared" si="8"/>
        <v>1460000</v>
      </c>
    </row>
    <row r="69" spans="1:38" x14ac:dyDescent="0.2">
      <c r="A69">
        <v>64</v>
      </c>
      <c r="B69" t="s">
        <v>125</v>
      </c>
      <c r="D69" t="s">
        <v>59</v>
      </c>
      <c r="E69" t="s">
        <v>39</v>
      </c>
      <c r="F69" t="s">
        <v>45</v>
      </c>
      <c r="I69">
        <v>20</v>
      </c>
      <c r="K69">
        <v>62</v>
      </c>
      <c r="L69" s="14">
        <v>2.5999999999999999E-2</v>
      </c>
      <c r="M69"/>
      <c r="Y69">
        <v>0.03</v>
      </c>
      <c r="Z69">
        <v>0.81</v>
      </c>
      <c r="AA69">
        <v>0.78</v>
      </c>
      <c r="AB69" s="38">
        <f>AA69*1000*K69</f>
        <v>48360</v>
      </c>
      <c r="AC69" s="56">
        <v>2.3199999999999998</v>
      </c>
      <c r="AD69" s="56">
        <v>80</v>
      </c>
      <c r="AE69" s="56">
        <v>40</v>
      </c>
      <c r="AF69" s="56">
        <v>120</v>
      </c>
      <c r="AG69" s="56" t="s">
        <v>41</v>
      </c>
      <c r="AH69" s="56" t="s">
        <v>122</v>
      </c>
      <c r="AI69" s="56" t="s">
        <v>53</v>
      </c>
      <c r="AJ69">
        <f t="shared" si="6"/>
        <v>4960000</v>
      </c>
      <c r="AK69">
        <f t="shared" si="7"/>
        <v>2480000</v>
      </c>
      <c r="AL69">
        <f t="shared" si="8"/>
        <v>7440000</v>
      </c>
    </row>
    <row r="70" spans="1:38" x14ac:dyDescent="0.2">
      <c r="A70">
        <v>65</v>
      </c>
      <c r="B70" t="s">
        <v>125</v>
      </c>
      <c r="D70" t="s">
        <v>60</v>
      </c>
      <c r="E70" t="s">
        <v>31</v>
      </c>
      <c r="F70" t="s">
        <v>57</v>
      </c>
      <c r="I70">
        <v>12.6</v>
      </c>
      <c r="L70" s="14">
        <v>2.3300000000000001E-2</v>
      </c>
      <c r="M70"/>
      <c r="Y70">
        <v>0.05</v>
      </c>
      <c r="Z70">
        <v>0.49</v>
      </c>
      <c r="AA70">
        <v>0.44</v>
      </c>
      <c r="AB70" s="51"/>
      <c r="AC70" s="56">
        <v>0.79</v>
      </c>
      <c r="AD70" s="56">
        <v>25000</v>
      </c>
      <c r="AE70" s="56">
        <v>4900</v>
      </c>
      <c r="AF70" s="56">
        <v>90</v>
      </c>
      <c r="AG70" s="56" t="s">
        <v>41</v>
      </c>
      <c r="AH70" s="56" t="s">
        <v>122</v>
      </c>
      <c r="AI70" s="56" t="s">
        <v>53</v>
      </c>
    </row>
    <row r="71" spans="1:38" x14ac:dyDescent="0.2">
      <c r="A71">
        <v>66</v>
      </c>
      <c r="B71" t="s">
        <v>125</v>
      </c>
      <c r="D71" t="s">
        <v>61</v>
      </c>
      <c r="E71" t="s">
        <v>52</v>
      </c>
      <c r="F71" t="s">
        <v>45</v>
      </c>
      <c r="I71">
        <v>21.25</v>
      </c>
      <c r="K71">
        <v>105</v>
      </c>
      <c r="L71" s="14">
        <v>2.1899999999999999E-2</v>
      </c>
      <c r="M71"/>
      <c r="Y71">
        <v>0.05</v>
      </c>
      <c r="Z71">
        <v>2.9</v>
      </c>
      <c r="AA71">
        <v>2.85</v>
      </c>
      <c r="AB71" s="38">
        <f t="shared" ref="AB71:AB86" si="17">AA71*1000*K71</f>
        <v>299250</v>
      </c>
      <c r="AC71" s="56">
        <v>14.98</v>
      </c>
      <c r="AD71" s="56">
        <v>170</v>
      </c>
      <c r="AE71" s="56">
        <v>50</v>
      </c>
      <c r="AF71" s="56">
        <v>20</v>
      </c>
      <c r="AG71" s="56" t="s">
        <v>41</v>
      </c>
      <c r="AH71" s="56" t="s">
        <v>122</v>
      </c>
      <c r="AI71" s="56" t="s">
        <v>53</v>
      </c>
      <c r="AJ71">
        <f t="shared" si="6"/>
        <v>17850000</v>
      </c>
      <c r="AK71">
        <f t="shared" si="7"/>
        <v>5250000</v>
      </c>
      <c r="AL71">
        <f t="shared" si="8"/>
        <v>2100000</v>
      </c>
    </row>
    <row r="72" spans="1:38" x14ac:dyDescent="0.2">
      <c r="A72">
        <v>67</v>
      </c>
      <c r="B72" t="s">
        <v>125</v>
      </c>
      <c r="D72" t="s">
        <v>62</v>
      </c>
      <c r="E72" t="s">
        <v>39</v>
      </c>
      <c r="F72" t="s">
        <v>45</v>
      </c>
      <c r="I72">
        <v>20.8</v>
      </c>
      <c r="K72">
        <v>89</v>
      </c>
      <c r="L72" s="14">
        <v>2.5100000000000001E-2</v>
      </c>
      <c r="M72"/>
      <c r="Y72">
        <v>0</v>
      </c>
      <c r="Z72">
        <v>0.09</v>
      </c>
      <c r="AA72">
        <v>0.09</v>
      </c>
      <c r="AB72" s="38">
        <f t="shared" si="17"/>
        <v>8010</v>
      </c>
      <c r="AC72" s="56">
        <v>0.52</v>
      </c>
      <c r="AD72" s="56">
        <v>150</v>
      </c>
      <c r="AE72" s="56">
        <v>20</v>
      </c>
      <c r="AF72" s="56" t="s">
        <v>40</v>
      </c>
      <c r="AG72" s="56" t="s">
        <v>41</v>
      </c>
      <c r="AH72" s="56" t="s">
        <v>122</v>
      </c>
      <c r="AI72" s="56" t="s">
        <v>53</v>
      </c>
      <c r="AJ72">
        <f t="shared" si="6"/>
        <v>13350000</v>
      </c>
      <c r="AK72">
        <f t="shared" si="7"/>
        <v>1780000</v>
      </c>
    </row>
    <row r="73" spans="1:38" x14ac:dyDescent="0.2">
      <c r="A73">
        <v>68</v>
      </c>
      <c r="B73" t="s">
        <v>125</v>
      </c>
      <c r="D73" t="s">
        <v>62</v>
      </c>
      <c r="E73" t="s">
        <v>39</v>
      </c>
      <c r="F73" t="s">
        <v>45</v>
      </c>
      <c r="I73">
        <v>20.8</v>
      </c>
      <c r="K73">
        <v>92</v>
      </c>
      <c r="L73" s="14">
        <v>2.5100000000000001E-2</v>
      </c>
      <c r="M73"/>
      <c r="Y73">
        <v>0</v>
      </c>
      <c r="Z73">
        <v>0.08</v>
      </c>
      <c r="AA73">
        <v>0.08</v>
      </c>
      <c r="AB73" s="38">
        <f t="shared" si="17"/>
        <v>7360</v>
      </c>
      <c r="AC73" s="56">
        <v>0.49</v>
      </c>
      <c r="AD73" s="56">
        <v>140</v>
      </c>
      <c r="AE73" s="56">
        <v>20</v>
      </c>
      <c r="AF73" s="56" t="s">
        <v>40</v>
      </c>
      <c r="AG73" s="56" t="s">
        <v>41</v>
      </c>
      <c r="AH73" s="56" t="s">
        <v>122</v>
      </c>
      <c r="AI73" s="56" t="s">
        <v>53</v>
      </c>
      <c r="AJ73">
        <f t="shared" si="6"/>
        <v>12880000</v>
      </c>
      <c r="AK73">
        <f t="shared" si="7"/>
        <v>1840000</v>
      </c>
    </row>
    <row r="74" spans="1:38" x14ac:dyDescent="0.2">
      <c r="A74">
        <v>69</v>
      </c>
      <c r="B74" t="s">
        <v>125</v>
      </c>
      <c r="D74" t="s">
        <v>63</v>
      </c>
      <c r="E74" t="s">
        <v>52</v>
      </c>
      <c r="F74" t="s">
        <v>45</v>
      </c>
      <c r="I74">
        <v>31.5</v>
      </c>
      <c r="K74">
        <v>55</v>
      </c>
      <c r="L74" s="14">
        <v>2.3599999999999999E-2</v>
      </c>
      <c r="M74"/>
      <c r="Y74">
        <v>0</v>
      </c>
      <c r="Z74">
        <v>0.22</v>
      </c>
      <c r="AA74">
        <v>0.22</v>
      </c>
      <c r="AB74" s="38">
        <f t="shared" si="17"/>
        <v>12100</v>
      </c>
      <c r="AC74" s="56">
        <v>0.62</v>
      </c>
      <c r="AD74" s="56">
        <v>240</v>
      </c>
      <c r="AE74" s="56">
        <v>60</v>
      </c>
      <c r="AF74" s="56" t="s">
        <v>40</v>
      </c>
      <c r="AG74" s="56" t="s">
        <v>41</v>
      </c>
      <c r="AH74" s="56" t="s">
        <v>122</v>
      </c>
      <c r="AI74" s="56" t="s">
        <v>53</v>
      </c>
      <c r="AJ74">
        <f t="shared" si="6"/>
        <v>13200000</v>
      </c>
      <c r="AK74">
        <f t="shared" si="7"/>
        <v>3300000</v>
      </c>
    </row>
    <row r="75" spans="1:38" x14ac:dyDescent="0.2">
      <c r="A75">
        <v>70</v>
      </c>
      <c r="B75" t="s">
        <v>125</v>
      </c>
      <c r="D75" t="s">
        <v>64</v>
      </c>
      <c r="E75" t="s">
        <v>52</v>
      </c>
      <c r="F75" t="s">
        <v>45</v>
      </c>
      <c r="I75">
        <v>31.5</v>
      </c>
      <c r="K75">
        <v>227</v>
      </c>
      <c r="L75" s="14">
        <v>2.3599999999999999E-2</v>
      </c>
      <c r="M75"/>
      <c r="Y75">
        <v>0</v>
      </c>
      <c r="Z75">
        <v>0.56000000000000005</v>
      </c>
      <c r="AA75">
        <v>0.56000000000000005</v>
      </c>
      <c r="AB75" s="38">
        <f t="shared" si="17"/>
        <v>127120</v>
      </c>
      <c r="AC75" s="56">
        <v>1.47</v>
      </c>
      <c r="AD75" s="56">
        <v>110</v>
      </c>
      <c r="AE75" s="56">
        <v>20</v>
      </c>
      <c r="AF75" s="56" t="s">
        <v>40</v>
      </c>
      <c r="AG75" s="56" t="s">
        <v>41</v>
      </c>
      <c r="AH75" s="56" t="s">
        <v>122</v>
      </c>
      <c r="AI75" s="56" t="s">
        <v>53</v>
      </c>
      <c r="AJ75">
        <f t="shared" si="6"/>
        <v>24970000</v>
      </c>
      <c r="AK75">
        <f t="shared" si="7"/>
        <v>4540000</v>
      </c>
    </row>
    <row r="76" spans="1:38" x14ac:dyDescent="0.2">
      <c r="A76">
        <v>71</v>
      </c>
      <c r="B76" t="s">
        <v>125</v>
      </c>
      <c r="D76" t="s">
        <v>65</v>
      </c>
      <c r="E76" t="s">
        <v>52</v>
      </c>
      <c r="F76" t="s">
        <v>45</v>
      </c>
      <c r="I76">
        <v>7.8</v>
      </c>
      <c r="K76">
        <v>101</v>
      </c>
      <c r="L76" s="14">
        <v>2.24E-2</v>
      </c>
      <c r="M76"/>
      <c r="Y76">
        <v>0</v>
      </c>
      <c r="Z76">
        <v>0.79</v>
      </c>
      <c r="AA76">
        <v>0.79</v>
      </c>
      <c r="AB76" s="38">
        <f t="shared" si="17"/>
        <v>79790</v>
      </c>
      <c r="AC76" s="56">
        <v>5.45</v>
      </c>
      <c r="AD76" s="56">
        <v>70</v>
      </c>
      <c r="AE76" s="56">
        <v>20</v>
      </c>
      <c r="AF76" s="56">
        <v>20</v>
      </c>
      <c r="AG76" s="56" t="s">
        <v>41</v>
      </c>
      <c r="AH76" s="56" t="s">
        <v>122</v>
      </c>
      <c r="AI76" s="56" t="s">
        <v>53</v>
      </c>
      <c r="AJ76">
        <f t="shared" si="6"/>
        <v>7070000</v>
      </c>
      <c r="AK76">
        <f t="shared" si="7"/>
        <v>2020000</v>
      </c>
      <c r="AL76">
        <f t="shared" si="8"/>
        <v>2020000</v>
      </c>
    </row>
    <row r="77" spans="1:38" x14ac:dyDescent="0.2">
      <c r="A77">
        <v>72</v>
      </c>
      <c r="B77" t="s">
        <v>125</v>
      </c>
      <c r="D77" t="s">
        <v>66</v>
      </c>
      <c r="E77" t="s">
        <v>52</v>
      </c>
      <c r="F77" t="s">
        <v>45</v>
      </c>
      <c r="I77">
        <v>8.64</v>
      </c>
      <c r="K77">
        <v>45</v>
      </c>
      <c r="L77" s="14">
        <v>2.3199999999999998E-2</v>
      </c>
      <c r="M77"/>
      <c r="Y77">
        <v>0.02</v>
      </c>
      <c r="Z77">
        <v>1.9</v>
      </c>
      <c r="AA77">
        <v>1.88</v>
      </c>
      <c r="AB77" s="38">
        <f t="shared" si="17"/>
        <v>84600</v>
      </c>
      <c r="AC77" s="56">
        <v>4.8899999999999997</v>
      </c>
      <c r="AD77" s="56">
        <v>500</v>
      </c>
      <c r="AE77" s="56">
        <v>150</v>
      </c>
      <c r="AF77" s="56">
        <v>30</v>
      </c>
      <c r="AG77" s="56" t="s">
        <v>41</v>
      </c>
      <c r="AH77" s="56" t="s">
        <v>122</v>
      </c>
      <c r="AI77" s="56" t="s">
        <v>53</v>
      </c>
      <c r="AJ77">
        <f t="shared" si="6"/>
        <v>22500000</v>
      </c>
      <c r="AK77">
        <f t="shared" si="7"/>
        <v>6750000</v>
      </c>
      <c r="AL77">
        <f t="shared" si="8"/>
        <v>1350000</v>
      </c>
    </row>
    <row r="78" spans="1:38" x14ac:dyDescent="0.2">
      <c r="A78">
        <v>73</v>
      </c>
      <c r="B78" t="s">
        <v>125</v>
      </c>
      <c r="D78" t="s">
        <v>67</v>
      </c>
      <c r="E78" t="s">
        <v>52</v>
      </c>
      <c r="F78" t="s">
        <v>45</v>
      </c>
      <c r="I78">
        <v>18.16</v>
      </c>
      <c r="K78">
        <v>53</v>
      </c>
      <c r="L78" s="14">
        <v>2.5499999999999998E-2</v>
      </c>
      <c r="M78"/>
      <c r="Y78">
        <v>0</v>
      </c>
      <c r="Z78">
        <v>1.9</v>
      </c>
      <c r="AA78">
        <v>1.9</v>
      </c>
      <c r="AB78" s="38">
        <f t="shared" si="17"/>
        <v>100700</v>
      </c>
      <c r="AC78" s="56">
        <v>12.29</v>
      </c>
      <c r="AD78" s="56">
        <v>50</v>
      </c>
      <c r="AE78" s="56">
        <v>30</v>
      </c>
      <c r="AF78" s="56" t="s">
        <v>40</v>
      </c>
      <c r="AG78" s="56" t="s">
        <v>41</v>
      </c>
      <c r="AH78" s="56" t="s">
        <v>11</v>
      </c>
      <c r="AI78" s="56" t="s">
        <v>53</v>
      </c>
      <c r="AJ78">
        <f t="shared" si="6"/>
        <v>2650000</v>
      </c>
      <c r="AK78">
        <f t="shared" si="7"/>
        <v>1590000</v>
      </c>
    </row>
    <row r="79" spans="1:38" x14ac:dyDescent="0.2">
      <c r="A79">
        <v>74</v>
      </c>
      <c r="B79" t="s">
        <v>125</v>
      </c>
      <c r="D79" t="s">
        <v>68</v>
      </c>
      <c r="E79" t="s">
        <v>52</v>
      </c>
      <c r="F79" t="s">
        <v>45</v>
      </c>
      <c r="I79">
        <v>18.16</v>
      </c>
      <c r="K79">
        <v>37</v>
      </c>
      <c r="L79" s="14">
        <v>2.5499999999999998E-2</v>
      </c>
      <c r="M79"/>
      <c r="Y79">
        <v>0.01</v>
      </c>
      <c r="Z79">
        <v>1.3</v>
      </c>
      <c r="AA79">
        <v>1.29</v>
      </c>
      <c r="AB79" s="38">
        <f t="shared" si="17"/>
        <v>47730</v>
      </c>
      <c r="AC79" s="56">
        <v>8.39</v>
      </c>
      <c r="AD79" s="56">
        <v>110</v>
      </c>
      <c r="AE79" s="56">
        <v>50</v>
      </c>
      <c r="AF79" s="56" t="s">
        <v>40</v>
      </c>
      <c r="AG79" s="56" t="s">
        <v>41</v>
      </c>
      <c r="AH79" s="56" t="s">
        <v>11</v>
      </c>
      <c r="AI79" s="56" t="s">
        <v>53</v>
      </c>
      <c r="AJ79">
        <f t="shared" si="6"/>
        <v>4070000</v>
      </c>
      <c r="AK79">
        <f t="shared" si="7"/>
        <v>1850000</v>
      </c>
    </row>
    <row r="80" spans="1:38" x14ac:dyDescent="0.2">
      <c r="A80">
        <v>75</v>
      </c>
      <c r="B80" t="s">
        <v>125</v>
      </c>
      <c r="D80" t="s">
        <v>69</v>
      </c>
      <c r="E80" t="s">
        <v>52</v>
      </c>
      <c r="F80" t="s">
        <v>45</v>
      </c>
      <c r="I80">
        <v>20.07</v>
      </c>
      <c r="K80">
        <v>68</v>
      </c>
      <c r="L80" s="14">
        <v>2.8400000000000002E-2</v>
      </c>
      <c r="M80"/>
      <c r="Y80">
        <v>0</v>
      </c>
      <c r="Z80">
        <v>0.52</v>
      </c>
      <c r="AA80">
        <v>0.52</v>
      </c>
      <c r="AB80" s="38">
        <f t="shared" si="17"/>
        <v>35360</v>
      </c>
      <c r="AC80" s="56">
        <v>1.32</v>
      </c>
      <c r="AD80" s="56">
        <v>120</v>
      </c>
      <c r="AE80" s="56">
        <v>30</v>
      </c>
      <c r="AF80" s="56">
        <v>20</v>
      </c>
      <c r="AG80" s="56" t="s">
        <v>41</v>
      </c>
      <c r="AH80" s="56" t="s">
        <v>11</v>
      </c>
      <c r="AI80" s="56" t="s">
        <v>53</v>
      </c>
      <c r="AJ80">
        <f t="shared" si="6"/>
        <v>8160000</v>
      </c>
      <c r="AK80">
        <f t="shared" si="7"/>
        <v>2040000</v>
      </c>
      <c r="AL80">
        <f t="shared" si="8"/>
        <v>1360000</v>
      </c>
    </row>
    <row r="81" spans="1:41" x14ac:dyDescent="0.2">
      <c r="A81">
        <v>76</v>
      </c>
      <c r="B81" t="s">
        <v>125</v>
      </c>
      <c r="D81" t="s">
        <v>70</v>
      </c>
      <c r="E81" t="s">
        <v>52</v>
      </c>
      <c r="F81" t="s">
        <v>45</v>
      </c>
      <c r="I81">
        <v>12.6</v>
      </c>
      <c r="K81">
        <v>45</v>
      </c>
      <c r="L81" s="14">
        <v>2.1000000000000001E-2</v>
      </c>
      <c r="M81"/>
      <c r="Y81">
        <v>0</v>
      </c>
      <c r="Z81">
        <v>3.4</v>
      </c>
      <c r="AA81">
        <v>3.4</v>
      </c>
      <c r="AB81" s="38">
        <f t="shared" si="17"/>
        <v>153000</v>
      </c>
      <c r="AC81" s="56">
        <v>13.62</v>
      </c>
      <c r="AD81" s="56">
        <v>80</v>
      </c>
      <c r="AE81" s="56">
        <v>30</v>
      </c>
      <c r="AF81" s="56">
        <v>110</v>
      </c>
      <c r="AG81" s="56" t="s">
        <v>41</v>
      </c>
      <c r="AH81" s="56" t="s">
        <v>11</v>
      </c>
      <c r="AI81" s="56">
        <v>20</v>
      </c>
      <c r="AJ81">
        <f t="shared" si="6"/>
        <v>3600000</v>
      </c>
      <c r="AK81">
        <f t="shared" si="7"/>
        <v>1350000</v>
      </c>
      <c r="AL81">
        <f t="shared" si="8"/>
        <v>4950000</v>
      </c>
      <c r="AO81">
        <f t="shared" si="10"/>
        <v>900000</v>
      </c>
    </row>
    <row r="82" spans="1:41" x14ac:dyDescent="0.2">
      <c r="A82">
        <v>77</v>
      </c>
      <c r="B82" t="s">
        <v>125</v>
      </c>
      <c r="D82" t="s">
        <v>35</v>
      </c>
      <c r="E82" t="s">
        <v>52</v>
      </c>
      <c r="F82" t="s">
        <v>45</v>
      </c>
      <c r="I82">
        <v>25.2</v>
      </c>
      <c r="K82">
        <v>69</v>
      </c>
      <c r="L82" s="14">
        <v>2.5999999999999999E-2</v>
      </c>
      <c r="M82"/>
      <c r="Y82">
        <v>0</v>
      </c>
      <c r="Z82">
        <v>1.6</v>
      </c>
      <c r="AA82">
        <v>1.6</v>
      </c>
      <c r="AB82" s="38">
        <f t="shared" si="17"/>
        <v>110400</v>
      </c>
      <c r="AC82" s="56">
        <v>17.47</v>
      </c>
      <c r="AD82" s="56">
        <v>420</v>
      </c>
      <c r="AE82" s="56">
        <v>120</v>
      </c>
      <c r="AF82" s="56">
        <v>70</v>
      </c>
      <c r="AG82" s="56" t="s">
        <v>41</v>
      </c>
      <c r="AH82" s="56" t="s">
        <v>11</v>
      </c>
      <c r="AI82" s="56" t="s">
        <v>53</v>
      </c>
      <c r="AJ82">
        <f t="shared" si="6"/>
        <v>28980000</v>
      </c>
      <c r="AK82">
        <f t="shared" si="7"/>
        <v>8280000</v>
      </c>
      <c r="AL82">
        <f t="shared" si="8"/>
        <v>4830000</v>
      </c>
    </row>
    <row r="83" spans="1:41" x14ac:dyDescent="0.2">
      <c r="A83">
        <v>78</v>
      </c>
      <c r="B83" t="s">
        <v>125</v>
      </c>
      <c r="D83" t="s">
        <v>71</v>
      </c>
      <c r="E83" t="s">
        <v>52</v>
      </c>
      <c r="F83" t="s">
        <v>57</v>
      </c>
      <c r="I83">
        <v>25.2</v>
      </c>
      <c r="K83">
        <v>1</v>
      </c>
      <c r="L83" s="14">
        <v>2.5999999999999999E-2</v>
      </c>
      <c r="M83"/>
      <c r="Y83">
        <v>0</v>
      </c>
      <c r="Z83">
        <v>3.8</v>
      </c>
      <c r="AA83">
        <v>3.8</v>
      </c>
      <c r="AB83" s="38">
        <f t="shared" si="17"/>
        <v>3800</v>
      </c>
      <c r="AC83" s="56">
        <v>12.58</v>
      </c>
      <c r="AD83" s="56">
        <v>2800</v>
      </c>
      <c r="AE83" s="56">
        <v>240</v>
      </c>
      <c r="AF83" s="56">
        <v>150</v>
      </c>
      <c r="AG83" s="56" t="s">
        <v>41</v>
      </c>
      <c r="AH83" s="56" t="s">
        <v>11</v>
      </c>
      <c r="AI83" s="56" t="s">
        <v>53</v>
      </c>
      <c r="AJ83">
        <f t="shared" si="6"/>
        <v>2800000</v>
      </c>
      <c r="AK83">
        <f t="shared" si="7"/>
        <v>240000</v>
      </c>
      <c r="AL83">
        <f t="shared" si="8"/>
        <v>150000</v>
      </c>
    </row>
    <row r="84" spans="1:41" x14ac:dyDescent="0.2">
      <c r="A84">
        <v>79</v>
      </c>
      <c r="B84" t="s">
        <v>125</v>
      </c>
      <c r="D84" t="s">
        <v>72</v>
      </c>
      <c r="E84" t="s">
        <v>52</v>
      </c>
      <c r="F84" t="s">
        <v>45</v>
      </c>
      <c r="I84">
        <v>10.8</v>
      </c>
      <c r="K84">
        <v>218</v>
      </c>
      <c r="L84" s="14">
        <v>2.0500000000000001E-2</v>
      </c>
      <c r="M84"/>
      <c r="Y84">
        <v>0</v>
      </c>
      <c r="Z84">
        <v>3.4</v>
      </c>
      <c r="AA84">
        <v>3.4</v>
      </c>
      <c r="AB84" s="38">
        <f t="shared" si="17"/>
        <v>741200</v>
      </c>
      <c r="AC84" s="56">
        <v>8.34</v>
      </c>
      <c r="AD84" s="56">
        <v>50</v>
      </c>
      <c r="AE84" s="56">
        <v>20</v>
      </c>
      <c r="AF84" s="56">
        <v>10</v>
      </c>
      <c r="AG84" s="56" t="s">
        <v>41</v>
      </c>
      <c r="AH84" s="56" t="s">
        <v>11</v>
      </c>
      <c r="AI84" s="56" t="s">
        <v>53</v>
      </c>
      <c r="AJ84">
        <f t="shared" si="6"/>
        <v>10900000</v>
      </c>
      <c r="AK84">
        <f t="shared" si="7"/>
        <v>4360000</v>
      </c>
      <c r="AL84">
        <f t="shared" si="8"/>
        <v>2180000</v>
      </c>
    </row>
    <row r="85" spans="1:41" x14ac:dyDescent="0.2">
      <c r="A85">
        <v>80</v>
      </c>
      <c r="B85" t="s">
        <v>125</v>
      </c>
      <c r="D85" t="s">
        <v>72</v>
      </c>
      <c r="E85" t="s">
        <v>52</v>
      </c>
      <c r="F85" t="s">
        <v>45</v>
      </c>
      <c r="I85">
        <v>10.8</v>
      </c>
      <c r="K85">
        <v>184</v>
      </c>
      <c r="L85" s="14">
        <v>2.0500000000000001E-2</v>
      </c>
      <c r="M85"/>
      <c r="Y85">
        <v>0</v>
      </c>
      <c r="Z85">
        <v>3.9</v>
      </c>
      <c r="AA85">
        <v>3.9</v>
      </c>
      <c r="AB85" s="38">
        <f t="shared" si="17"/>
        <v>717600</v>
      </c>
      <c r="AC85" s="56">
        <v>10.45</v>
      </c>
      <c r="AD85" s="56">
        <v>80</v>
      </c>
      <c r="AE85" s="56">
        <v>30</v>
      </c>
      <c r="AF85" s="56">
        <v>10</v>
      </c>
      <c r="AG85" s="56" t="s">
        <v>41</v>
      </c>
      <c r="AH85" s="56" t="s">
        <v>11</v>
      </c>
      <c r="AI85" s="56" t="s">
        <v>53</v>
      </c>
      <c r="AJ85">
        <f t="shared" si="6"/>
        <v>14720000</v>
      </c>
      <c r="AK85">
        <f t="shared" si="7"/>
        <v>5520000</v>
      </c>
      <c r="AL85">
        <f t="shared" si="8"/>
        <v>1840000</v>
      </c>
    </row>
    <row r="86" spans="1:41" x14ac:dyDescent="0.2">
      <c r="A86">
        <v>81</v>
      </c>
      <c r="B86" t="s">
        <v>125</v>
      </c>
      <c r="D86" t="s">
        <v>73</v>
      </c>
      <c r="E86" t="s">
        <v>39</v>
      </c>
      <c r="F86" t="s">
        <v>45</v>
      </c>
      <c r="I86">
        <v>15.6</v>
      </c>
      <c r="K86">
        <v>105</v>
      </c>
      <c r="L86" s="14">
        <v>2.3800000000000002E-2</v>
      </c>
      <c r="M86"/>
      <c r="Y86">
        <v>0</v>
      </c>
      <c r="Z86">
        <v>1.6</v>
      </c>
      <c r="AA86">
        <v>1.6</v>
      </c>
      <c r="AB86" s="38">
        <f t="shared" si="17"/>
        <v>168000</v>
      </c>
      <c r="AC86" s="56">
        <v>12.72</v>
      </c>
      <c r="AD86" s="56">
        <v>70</v>
      </c>
      <c r="AE86" s="56">
        <v>50</v>
      </c>
      <c r="AF86" s="56" t="s">
        <v>40</v>
      </c>
      <c r="AG86" s="56" t="s">
        <v>41</v>
      </c>
      <c r="AH86" s="56" t="s">
        <v>11</v>
      </c>
      <c r="AI86" s="56" t="s">
        <v>53</v>
      </c>
      <c r="AJ86">
        <f t="shared" si="6"/>
        <v>7350000</v>
      </c>
      <c r="AK86">
        <f t="shared" si="7"/>
        <v>5250000</v>
      </c>
    </row>
    <row r="87" spans="1:41" x14ac:dyDescent="0.2">
      <c r="A87">
        <v>82</v>
      </c>
      <c r="B87" t="s">
        <v>125</v>
      </c>
      <c r="D87" t="s">
        <v>74</v>
      </c>
      <c r="E87" t="s">
        <v>52</v>
      </c>
      <c r="F87" t="s">
        <v>57</v>
      </c>
      <c r="I87">
        <v>8.4</v>
      </c>
      <c r="L87" s="14">
        <v>2.41E-2</v>
      </c>
      <c r="M87"/>
      <c r="Y87">
        <v>0.01</v>
      </c>
      <c r="Z87">
        <v>2.1</v>
      </c>
      <c r="AA87">
        <v>2.09</v>
      </c>
      <c r="AB87" s="51"/>
      <c r="AC87" s="56">
        <v>4.24</v>
      </c>
      <c r="AD87" s="56">
        <v>24000</v>
      </c>
      <c r="AE87" s="56">
        <v>5700</v>
      </c>
      <c r="AF87" s="56">
        <v>60</v>
      </c>
      <c r="AG87" s="56" t="s">
        <v>41</v>
      </c>
      <c r="AH87" s="56" t="s">
        <v>11</v>
      </c>
      <c r="AI87" s="56" t="s">
        <v>53</v>
      </c>
    </row>
    <row r="88" spans="1:41" x14ac:dyDescent="0.2">
      <c r="A88">
        <v>83</v>
      </c>
      <c r="B88" t="s">
        <v>125</v>
      </c>
      <c r="D88" t="s">
        <v>75</v>
      </c>
      <c r="E88" t="s">
        <v>52</v>
      </c>
      <c r="F88" t="s">
        <v>45</v>
      </c>
      <c r="I88">
        <v>31.5</v>
      </c>
      <c r="K88">
        <v>200</v>
      </c>
      <c r="L88" s="14">
        <v>2.5999999999999999E-2</v>
      </c>
      <c r="M88"/>
      <c r="Y88">
        <v>0</v>
      </c>
      <c r="Z88">
        <v>0.5</v>
      </c>
      <c r="AA88">
        <v>0.5</v>
      </c>
      <c r="AB88" s="38">
        <f t="shared" ref="AB88:AB94" si="18">AA88*1000*K88</f>
        <v>100000</v>
      </c>
      <c r="AC88" s="56">
        <v>1.5</v>
      </c>
      <c r="AD88" s="56">
        <v>90</v>
      </c>
      <c r="AE88" s="56">
        <v>20</v>
      </c>
      <c r="AF88" s="56" t="s">
        <v>40</v>
      </c>
      <c r="AG88" s="56" t="s">
        <v>41</v>
      </c>
      <c r="AH88" s="56" t="s">
        <v>11</v>
      </c>
      <c r="AI88" s="56" t="s">
        <v>53</v>
      </c>
      <c r="AJ88">
        <f t="shared" si="6"/>
        <v>18000000</v>
      </c>
      <c r="AK88">
        <f t="shared" si="7"/>
        <v>4000000</v>
      </c>
    </row>
    <row r="89" spans="1:41" x14ac:dyDescent="0.2">
      <c r="A89">
        <v>84</v>
      </c>
      <c r="B89" t="s">
        <v>125</v>
      </c>
      <c r="D89" t="s">
        <v>76</v>
      </c>
      <c r="E89" t="s">
        <v>52</v>
      </c>
      <c r="F89" t="s">
        <v>45</v>
      </c>
      <c r="I89">
        <v>31.5</v>
      </c>
      <c r="K89">
        <v>71</v>
      </c>
      <c r="L89" s="14">
        <v>9.5999999999999992E-3</v>
      </c>
      <c r="M89"/>
      <c r="Y89">
        <v>0</v>
      </c>
      <c r="Z89">
        <v>0.42</v>
      </c>
      <c r="AA89">
        <v>0.42</v>
      </c>
      <c r="AB89" s="38">
        <f t="shared" si="18"/>
        <v>29820</v>
      </c>
      <c r="AC89" s="56">
        <v>0.65</v>
      </c>
      <c r="AD89" s="56">
        <v>20</v>
      </c>
      <c r="AE89" s="56" t="s">
        <v>53</v>
      </c>
      <c r="AF89" s="56" t="s">
        <v>40</v>
      </c>
      <c r="AG89" s="56" t="s">
        <v>41</v>
      </c>
      <c r="AH89" s="56" t="s">
        <v>11</v>
      </c>
      <c r="AI89" s="56" t="s">
        <v>53</v>
      </c>
      <c r="AJ89">
        <f t="shared" ref="AJ89:AJ116" si="19">AD89*1000*$K89</f>
        <v>1420000</v>
      </c>
    </row>
    <row r="90" spans="1:41" x14ac:dyDescent="0.2">
      <c r="A90">
        <v>85</v>
      </c>
      <c r="B90" t="s">
        <v>125</v>
      </c>
      <c r="D90" t="s">
        <v>77</v>
      </c>
      <c r="E90" t="s">
        <v>39</v>
      </c>
      <c r="F90" t="s">
        <v>45</v>
      </c>
      <c r="I90">
        <v>20.8</v>
      </c>
      <c r="K90">
        <v>86</v>
      </c>
      <c r="L90" s="14">
        <v>2.4E-2</v>
      </c>
      <c r="M90"/>
      <c r="Y90">
        <v>0</v>
      </c>
      <c r="Z90">
        <v>1.6</v>
      </c>
      <c r="AA90">
        <v>1.6</v>
      </c>
      <c r="AB90" s="38">
        <f t="shared" si="18"/>
        <v>137600</v>
      </c>
      <c r="AC90" s="56">
        <v>5.88</v>
      </c>
      <c r="AD90" s="56">
        <v>240</v>
      </c>
      <c r="AE90" s="56">
        <v>60</v>
      </c>
      <c r="AF90" s="56" t="s">
        <v>40</v>
      </c>
      <c r="AG90" s="56" t="s">
        <v>41</v>
      </c>
      <c r="AH90" s="56" t="s">
        <v>11</v>
      </c>
      <c r="AI90" s="56" t="s">
        <v>53</v>
      </c>
      <c r="AJ90">
        <f t="shared" si="19"/>
        <v>20640000</v>
      </c>
      <c r="AK90">
        <f t="shared" ref="AK90:AK117" si="20">AE90*1000*$K90</f>
        <v>5160000</v>
      </c>
    </row>
    <row r="91" spans="1:41" x14ac:dyDescent="0.2">
      <c r="A91">
        <v>86</v>
      </c>
      <c r="B91" t="s">
        <v>125</v>
      </c>
      <c r="D91" t="s">
        <v>77</v>
      </c>
      <c r="E91" t="s">
        <v>39</v>
      </c>
      <c r="F91" t="s">
        <v>45</v>
      </c>
      <c r="I91">
        <v>20.8</v>
      </c>
      <c r="K91">
        <v>85</v>
      </c>
      <c r="L91" s="14">
        <v>2.4E-2</v>
      </c>
      <c r="M91"/>
      <c r="Y91">
        <v>0</v>
      </c>
      <c r="Z91">
        <v>0.72</v>
      </c>
      <c r="AA91">
        <v>0.72</v>
      </c>
      <c r="AB91" s="38">
        <f t="shared" si="18"/>
        <v>61200</v>
      </c>
      <c r="AC91" s="56">
        <v>3.31</v>
      </c>
      <c r="AD91" s="56">
        <v>610</v>
      </c>
      <c r="AE91" s="56">
        <v>140</v>
      </c>
      <c r="AF91" s="56" t="s">
        <v>40</v>
      </c>
      <c r="AG91" s="56" t="s">
        <v>41</v>
      </c>
      <c r="AH91" s="56" t="s">
        <v>11</v>
      </c>
      <c r="AI91" s="56" t="s">
        <v>53</v>
      </c>
      <c r="AJ91">
        <f t="shared" si="19"/>
        <v>51850000</v>
      </c>
      <c r="AK91">
        <f t="shared" si="20"/>
        <v>11900000</v>
      </c>
    </row>
    <row r="92" spans="1:41" x14ac:dyDescent="0.2">
      <c r="A92">
        <v>87</v>
      </c>
      <c r="B92" t="s">
        <v>125</v>
      </c>
      <c r="D92" t="s">
        <v>78</v>
      </c>
      <c r="E92" t="s">
        <v>52</v>
      </c>
      <c r="F92" t="s">
        <v>45</v>
      </c>
      <c r="I92">
        <v>11.52</v>
      </c>
      <c r="K92">
        <v>61</v>
      </c>
      <c r="L92" s="14">
        <v>2.5999999999999999E-2</v>
      </c>
      <c r="M92"/>
      <c r="Y92">
        <v>1.4</v>
      </c>
      <c r="Z92">
        <v>6.1</v>
      </c>
      <c r="AA92">
        <v>4.7</v>
      </c>
      <c r="AB92" s="38">
        <f t="shared" si="18"/>
        <v>286700</v>
      </c>
      <c r="AC92" s="56">
        <v>23.98</v>
      </c>
      <c r="AD92" s="56">
        <v>860</v>
      </c>
      <c r="AE92" s="56">
        <v>240</v>
      </c>
      <c r="AF92" s="56">
        <v>140</v>
      </c>
      <c r="AG92" s="56" t="s">
        <v>41</v>
      </c>
      <c r="AH92" s="56" t="s">
        <v>11</v>
      </c>
      <c r="AI92" s="56" t="s">
        <v>53</v>
      </c>
      <c r="AJ92">
        <f t="shared" si="19"/>
        <v>52460000</v>
      </c>
      <c r="AK92">
        <f t="shared" si="20"/>
        <v>14640000</v>
      </c>
      <c r="AL92">
        <f t="shared" ref="AL92:AL117" si="21">AF92*1000*$K92</f>
        <v>8540000</v>
      </c>
    </row>
    <row r="93" spans="1:41" x14ac:dyDescent="0.2">
      <c r="A93">
        <v>88</v>
      </c>
      <c r="B93" t="s">
        <v>125</v>
      </c>
      <c r="D93" t="s">
        <v>78</v>
      </c>
      <c r="E93" t="s">
        <v>52</v>
      </c>
      <c r="F93" t="s">
        <v>45</v>
      </c>
      <c r="I93">
        <v>11.52</v>
      </c>
      <c r="K93">
        <v>63</v>
      </c>
      <c r="L93" s="14">
        <v>2.5999999999999999E-2</v>
      </c>
      <c r="M93"/>
      <c r="Y93">
        <v>1.9</v>
      </c>
      <c r="Z93">
        <v>1.8</v>
      </c>
      <c r="AA93">
        <v>-0.1</v>
      </c>
      <c r="AB93" s="44">
        <f t="shared" si="18"/>
        <v>-6300</v>
      </c>
      <c r="AC93" s="56">
        <v>7.74</v>
      </c>
      <c r="AD93" s="56">
        <v>470</v>
      </c>
      <c r="AE93" s="56">
        <v>120</v>
      </c>
      <c r="AF93" s="56">
        <v>70</v>
      </c>
      <c r="AG93" s="56" t="s">
        <v>41</v>
      </c>
      <c r="AH93" s="56" t="s">
        <v>11</v>
      </c>
      <c r="AI93" s="56" t="s">
        <v>53</v>
      </c>
      <c r="AJ93">
        <f t="shared" si="19"/>
        <v>29610000</v>
      </c>
      <c r="AK93">
        <f t="shared" si="20"/>
        <v>7560000</v>
      </c>
      <c r="AL93">
        <f t="shared" si="21"/>
        <v>4410000</v>
      </c>
    </row>
    <row r="94" spans="1:41" x14ac:dyDescent="0.2">
      <c r="A94">
        <v>89</v>
      </c>
      <c r="B94" t="s">
        <v>125</v>
      </c>
      <c r="D94" t="s">
        <v>79</v>
      </c>
      <c r="E94" t="s">
        <v>52</v>
      </c>
      <c r="F94" t="s">
        <v>45</v>
      </c>
      <c r="I94">
        <v>8.64</v>
      </c>
      <c r="K94">
        <v>45</v>
      </c>
      <c r="L94" s="14">
        <v>2.58E-2</v>
      </c>
      <c r="M94"/>
      <c r="Y94">
        <v>0</v>
      </c>
      <c r="Z94">
        <v>1.2</v>
      </c>
      <c r="AA94">
        <v>1.2</v>
      </c>
      <c r="AB94" s="38">
        <f t="shared" si="18"/>
        <v>54000</v>
      </c>
      <c r="AC94" s="56">
        <v>3.27</v>
      </c>
      <c r="AD94" s="56">
        <v>270</v>
      </c>
      <c r="AE94" s="56">
        <v>60</v>
      </c>
      <c r="AF94" s="56" t="s">
        <v>40</v>
      </c>
      <c r="AG94" s="56" t="s">
        <v>41</v>
      </c>
      <c r="AH94" s="56" t="s">
        <v>11</v>
      </c>
      <c r="AI94" s="56" t="s">
        <v>53</v>
      </c>
      <c r="AJ94">
        <f t="shared" si="19"/>
        <v>12150000</v>
      </c>
      <c r="AK94">
        <f t="shared" si="20"/>
        <v>2700000</v>
      </c>
    </row>
    <row r="95" spans="1:41" x14ac:dyDescent="0.2">
      <c r="A95">
        <v>90</v>
      </c>
      <c r="B95" t="s">
        <v>125</v>
      </c>
      <c r="D95" t="s">
        <v>80</v>
      </c>
      <c r="E95" t="s">
        <v>52</v>
      </c>
      <c r="F95" t="s">
        <v>57</v>
      </c>
      <c r="I95">
        <v>8.4</v>
      </c>
      <c r="L95" s="14">
        <v>2.41E-2</v>
      </c>
      <c r="M95"/>
      <c r="Y95">
        <v>0.16</v>
      </c>
      <c r="Z95">
        <v>4.5</v>
      </c>
      <c r="AA95">
        <v>4.34</v>
      </c>
      <c r="AB95" s="51"/>
      <c r="AC95" s="56">
        <v>8.5</v>
      </c>
      <c r="AD95" s="56">
        <v>25000</v>
      </c>
      <c r="AE95" s="56">
        <v>6600</v>
      </c>
      <c r="AF95" s="56">
        <v>58</v>
      </c>
      <c r="AG95" s="56">
        <v>0.96</v>
      </c>
      <c r="AH95" s="56" t="s">
        <v>11</v>
      </c>
      <c r="AI95" s="56" t="s">
        <v>126</v>
      </c>
    </row>
    <row r="96" spans="1:41" x14ac:dyDescent="0.2">
      <c r="A96">
        <v>91</v>
      </c>
      <c r="B96" t="s">
        <v>125</v>
      </c>
      <c r="D96" t="s">
        <v>81</v>
      </c>
      <c r="E96" t="s">
        <v>52</v>
      </c>
      <c r="F96" t="s">
        <v>45</v>
      </c>
      <c r="I96">
        <v>8.64</v>
      </c>
      <c r="K96">
        <v>45</v>
      </c>
      <c r="L96" s="14">
        <v>2.58E-2</v>
      </c>
      <c r="M96"/>
      <c r="Y96">
        <v>1.0999999999999999E-2</v>
      </c>
      <c r="Z96">
        <v>3.7</v>
      </c>
      <c r="AA96">
        <v>3.6890000000000001</v>
      </c>
      <c r="AB96" s="38">
        <f t="shared" ref="AB96:AB102" si="22">AA96*1000*K96</f>
        <v>166005</v>
      </c>
      <c r="AC96" s="56">
        <v>12</v>
      </c>
      <c r="AD96" s="56">
        <v>200</v>
      </c>
      <c r="AE96" s="56">
        <v>44</v>
      </c>
      <c r="AF96" s="56">
        <v>6.4</v>
      </c>
      <c r="AG96" s="56" t="s">
        <v>119</v>
      </c>
      <c r="AH96" s="56" t="s">
        <v>11</v>
      </c>
      <c r="AI96" s="56" t="s">
        <v>36</v>
      </c>
      <c r="AJ96">
        <f t="shared" si="19"/>
        <v>9000000</v>
      </c>
      <c r="AK96">
        <f t="shared" si="20"/>
        <v>1980000</v>
      </c>
      <c r="AL96">
        <f t="shared" si="21"/>
        <v>288000</v>
      </c>
    </row>
    <row r="97" spans="1:41" x14ac:dyDescent="0.2">
      <c r="A97">
        <v>92</v>
      </c>
      <c r="B97" t="s">
        <v>125</v>
      </c>
      <c r="D97" t="s">
        <v>82</v>
      </c>
      <c r="E97" t="s">
        <v>52</v>
      </c>
      <c r="F97" t="s">
        <v>45</v>
      </c>
      <c r="I97">
        <v>8.64</v>
      </c>
      <c r="K97">
        <v>45</v>
      </c>
      <c r="L97" s="14">
        <v>2.58E-2</v>
      </c>
      <c r="M97"/>
      <c r="Y97">
        <v>0</v>
      </c>
      <c r="Z97">
        <v>3.7</v>
      </c>
      <c r="AA97">
        <v>3.7</v>
      </c>
      <c r="AB97" s="38">
        <f t="shared" si="22"/>
        <v>166500</v>
      </c>
      <c r="AC97" s="56">
        <v>12</v>
      </c>
      <c r="AD97" s="56" t="s">
        <v>11</v>
      </c>
      <c r="AE97" s="56"/>
      <c r="AF97" s="56"/>
      <c r="AG97" s="56"/>
      <c r="AH97" s="56"/>
      <c r="AI97" s="56"/>
    </row>
    <row r="98" spans="1:41" x14ac:dyDescent="0.2">
      <c r="A98">
        <v>93</v>
      </c>
      <c r="B98" t="s">
        <v>125</v>
      </c>
      <c r="D98" t="s">
        <v>83</v>
      </c>
      <c r="E98" t="s">
        <v>52</v>
      </c>
      <c r="F98" t="s">
        <v>45</v>
      </c>
      <c r="I98">
        <v>8.64</v>
      </c>
      <c r="K98">
        <v>45</v>
      </c>
      <c r="L98" s="14">
        <v>2.58E-2</v>
      </c>
      <c r="M98"/>
      <c r="Y98">
        <v>0</v>
      </c>
      <c r="Z98">
        <v>4.2</v>
      </c>
      <c r="AA98">
        <v>4.2</v>
      </c>
      <c r="AB98" s="38">
        <f t="shared" si="22"/>
        <v>189000</v>
      </c>
      <c r="AC98" s="56">
        <v>12</v>
      </c>
      <c r="AD98" s="56" t="s">
        <v>11</v>
      </c>
      <c r="AE98" s="56"/>
      <c r="AF98" s="56"/>
      <c r="AG98" s="56"/>
      <c r="AH98" s="56"/>
      <c r="AI98" s="56"/>
    </row>
    <row r="99" spans="1:41" x14ac:dyDescent="0.2">
      <c r="A99">
        <v>94</v>
      </c>
      <c r="B99" t="s">
        <v>125</v>
      </c>
      <c r="D99" t="s">
        <v>32</v>
      </c>
      <c r="E99" t="s">
        <v>52</v>
      </c>
      <c r="F99" t="s">
        <v>57</v>
      </c>
      <c r="I99">
        <v>9.7200000000000006</v>
      </c>
      <c r="K99">
        <v>1</v>
      </c>
      <c r="L99" s="14">
        <v>1.9800000000000002E-2</v>
      </c>
      <c r="M99"/>
      <c r="Y99">
        <v>0</v>
      </c>
      <c r="Z99">
        <v>2.2999999999999998</v>
      </c>
      <c r="AA99">
        <v>2.2999999999999998</v>
      </c>
      <c r="AB99" s="38">
        <f t="shared" si="22"/>
        <v>2300</v>
      </c>
      <c r="AC99" s="56">
        <v>3.5</v>
      </c>
      <c r="AD99" s="56">
        <v>12000</v>
      </c>
      <c r="AE99" s="56">
        <v>220</v>
      </c>
      <c r="AF99" s="56">
        <v>200</v>
      </c>
      <c r="AG99" s="56" t="s">
        <v>41</v>
      </c>
      <c r="AH99" s="56" t="s">
        <v>11</v>
      </c>
      <c r="AI99" s="56" t="s">
        <v>40</v>
      </c>
      <c r="AJ99">
        <f t="shared" si="19"/>
        <v>12000000</v>
      </c>
      <c r="AK99">
        <f t="shared" si="20"/>
        <v>220000</v>
      </c>
      <c r="AL99">
        <f t="shared" si="21"/>
        <v>200000</v>
      </c>
    </row>
    <row r="100" spans="1:41" x14ac:dyDescent="0.2">
      <c r="A100">
        <v>95</v>
      </c>
      <c r="B100" t="s">
        <v>125</v>
      </c>
      <c r="D100" t="s">
        <v>84</v>
      </c>
      <c r="E100" t="s">
        <v>52</v>
      </c>
      <c r="F100" t="s">
        <v>45</v>
      </c>
      <c r="I100">
        <v>11.6</v>
      </c>
      <c r="K100">
        <v>79</v>
      </c>
      <c r="L100" s="14">
        <v>2.5000000000000001E-2</v>
      </c>
      <c r="M100"/>
      <c r="Y100">
        <v>0</v>
      </c>
      <c r="Z100">
        <v>2.8</v>
      </c>
      <c r="AA100">
        <v>2.8</v>
      </c>
      <c r="AB100" s="38">
        <f t="shared" si="22"/>
        <v>221200</v>
      </c>
      <c r="AC100" s="56">
        <v>12</v>
      </c>
      <c r="AD100" s="56">
        <v>180</v>
      </c>
      <c r="AE100" s="56">
        <v>120</v>
      </c>
      <c r="AF100" s="56">
        <v>59</v>
      </c>
      <c r="AG100" s="56" t="s">
        <v>119</v>
      </c>
      <c r="AH100" s="56" t="s">
        <v>11</v>
      </c>
      <c r="AI100" s="56">
        <v>8</v>
      </c>
      <c r="AJ100">
        <f t="shared" si="19"/>
        <v>14220000</v>
      </c>
      <c r="AK100">
        <f t="shared" si="20"/>
        <v>9480000</v>
      </c>
      <c r="AL100">
        <f t="shared" si="21"/>
        <v>4661000</v>
      </c>
      <c r="AO100">
        <f t="shared" ref="AO100:AO105" si="23">AI100*1000*$K100</f>
        <v>632000</v>
      </c>
    </row>
    <row r="101" spans="1:41" x14ac:dyDescent="0.2">
      <c r="A101">
        <v>96</v>
      </c>
      <c r="B101" t="s">
        <v>125</v>
      </c>
      <c r="D101" t="s">
        <v>85</v>
      </c>
      <c r="E101" t="s">
        <v>52</v>
      </c>
      <c r="F101" t="s">
        <v>45</v>
      </c>
      <c r="I101">
        <v>11.6</v>
      </c>
      <c r="K101">
        <v>72</v>
      </c>
      <c r="L101" s="14">
        <v>3.1399999999999997E-2</v>
      </c>
      <c r="M101"/>
      <c r="Y101">
        <v>0.45</v>
      </c>
      <c r="Z101">
        <v>3.4</v>
      </c>
      <c r="AA101">
        <v>2.95</v>
      </c>
      <c r="AB101" s="38">
        <f t="shared" si="22"/>
        <v>212400</v>
      </c>
      <c r="AC101" s="56">
        <v>9.1</v>
      </c>
      <c r="AD101" s="56">
        <v>240</v>
      </c>
      <c r="AE101" s="56">
        <v>65</v>
      </c>
      <c r="AF101" s="56">
        <v>9.1999999999999993</v>
      </c>
      <c r="AG101" s="56" t="s">
        <v>119</v>
      </c>
      <c r="AH101" s="56" t="s">
        <v>11</v>
      </c>
      <c r="AI101" s="56" t="s">
        <v>36</v>
      </c>
      <c r="AJ101">
        <f t="shared" si="19"/>
        <v>17280000</v>
      </c>
      <c r="AK101">
        <f t="shared" si="20"/>
        <v>4680000</v>
      </c>
      <c r="AL101">
        <f t="shared" si="21"/>
        <v>662400</v>
      </c>
    </row>
    <row r="102" spans="1:41" x14ac:dyDescent="0.2">
      <c r="A102">
        <v>97</v>
      </c>
      <c r="B102" t="s">
        <v>125</v>
      </c>
      <c r="D102" t="s">
        <v>86</v>
      </c>
      <c r="E102" t="s">
        <v>52</v>
      </c>
      <c r="F102" t="s">
        <v>45</v>
      </c>
      <c r="I102">
        <v>11.6</v>
      </c>
      <c r="K102">
        <v>59</v>
      </c>
      <c r="L102" s="14">
        <v>1.23E-2</v>
      </c>
      <c r="M102"/>
      <c r="Y102">
        <v>0</v>
      </c>
      <c r="Z102">
        <v>3.7</v>
      </c>
      <c r="AA102">
        <v>3.7</v>
      </c>
      <c r="AB102" s="38">
        <f t="shared" si="22"/>
        <v>218300</v>
      </c>
      <c r="AC102" s="56">
        <v>12</v>
      </c>
      <c r="AD102" s="56">
        <v>56</v>
      </c>
      <c r="AE102" s="56">
        <v>35</v>
      </c>
      <c r="AF102" s="56">
        <v>15</v>
      </c>
      <c r="AG102" s="56" t="s">
        <v>119</v>
      </c>
      <c r="AH102" s="56" t="s">
        <v>11</v>
      </c>
      <c r="AI102" s="56" t="s">
        <v>36</v>
      </c>
      <c r="AJ102">
        <f t="shared" si="19"/>
        <v>3304000</v>
      </c>
      <c r="AK102">
        <f t="shared" si="20"/>
        <v>2065000</v>
      </c>
      <c r="AL102">
        <f t="shared" si="21"/>
        <v>885000</v>
      </c>
    </row>
    <row r="103" spans="1:41" x14ac:dyDescent="0.2">
      <c r="A103">
        <v>98</v>
      </c>
      <c r="B103" t="s">
        <v>43</v>
      </c>
      <c r="D103" t="s">
        <v>151</v>
      </c>
      <c r="E103" t="s">
        <v>39</v>
      </c>
      <c r="F103" t="s">
        <v>45</v>
      </c>
      <c r="K103">
        <v>50</v>
      </c>
      <c r="L103" s="14"/>
      <c r="M103">
        <v>8.01</v>
      </c>
      <c r="N103" s="33">
        <v>2.95</v>
      </c>
      <c r="O103" s="21">
        <f>N103-M103</f>
        <v>-5.0599999999999996</v>
      </c>
      <c r="AC103"/>
      <c r="AD103" s="56">
        <v>35</v>
      </c>
      <c r="AE103" s="56">
        <v>32.799999999999997</v>
      </c>
      <c r="AF103" s="56">
        <v>41.6</v>
      </c>
      <c r="AG103" s="56">
        <v>0.05</v>
      </c>
      <c r="AH103" s="56" t="s">
        <v>44</v>
      </c>
      <c r="AI103" s="56">
        <v>5</v>
      </c>
      <c r="AJ103">
        <f t="shared" si="19"/>
        <v>1750000</v>
      </c>
      <c r="AK103">
        <f t="shared" si="20"/>
        <v>1640000</v>
      </c>
      <c r="AL103">
        <f t="shared" si="21"/>
        <v>2080000</v>
      </c>
      <c r="AM103">
        <f t="shared" ref="AM103:AM105" si="24">AG103*1000*$K103</f>
        <v>2500</v>
      </c>
      <c r="AO103">
        <f t="shared" si="23"/>
        <v>250000</v>
      </c>
    </row>
    <row r="104" spans="1:41" x14ac:dyDescent="0.2">
      <c r="A104">
        <v>99</v>
      </c>
      <c r="B104" t="s">
        <v>43</v>
      </c>
      <c r="D104" t="s">
        <v>151</v>
      </c>
      <c r="E104" t="s">
        <v>39</v>
      </c>
      <c r="F104" t="s">
        <v>45</v>
      </c>
      <c r="K104">
        <v>150</v>
      </c>
      <c r="L104" s="14"/>
      <c r="M104">
        <v>7.96</v>
      </c>
      <c r="N104" s="33">
        <v>3.76</v>
      </c>
      <c r="O104" s="21">
        <f>N104-M104</f>
        <v>-4.2</v>
      </c>
      <c r="AC104"/>
      <c r="AD104" s="56">
        <v>23</v>
      </c>
      <c r="AE104" s="56">
        <v>10.4</v>
      </c>
      <c r="AF104" s="56">
        <v>15.3</v>
      </c>
      <c r="AG104" s="56">
        <v>0.08</v>
      </c>
      <c r="AH104" s="56" t="s">
        <v>44</v>
      </c>
      <c r="AI104" s="56">
        <v>0.6</v>
      </c>
      <c r="AJ104">
        <f t="shared" si="19"/>
        <v>3450000</v>
      </c>
      <c r="AK104">
        <f t="shared" si="20"/>
        <v>1560000</v>
      </c>
      <c r="AL104">
        <f t="shared" si="21"/>
        <v>2295000</v>
      </c>
      <c r="AM104">
        <f t="shared" si="24"/>
        <v>12000</v>
      </c>
      <c r="AO104">
        <f t="shared" si="23"/>
        <v>90000</v>
      </c>
    </row>
    <row r="105" spans="1:41" x14ac:dyDescent="0.2">
      <c r="A105">
        <v>100</v>
      </c>
      <c r="B105" t="s">
        <v>127</v>
      </c>
      <c r="D105" s="11" t="s">
        <v>150</v>
      </c>
      <c r="E105" t="s">
        <v>52</v>
      </c>
      <c r="F105" t="s">
        <v>45</v>
      </c>
      <c r="I105" t="s">
        <v>128</v>
      </c>
      <c r="K105">
        <v>70</v>
      </c>
      <c r="L105" s="14"/>
      <c r="M105">
        <v>8.1</v>
      </c>
      <c r="N105" s="21">
        <v>6</v>
      </c>
      <c r="O105" s="21">
        <f>N105-M105</f>
        <v>-2.0999999999999996</v>
      </c>
      <c r="Q105">
        <v>2.2999999999999998</v>
      </c>
      <c r="R105">
        <v>4.5</v>
      </c>
      <c r="S105" s="45">
        <f>R105-Q105</f>
        <v>2.2000000000000002</v>
      </c>
      <c r="AC105"/>
      <c r="AD105" s="63">
        <v>43.3</v>
      </c>
      <c r="AE105" t="s">
        <v>120</v>
      </c>
      <c r="AF105" s="63">
        <v>190</v>
      </c>
      <c r="AG105" s="63">
        <v>0.1</v>
      </c>
      <c r="AH105" s="63">
        <v>5.6</v>
      </c>
      <c r="AI105" s="63">
        <v>26.4</v>
      </c>
      <c r="AJ105">
        <f>AD105*1000*$K105</f>
        <v>3031000</v>
      </c>
      <c r="AL105">
        <f t="shared" si="21"/>
        <v>13300000</v>
      </c>
      <c r="AM105">
        <f t="shared" si="24"/>
        <v>7000</v>
      </c>
      <c r="AN105">
        <f t="shared" ref="AN105:AN117" si="25">AH105*1000*$K105</f>
        <v>392000</v>
      </c>
      <c r="AO105">
        <f t="shared" si="23"/>
        <v>1848000</v>
      </c>
    </row>
    <row r="106" spans="1:41" x14ac:dyDescent="0.2">
      <c r="A106">
        <v>101</v>
      </c>
      <c r="B106" t="s">
        <v>127</v>
      </c>
      <c r="D106" s="11" t="s">
        <v>150</v>
      </c>
      <c r="E106" t="s">
        <v>52</v>
      </c>
      <c r="F106" t="s">
        <v>57</v>
      </c>
      <c r="I106" t="s">
        <v>128</v>
      </c>
      <c r="L106" s="14"/>
      <c r="M106"/>
      <c r="AC106"/>
      <c r="AD106" s="63">
        <v>3000</v>
      </c>
    </row>
    <row r="107" spans="1:41" x14ac:dyDescent="0.2">
      <c r="A107">
        <v>102</v>
      </c>
      <c r="B107" t="s">
        <v>43</v>
      </c>
      <c r="D107" t="s">
        <v>152</v>
      </c>
      <c r="E107" t="s">
        <v>39</v>
      </c>
      <c r="F107" t="s">
        <v>45</v>
      </c>
      <c r="L107" s="14"/>
      <c r="M107">
        <v>8.11</v>
      </c>
      <c r="N107" s="33">
        <v>3</v>
      </c>
      <c r="O107" s="21">
        <f t="shared" ref="O107:O114" si="26">N107-M107</f>
        <v>-5.1099999999999994</v>
      </c>
      <c r="AC107"/>
      <c r="AD107" s="56"/>
      <c r="AF107" s="56"/>
    </row>
    <row r="108" spans="1:41" s="4" customFormat="1" x14ac:dyDescent="0.2">
      <c r="A108">
        <v>103</v>
      </c>
      <c r="B108" s="4" t="s">
        <v>43</v>
      </c>
      <c r="D108" t="s">
        <v>152</v>
      </c>
      <c r="E108" s="4" t="s">
        <v>39</v>
      </c>
      <c r="F108" s="4" t="s">
        <v>45</v>
      </c>
      <c r="L108" s="22"/>
      <c r="M108" s="4">
        <v>7.95</v>
      </c>
      <c r="N108" s="79">
        <v>2.7</v>
      </c>
      <c r="O108" s="21">
        <f t="shared" si="26"/>
        <v>-5.25</v>
      </c>
      <c r="AD108" s="57"/>
      <c r="AF108" s="57"/>
      <c r="AJ108"/>
      <c r="AK108"/>
      <c r="AL108"/>
      <c r="AM108"/>
      <c r="AN108"/>
      <c r="AO108"/>
    </row>
    <row r="109" spans="1:41" s="11" customFormat="1" x14ac:dyDescent="0.2">
      <c r="A109" s="11">
        <v>104</v>
      </c>
      <c r="B109" s="11" t="s">
        <v>4</v>
      </c>
      <c r="D109" s="11" t="s">
        <v>153</v>
      </c>
      <c r="E109" s="11" t="s">
        <v>39</v>
      </c>
      <c r="F109" s="11" t="s">
        <v>45</v>
      </c>
      <c r="L109" s="23"/>
      <c r="M109" s="16">
        <v>8.06</v>
      </c>
      <c r="N109" s="60">
        <v>7.99</v>
      </c>
      <c r="O109" s="61">
        <f t="shared" si="26"/>
        <v>-7.0000000000000284E-2</v>
      </c>
      <c r="AD109" s="62"/>
    </row>
    <row r="110" spans="1:41" s="11" customFormat="1" x14ac:dyDescent="0.2">
      <c r="A110" s="11">
        <v>105</v>
      </c>
      <c r="B110" s="11" t="s">
        <v>4</v>
      </c>
      <c r="D110" s="11" t="s">
        <v>153</v>
      </c>
      <c r="E110" s="11" t="s">
        <v>39</v>
      </c>
      <c r="F110" s="11" t="s">
        <v>45</v>
      </c>
      <c r="L110" s="23"/>
      <c r="M110" s="16">
        <v>8</v>
      </c>
      <c r="N110" s="60">
        <v>7.34</v>
      </c>
      <c r="O110" s="61">
        <f t="shared" si="26"/>
        <v>-0.66000000000000014</v>
      </c>
    </row>
    <row r="111" spans="1:41" s="11" customFormat="1" x14ac:dyDescent="0.2">
      <c r="A111" s="11">
        <v>106</v>
      </c>
      <c r="B111" s="11" t="s">
        <v>4</v>
      </c>
      <c r="D111" s="11" t="s">
        <v>153</v>
      </c>
      <c r="E111" s="11" t="s">
        <v>39</v>
      </c>
      <c r="F111" s="11" t="s">
        <v>45</v>
      </c>
      <c r="L111" s="23"/>
      <c r="M111" s="16">
        <v>8.16</v>
      </c>
      <c r="N111" s="60">
        <v>6.82</v>
      </c>
      <c r="O111" s="61">
        <f t="shared" si="26"/>
        <v>-1.3399999999999999</v>
      </c>
    </row>
    <row r="112" spans="1:41" s="11" customFormat="1" x14ac:dyDescent="0.2">
      <c r="A112" s="11">
        <v>107</v>
      </c>
      <c r="B112" s="11" t="s">
        <v>4</v>
      </c>
      <c r="D112" s="11" t="s">
        <v>153</v>
      </c>
      <c r="E112" s="11" t="s">
        <v>39</v>
      </c>
      <c r="F112" s="11" t="s">
        <v>45</v>
      </c>
      <c r="L112" s="23"/>
      <c r="M112" s="16">
        <v>7.88</v>
      </c>
      <c r="N112" s="19">
        <v>6.15</v>
      </c>
      <c r="O112" s="61">
        <f t="shared" si="26"/>
        <v>-1.7299999999999995</v>
      </c>
    </row>
    <row r="113" spans="1:41" s="11" customFormat="1" x14ac:dyDescent="0.2">
      <c r="A113" s="11">
        <v>108</v>
      </c>
      <c r="B113" s="11" t="s">
        <v>4</v>
      </c>
      <c r="D113" s="11" t="s">
        <v>153</v>
      </c>
      <c r="E113" s="11" t="s">
        <v>39</v>
      </c>
      <c r="F113" s="11" t="s">
        <v>45</v>
      </c>
      <c r="L113" s="23"/>
      <c r="M113" s="16">
        <v>7.81</v>
      </c>
      <c r="N113" s="19">
        <v>6.33</v>
      </c>
      <c r="O113" s="61">
        <f t="shared" si="26"/>
        <v>-1.4799999999999995</v>
      </c>
    </row>
    <row r="114" spans="1:41" s="11" customFormat="1" x14ac:dyDescent="0.2">
      <c r="A114" s="11">
        <v>109</v>
      </c>
      <c r="B114" s="11" t="s">
        <v>42</v>
      </c>
      <c r="D114" s="11" t="s">
        <v>154</v>
      </c>
      <c r="E114" s="11" t="s">
        <v>31</v>
      </c>
      <c r="F114" s="11" t="s">
        <v>57</v>
      </c>
      <c r="L114" s="23"/>
      <c r="M114" s="16">
        <v>7.9</v>
      </c>
      <c r="N114" s="60">
        <v>7.6</v>
      </c>
      <c r="O114" s="61">
        <f t="shared" si="26"/>
        <v>-0.30000000000000071</v>
      </c>
      <c r="Q114" s="11">
        <v>2</v>
      </c>
      <c r="R114" s="11">
        <v>9.3000000000000007</v>
      </c>
      <c r="S114" s="60">
        <f>R114-Q114</f>
        <v>7.3000000000000007</v>
      </c>
      <c r="AC114" s="52" t="s">
        <v>129</v>
      </c>
      <c r="AD114" s="62">
        <v>9800</v>
      </c>
      <c r="AE114" s="11">
        <v>830</v>
      </c>
      <c r="AF114" s="11">
        <v>150</v>
      </c>
      <c r="AG114" s="11" t="s">
        <v>119</v>
      </c>
      <c r="AH114" s="11">
        <v>5.2</v>
      </c>
      <c r="AI114" s="11" t="s">
        <v>130</v>
      </c>
      <c r="AJ114"/>
      <c r="AK114"/>
      <c r="AL114"/>
      <c r="AM114"/>
      <c r="AN114"/>
      <c r="AO114"/>
    </row>
    <row r="115" spans="1:41" x14ac:dyDescent="0.2">
      <c r="A115">
        <v>110</v>
      </c>
      <c r="B115" t="s">
        <v>2</v>
      </c>
      <c r="C115" t="s">
        <v>131</v>
      </c>
      <c r="D115" s="11" t="s">
        <v>155</v>
      </c>
      <c r="E115" t="s">
        <v>39</v>
      </c>
      <c r="F115" t="s">
        <v>45</v>
      </c>
      <c r="G115">
        <v>3.12</v>
      </c>
      <c r="H115" s="2">
        <v>0.75</v>
      </c>
      <c r="I115">
        <v>2.34</v>
      </c>
      <c r="K115">
        <v>45</v>
      </c>
      <c r="L115" s="25">
        <v>2.7199999999999998E-2</v>
      </c>
      <c r="M115" s="26">
        <v>7.98</v>
      </c>
      <c r="Q115">
        <v>1.1000000000000001</v>
      </c>
      <c r="R115">
        <v>1.75</v>
      </c>
      <c r="S115" s="35">
        <f t="shared" ref="S115:S117" si="27">R115-Q115</f>
        <v>0.64999999999999991</v>
      </c>
      <c r="Y115">
        <v>0</v>
      </c>
      <c r="Z115">
        <v>0.998</v>
      </c>
      <c r="AA115">
        <f>Z115-Y115</f>
        <v>0.998</v>
      </c>
      <c r="AB115" s="38">
        <f>AA115*1000*K115</f>
        <v>44910</v>
      </c>
      <c r="AC115">
        <v>3.4</v>
      </c>
      <c r="AD115">
        <v>41.6</v>
      </c>
      <c r="AE115">
        <v>41.7</v>
      </c>
      <c r="AF115">
        <v>1.05</v>
      </c>
      <c r="AG115" t="s">
        <v>132</v>
      </c>
      <c r="AI115" t="s">
        <v>132</v>
      </c>
      <c r="AJ115">
        <f t="shared" si="19"/>
        <v>1872000</v>
      </c>
      <c r="AK115">
        <f t="shared" si="20"/>
        <v>1876500</v>
      </c>
      <c r="AL115">
        <f t="shared" si="21"/>
        <v>47250</v>
      </c>
    </row>
    <row r="116" spans="1:41" x14ac:dyDescent="0.2">
      <c r="A116">
        <v>111</v>
      </c>
      <c r="B116" t="s">
        <v>2</v>
      </c>
      <c r="C116" t="s">
        <v>133</v>
      </c>
      <c r="D116" s="11" t="s">
        <v>155</v>
      </c>
      <c r="E116" t="s">
        <v>39</v>
      </c>
      <c r="F116" t="s">
        <v>45</v>
      </c>
      <c r="G116">
        <v>3.12</v>
      </c>
      <c r="H116" s="2">
        <v>0.75</v>
      </c>
      <c r="I116">
        <v>2.34</v>
      </c>
      <c r="K116">
        <v>45</v>
      </c>
      <c r="L116" s="25">
        <v>2.7199999999999998E-2</v>
      </c>
      <c r="M116" s="26">
        <v>7.99</v>
      </c>
      <c r="N116" s="35">
        <v>6.52</v>
      </c>
      <c r="O116" s="32">
        <f>N116-M116</f>
        <v>-1.4700000000000006</v>
      </c>
      <c r="Q116">
        <v>0.48</v>
      </c>
      <c r="R116">
        <v>0.87</v>
      </c>
      <c r="S116" s="35">
        <f t="shared" si="27"/>
        <v>0.39</v>
      </c>
      <c r="Y116">
        <v>0</v>
      </c>
      <c r="Z116">
        <v>0.27500000000000002</v>
      </c>
      <c r="AA116">
        <f>Z116-Y116</f>
        <v>0.27500000000000002</v>
      </c>
      <c r="AB116" s="38">
        <f>AA116*1000*K116</f>
        <v>12375</v>
      </c>
      <c r="AC116">
        <v>0.87</v>
      </c>
      <c r="AD116">
        <v>164</v>
      </c>
      <c r="AE116">
        <v>11.2</v>
      </c>
      <c r="AF116">
        <v>1.23</v>
      </c>
      <c r="AG116" t="s">
        <v>132</v>
      </c>
      <c r="AI116" t="s">
        <v>132</v>
      </c>
      <c r="AJ116">
        <f t="shared" si="19"/>
        <v>7380000</v>
      </c>
      <c r="AK116">
        <f t="shared" si="20"/>
        <v>504000</v>
      </c>
      <c r="AL116">
        <f t="shared" si="21"/>
        <v>55350</v>
      </c>
    </row>
    <row r="117" spans="1:41" x14ac:dyDescent="0.2">
      <c r="A117">
        <v>112</v>
      </c>
      <c r="B117" t="s">
        <v>3</v>
      </c>
      <c r="D117" s="11" t="s">
        <v>154</v>
      </c>
      <c r="E117" t="s">
        <v>31</v>
      </c>
      <c r="F117" t="s">
        <v>57</v>
      </c>
      <c r="G117">
        <v>33.6</v>
      </c>
      <c r="H117" s="2">
        <v>0.75</v>
      </c>
      <c r="I117">
        <v>25.200000000000003</v>
      </c>
      <c r="J117">
        <v>10</v>
      </c>
      <c r="K117" s="47">
        <f>J117/I117</f>
        <v>0.3968253968253968</v>
      </c>
      <c r="L117" s="25">
        <v>2.8000000000000001E-2</v>
      </c>
      <c r="M117" s="26">
        <v>7.9</v>
      </c>
      <c r="N117" s="35">
        <v>7.6</v>
      </c>
      <c r="O117" s="32">
        <f>N117-M117</f>
        <v>-0.30000000000000071</v>
      </c>
      <c r="Q117">
        <v>2</v>
      </c>
      <c r="R117">
        <v>9.3000000000000007</v>
      </c>
      <c r="S117" s="35">
        <f t="shared" si="27"/>
        <v>7.3000000000000007</v>
      </c>
      <c r="T117">
        <v>31</v>
      </c>
      <c r="U117">
        <v>1</v>
      </c>
      <c r="V117" s="20">
        <f>U117-T117</f>
        <v>-30</v>
      </c>
      <c r="W117" s="44">
        <f>V117*1000*K117</f>
        <v>-11904.761904761905</v>
      </c>
      <c r="X117">
        <v>49</v>
      </c>
      <c r="AC117"/>
      <c r="AD117">
        <v>9800</v>
      </c>
      <c r="AE117">
        <v>830</v>
      </c>
      <c r="AF117">
        <v>150</v>
      </c>
      <c r="AG117" t="s">
        <v>37</v>
      </c>
      <c r="AH117">
        <v>5.1999999999999998E-3</v>
      </c>
      <c r="AI117" t="s">
        <v>130</v>
      </c>
      <c r="AJ117">
        <f>AD117*1000*$K117</f>
        <v>3888888.8888888885</v>
      </c>
      <c r="AK117">
        <f t="shared" si="20"/>
        <v>329365.07936507935</v>
      </c>
      <c r="AL117">
        <f t="shared" si="21"/>
        <v>59523.809523809519</v>
      </c>
      <c r="AN117">
        <f t="shared" si="25"/>
        <v>2.0634920634920633</v>
      </c>
    </row>
    <row r="118" spans="1:41" x14ac:dyDescent="0.2">
      <c r="AC118"/>
    </row>
    <row r="119" spans="1:41" x14ac:dyDescent="0.2">
      <c r="AC119"/>
    </row>
    <row r="120" spans="1:41" x14ac:dyDescent="0.2">
      <c r="AC120"/>
    </row>
    <row r="121" spans="1:41" x14ac:dyDescent="0.2">
      <c r="AC121"/>
    </row>
    <row r="122" spans="1:41" x14ac:dyDescent="0.2">
      <c r="AC122"/>
    </row>
    <row r="123" spans="1:41" x14ac:dyDescent="0.2">
      <c r="AC123"/>
    </row>
    <row r="124" spans="1:41" x14ac:dyDescent="0.2">
      <c r="AC124"/>
    </row>
    <row r="125" spans="1:41" x14ac:dyDescent="0.2">
      <c r="AC125"/>
    </row>
    <row r="126" spans="1:41" x14ac:dyDescent="0.2">
      <c r="AC126"/>
    </row>
    <row r="127" spans="1:41" x14ac:dyDescent="0.2">
      <c r="AC127"/>
    </row>
    <row r="128" spans="1:41" x14ac:dyDescent="0.2">
      <c r="AC128"/>
    </row>
    <row r="129" spans="29:29" x14ac:dyDescent="0.2">
      <c r="AC129"/>
    </row>
    <row r="130" spans="29:29" x14ac:dyDescent="0.2">
      <c r="AC130"/>
    </row>
    <row r="131" spans="29:29" x14ac:dyDescent="0.2">
      <c r="AC131"/>
    </row>
    <row r="132" spans="29:29" x14ac:dyDescent="0.2">
      <c r="AC132"/>
    </row>
    <row r="133" spans="29:29" x14ac:dyDescent="0.2">
      <c r="AC133"/>
    </row>
    <row r="134" spans="29:29" x14ac:dyDescent="0.2">
      <c r="AC134"/>
    </row>
    <row r="135" spans="29:29" x14ac:dyDescent="0.2">
      <c r="AC135"/>
    </row>
    <row r="136" spans="29:29" x14ac:dyDescent="0.2">
      <c r="AC136"/>
    </row>
  </sheetData>
  <sheetProtection algorithmName="SHA-512" hashValue="HS9tKj1ygOAVeR97pszCLeXViGya+MlziTFM2nc1bsoFiaLw6lh6L4OcLHTUZmibDCm6fGf7QY60gwr+oyKssw==" saltValue="O0KGnSY8tE/NWfkp5j81Qw==" spinCount="100000" sheet="1" objects="1" scenarios="1"/>
  <autoFilter ref="A3:AO117" xr:uid="{5B32B400-6F8C-394F-8B70-C1E3D12A1D2C}"/>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7069-E269-3D43-86C4-52660B0823F3}">
  <sheetPr>
    <tabColor rgb="FF00B050"/>
  </sheetPr>
  <dimension ref="A1:L8"/>
  <sheetViews>
    <sheetView workbookViewId="0"/>
  </sheetViews>
  <sheetFormatPr baseColWidth="10" defaultRowHeight="16" x14ac:dyDescent="0.2"/>
  <cols>
    <col min="6" max="6" width="11.5" bestFit="1" customWidth="1"/>
    <col min="7" max="8" width="14" bestFit="1" customWidth="1"/>
    <col min="9" max="9" width="13" bestFit="1" customWidth="1"/>
    <col min="10" max="11" width="11" bestFit="1" customWidth="1"/>
    <col min="12" max="12" width="11.5" bestFit="1" customWidth="1"/>
  </cols>
  <sheetData>
    <row r="1" spans="1:12" x14ac:dyDescent="0.2">
      <c r="A1" t="s">
        <v>143</v>
      </c>
    </row>
    <row r="3" spans="1:12" x14ac:dyDescent="0.2">
      <c r="A3" s="9" t="s">
        <v>156</v>
      </c>
    </row>
    <row r="4" spans="1:12" x14ac:dyDescent="0.2">
      <c r="D4" t="s">
        <v>90</v>
      </c>
      <c r="E4" t="s">
        <v>12</v>
      </c>
      <c r="F4" t="s">
        <v>38</v>
      </c>
      <c r="G4" s="152" t="s">
        <v>144</v>
      </c>
      <c r="H4" s="152"/>
      <c r="I4" s="152"/>
      <c r="J4" s="152"/>
      <c r="K4" s="152"/>
      <c r="L4" s="152"/>
    </row>
    <row r="5" spans="1:12" x14ac:dyDescent="0.2">
      <c r="B5" t="s">
        <v>141</v>
      </c>
      <c r="C5" t="s">
        <v>5</v>
      </c>
      <c r="D5" t="s">
        <v>140</v>
      </c>
      <c r="E5" t="s">
        <v>6</v>
      </c>
      <c r="F5" t="s">
        <v>139</v>
      </c>
      <c r="G5" t="s">
        <v>138</v>
      </c>
      <c r="H5" t="s">
        <v>142</v>
      </c>
      <c r="I5" t="s">
        <v>135</v>
      </c>
      <c r="J5" t="s">
        <v>136</v>
      </c>
      <c r="K5" t="s">
        <v>137</v>
      </c>
      <c r="L5" t="s">
        <v>134</v>
      </c>
    </row>
    <row r="6" spans="1:12" x14ac:dyDescent="0.2">
      <c r="B6" t="s">
        <v>31</v>
      </c>
      <c r="C6">
        <v>7.6</v>
      </c>
      <c r="D6" s="8">
        <v>6600</v>
      </c>
      <c r="E6">
        <v>10</v>
      </c>
      <c r="F6" s="80">
        <v>125000</v>
      </c>
      <c r="G6" s="80">
        <v>88850000</v>
      </c>
      <c r="H6" s="80">
        <v>24540000</v>
      </c>
      <c r="I6" s="80">
        <v>9990000</v>
      </c>
      <c r="J6" s="80">
        <v>3000</v>
      </c>
      <c r="K6" s="80">
        <v>4000</v>
      </c>
      <c r="L6" s="80">
        <v>818000</v>
      </c>
    </row>
    <row r="7" spans="1:12" x14ac:dyDescent="0.2">
      <c r="B7" t="s">
        <v>39</v>
      </c>
      <c r="C7">
        <v>5.6</v>
      </c>
      <c r="D7" s="8">
        <v>119000</v>
      </c>
      <c r="E7">
        <v>1</v>
      </c>
      <c r="F7" s="84">
        <v>20000</v>
      </c>
      <c r="G7" s="80">
        <v>9310000</v>
      </c>
      <c r="H7" s="80">
        <v>2590000</v>
      </c>
      <c r="I7" s="80">
        <v>2180000</v>
      </c>
      <c r="J7" s="80">
        <v>5000</v>
      </c>
      <c r="K7" s="80">
        <v>7000</v>
      </c>
      <c r="L7" s="80">
        <v>519000</v>
      </c>
    </row>
    <row r="8" spans="1:12" x14ac:dyDescent="0.2">
      <c r="F8" s="5"/>
    </row>
  </sheetData>
  <sheetProtection algorithmName="SHA-512" hashValue="Xbl4nxnHHXnSH8ONVHIdD4rlaLz0JVHujFkobKgMuPuyCFfKAzmQ23U3KyO6W6F2AqP6e30KhbwfHZQbfNLFrA==" saltValue="yEtF8bOAd+5Ll8N90ARHvg==" spinCount="100000" sheet="1" objects="1" scenarios="1"/>
  <mergeCells count="1">
    <mergeCell ref="G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EF068-ED66-E444-A862-1E0C8E67184A}">
  <dimension ref="A1:BL48"/>
  <sheetViews>
    <sheetView topLeftCell="AZ1" workbookViewId="0">
      <selection activeCell="BK17" sqref="BK17"/>
    </sheetView>
  </sheetViews>
  <sheetFormatPr baseColWidth="10" defaultColWidth="8.83203125" defaultRowHeight="16" x14ac:dyDescent="0.2"/>
  <cols>
    <col min="2" max="2" width="33.83203125" customWidth="1"/>
    <col min="3" max="4" width="20.5" customWidth="1"/>
    <col min="5" max="5" width="13.1640625" customWidth="1"/>
    <col min="6" max="6" width="10.6640625" customWidth="1"/>
    <col min="7" max="7" width="9.1640625" customWidth="1"/>
    <col min="8" max="8" width="10.1640625" customWidth="1"/>
    <col min="9" max="9" width="15.83203125" customWidth="1"/>
    <col min="10" max="10" width="15.1640625" customWidth="1"/>
    <col min="11" max="11" width="12.1640625" style="3" customWidth="1"/>
    <col min="12" max="12" width="11.33203125" customWidth="1"/>
    <col min="13" max="13" width="15.6640625" style="3" bestFit="1" customWidth="1"/>
    <col min="14" max="16" width="15.6640625" customWidth="1"/>
    <col min="17" max="17" width="25.33203125" customWidth="1"/>
    <col min="18" max="19" width="26.1640625" customWidth="1"/>
    <col min="20" max="20" width="11.83203125" bestFit="1" customWidth="1"/>
    <col min="21" max="21" width="12.33203125" customWidth="1"/>
    <col min="22" max="22" width="14.1640625" customWidth="1"/>
    <col min="23" max="26" width="16" customWidth="1"/>
    <col min="27" max="27" width="16" style="3" customWidth="1"/>
    <col min="28" max="28" width="16" customWidth="1"/>
    <col min="29" max="29" width="11.83203125" bestFit="1" customWidth="1"/>
    <col min="37" max="37" width="8.83203125" style="3"/>
    <col min="38" max="40" width="17.1640625" customWidth="1"/>
    <col min="50" max="50" width="8.83203125" style="3"/>
    <col min="53" max="53" width="8.83203125" style="3"/>
    <col min="56" max="56" width="8.83203125" style="3"/>
    <col min="57" max="57" width="13.33203125" customWidth="1"/>
    <col min="60" max="60" width="13.1640625" customWidth="1"/>
    <col min="61" max="61" width="21.83203125" customWidth="1"/>
    <col min="62" max="62" width="15.6640625" customWidth="1"/>
    <col min="63" max="63" width="16.33203125" style="3" customWidth="1"/>
  </cols>
  <sheetData>
    <row r="1" spans="1:64" x14ac:dyDescent="0.2">
      <c r="B1" s="3"/>
      <c r="L1" s="134"/>
      <c r="M1" s="135"/>
      <c r="N1" s="134"/>
      <c r="O1" s="134"/>
      <c r="P1" s="134"/>
      <c r="Q1" s="134"/>
      <c r="R1" s="134"/>
      <c r="S1" s="134"/>
      <c r="T1" s="134"/>
      <c r="U1" s="134"/>
      <c r="V1" s="134"/>
      <c r="W1" s="134"/>
      <c r="X1" s="134"/>
      <c r="Y1" s="134"/>
      <c r="Z1" s="134"/>
      <c r="AA1" s="135"/>
      <c r="AB1" s="134"/>
      <c r="AC1" s="134"/>
      <c r="AD1" s="7"/>
      <c r="AE1" s="7"/>
      <c r="AF1" s="7"/>
      <c r="AG1" s="7"/>
      <c r="AH1" s="7"/>
      <c r="AI1" s="7"/>
      <c r="AJ1" s="7"/>
      <c r="AK1" s="135"/>
      <c r="AL1" s="134"/>
      <c r="AM1" s="134"/>
      <c r="AN1" s="134"/>
      <c r="AO1" s="134"/>
      <c r="AP1" s="134"/>
      <c r="AQ1" s="134"/>
      <c r="AR1" s="134"/>
      <c r="AS1" s="134"/>
      <c r="AT1" s="7"/>
      <c r="AU1" s="7"/>
      <c r="AV1" s="7"/>
      <c r="AW1" s="7"/>
      <c r="AX1" s="135"/>
      <c r="AY1" s="134"/>
      <c r="AZ1" s="134"/>
      <c r="BA1" s="135"/>
      <c r="BB1" s="134"/>
      <c r="BC1" s="134"/>
      <c r="BD1" s="135"/>
      <c r="BE1" s="134"/>
      <c r="BF1" s="134"/>
      <c r="BG1" s="7"/>
      <c r="BH1" s="7"/>
      <c r="BI1" s="7"/>
      <c r="BJ1" s="134"/>
      <c r="BK1" s="135"/>
      <c r="BL1" s="134"/>
    </row>
    <row r="2" spans="1:64" x14ac:dyDescent="0.2">
      <c r="B2" s="153"/>
      <c r="C2" s="78"/>
      <c r="D2" s="78"/>
      <c r="E2" s="78"/>
      <c r="F2" s="78"/>
      <c r="G2" s="78"/>
      <c r="H2" s="78"/>
      <c r="I2" s="78"/>
      <c r="J2" s="78"/>
      <c r="K2" s="76"/>
      <c r="L2" s="155" t="s">
        <v>290</v>
      </c>
      <c r="M2" s="153"/>
      <c r="N2" s="158" t="s">
        <v>303</v>
      </c>
      <c r="O2" s="156"/>
      <c r="P2" s="156"/>
      <c r="Q2" s="156"/>
      <c r="R2" s="156"/>
      <c r="S2" s="156"/>
      <c r="T2" s="156"/>
      <c r="U2" s="156"/>
      <c r="V2" s="156"/>
      <c r="W2" s="156"/>
      <c r="X2" s="133"/>
      <c r="Y2" s="133"/>
      <c r="Z2" s="133"/>
      <c r="AA2" s="132"/>
      <c r="AB2" s="156" t="s">
        <v>302</v>
      </c>
      <c r="AC2" s="156"/>
      <c r="AD2" s="156"/>
      <c r="AE2" s="133"/>
      <c r="AF2" s="133"/>
      <c r="AG2" s="133"/>
      <c r="AH2" s="133"/>
      <c r="AI2" s="133"/>
      <c r="AJ2" s="133"/>
      <c r="AK2" s="132"/>
      <c r="AL2" s="156" t="s">
        <v>301</v>
      </c>
      <c r="AM2" s="156"/>
      <c r="AN2" s="156"/>
      <c r="AO2" s="156"/>
      <c r="AP2" s="156"/>
      <c r="AQ2" s="156"/>
      <c r="AR2" s="156"/>
      <c r="AS2" s="156"/>
      <c r="AT2" s="156"/>
      <c r="AU2" s="156"/>
      <c r="AV2" s="156"/>
      <c r="AW2" s="156"/>
      <c r="AX2" s="157"/>
      <c r="AY2" s="156" t="s">
        <v>300</v>
      </c>
      <c r="AZ2" s="156"/>
      <c r="BA2" s="157"/>
      <c r="BB2" s="156" t="s">
        <v>299</v>
      </c>
      <c r="BC2" s="156"/>
      <c r="BD2" s="157"/>
      <c r="BE2" s="156" t="s">
        <v>298</v>
      </c>
      <c r="BF2" s="156"/>
      <c r="BG2" s="157"/>
      <c r="BH2" s="159" t="s">
        <v>297</v>
      </c>
      <c r="BI2" s="155"/>
      <c r="BJ2" s="155"/>
      <c r="BK2" s="76"/>
      <c r="BL2" s="78"/>
    </row>
    <row r="3" spans="1:64" x14ac:dyDescent="0.2">
      <c r="B3" s="154"/>
      <c r="C3" s="131" t="s">
        <v>296</v>
      </c>
      <c r="D3" s="131" t="s">
        <v>295</v>
      </c>
      <c r="E3" s="131" t="s">
        <v>8</v>
      </c>
      <c r="F3" s="131" t="s">
        <v>294</v>
      </c>
      <c r="G3" s="131" t="s">
        <v>293</v>
      </c>
      <c r="H3" s="131" t="s">
        <v>10</v>
      </c>
      <c r="I3" s="130" t="s">
        <v>292</v>
      </c>
      <c r="J3" s="130" t="s">
        <v>291</v>
      </c>
      <c r="K3" s="77" t="s">
        <v>92</v>
      </c>
      <c r="L3" s="118" t="s">
        <v>290</v>
      </c>
      <c r="M3" s="129" t="s">
        <v>264</v>
      </c>
      <c r="N3" s="121" t="s">
        <v>289</v>
      </c>
      <c r="O3" s="121" t="s">
        <v>288</v>
      </c>
      <c r="P3" s="122" t="s">
        <v>287</v>
      </c>
      <c r="Q3" s="121" t="s">
        <v>286</v>
      </c>
      <c r="R3" s="121" t="s">
        <v>285</v>
      </c>
      <c r="S3" s="121" t="s">
        <v>284</v>
      </c>
      <c r="T3" s="118" t="s">
        <v>265</v>
      </c>
      <c r="U3" s="129" t="s">
        <v>264</v>
      </c>
      <c r="V3" s="128" t="s">
        <v>283</v>
      </c>
      <c r="W3" s="127" t="s">
        <v>282</v>
      </c>
      <c r="X3" s="127" t="s">
        <v>281</v>
      </c>
      <c r="Y3" s="127" t="s">
        <v>175</v>
      </c>
      <c r="Z3" s="127" t="s">
        <v>174</v>
      </c>
      <c r="AA3" s="126" t="s">
        <v>174</v>
      </c>
      <c r="AB3" s="118" t="s">
        <v>280</v>
      </c>
      <c r="AC3" s="118" t="s">
        <v>279</v>
      </c>
      <c r="AD3" s="120" t="s">
        <v>256</v>
      </c>
      <c r="AE3" s="124" t="s">
        <v>278</v>
      </c>
      <c r="AF3" s="125" t="s">
        <v>277</v>
      </c>
      <c r="AG3" s="124" t="s">
        <v>276</v>
      </c>
      <c r="AH3" s="124" t="s">
        <v>275</v>
      </c>
      <c r="AI3" s="119" t="s">
        <v>274</v>
      </c>
      <c r="AJ3" s="119" t="s">
        <v>273</v>
      </c>
      <c r="AK3" s="119" t="s">
        <v>272</v>
      </c>
      <c r="AL3" s="123" t="s">
        <v>271</v>
      </c>
      <c r="AM3" s="121" t="s">
        <v>270</v>
      </c>
      <c r="AN3" s="122" t="s">
        <v>269</v>
      </c>
      <c r="AO3" s="121" t="s">
        <v>268</v>
      </c>
      <c r="AP3" s="118" t="s">
        <v>267</v>
      </c>
      <c r="AQ3" s="118" t="s">
        <v>266</v>
      </c>
      <c r="AR3" s="118" t="s">
        <v>265</v>
      </c>
      <c r="AS3" s="118" t="s">
        <v>264</v>
      </c>
      <c r="AT3" s="120" t="s">
        <v>263</v>
      </c>
      <c r="AU3" s="7" t="s">
        <v>262</v>
      </c>
      <c r="AV3" s="7" t="s">
        <v>261</v>
      </c>
      <c r="AW3" s="7" t="s">
        <v>260</v>
      </c>
      <c r="AX3" s="115" t="s">
        <v>259</v>
      </c>
      <c r="AY3" s="118" t="s">
        <v>258</v>
      </c>
      <c r="AZ3" s="118" t="s">
        <v>257</v>
      </c>
      <c r="BA3" s="119" t="s">
        <v>256</v>
      </c>
      <c r="BB3" s="118" t="s">
        <v>258</v>
      </c>
      <c r="BC3" s="118" t="s">
        <v>257</v>
      </c>
      <c r="BD3" s="119" t="s">
        <v>256</v>
      </c>
      <c r="BE3" s="118" t="s">
        <v>258</v>
      </c>
      <c r="BF3" s="118" t="s">
        <v>257</v>
      </c>
      <c r="BG3" s="117" t="s">
        <v>256</v>
      </c>
      <c r="BH3" s="116" t="s">
        <v>255</v>
      </c>
      <c r="BI3" s="116" t="s">
        <v>254</v>
      </c>
      <c r="BJ3" s="116" t="s">
        <v>253</v>
      </c>
      <c r="BK3" s="115" t="s">
        <v>252</v>
      </c>
    </row>
    <row r="4" spans="1:64" ht="17" thickBot="1" x14ac:dyDescent="0.25">
      <c r="B4" s="112" t="s">
        <v>251</v>
      </c>
      <c r="C4" s="11" t="s">
        <v>250</v>
      </c>
      <c r="D4" s="11"/>
      <c r="E4" s="11"/>
      <c r="F4" s="11"/>
      <c r="G4" s="11"/>
      <c r="H4" s="11"/>
      <c r="I4" s="11"/>
      <c r="J4" s="11" t="s">
        <v>33</v>
      </c>
      <c r="K4" s="24">
        <v>5.0000000000000001E-3</v>
      </c>
      <c r="L4" s="11">
        <v>21.7</v>
      </c>
      <c r="M4" s="23" t="s">
        <v>177</v>
      </c>
      <c r="N4" s="11"/>
      <c r="O4" s="11"/>
      <c r="P4" s="11"/>
      <c r="Q4" s="11"/>
      <c r="R4" s="11"/>
      <c r="S4" s="11"/>
      <c r="T4" s="11"/>
      <c r="U4" s="11"/>
      <c r="V4" s="11"/>
      <c r="W4" s="11"/>
      <c r="X4" s="11"/>
      <c r="Y4" s="11"/>
      <c r="Z4" s="11"/>
      <c r="AA4" s="23"/>
      <c r="AB4" s="11"/>
      <c r="AC4" s="11"/>
      <c r="AD4" s="11"/>
      <c r="AE4" s="11"/>
      <c r="AF4" s="11"/>
      <c r="AG4" s="11"/>
      <c r="AH4" s="11"/>
      <c r="AI4" s="11"/>
      <c r="AJ4" s="11"/>
      <c r="AL4" s="11"/>
      <c r="AM4" s="11"/>
      <c r="AN4" s="11"/>
      <c r="AO4" s="11"/>
      <c r="AP4" s="11"/>
      <c r="AQ4" s="11"/>
      <c r="AR4" s="11"/>
      <c r="AS4" s="11"/>
      <c r="AT4" s="11"/>
      <c r="AU4" s="11"/>
      <c r="AV4" s="11"/>
      <c r="AY4" s="11"/>
      <c r="AZ4" s="11"/>
      <c r="BA4" s="23"/>
      <c r="BB4" s="11"/>
      <c r="BC4" s="11"/>
      <c r="BD4" s="23"/>
      <c r="BE4" s="11"/>
      <c r="BF4" s="11"/>
      <c r="BG4" s="11"/>
      <c r="BH4" s="11"/>
      <c r="BI4" s="11"/>
      <c r="BJ4" s="11"/>
      <c r="BK4" s="23"/>
      <c r="BL4" s="11"/>
    </row>
    <row r="5" spans="1:64" ht="17" thickBot="1" x14ac:dyDescent="0.25">
      <c r="B5" s="112" t="s">
        <v>249</v>
      </c>
      <c r="C5" s="11" t="s">
        <v>248</v>
      </c>
      <c r="D5" s="11"/>
      <c r="E5" s="11"/>
      <c r="F5" s="11"/>
      <c r="G5" s="11"/>
      <c r="H5" s="11"/>
      <c r="I5" s="11"/>
      <c r="J5" s="11" t="s">
        <v>33</v>
      </c>
      <c r="K5" s="24">
        <v>1E-3</v>
      </c>
      <c r="L5" s="114">
        <v>4.3</v>
      </c>
      <c r="M5" s="23" t="s">
        <v>177</v>
      </c>
      <c r="N5" s="11"/>
      <c r="O5" s="11"/>
      <c r="P5" s="11"/>
      <c r="Q5" s="11"/>
      <c r="R5" s="11"/>
      <c r="S5" s="11"/>
      <c r="T5" s="11"/>
      <c r="U5" s="11"/>
      <c r="V5" s="11"/>
      <c r="W5" s="11"/>
      <c r="X5" s="11"/>
      <c r="Y5" s="11"/>
      <c r="Z5" s="11"/>
      <c r="AA5" s="23"/>
      <c r="AB5" s="11"/>
      <c r="AC5" s="11"/>
      <c r="AD5" s="11"/>
      <c r="AE5" s="11"/>
      <c r="AF5" s="11"/>
      <c r="AG5" s="11"/>
      <c r="AH5" s="11"/>
      <c r="AI5" s="11"/>
      <c r="AJ5" s="11"/>
      <c r="AL5" s="11"/>
      <c r="AM5" s="11"/>
      <c r="AN5" s="11"/>
      <c r="AO5" s="11"/>
      <c r="AP5" s="11"/>
      <c r="AQ5" s="11"/>
      <c r="AR5" s="11"/>
      <c r="AS5" s="11"/>
      <c r="AT5" s="11"/>
      <c r="AU5" s="11"/>
      <c r="AV5" s="11"/>
      <c r="AY5" s="11"/>
      <c r="AZ5" s="11"/>
      <c r="BA5" s="23"/>
      <c r="BB5" s="11"/>
      <c r="BC5" s="11"/>
      <c r="BD5" s="23"/>
      <c r="BE5" s="11"/>
      <c r="BF5" s="11"/>
      <c r="BG5" s="11"/>
      <c r="BH5" s="11"/>
      <c r="BI5" s="11"/>
      <c r="BJ5" s="11"/>
      <c r="BK5" s="23"/>
      <c r="BL5" s="11"/>
    </row>
    <row r="6" spans="1:64" x14ac:dyDescent="0.2">
      <c r="B6" s="112" t="s">
        <v>247</v>
      </c>
      <c r="C6" s="11" t="s">
        <v>246</v>
      </c>
      <c r="D6" s="11"/>
      <c r="E6" s="11"/>
      <c r="F6" s="11" t="s">
        <v>225</v>
      </c>
      <c r="G6" s="11"/>
      <c r="H6" s="11"/>
      <c r="I6" s="11"/>
      <c r="J6" s="11">
        <v>175</v>
      </c>
      <c r="K6" s="24">
        <v>2.5999999999999999E-2</v>
      </c>
      <c r="L6" s="11"/>
      <c r="M6" s="23"/>
      <c r="N6" s="11"/>
      <c r="O6" s="11"/>
      <c r="P6" s="11"/>
      <c r="Q6" s="11"/>
      <c r="R6" s="11"/>
      <c r="S6" s="11"/>
      <c r="T6" s="17">
        <v>8.895522999999999</v>
      </c>
      <c r="U6" s="11" t="s">
        <v>193</v>
      </c>
      <c r="V6" s="111">
        <f t="shared" ref="V6:V32" si="0">T6/(J6*0.97753*2)</f>
        <v>2.5999999999999999E-2</v>
      </c>
      <c r="W6" s="11"/>
      <c r="X6" s="11"/>
      <c r="Y6" s="11"/>
      <c r="Z6" s="11"/>
      <c r="AA6" s="23"/>
      <c r="AB6" s="81">
        <v>544.94999999999993</v>
      </c>
      <c r="AC6" s="11"/>
      <c r="AD6" s="11"/>
      <c r="AE6" s="11"/>
      <c r="AF6" s="11"/>
      <c r="AG6" s="11"/>
      <c r="AH6" s="11"/>
      <c r="AI6" s="11"/>
      <c r="AJ6" s="11"/>
      <c r="AL6" s="17">
        <f t="shared" ref="AL6:AL32" si="1">1.35+I6*7*0.02247*(K6-0.0246)</f>
        <v>1.35</v>
      </c>
      <c r="AM6" s="17"/>
      <c r="AN6" s="17"/>
      <c r="AO6" s="11"/>
      <c r="AP6" s="11"/>
      <c r="AQ6" s="11"/>
      <c r="AR6" s="11"/>
      <c r="AS6" s="11"/>
      <c r="AT6" s="11"/>
      <c r="AU6" s="11"/>
      <c r="AV6" s="11"/>
      <c r="AY6" s="11"/>
      <c r="AZ6" s="11"/>
      <c r="BA6" s="23"/>
      <c r="BB6" s="11"/>
      <c r="BC6" s="11"/>
      <c r="BD6" s="23"/>
      <c r="BE6" s="11"/>
      <c r="BF6" s="11"/>
      <c r="BG6" s="11"/>
      <c r="BH6" s="11"/>
      <c r="BI6" s="11"/>
      <c r="BJ6" s="11"/>
      <c r="BK6" s="23"/>
      <c r="BL6" s="11"/>
    </row>
    <row r="7" spans="1:64" ht="17" thickBot="1" x14ac:dyDescent="0.25">
      <c r="B7" s="112" t="s">
        <v>245</v>
      </c>
      <c r="C7" s="11" t="s">
        <v>244</v>
      </c>
      <c r="D7" s="11"/>
      <c r="E7" s="11"/>
      <c r="F7" s="11" t="s">
        <v>225</v>
      </c>
      <c r="G7" s="11"/>
      <c r="H7" s="11"/>
      <c r="I7" s="11"/>
      <c r="J7" s="11">
        <v>175</v>
      </c>
      <c r="K7" s="24">
        <v>5.0000000000000001E-3</v>
      </c>
      <c r="L7" s="11"/>
      <c r="M7" s="23"/>
      <c r="N7" s="11"/>
      <c r="O7" s="11"/>
      <c r="P7" s="11"/>
      <c r="Q7" s="11"/>
      <c r="R7" s="11"/>
      <c r="S7" s="11"/>
      <c r="T7" s="17">
        <v>1.7106775000000001</v>
      </c>
      <c r="U7" s="11" t="s">
        <v>193</v>
      </c>
      <c r="V7" s="111">
        <f t="shared" si="0"/>
        <v>5.0000000000000001E-3</v>
      </c>
      <c r="W7" s="11"/>
      <c r="X7" s="11"/>
      <c r="Y7" s="11"/>
      <c r="Z7" s="11"/>
      <c r="AA7" s="23"/>
      <c r="AB7" s="81">
        <v>544.94999999999993</v>
      </c>
      <c r="AC7" s="11"/>
      <c r="AD7" s="11"/>
      <c r="AE7" s="11"/>
      <c r="AF7" s="11"/>
      <c r="AG7" s="11"/>
      <c r="AH7" s="11"/>
      <c r="AI7" s="11"/>
      <c r="AJ7" s="11"/>
      <c r="AL7" s="17">
        <f t="shared" si="1"/>
        <v>1.35</v>
      </c>
      <c r="AM7" s="17"/>
      <c r="AN7" s="17"/>
      <c r="AO7" s="11"/>
      <c r="AP7" s="11"/>
      <c r="AQ7" s="11"/>
      <c r="AR7" s="11"/>
      <c r="AS7" s="11"/>
      <c r="AT7" s="11"/>
      <c r="AU7" s="11"/>
      <c r="AV7" s="11"/>
      <c r="AY7" s="11"/>
      <c r="AZ7" s="11"/>
      <c r="BA7" s="23"/>
      <c r="BB7" s="11"/>
      <c r="BC7" s="11"/>
      <c r="BD7" s="23"/>
      <c r="BE7" s="11"/>
      <c r="BF7" s="11"/>
      <c r="BG7" s="11"/>
      <c r="BH7" s="11"/>
      <c r="BI7" s="11"/>
      <c r="BJ7" s="11"/>
      <c r="BK7" s="23"/>
      <c r="BL7" s="11"/>
    </row>
    <row r="8" spans="1:64" ht="17" thickBot="1" x14ac:dyDescent="0.25">
      <c r="B8" s="112" t="s">
        <v>243</v>
      </c>
      <c r="C8" s="11" t="s">
        <v>242</v>
      </c>
      <c r="D8" s="11"/>
      <c r="E8" s="11"/>
      <c r="F8" s="11" t="s">
        <v>225</v>
      </c>
      <c r="G8" s="11"/>
      <c r="H8" s="11"/>
      <c r="I8" s="11"/>
      <c r="J8" s="11">
        <v>165</v>
      </c>
      <c r="K8" s="24">
        <v>1E-3</v>
      </c>
      <c r="L8" s="11"/>
      <c r="M8" s="23"/>
      <c r="N8" s="11"/>
      <c r="O8" s="11"/>
      <c r="P8" s="11"/>
      <c r="Q8" s="11"/>
      <c r="R8" s="11"/>
      <c r="S8" s="11"/>
      <c r="T8" s="17">
        <v>0.32258490000000001</v>
      </c>
      <c r="U8" s="11" t="s">
        <v>193</v>
      </c>
      <c r="V8" s="113">
        <f t="shared" si="0"/>
        <v>1E-3</v>
      </c>
      <c r="W8" s="11"/>
      <c r="X8" s="11"/>
      <c r="Y8" s="11"/>
      <c r="Z8" s="11"/>
      <c r="AA8" s="23"/>
      <c r="AB8" s="81">
        <v>528.99</v>
      </c>
      <c r="AC8" s="11"/>
      <c r="AD8" s="11"/>
      <c r="AE8" s="11"/>
      <c r="AF8" s="11"/>
      <c r="AG8" s="11"/>
      <c r="AH8" s="11"/>
      <c r="AI8" s="11"/>
      <c r="AJ8" s="11"/>
      <c r="AL8" s="17">
        <f t="shared" si="1"/>
        <v>1.35</v>
      </c>
      <c r="AM8" s="17"/>
      <c r="AN8" s="17"/>
      <c r="AO8" s="11"/>
      <c r="AP8" s="11"/>
      <c r="AQ8" s="11"/>
      <c r="AR8" s="11"/>
      <c r="AS8" s="11"/>
      <c r="AT8" s="11"/>
      <c r="AU8" s="11"/>
      <c r="AV8" s="11"/>
      <c r="AY8" s="11"/>
      <c r="AZ8" s="11"/>
      <c r="BA8" s="23"/>
      <c r="BB8" s="11"/>
      <c r="BC8" s="11"/>
      <c r="BD8" s="23"/>
      <c r="BE8" s="11"/>
      <c r="BF8" s="11"/>
      <c r="BG8" s="11"/>
      <c r="BH8" s="11"/>
      <c r="BI8" s="11"/>
      <c r="BJ8" s="11"/>
      <c r="BK8" s="23"/>
      <c r="BL8" s="11"/>
    </row>
    <row r="9" spans="1:64" x14ac:dyDescent="0.2">
      <c r="A9" t="s">
        <v>87</v>
      </c>
      <c r="B9" s="112" t="s">
        <v>241</v>
      </c>
      <c r="C9" s="11" t="s">
        <v>240</v>
      </c>
      <c r="D9" s="11"/>
      <c r="E9" s="11"/>
      <c r="F9" s="11" t="s">
        <v>225</v>
      </c>
      <c r="G9" s="11"/>
      <c r="H9" s="11"/>
      <c r="I9" s="11"/>
      <c r="J9" s="11">
        <v>165</v>
      </c>
      <c r="K9" s="24">
        <v>6.9999999999999999E-4</v>
      </c>
      <c r="L9" s="11"/>
      <c r="M9" s="23"/>
      <c r="N9" s="11"/>
      <c r="O9" s="11"/>
      <c r="P9" s="11"/>
      <c r="Q9" s="11"/>
      <c r="R9" s="11"/>
      <c r="S9" s="11"/>
      <c r="T9" s="17">
        <v>0.22580943000000001</v>
      </c>
      <c r="U9" s="11" t="s">
        <v>193</v>
      </c>
      <c r="V9" s="111">
        <f t="shared" si="0"/>
        <v>6.9999999999999999E-4</v>
      </c>
      <c r="W9" s="11"/>
      <c r="X9" s="11"/>
      <c r="Y9" s="11"/>
      <c r="Z9" s="11"/>
      <c r="AA9" s="23"/>
      <c r="AB9" s="81">
        <v>528.99</v>
      </c>
      <c r="AC9" s="11"/>
      <c r="AD9" s="11"/>
      <c r="AE9" s="11"/>
      <c r="AF9" s="11"/>
      <c r="AG9" s="11"/>
      <c r="AH9" s="11"/>
      <c r="AI9" s="11"/>
      <c r="AJ9" s="11"/>
      <c r="AL9" s="17">
        <f t="shared" si="1"/>
        <v>1.35</v>
      </c>
      <c r="AM9" s="17"/>
      <c r="AN9" s="17"/>
      <c r="AO9" s="11"/>
      <c r="AP9" s="11"/>
      <c r="AQ9" s="11"/>
      <c r="AR9" s="11"/>
      <c r="AS9" s="11"/>
      <c r="AT9" s="11"/>
      <c r="AU9" s="11"/>
      <c r="AV9" s="11"/>
      <c r="AY9" s="11"/>
      <c r="AZ9" s="11"/>
      <c r="BA9" s="23"/>
      <c r="BB9" s="11"/>
      <c r="BC9" s="11"/>
      <c r="BD9" s="23"/>
      <c r="BE9" s="11"/>
      <c r="BF9" s="11"/>
      <c r="BG9" s="11"/>
      <c r="BH9" s="11"/>
      <c r="BI9" s="11"/>
      <c r="BJ9" s="11"/>
      <c r="BK9" s="23"/>
      <c r="BL9" s="11"/>
    </row>
    <row r="10" spans="1:64" x14ac:dyDescent="0.2">
      <c r="A10" t="s">
        <v>239</v>
      </c>
      <c r="B10" s="11" t="s">
        <v>236</v>
      </c>
      <c r="C10" s="11"/>
      <c r="D10" s="11" t="s">
        <v>235</v>
      </c>
      <c r="E10" s="11" t="s">
        <v>202</v>
      </c>
      <c r="F10" s="11" t="s">
        <v>225</v>
      </c>
      <c r="G10" s="11">
        <v>16.5</v>
      </c>
      <c r="H10" s="13">
        <v>0.5</v>
      </c>
      <c r="I10" s="99">
        <f t="shared" ref="I10:J15" si="2">AB10/3.114</f>
        <v>188.82466281310212</v>
      </c>
      <c r="J10" s="99">
        <f t="shared" si="2"/>
        <v>199.42196531791907</v>
      </c>
      <c r="K10" s="24">
        <v>1.89E-2</v>
      </c>
      <c r="L10" s="11"/>
      <c r="M10" s="23"/>
      <c r="N10" s="17">
        <f t="shared" ref="N10:N32" si="3">I10*K10*0.97753*2</f>
        <v>6.9771910057803463</v>
      </c>
      <c r="O10" s="17">
        <f t="shared" ref="O10:O32" si="4">I10*$K$6*0.97753*2</f>
        <v>9.5982521772639693</v>
      </c>
      <c r="P10" s="17">
        <f t="shared" ref="P10:P32" si="5">O10*(1+$W$44)</f>
        <v>0.17797158465965277</v>
      </c>
      <c r="Q10" s="17">
        <f t="shared" ref="Q10:Q32" si="6">I10*$K$7*0.97753*2</f>
        <v>1.8458177263969173</v>
      </c>
      <c r="R10" s="17">
        <f t="shared" ref="R10:R32" si="7">I10*$K$8*0.97753*2</f>
        <v>0.36916354527938344</v>
      </c>
      <c r="S10" s="17">
        <f t="shared" ref="S10:S32" si="8">I10*$K$9*0.97753*2</f>
        <v>0.25841448169556841</v>
      </c>
      <c r="T10" s="17">
        <v>0.14000000000000001</v>
      </c>
      <c r="U10" s="11" t="s">
        <v>193</v>
      </c>
      <c r="V10" s="101">
        <f t="shared" si="0"/>
        <v>3.5908308978100235E-4</v>
      </c>
      <c r="W10" s="94">
        <f t="shared" ref="W10:W32" si="9">V10/K10-1</f>
        <v>-0.98100089472058194</v>
      </c>
      <c r="X10" s="94">
        <f t="shared" ref="X10:X32" si="10">P10/O10-1</f>
        <v>-0.98145791740279276</v>
      </c>
      <c r="Y10" s="94">
        <f t="shared" ref="Y10:Y32" si="11">P10/Q10-1</f>
        <v>-0.90358117049452236</v>
      </c>
      <c r="Z10" s="94">
        <f t="shared" ref="Z10:Z32" si="12">P10/R10-1</f>
        <v>-0.51790585247261167</v>
      </c>
      <c r="AA10" s="97">
        <f t="shared" ref="AA10:AA32" si="13">P10/S10-1</f>
        <v>-0.31129407496087391</v>
      </c>
      <c r="AB10" s="11">
        <v>588</v>
      </c>
      <c r="AC10" s="11">
        <v>621</v>
      </c>
      <c r="AD10" s="94">
        <f t="shared" ref="AD10:AD32" si="14">AC10/AB10-1</f>
        <v>5.6122448979591733E-2</v>
      </c>
      <c r="AE10" s="81">
        <f t="shared" ref="AE10:AE32" si="15">I10*3.114</f>
        <v>588</v>
      </c>
      <c r="AF10" s="81">
        <f t="shared" ref="AF10:AF32" si="16">AE10*(1+$AD$44)</f>
        <v>598.25379439370488</v>
      </c>
      <c r="AG10" s="81">
        <f t="shared" ref="AG10:AG32" si="17">(I10-8)*(3.114*0.2+3.206*0.8)</f>
        <v>576.39669518304424</v>
      </c>
      <c r="AH10" s="81">
        <f t="shared" ref="AH10:AH32" si="18">3.206*(I10-10)</f>
        <v>573.31186897880536</v>
      </c>
      <c r="AI10" s="92">
        <f t="shared" ref="AI10:AI32" si="19">AF10/AE10-1</f>
        <v>1.7438425839634064E-2</v>
      </c>
      <c r="AJ10" s="92">
        <f t="shared" ref="AJ10:AJ32" si="20">AF10/AG10-1</f>
        <v>3.7920236866936907E-2</v>
      </c>
      <c r="AK10" s="90">
        <f t="shared" ref="AK10:AK32" si="21">AF10/AH10-1</f>
        <v>4.3504987014007845E-2</v>
      </c>
      <c r="AL10" s="17">
        <f t="shared" si="1"/>
        <v>1.1807086820809249</v>
      </c>
      <c r="AM10" s="17">
        <f t="shared" ref="AM10:AM32" si="22">1.35+I10*7*0.02247*($K$6-0.0246)</f>
        <v>1.391580323699422</v>
      </c>
      <c r="AN10" s="17">
        <f t="shared" ref="AN10:AN32" si="23">AM10*(1+$AT$44)</f>
        <v>0.29906824935864201</v>
      </c>
      <c r="AO10" s="17">
        <f t="shared" ref="AO10:AO32" si="24">1.35+I10*7*0.02247*($K$7-0.0246)</f>
        <v>0.7678754682080926</v>
      </c>
      <c r="AP10" s="17">
        <f t="shared" ref="AP10:AP32" si="25">0.23+I10*7*0.02247*($K$5-0.0024)</f>
        <v>0.18841967630057804</v>
      </c>
      <c r="AQ10" s="17">
        <f t="shared" ref="AQ10:AQ32" si="26">0.23+I10*7*0.02247*($K$9-0.0024)</f>
        <v>0.17950960693641621</v>
      </c>
      <c r="AR10" s="110">
        <v>0.93</v>
      </c>
      <c r="AS10" s="11" t="s">
        <v>193</v>
      </c>
      <c r="AT10" s="96">
        <f t="shared" ref="AT10:AT32" si="27">AR10/AL10-1</f>
        <v>-0.21233745960016703</v>
      </c>
      <c r="AU10" s="94">
        <f t="shared" ref="AU10:AU32" si="28">AN10/AM10-1</f>
        <v>-0.78508732534850068</v>
      </c>
      <c r="AV10" s="94">
        <f t="shared" ref="AV10:AV32" si="29">AN10/AO10-1</f>
        <v>-0.61052506331977896</v>
      </c>
      <c r="AW10" s="92">
        <f t="shared" ref="AW10:AW32" si="30">AN10/AP10-1</f>
        <v>0.58724531975923222</v>
      </c>
      <c r="AX10" s="90">
        <f t="shared" ref="AX10:AX32" si="31">AN10/AQ10-1</f>
        <v>0.6660292140496662</v>
      </c>
      <c r="AY10" s="17">
        <v>15.7</v>
      </c>
      <c r="AZ10" s="17">
        <v>16.93</v>
      </c>
      <c r="BA10" s="90">
        <f t="shared" ref="BA10:BA32" si="32">AZ10/AY10-1</f>
        <v>7.8343949044586081E-2</v>
      </c>
      <c r="BB10" s="17">
        <v>0.28000000000000003</v>
      </c>
      <c r="BC10" s="17">
        <v>0.22</v>
      </c>
      <c r="BD10" s="90">
        <f t="shared" ref="BD10:BD32" si="33">BC10/BB10-1</f>
        <v>-0.2142857142857143</v>
      </c>
      <c r="BE10" s="17">
        <v>8.9999999999999993E-3</v>
      </c>
      <c r="BF10" s="17">
        <v>7.0000000000000001E-3</v>
      </c>
      <c r="BG10" s="92">
        <f t="shared" ref="BG10:BG28" si="34">BF10/BE10-1</f>
        <v>-0.2222222222222221</v>
      </c>
      <c r="BH10" s="91">
        <f t="shared" ref="BH10:BH16" si="35">0.15*H10^(-0.359)*(I10/1000)</f>
        <v>3.6326181234306448E-2</v>
      </c>
      <c r="BI10" s="91">
        <f>BH10*(1+$BG$44)</f>
        <v>3.3010696439111809E-2</v>
      </c>
      <c r="BJ10" s="91">
        <f>0.0311*H10^(-0.397)*((I10-10)/1000)</f>
        <v>7.3231294661454741E-3</v>
      </c>
      <c r="BK10" s="90">
        <f t="shared" ref="BK10:BK32" si="36">BI10/BJ10-1</f>
        <v>3.5077308262429199</v>
      </c>
      <c r="BL10" s="13"/>
    </row>
    <row r="11" spans="1:64" x14ac:dyDescent="0.2">
      <c r="A11" t="s">
        <v>238</v>
      </c>
      <c r="B11" s="11" t="s">
        <v>236</v>
      </c>
      <c r="C11" s="11"/>
      <c r="D11" s="11" t="s">
        <v>235</v>
      </c>
      <c r="E11" s="11" t="s">
        <v>202</v>
      </c>
      <c r="F11" s="11" t="s">
        <v>225</v>
      </c>
      <c r="G11" s="11">
        <v>16.5</v>
      </c>
      <c r="H11" s="13">
        <v>0.75</v>
      </c>
      <c r="I11" s="99">
        <f t="shared" si="2"/>
        <v>193.32048811817597</v>
      </c>
      <c r="J11" s="99">
        <f t="shared" si="2"/>
        <v>194.92614001284522</v>
      </c>
      <c r="K11" s="24">
        <v>1.89E-2</v>
      </c>
      <c r="L11" s="11"/>
      <c r="M11" s="23"/>
      <c r="N11" s="17">
        <f t="shared" si="3"/>
        <v>7.1433146011560691</v>
      </c>
      <c r="O11" s="17">
        <f t="shared" si="4"/>
        <v>9.8267819910083496</v>
      </c>
      <c r="P11" s="17">
        <f t="shared" si="5"/>
        <v>0.18220900334202547</v>
      </c>
      <c r="Q11" s="17">
        <f t="shared" si="6"/>
        <v>1.8897657675016055</v>
      </c>
      <c r="R11" s="17">
        <f t="shared" si="7"/>
        <v>0.37795315350032116</v>
      </c>
      <c r="S11" s="17">
        <f t="shared" si="8"/>
        <v>0.26456720745022477</v>
      </c>
      <c r="T11" s="17">
        <v>0.13</v>
      </c>
      <c r="U11" s="11" t="s">
        <v>193</v>
      </c>
      <c r="V11" s="101">
        <f t="shared" si="0"/>
        <v>3.4112470979077801E-4</v>
      </c>
      <c r="W11" s="94">
        <f t="shared" si="9"/>
        <v>-0.9819510735560435</v>
      </c>
      <c r="X11" s="94">
        <f t="shared" si="10"/>
        <v>-0.98145791740279276</v>
      </c>
      <c r="Y11" s="94">
        <f t="shared" si="11"/>
        <v>-0.90358117049452236</v>
      </c>
      <c r="Z11" s="94">
        <f t="shared" si="12"/>
        <v>-0.51790585247261167</v>
      </c>
      <c r="AA11" s="97">
        <f t="shared" si="13"/>
        <v>-0.31129407496087369</v>
      </c>
      <c r="AB11" s="11">
        <v>602</v>
      </c>
      <c r="AC11" s="11">
        <v>607</v>
      </c>
      <c r="AD11" s="94">
        <f t="shared" si="14"/>
        <v>8.3056478405316714E-3</v>
      </c>
      <c r="AE11" s="81">
        <f t="shared" si="15"/>
        <v>602</v>
      </c>
      <c r="AF11" s="81">
        <f t="shared" si="16"/>
        <v>612.49793235545974</v>
      </c>
      <c r="AG11" s="81">
        <f t="shared" si="17"/>
        <v>590.72758792549769</v>
      </c>
      <c r="AH11" s="81">
        <f t="shared" si="18"/>
        <v>587.72548490687211</v>
      </c>
      <c r="AI11" s="92">
        <f t="shared" si="19"/>
        <v>1.7438425839634064E-2</v>
      </c>
      <c r="AJ11" s="92">
        <f t="shared" si="20"/>
        <v>3.6853441205301651E-2</v>
      </c>
      <c r="AK11" s="90">
        <f t="shared" si="21"/>
        <v>4.2149690773598092E-2</v>
      </c>
      <c r="AL11" s="17">
        <f t="shared" si="1"/>
        <v>1.176677936416185</v>
      </c>
      <c r="AM11" s="17">
        <f t="shared" si="22"/>
        <v>1.3925703314065512</v>
      </c>
      <c r="AN11" s="17">
        <f t="shared" si="23"/>
        <v>0.29928101456290673</v>
      </c>
      <c r="AO11" s="17">
        <f t="shared" si="24"/>
        <v>0.75401536030828531</v>
      </c>
      <c r="AP11" s="17">
        <f t="shared" si="25"/>
        <v>0.18742966859344895</v>
      </c>
      <c r="AQ11" s="17">
        <f t="shared" si="26"/>
        <v>0.1783074547206166</v>
      </c>
      <c r="AR11" s="110">
        <v>1.02</v>
      </c>
      <c r="AS11" s="11" t="s">
        <v>193</v>
      </c>
      <c r="AT11" s="96">
        <f t="shared" si="27"/>
        <v>-0.13315277831534766</v>
      </c>
      <c r="AU11" s="94">
        <f t="shared" si="28"/>
        <v>-0.78508732534850068</v>
      </c>
      <c r="AV11" s="94">
        <f t="shared" si="29"/>
        <v>-0.6030836633877813</v>
      </c>
      <c r="AW11" s="92">
        <f t="shared" si="30"/>
        <v>0.59676435864629829</v>
      </c>
      <c r="AX11" s="90">
        <f t="shared" si="31"/>
        <v>0.67845486343708483</v>
      </c>
      <c r="AY11" s="17">
        <v>16.920000000000002</v>
      </c>
      <c r="AZ11" s="17">
        <v>16.55</v>
      </c>
      <c r="BA11" s="90">
        <f t="shared" si="32"/>
        <v>-2.1867612293144267E-2</v>
      </c>
      <c r="BB11" s="17">
        <v>0.28000000000000003</v>
      </c>
      <c r="BC11" s="17">
        <v>0.22</v>
      </c>
      <c r="BD11" s="90">
        <f t="shared" si="33"/>
        <v>-0.2142857142857143</v>
      </c>
      <c r="BE11" s="17">
        <v>7.0000000000000001E-3</v>
      </c>
      <c r="BF11" s="17">
        <v>6.0000000000000001E-3</v>
      </c>
      <c r="BG11" s="92">
        <f t="shared" si="34"/>
        <v>-0.1428571428571429</v>
      </c>
      <c r="BH11" s="91">
        <f t="shared" si="35"/>
        <v>3.2153047975329127E-2</v>
      </c>
      <c r="BI11" s="91">
        <f t="shared" ref="BI11:BI16" si="37">BH11*(1+$BG$44)</f>
        <v>2.9218444390279246E-2</v>
      </c>
      <c r="BJ11" s="91">
        <f t="shared" ref="BJ11:BJ16" si="38">0.0311*H11^(-0.397)*((I11-10)/1000)</f>
        <v>6.3910478981173942E-3</v>
      </c>
      <c r="BK11" s="90">
        <f t="shared" si="36"/>
        <v>3.5717767815331349</v>
      </c>
      <c r="BL11" s="13"/>
    </row>
    <row r="12" spans="1:64" x14ac:dyDescent="0.2">
      <c r="A12" t="s">
        <v>237</v>
      </c>
      <c r="B12" s="11" t="s">
        <v>236</v>
      </c>
      <c r="C12" s="11"/>
      <c r="D12" s="11" t="s">
        <v>235</v>
      </c>
      <c r="E12" s="11" t="s">
        <v>202</v>
      </c>
      <c r="F12" s="11" t="s">
        <v>225</v>
      </c>
      <c r="G12" s="11">
        <v>16.5</v>
      </c>
      <c r="H12" s="13">
        <v>0.87</v>
      </c>
      <c r="I12" s="99">
        <f t="shared" si="2"/>
        <v>200.06422607578676</v>
      </c>
      <c r="J12" s="99">
        <f t="shared" si="2"/>
        <v>199.42196531791907</v>
      </c>
      <c r="K12" s="24">
        <v>1.89E-2</v>
      </c>
      <c r="L12" s="11"/>
      <c r="M12" s="23"/>
      <c r="N12" s="17">
        <f t="shared" si="3"/>
        <v>7.3924999942196523</v>
      </c>
      <c r="O12" s="17">
        <f t="shared" si="4"/>
        <v>10.169576711624918</v>
      </c>
      <c r="P12" s="17">
        <f t="shared" si="5"/>
        <v>0.18856513136558445</v>
      </c>
      <c r="Q12" s="17">
        <f t="shared" si="6"/>
        <v>1.9556878291586386</v>
      </c>
      <c r="R12" s="17">
        <f t="shared" si="7"/>
        <v>0.39113756583172771</v>
      </c>
      <c r="S12" s="17">
        <f t="shared" si="8"/>
        <v>0.2737962960822094</v>
      </c>
      <c r="T12" s="17">
        <v>0.13</v>
      </c>
      <c r="U12" s="11" t="s">
        <v>193</v>
      </c>
      <c r="V12" s="101">
        <f t="shared" si="0"/>
        <v>3.3343429765378787E-4</v>
      </c>
      <c r="W12" s="94">
        <f t="shared" si="9"/>
        <v>-0.98235797366911171</v>
      </c>
      <c r="X12" s="94">
        <f t="shared" si="10"/>
        <v>-0.98145791740279276</v>
      </c>
      <c r="Y12" s="94">
        <f t="shared" si="11"/>
        <v>-0.90358117049452236</v>
      </c>
      <c r="Z12" s="94">
        <f t="shared" si="12"/>
        <v>-0.51790585247261178</v>
      </c>
      <c r="AA12" s="97">
        <f t="shared" si="13"/>
        <v>-0.31129407496087402</v>
      </c>
      <c r="AB12" s="11">
        <v>623</v>
      </c>
      <c r="AC12" s="11">
        <v>621</v>
      </c>
      <c r="AD12" s="96">
        <f t="shared" si="14"/>
        <v>-3.2102728731941976E-3</v>
      </c>
      <c r="AE12" s="81">
        <f t="shared" si="15"/>
        <v>623</v>
      </c>
      <c r="AF12" s="81">
        <f t="shared" si="16"/>
        <v>633.86413929809203</v>
      </c>
      <c r="AG12" s="81">
        <f t="shared" si="17"/>
        <v>612.22392703917785</v>
      </c>
      <c r="AH12" s="81">
        <f t="shared" si="18"/>
        <v>609.34590879897235</v>
      </c>
      <c r="AI12" s="92">
        <f t="shared" si="19"/>
        <v>1.7438425839634064E-2</v>
      </c>
      <c r="AJ12" s="92">
        <f t="shared" si="20"/>
        <v>3.5346890742362858E-2</v>
      </c>
      <c r="AK12" s="90">
        <f t="shared" si="21"/>
        <v>4.0236965810512171E-2</v>
      </c>
      <c r="AL12" s="17">
        <f t="shared" si="1"/>
        <v>1.1706318179190753</v>
      </c>
      <c r="AM12" s="17">
        <f t="shared" si="22"/>
        <v>1.3940553429672446</v>
      </c>
      <c r="AN12" s="17">
        <f t="shared" si="23"/>
        <v>0.29960016236930376</v>
      </c>
      <c r="AO12" s="17">
        <f t="shared" si="24"/>
        <v>0.73322519845857426</v>
      </c>
      <c r="AP12" s="17">
        <f t="shared" si="25"/>
        <v>0.18594465703275531</v>
      </c>
      <c r="AQ12" s="17">
        <f t="shared" si="26"/>
        <v>0.17650422639691718</v>
      </c>
      <c r="AR12" s="110">
        <v>1.01</v>
      </c>
      <c r="AS12" s="11" t="s">
        <v>193</v>
      </c>
      <c r="AT12" s="96">
        <f t="shared" si="27"/>
        <v>-0.13721805221783201</v>
      </c>
      <c r="AU12" s="94">
        <f t="shared" si="28"/>
        <v>-0.78508732534850068</v>
      </c>
      <c r="AV12" s="94">
        <f t="shared" si="29"/>
        <v>-0.59139407238166464</v>
      </c>
      <c r="AW12" s="92">
        <f t="shared" si="30"/>
        <v>0.61123297195104298</v>
      </c>
      <c r="AX12" s="90">
        <f t="shared" si="31"/>
        <v>0.69741069936519429</v>
      </c>
      <c r="AY12" s="17">
        <v>13.76</v>
      </c>
      <c r="AZ12" s="17">
        <v>14.39</v>
      </c>
      <c r="BA12" s="90">
        <f t="shared" si="32"/>
        <v>4.5784883720930258E-2</v>
      </c>
      <c r="BB12" s="17">
        <v>0.26</v>
      </c>
      <c r="BC12" s="17">
        <v>0.24</v>
      </c>
      <c r="BD12" s="90">
        <f t="shared" si="33"/>
        <v>-7.6923076923076983E-2</v>
      </c>
      <c r="BE12" s="17">
        <v>6.0000000000000001E-3</v>
      </c>
      <c r="BF12" s="17">
        <v>6.0000000000000001E-3</v>
      </c>
      <c r="BG12" s="92">
        <f t="shared" si="34"/>
        <v>0</v>
      </c>
      <c r="BH12" s="91">
        <f t="shared" si="35"/>
        <v>3.1548105595331423E-2</v>
      </c>
      <c r="BI12" s="91">
        <f t="shared" si="37"/>
        <v>2.8668715005281332E-2</v>
      </c>
      <c r="BJ12" s="91">
        <f t="shared" si="38"/>
        <v>6.2470017456706401E-3</v>
      </c>
      <c r="BK12" s="90">
        <f t="shared" si="36"/>
        <v>3.5891959330969634</v>
      </c>
      <c r="BL12" s="13"/>
    </row>
    <row r="13" spans="1:64" x14ac:dyDescent="0.2">
      <c r="A13" t="s">
        <v>234</v>
      </c>
      <c r="B13" t="s">
        <v>231</v>
      </c>
      <c r="D13" t="s">
        <v>230</v>
      </c>
      <c r="E13" t="s">
        <v>63</v>
      </c>
      <c r="F13" t="s">
        <v>225</v>
      </c>
      <c r="G13">
        <v>16.559999999999999</v>
      </c>
      <c r="H13" s="2">
        <v>0.75</v>
      </c>
      <c r="I13" s="99">
        <f t="shared" si="2"/>
        <v>185.74181117533718</v>
      </c>
      <c r="J13" s="99">
        <f t="shared" si="2"/>
        <v>188.87925497752087</v>
      </c>
      <c r="K13" s="25">
        <v>2.5000000000000001E-2</v>
      </c>
      <c r="N13" s="17">
        <f t="shared" si="3"/>
        <v>9.0784096339113685</v>
      </c>
      <c r="O13" s="17">
        <f t="shared" si="4"/>
        <v>9.4415460192678218</v>
      </c>
      <c r="P13" s="17">
        <f t="shared" si="5"/>
        <v>0.17506592613459721</v>
      </c>
      <c r="Q13" s="17">
        <f t="shared" si="6"/>
        <v>1.8156819267822737</v>
      </c>
      <c r="R13" s="17">
        <f t="shared" si="7"/>
        <v>0.36313638535645471</v>
      </c>
      <c r="S13" s="17">
        <f t="shared" si="8"/>
        <v>0.25419546974951829</v>
      </c>
      <c r="T13">
        <v>0.33</v>
      </c>
      <c r="U13" t="s">
        <v>193</v>
      </c>
      <c r="V13" s="101">
        <f t="shared" si="0"/>
        <v>8.9365438064336125E-4</v>
      </c>
      <c r="W13" s="94">
        <f t="shared" si="9"/>
        <v>-0.96425382477426558</v>
      </c>
      <c r="X13" s="94">
        <f t="shared" si="10"/>
        <v>-0.98145791740279276</v>
      </c>
      <c r="Y13" s="94">
        <f t="shared" si="11"/>
        <v>-0.90358117049452236</v>
      </c>
      <c r="Z13" s="94">
        <f t="shared" si="12"/>
        <v>-0.51790585247261167</v>
      </c>
      <c r="AA13" s="97">
        <f t="shared" si="13"/>
        <v>-0.3112940749608738</v>
      </c>
      <c r="AB13" s="88">
        <v>578.4</v>
      </c>
      <c r="AC13" s="88">
        <v>588.16999999999996</v>
      </c>
      <c r="AD13" s="94">
        <f t="shared" si="14"/>
        <v>1.6891424619640327E-2</v>
      </c>
      <c r="AE13" s="81">
        <f t="shared" si="15"/>
        <v>578.4</v>
      </c>
      <c r="AF13" s="81">
        <f t="shared" si="16"/>
        <v>588.48638550564431</v>
      </c>
      <c r="AG13" s="81">
        <f t="shared" si="17"/>
        <v>566.56979730250475</v>
      </c>
      <c r="AH13" s="81">
        <f t="shared" si="18"/>
        <v>563.42824662813098</v>
      </c>
      <c r="AI13" s="92">
        <f t="shared" si="19"/>
        <v>1.7438425839634064E-2</v>
      </c>
      <c r="AJ13" s="92">
        <f t="shared" si="20"/>
        <v>3.8682944815425335E-2</v>
      </c>
      <c r="AK13" s="90">
        <f t="shared" si="21"/>
        <v>4.4474410055717284E-2</v>
      </c>
      <c r="AL13" s="17">
        <f t="shared" si="1"/>
        <v>1.3616861317919076</v>
      </c>
      <c r="AM13" s="17">
        <f t="shared" si="22"/>
        <v>1.3909014612716764</v>
      </c>
      <c r="AN13" s="17">
        <f t="shared" si="23"/>
        <v>0.29892235321857474</v>
      </c>
      <c r="AO13" s="17">
        <f t="shared" si="24"/>
        <v>0.77737954219653194</v>
      </c>
      <c r="AP13" s="17">
        <f t="shared" si="25"/>
        <v>0.18909853872832372</v>
      </c>
      <c r="AQ13" s="17">
        <f t="shared" si="26"/>
        <v>0.18033393988439309</v>
      </c>
      <c r="AR13" s="21">
        <v>1.2717391304347825</v>
      </c>
      <c r="AS13" t="s">
        <v>193</v>
      </c>
      <c r="AT13" s="96">
        <f t="shared" si="27"/>
        <v>-6.6055605074540558E-2</v>
      </c>
      <c r="AU13" s="94">
        <f t="shared" si="28"/>
        <v>-0.78508732534850068</v>
      </c>
      <c r="AV13" s="94">
        <f t="shared" si="29"/>
        <v>-0.61547437642370684</v>
      </c>
      <c r="AW13" s="92">
        <f t="shared" si="30"/>
        <v>0.58077558519917472</v>
      </c>
      <c r="AX13" s="90">
        <f t="shared" si="31"/>
        <v>0.65760451643326423</v>
      </c>
      <c r="AY13" s="17">
        <v>11.6</v>
      </c>
      <c r="AZ13" s="17">
        <v>12.33</v>
      </c>
      <c r="BA13" s="90">
        <f t="shared" si="32"/>
        <v>6.2931034482758719E-2</v>
      </c>
      <c r="BB13" s="17">
        <v>0.41899999999999998</v>
      </c>
      <c r="BC13" s="17">
        <v>0.37</v>
      </c>
      <c r="BD13" s="90">
        <f t="shared" si="33"/>
        <v>-0.116945107398568</v>
      </c>
      <c r="BE13" s="17">
        <v>7.0000000000000001E-3</v>
      </c>
      <c r="BF13" s="17">
        <v>7.0000000000000001E-3</v>
      </c>
      <c r="BG13" s="92">
        <f t="shared" si="34"/>
        <v>0</v>
      </c>
      <c r="BH13" s="91">
        <f t="shared" si="35"/>
        <v>3.089256303809031E-2</v>
      </c>
      <c r="BI13" s="91">
        <f t="shared" si="37"/>
        <v>2.8073003713185243E-2</v>
      </c>
      <c r="BJ13" s="91">
        <f t="shared" si="38"/>
        <v>6.1268347278207007E-3</v>
      </c>
      <c r="BK13" s="90">
        <f t="shared" si="36"/>
        <v>3.5819750263070569</v>
      </c>
      <c r="BL13" s="13"/>
    </row>
    <row r="14" spans="1:64" x14ac:dyDescent="0.2">
      <c r="A14" t="s">
        <v>233</v>
      </c>
      <c r="B14" t="s">
        <v>231</v>
      </c>
      <c r="D14" t="s">
        <v>230</v>
      </c>
      <c r="E14" t="s">
        <v>63</v>
      </c>
      <c r="F14" t="s">
        <v>225</v>
      </c>
      <c r="G14">
        <v>16.559999999999999</v>
      </c>
      <c r="H14" s="2">
        <v>0.5</v>
      </c>
      <c r="I14" s="99">
        <f t="shared" si="2"/>
        <v>188.59987154784841</v>
      </c>
      <c r="J14" s="99">
        <f t="shared" si="2"/>
        <v>191.1175337186898</v>
      </c>
      <c r="K14" s="25">
        <v>2.5000000000000001E-2</v>
      </c>
      <c r="N14" s="17">
        <f t="shared" si="3"/>
        <v>9.2181016217084135</v>
      </c>
      <c r="O14" s="17">
        <f t="shared" si="4"/>
        <v>9.5868256865767503</v>
      </c>
      <c r="P14" s="17">
        <f t="shared" si="5"/>
        <v>0.17775971372553415</v>
      </c>
      <c r="Q14" s="17">
        <f t="shared" si="6"/>
        <v>1.8436203243416827</v>
      </c>
      <c r="R14" s="17">
        <f t="shared" si="7"/>
        <v>0.36872406486833653</v>
      </c>
      <c r="S14" s="17">
        <f t="shared" si="8"/>
        <v>0.25810684540783557</v>
      </c>
      <c r="T14" s="18">
        <v>0.3</v>
      </c>
      <c r="U14" t="s">
        <v>193</v>
      </c>
      <c r="V14" s="101">
        <f t="shared" si="0"/>
        <v>8.028984731827892E-4</v>
      </c>
      <c r="W14" s="94">
        <f t="shared" si="9"/>
        <v>-0.96788406107268843</v>
      </c>
      <c r="X14" s="94">
        <f t="shared" si="10"/>
        <v>-0.98145791740279276</v>
      </c>
      <c r="Y14" s="94">
        <f t="shared" si="11"/>
        <v>-0.90358117049452236</v>
      </c>
      <c r="Z14" s="94">
        <f t="shared" si="12"/>
        <v>-0.51790585247261167</v>
      </c>
      <c r="AA14" s="97">
        <f t="shared" si="13"/>
        <v>-0.3112940749608738</v>
      </c>
      <c r="AB14" s="88">
        <v>587.29999999999995</v>
      </c>
      <c r="AC14" s="88">
        <v>595.14</v>
      </c>
      <c r="AD14" s="94">
        <f t="shared" si="14"/>
        <v>1.334922526817639E-2</v>
      </c>
      <c r="AE14" s="81">
        <f t="shared" si="15"/>
        <v>587.29999999999995</v>
      </c>
      <c r="AF14" s="81">
        <f t="shared" si="16"/>
        <v>597.54158749561702</v>
      </c>
      <c r="AG14" s="81">
        <f t="shared" si="17"/>
        <v>575.68015054592149</v>
      </c>
      <c r="AH14" s="81">
        <f t="shared" si="18"/>
        <v>572.59118818240199</v>
      </c>
      <c r="AI14" s="92">
        <f t="shared" si="19"/>
        <v>1.7438425839634064E-2</v>
      </c>
      <c r="AJ14" s="92">
        <f t="shared" si="20"/>
        <v>3.7974970873955183E-2</v>
      </c>
      <c r="AK14" s="90">
        <f t="shared" si="21"/>
        <v>4.3574542934228466E-2</v>
      </c>
      <c r="AL14" s="17">
        <f t="shared" si="1"/>
        <v>1.3618659495183045</v>
      </c>
      <c r="AM14" s="17">
        <f t="shared" si="22"/>
        <v>1.3915308233140655</v>
      </c>
      <c r="AN14" s="17">
        <f t="shared" si="23"/>
        <v>0.29905761109842877</v>
      </c>
      <c r="AO14" s="17">
        <f t="shared" si="24"/>
        <v>0.768568473603083</v>
      </c>
      <c r="AP14" s="17">
        <f t="shared" si="25"/>
        <v>0.18846917668593449</v>
      </c>
      <c r="AQ14" s="17">
        <f t="shared" si="26"/>
        <v>0.17956971454720619</v>
      </c>
      <c r="AR14" s="21">
        <v>1.4347826086956521</v>
      </c>
      <c r="AS14" t="s">
        <v>193</v>
      </c>
      <c r="AT14" s="96">
        <f t="shared" si="27"/>
        <v>5.3541730155701739E-2</v>
      </c>
      <c r="AU14" s="94">
        <f t="shared" si="28"/>
        <v>-0.78508732534850068</v>
      </c>
      <c r="AV14" s="94">
        <f t="shared" si="29"/>
        <v>-0.61089008804064848</v>
      </c>
      <c r="AW14" s="92">
        <f t="shared" si="30"/>
        <v>0.58677199294386018</v>
      </c>
      <c r="AX14" s="90">
        <f t="shared" si="31"/>
        <v>0.66541229879725061</v>
      </c>
      <c r="AY14" s="17">
        <v>16.7</v>
      </c>
      <c r="AZ14" s="17">
        <v>17.16</v>
      </c>
      <c r="BA14" s="90">
        <f t="shared" si="32"/>
        <v>2.754491017964078E-2</v>
      </c>
      <c r="BB14" s="17">
        <v>0.34699999999999998</v>
      </c>
      <c r="BC14" s="17">
        <v>0.32</v>
      </c>
      <c r="BD14" s="90">
        <f t="shared" si="33"/>
        <v>-7.7809798270893293E-2</v>
      </c>
      <c r="BE14" s="17">
        <v>8.9999999999999993E-3</v>
      </c>
      <c r="BF14" s="17">
        <v>1.0999999999999999E-2</v>
      </c>
      <c r="BG14" s="93">
        <f t="shared" si="34"/>
        <v>0.22222222222222232</v>
      </c>
      <c r="BH14" s="91">
        <f t="shared" si="35"/>
        <v>3.6282935780456084E-2</v>
      </c>
      <c r="BI14" s="91">
        <f t="shared" si="37"/>
        <v>3.2971397990970014E-2</v>
      </c>
      <c r="BJ14" s="91">
        <f t="shared" si="38"/>
        <v>7.3139239375991571E-3</v>
      </c>
      <c r="BK14" s="90">
        <f t="shared" si="36"/>
        <v>3.5080312937726683</v>
      </c>
      <c r="BL14" s="13"/>
    </row>
    <row r="15" spans="1:64" x14ac:dyDescent="0.2">
      <c r="A15" t="s">
        <v>232</v>
      </c>
      <c r="B15" t="s">
        <v>231</v>
      </c>
      <c r="D15" t="s">
        <v>230</v>
      </c>
      <c r="E15" t="s">
        <v>63</v>
      </c>
      <c r="F15" t="s">
        <v>225</v>
      </c>
      <c r="G15">
        <v>16.559999999999999</v>
      </c>
      <c r="H15" s="2">
        <v>0.25</v>
      </c>
      <c r="I15" s="99">
        <f t="shared" si="2"/>
        <v>197.077713551702</v>
      </c>
      <c r="J15" s="99">
        <f t="shared" si="2"/>
        <v>200.37893384714195</v>
      </c>
      <c r="K15" s="25">
        <v>2.5000000000000001E-2</v>
      </c>
      <c r="N15" s="17">
        <f t="shared" si="3"/>
        <v>9.6324688664097646</v>
      </c>
      <c r="O15" s="17">
        <f t="shared" si="4"/>
        <v>10.017767621066152</v>
      </c>
      <c r="P15" s="17">
        <f t="shared" si="5"/>
        <v>0.18575027466943692</v>
      </c>
      <c r="Q15" s="17">
        <f t="shared" si="6"/>
        <v>1.9264937732819527</v>
      </c>
      <c r="R15" s="17">
        <f t="shared" si="7"/>
        <v>0.38529875465639052</v>
      </c>
      <c r="S15" s="17">
        <f t="shared" si="8"/>
        <v>0.26970912825947335</v>
      </c>
      <c r="T15">
        <v>0.25</v>
      </c>
      <c r="U15" t="s">
        <v>193</v>
      </c>
      <c r="V15" s="101">
        <f t="shared" si="0"/>
        <v>6.3815746943011683E-4</v>
      </c>
      <c r="W15" s="94">
        <f t="shared" si="9"/>
        <v>-0.97447370122279531</v>
      </c>
      <c r="X15" s="94">
        <f t="shared" si="10"/>
        <v>-0.98145791740279276</v>
      </c>
      <c r="Y15" s="94">
        <f t="shared" si="11"/>
        <v>-0.90358117049452236</v>
      </c>
      <c r="Z15" s="94">
        <f t="shared" si="12"/>
        <v>-0.51790585247261167</v>
      </c>
      <c r="AA15" s="97">
        <f t="shared" si="13"/>
        <v>-0.3112940749608738</v>
      </c>
      <c r="AB15" s="88">
        <v>613.70000000000005</v>
      </c>
      <c r="AC15" s="88">
        <v>623.98</v>
      </c>
      <c r="AD15" s="94">
        <f t="shared" si="14"/>
        <v>1.675085546684052E-2</v>
      </c>
      <c r="AE15" s="81">
        <f t="shared" si="15"/>
        <v>613.70000000000005</v>
      </c>
      <c r="AF15" s="81">
        <f t="shared" si="16"/>
        <v>624.40196193778343</v>
      </c>
      <c r="AG15" s="81">
        <f t="shared" si="17"/>
        <v>602.70411971740532</v>
      </c>
      <c r="AH15" s="81">
        <f t="shared" si="18"/>
        <v>599.77114964675661</v>
      </c>
      <c r="AI15" s="92">
        <f t="shared" si="19"/>
        <v>1.7438425839634064E-2</v>
      </c>
      <c r="AJ15" s="92">
        <f t="shared" si="20"/>
        <v>3.6000819490916713E-2</v>
      </c>
      <c r="AK15" s="90">
        <f t="shared" si="21"/>
        <v>4.1067017487475876E-2</v>
      </c>
      <c r="AL15" s="17">
        <f t="shared" si="1"/>
        <v>1.3623993414258191</v>
      </c>
      <c r="AM15" s="17">
        <f t="shared" si="22"/>
        <v>1.3933976949903661</v>
      </c>
      <c r="AN15" s="17">
        <f t="shared" si="23"/>
        <v>0.29945882548361363</v>
      </c>
      <c r="AO15" s="17">
        <f t="shared" si="24"/>
        <v>0.74243227013487478</v>
      </c>
      <c r="AP15" s="17">
        <f t="shared" si="25"/>
        <v>0.18660230500963393</v>
      </c>
      <c r="AQ15" s="17">
        <f t="shared" si="26"/>
        <v>0.17730279894026976</v>
      </c>
      <c r="AR15" s="21">
        <v>1.3586956521739131</v>
      </c>
      <c r="AS15" t="s">
        <v>193</v>
      </c>
      <c r="AT15" s="96">
        <f t="shared" si="27"/>
        <v>-2.7185048753987084E-3</v>
      </c>
      <c r="AU15" s="94">
        <f t="shared" si="28"/>
        <v>-0.78508732534850068</v>
      </c>
      <c r="AV15" s="94">
        <f t="shared" si="29"/>
        <v>-0.59665165762634198</v>
      </c>
      <c r="AW15" s="92">
        <f t="shared" si="30"/>
        <v>0.60479703328505585</v>
      </c>
      <c r="AX15" s="90">
        <f t="shared" si="31"/>
        <v>0.68896840474862509</v>
      </c>
      <c r="AY15" s="17">
        <v>17.600000000000001</v>
      </c>
      <c r="AZ15" s="17">
        <v>17.63</v>
      </c>
      <c r="BA15" s="90">
        <f t="shared" si="32"/>
        <v>1.7045454545452365E-3</v>
      </c>
      <c r="BB15" s="17">
        <v>0.63800000000000001</v>
      </c>
      <c r="BC15" s="17">
        <v>0.75</v>
      </c>
      <c r="BD15" s="90">
        <f t="shared" si="33"/>
        <v>0.17554858934169282</v>
      </c>
      <c r="BE15" s="17">
        <v>1.0999999999999999E-2</v>
      </c>
      <c r="BF15" s="17">
        <v>1.4999999999999999E-2</v>
      </c>
      <c r="BG15" s="93">
        <f t="shared" si="34"/>
        <v>0.36363636363636376</v>
      </c>
      <c r="BH15" s="91">
        <f t="shared" si="35"/>
        <v>4.8625973715687797E-2</v>
      </c>
      <c r="BI15" s="91">
        <f t="shared" si="37"/>
        <v>4.4187888813065498E-2</v>
      </c>
      <c r="BJ15" s="91">
        <f t="shared" si="38"/>
        <v>1.0087888164248366E-2</v>
      </c>
      <c r="BK15" s="90">
        <f t="shared" si="36"/>
        <v>3.3802913051383809</v>
      </c>
      <c r="BL15" s="13"/>
    </row>
    <row r="16" spans="1:64" x14ac:dyDescent="0.2">
      <c r="A16" t="s">
        <v>229</v>
      </c>
      <c r="B16" t="s">
        <v>228</v>
      </c>
      <c r="D16" t="s">
        <v>227</v>
      </c>
      <c r="E16" t="s">
        <v>226</v>
      </c>
      <c r="F16" t="s">
        <v>225</v>
      </c>
      <c r="G16">
        <v>21.06</v>
      </c>
      <c r="H16" s="2">
        <v>0.50807217473884136</v>
      </c>
      <c r="I16" s="106">
        <f t="shared" ref="I16:I24" si="39">J16*0.98</f>
        <v>168.47769028871392</v>
      </c>
      <c r="J16" s="109">
        <f>1.31/7.62*1000</f>
        <v>171.91601049868768</v>
      </c>
      <c r="K16" s="25">
        <v>2.3E-2</v>
      </c>
      <c r="N16" s="17">
        <f t="shared" si="3"/>
        <v>7.5758318430446199</v>
      </c>
      <c r="O16" s="17">
        <f t="shared" si="4"/>
        <v>8.5639838225721796</v>
      </c>
      <c r="P16" s="17">
        <f t="shared" si="5"/>
        <v>0.15879409539927997</v>
      </c>
      <c r="Q16" s="17">
        <f t="shared" si="6"/>
        <v>1.646919965879265</v>
      </c>
      <c r="R16" s="17">
        <f t="shared" si="7"/>
        <v>0.32938399317585304</v>
      </c>
      <c r="S16" s="17">
        <f t="shared" si="8"/>
        <v>0.23056879522309712</v>
      </c>
      <c r="T16">
        <v>0.11</v>
      </c>
      <c r="U16" t="s">
        <v>193</v>
      </c>
      <c r="V16" s="101">
        <f t="shared" si="0"/>
        <v>3.2727759160551323E-4</v>
      </c>
      <c r="W16" s="94">
        <f t="shared" si="9"/>
        <v>-0.98577053949541249</v>
      </c>
      <c r="X16" s="94">
        <f t="shared" si="10"/>
        <v>-0.98145791740279276</v>
      </c>
      <c r="Y16" s="94">
        <f t="shared" si="11"/>
        <v>-0.90358117049452236</v>
      </c>
      <c r="Z16" s="94">
        <f t="shared" si="12"/>
        <v>-0.51790585247261167</v>
      </c>
      <c r="AA16" s="97">
        <f t="shared" si="13"/>
        <v>-0.3112940749608738</v>
      </c>
      <c r="AB16" t="s">
        <v>195</v>
      </c>
      <c r="AC16" t="s">
        <v>195</v>
      </c>
      <c r="AD16" s="108" t="e">
        <f t="shared" si="14"/>
        <v>#VALUE!</v>
      </c>
      <c r="AE16" s="81">
        <f t="shared" si="15"/>
        <v>524.63952755905507</v>
      </c>
      <c r="AF16" s="81">
        <f t="shared" si="16"/>
        <v>533.78841505293428</v>
      </c>
      <c r="AG16" s="81">
        <f t="shared" si="17"/>
        <v>511.53868556430444</v>
      </c>
      <c r="AH16" s="81">
        <f t="shared" si="18"/>
        <v>508.0794750656168</v>
      </c>
      <c r="AI16" s="92">
        <f t="shared" si="19"/>
        <v>1.7438425839634064E-2</v>
      </c>
      <c r="AJ16" s="92">
        <f t="shared" si="20"/>
        <v>4.3495692733551472E-2</v>
      </c>
      <c r="AK16" s="90">
        <f t="shared" si="21"/>
        <v>5.0600233327664501E-2</v>
      </c>
      <c r="AL16" s="17">
        <f t="shared" si="1"/>
        <v>1.3076002305511811</v>
      </c>
      <c r="AM16" s="17">
        <f t="shared" si="22"/>
        <v>1.3870997982677167</v>
      </c>
      <c r="AN16" s="17">
        <f t="shared" si="23"/>
        <v>0.29810532765427011</v>
      </c>
      <c r="AO16" s="17">
        <f t="shared" si="24"/>
        <v>0.83060282425196852</v>
      </c>
      <c r="AP16" s="17">
        <f t="shared" si="25"/>
        <v>0.19290020173228348</v>
      </c>
      <c r="AQ16" s="17">
        <f t="shared" si="26"/>
        <v>0.18495024496062992</v>
      </c>
      <c r="AR16" s="102">
        <v>0.22</v>
      </c>
      <c r="AS16" t="s">
        <v>193</v>
      </c>
      <c r="AT16" s="94">
        <f t="shared" si="27"/>
        <v>-0.83175285927621367</v>
      </c>
      <c r="AU16" s="94">
        <f t="shared" si="28"/>
        <v>-0.78508732534850068</v>
      </c>
      <c r="AV16" s="94">
        <f t="shared" si="29"/>
        <v>-0.64109762337644294</v>
      </c>
      <c r="AW16" s="92">
        <f t="shared" si="30"/>
        <v>0.54538629289769003</v>
      </c>
      <c r="AX16" s="90">
        <f t="shared" si="31"/>
        <v>0.61181364056980492</v>
      </c>
      <c r="AY16" s="17">
        <v>15.7</v>
      </c>
      <c r="AZ16" s="17">
        <v>13.8</v>
      </c>
      <c r="BA16" s="90">
        <f t="shared" si="32"/>
        <v>-0.12101910828025464</v>
      </c>
      <c r="BB16" s="17">
        <v>1.31</v>
      </c>
      <c r="BC16" s="17">
        <v>3.93</v>
      </c>
      <c r="BD16" s="107">
        <f t="shared" si="33"/>
        <v>2</v>
      </c>
      <c r="BE16" s="17">
        <v>1.0999999999999999E-2</v>
      </c>
      <c r="BF16" s="17">
        <v>1.1999999999999999E-3</v>
      </c>
      <c r="BG16" s="93">
        <f t="shared" si="34"/>
        <v>-0.89090909090909087</v>
      </c>
      <c r="BH16" s="91">
        <f t="shared" si="35"/>
        <v>3.222600250919043E-2</v>
      </c>
      <c r="BI16" s="91">
        <f t="shared" si="37"/>
        <v>2.9284740375415112E-2</v>
      </c>
      <c r="BJ16" s="91">
        <f t="shared" si="38"/>
        <v>6.4487588061606206E-3</v>
      </c>
      <c r="BK16" s="90">
        <f t="shared" si="36"/>
        <v>3.5411436922464601</v>
      </c>
      <c r="BL16" s="13"/>
    </row>
    <row r="17" spans="1:64" x14ac:dyDescent="0.2">
      <c r="A17" t="s">
        <v>224</v>
      </c>
      <c r="B17" s="11" t="s">
        <v>221</v>
      </c>
      <c r="C17" s="11"/>
      <c r="D17" s="11" t="s">
        <v>213</v>
      </c>
      <c r="E17" s="11" t="s">
        <v>179</v>
      </c>
      <c r="F17" s="15" t="s">
        <v>178</v>
      </c>
      <c r="G17" s="15">
        <v>9.6</v>
      </c>
      <c r="H17" s="13">
        <v>0.41</v>
      </c>
      <c r="I17" s="106">
        <f t="shared" si="39"/>
        <v>234.22</v>
      </c>
      <c r="J17" s="19">
        <v>239</v>
      </c>
      <c r="K17" s="105">
        <v>2.7699999999999999E-2</v>
      </c>
      <c r="M17" s="23"/>
      <c r="N17" s="17">
        <f t="shared" si="3"/>
        <v>12.68422204364</v>
      </c>
      <c r="O17" s="17">
        <f t="shared" si="4"/>
        <v>11.905767983200001</v>
      </c>
      <c r="P17" s="17">
        <f t="shared" si="5"/>
        <v>0.22075773332767992</v>
      </c>
      <c r="Q17" s="17">
        <f t="shared" si="6"/>
        <v>2.2895707660000002</v>
      </c>
      <c r="R17" s="17">
        <f t="shared" si="7"/>
        <v>0.45791415320000001</v>
      </c>
      <c r="S17" s="17">
        <f t="shared" si="8"/>
        <v>0.32053990723999998</v>
      </c>
      <c r="T17" s="17">
        <v>0.02</v>
      </c>
      <c r="U17" s="11" t="s">
        <v>193</v>
      </c>
      <c r="V17" s="98">
        <f t="shared" si="0"/>
        <v>4.280278271163076E-5</v>
      </c>
      <c r="W17" s="94">
        <f t="shared" si="9"/>
        <v>-0.9984547731873058</v>
      </c>
      <c r="X17" s="94">
        <f t="shared" si="10"/>
        <v>-0.98145791740279276</v>
      </c>
      <c r="Y17" s="94">
        <f t="shared" si="11"/>
        <v>-0.90358117049452236</v>
      </c>
      <c r="Z17" s="94">
        <f t="shared" si="12"/>
        <v>-0.51790585247261167</v>
      </c>
      <c r="AA17" s="97">
        <f t="shared" si="13"/>
        <v>-0.31129407496087369</v>
      </c>
      <c r="AB17" s="11" t="s">
        <v>195</v>
      </c>
      <c r="AC17" s="11">
        <v>847</v>
      </c>
      <c r="AD17" s="96" t="e">
        <f t="shared" si="14"/>
        <v>#VALUE!</v>
      </c>
      <c r="AE17" s="81">
        <f t="shared" si="15"/>
        <v>729.36108000000002</v>
      </c>
      <c r="AF17" s="81">
        <f t="shared" si="16"/>
        <v>742.0799891038954</v>
      </c>
      <c r="AG17" s="81">
        <f t="shared" si="17"/>
        <v>721.09887199999991</v>
      </c>
      <c r="AH17" s="81">
        <f t="shared" si="18"/>
        <v>718.84932000000003</v>
      </c>
      <c r="AI17" s="92">
        <f t="shared" si="19"/>
        <v>1.7438425839634064E-2</v>
      </c>
      <c r="AJ17" s="92">
        <f t="shared" si="20"/>
        <v>2.9096033732105786E-2</v>
      </c>
      <c r="AK17" s="90">
        <f t="shared" si="21"/>
        <v>3.231646529747767E-2</v>
      </c>
      <c r="AL17" s="17">
        <f t="shared" si="1"/>
        <v>1.46420543778</v>
      </c>
      <c r="AM17" s="17">
        <f t="shared" si="22"/>
        <v>1.4015766493199999</v>
      </c>
      <c r="AN17" s="17">
        <f t="shared" si="23"/>
        <v>0.30121658643444771</v>
      </c>
      <c r="AO17" s="17">
        <f t="shared" si="24"/>
        <v>0.62792690952000008</v>
      </c>
      <c r="AP17" s="17">
        <f t="shared" si="25"/>
        <v>0.17842335068000001</v>
      </c>
      <c r="AQ17" s="17">
        <f t="shared" si="26"/>
        <v>0.16737121154000001</v>
      </c>
      <c r="AR17" s="102">
        <v>0.25</v>
      </c>
      <c r="AS17" s="11" t="s">
        <v>193</v>
      </c>
      <c r="AT17" s="94">
        <f t="shared" si="27"/>
        <v>-0.82925893214886215</v>
      </c>
      <c r="AU17" s="94">
        <f t="shared" si="28"/>
        <v>-0.78508732534850068</v>
      </c>
      <c r="AV17" s="94">
        <f t="shared" si="29"/>
        <v>-0.52029992365719169</v>
      </c>
      <c r="AW17" s="92">
        <f t="shared" si="30"/>
        <v>0.68821281119574862</v>
      </c>
      <c r="AX17" s="90">
        <f t="shared" si="31"/>
        <v>0.7996917370850245</v>
      </c>
      <c r="AY17" s="17" t="s">
        <v>195</v>
      </c>
      <c r="AZ17" s="17">
        <v>14.6</v>
      </c>
      <c r="BA17" s="93" t="e">
        <f t="shared" si="32"/>
        <v>#VALUE!</v>
      </c>
      <c r="BB17" s="17" t="s">
        <v>195</v>
      </c>
      <c r="BC17" s="17">
        <v>1.5</v>
      </c>
      <c r="BD17" s="93" t="e">
        <f t="shared" si="33"/>
        <v>#VALUE!</v>
      </c>
      <c r="BE17" s="17" t="s">
        <v>195</v>
      </c>
      <c r="BF17" s="17">
        <v>2.8000000000000001E-2</v>
      </c>
      <c r="BG17" s="93" t="e">
        <f t="shared" si="34"/>
        <v>#VALUE!</v>
      </c>
      <c r="BH17" s="91">
        <f t="shared" ref="BH17:BH32" si="40">0.25*H17^(-0.968)*(I17/1000)</f>
        <v>0.13879991878649189</v>
      </c>
      <c r="BI17" s="91">
        <f>BH17*(1+$BG$47)</f>
        <v>0.12303621372431173</v>
      </c>
      <c r="BJ17" s="91">
        <f t="shared" ref="BJ17:BJ32" si="41">0.1201*H17^(-1.124)*((I17-10)/1000)</f>
        <v>7.335813821695826E-2</v>
      </c>
      <c r="BK17" s="90">
        <f t="shared" si="36"/>
        <v>0.67719924080446936</v>
      </c>
      <c r="BL17" s="13"/>
    </row>
    <row r="18" spans="1:64" x14ac:dyDescent="0.2">
      <c r="A18" t="s">
        <v>223</v>
      </c>
      <c r="B18" s="11" t="s">
        <v>221</v>
      </c>
      <c r="D18" t="s">
        <v>213</v>
      </c>
      <c r="E18" t="s">
        <v>179</v>
      </c>
      <c r="F18" s="20" t="s">
        <v>178</v>
      </c>
      <c r="G18" s="15">
        <v>9.6</v>
      </c>
      <c r="H18" s="13">
        <v>0.48</v>
      </c>
      <c r="I18" s="106">
        <f t="shared" si="39"/>
        <v>206.78</v>
      </c>
      <c r="J18" s="19">
        <v>211</v>
      </c>
      <c r="K18" s="105">
        <v>2.7699999999999999E-2</v>
      </c>
      <c r="N18" s="17">
        <f t="shared" si="3"/>
        <v>11.19820439836</v>
      </c>
      <c r="O18" s="17">
        <f t="shared" si="4"/>
        <v>10.510949976799999</v>
      </c>
      <c r="P18" s="17">
        <f t="shared" si="5"/>
        <v>0.19489490264493914</v>
      </c>
      <c r="Q18" s="17">
        <f t="shared" si="6"/>
        <v>2.021336534</v>
      </c>
      <c r="R18" s="17">
        <f t="shared" si="7"/>
        <v>0.4042673068</v>
      </c>
      <c r="S18" s="17">
        <f t="shared" si="8"/>
        <v>0.28298711475999999</v>
      </c>
      <c r="T18" s="17">
        <v>0.03</v>
      </c>
      <c r="U18" s="11" t="s">
        <v>193</v>
      </c>
      <c r="V18" s="101">
        <f t="shared" si="0"/>
        <v>7.272415925175179E-5</v>
      </c>
      <c r="W18" s="94">
        <f t="shared" si="9"/>
        <v>-0.99737457908838445</v>
      </c>
      <c r="X18" s="94">
        <f t="shared" si="10"/>
        <v>-0.98145791740279276</v>
      </c>
      <c r="Y18" s="94">
        <f t="shared" si="11"/>
        <v>-0.90358117049452236</v>
      </c>
      <c r="Z18" s="94">
        <f t="shared" si="12"/>
        <v>-0.51790585247261167</v>
      </c>
      <c r="AA18" s="97">
        <f t="shared" si="13"/>
        <v>-0.31129407496087391</v>
      </c>
      <c r="AB18" s="11">
        <v>687</v>
      </c>
      <c r="AC18" s="11">
        <v>690</v>
      </c>
      <c r="AD18" s="94">
        <f t="shared" si="14"/>
        <v>4.366812227074135E-3</v>
      </c>
      <c r="AE18" s="81">
        <f t="shared" si="15"/>
        <v>643.91291999999999</v>
      </c>
      <c r="AF18" s="81">
        <f t="shared" si="16"/>
        <v>655.14174770260217</v>
      </c>
      <c r="AG18" s="81">
        <f t="shared" si="17"/>
        <v>633.63112799999999</v>
      </c>
      <c r="AH18" s="81">
        <f t="shared" si="18"/>
        <v>630.87667999999996</v>
      </c>
      <c r="AI18" s="92">
        <f t="shared" si="19"/>
        <v>1.7438425839634064E-2</v>
      </c>
      <c r="AJ18" s="92">
        <f t="shared" si="20"/>
        <v>3.3948173869706499E-2</v>
      </c>
      <c r="AK18" s="90">
        <f t="shared" si="21"/>
        <v>3.8462457833442487E-2</v>
      </c>
      <c r="AL18" s="17">
        <f t="shared" si="1"/>
        <v>1.45082572122</v>
      </c>
      <c r="AM18" s="17">
        <f t="shared" si="22"/>
        <v>1.3955341966800001</v>
      </c>
      <c r="AN18" s="17">
        <f t="shared" si="23"/>
        <v>0.29991798677613035</v>
      </c>
      <c r="AO18" s="17">
        <f t="shared" si="24"/>
        <v>0.71252124648000015</v>
      </c>
      <c r="AP18" s="17">
        <f t="shared" si="25"/>
        <v>0.18446580332000001</v>
      </c>
      <c r="AQ18" s="17">
        <f t="shared" si="26"/>
        <v>0.17470847546000001</v>
      </c>
      <c r="AR18" s="102">
        <v>0.23</v>
      </c>
      <c r="AS18" t="s">
        <v>193</v>
      </c>
      <c r="AT18" s="94">
        <f t="shared" si="27"/>
        <v>-0.8414695875348881</v>
      </c>
      <c r="AU18" s="94">
        <f t="shared" si="28"/>
        <v>-0.78508732534850068</v>
      </c>
      <c r="AV18" s="94">
        <f t="shared" si="29"/>
        <v>-0.57907502652336862</v>
      </c>
      <c r="AW18" s="92">
        <f t="shared" si="30"/>
        <v>0.62587309614157016</v>
      </c>
      <c r="AX18" s="90">
        <f t="shared" si="31"/>
        <v>0.71667680109083998</v>
      </c>
      <c r="AY18" s="17">
        <v>12.6</v>
      </c>
      <c r="AZ18" s="17">
        <v>12.4</v>
      </c>
      <c r="BA18" s="90">
        <f t="shared" si="32"/>
        <v>-1.5873015873015817E-2</v>
      </c>
      <c r="BB18" s="17">
        <v>1.72</v>
      </c>
      <c r="BC18" s="17">
        <v>1.4</v>
      </c>
      <c r="BD18" s="90">
        <f t="shared" si="33"/>
        <v>-0.18604651162790697</v>
      </c>
      <c r="BE18" s="17">
        <v>3.5000000000000003E-2</v>
      </c>
      <c r="BF18" s="17">
        <v>2.1999999999999999E-2</v>
      </c>
      <c r="BG18" s="92">
        <f t="shared" si="34"/>
        <v>-0.37142857142857155</v>
      </c>
      <c r="BH18" s="91">
        <f t="shared" si="40"/>
        <v>0.10519788825876943</v>
      </c>
      <c r="BI18" s="91">
        <f t="shared" ref="BI18:BI32" si="42">BH18*(1+$BG$47)</f>
        <v>9.3250413806523463E-2</v>
      </c>
      <c r="BJ18" s="91">
        <f t="shared" si="41"/>
        <v>5.3927316886509501E-2</v>
      </c>
      <c r="BK18" s="90">
        <f t="shared" si="36"/>
        <v>0.72918697221242734</v>
      </c>
      <c r="BL18" s="13"/>
    </row>
    <row r="19" spans="1:64" x14ac:dyDescent="0.2">
      <c r="A19" t="s">
        <v>222</v>
      </c>
      <c r="B19" s="11" t="s">
        <v>221</v>
      </c>
      <c r="D19" t="s">
        <v>213</v>
      </c>
      <c r="E19" t="s">
        <v>179</v>
      </c>
      <c r="F19" s="20" t="s">
        <v>178</v>
      </c>
      <c r="G19" s="11">
        <v>9.6</v>
      </c>
      <c r="H19" s="13">
        <v>0.76</v>
      </c>
      <c r="I19" s="106">
        <f t="shared" si="39"/>
        <v>183.26</v>
      </c>
      <c r="J19" s="19">
        <v>187</v>
      </c>
      <c r="K19" s="105">
        <v>2.7699999999999999E-2</v>
      </c>
      <c r="N19" s="17">
        <f t="shared" si="3"/>
        <v>9.9244749881199983</v>
      </c>
      <c r="O19" s="17">
        <f t="shared" si="4"/>
        <v>9.3153916855999999</v>
      </c>
      <c r="P19" s="17">
        <f t="shared" si="5"/>
        <v>0.17272676205973281</v>
      </c>
      <c r="Q19" s="17">
        <f t="shared" si="6"/>
        <v>1.791421478</v>
      </c>
      <c r="R19" s="17">
        <f t="shared" si="7"/>
        <v>0.35828429560000002</v>
      </c>
      <c r="S19" s="17">
        <f t="shared" si="8"/>
        <v>0.25079900691999996</v>
      </c>
      <c r="T19" s="17">
        <v>0.06</v>
      </c>
      <c r="U19" s="11" t="s">
        <v>193</v>
      </c>
      <c r="V19" s="101">
        <f t="shared" si="0"/>
        <v>1.6411548237561097E-4</v>
      </c>
      <c r="W19" s="94">
        <f t="shared" si="9"/>
        <v>-0.99407525334384073</v>
      </c>
      <c r="X19" s="94">
        <f t="shared" si="10"/>
        <v>-0.98145791740279276</v>
      </c>
      <c r="Y19" s="94">
        <f t="shared" si="11"/>
        <v>-0.90358117049452236</v>
      </c>
      <c r="Z19" s="94">
        <f t="shared" si="12"/>
        <v>-0.51790585247261167</v>
      </c>
      <c r="AA19" s="97">
        <f t="shared" si="13"/>
        <v>-0.31129407496087369</v>
      </c>
      <c r="AB19" s="11">
        <v>617</v>
      </c>
      <c r="AC19" s="11">
        <v>618</v>
      </c>
      <c r="AD19" s="94">
        <f t="shared" si="14"/>
        <v>1.6207455429497752E-3</v>
      </c>
      <c r="AE19" s="81">
        <f t="shared" si="15"/>
        <v>570.67163999999991</v>
      </c>
      <c r="AF19" s="81">
        <f t="shared" si="16"/>
        <v>580.62325507292223</v>
      </c>
      <c r="AG19" s="81">
        <f t="shared" si="17"/>
        <v>558.65877599999988</v>
      </c>
      <c r="AH19" s="81">
        <f t="shared" si="18"/>
        <v>555.47155999999995</v>
      </c>
      <c r="AI19" s="92">
        <f t="shared" si="19"/>
        <v>1.7438425839634064E-2</v>
      </c>
      <c r="AJ19" s="92">
        <f t="shared" si="20"/>
        <v>3.931644863826933E-2</v>
      </c>
      <c r="AK19" s="90">
        <f t="shared" si="21"/>
        <v>4.5279897089460786E-2</v>
      </c>
      <c r="AL19" s="17">
        <f t="shared" si="1"/>
        <v>1.4393573927400001</v>
      </c>
      <c r="AM19" s="17">
        <f t="shared" si="22"/>
        <v>1.39035495156</v>
      </c>
      <c r="AN19" s="17">
        <f t="shared" si="23"/>
        <v>0.29880490135471538</v>
      </c>
      <c r="AO19" s="17">
        <f t="shared" si="24"/>
        <v>0.78503067816000016</v>
      </c>
      <c r="AP19" s="17">
        <f t="shared" si="25"/>
        <v>0.18964504844000002</v>
      </c>
      <c r="AQ19" s="17">
        <f t="shared" si="26"/>
        <v>0.18099755882000002</v>
      </c>
      <c r="AR19" s="102">
        <v>0.27</v>
      </c>
      <c r="AS19" t="s">
        <v>193</v>
      </c>
      <c r="AT19" s="94">
        <f t="shared" si="27"/>
        <v>-0.81241628982359926</v>
      </c>
      <c r="AU19" s="94">
        <f t="shared" si="28"/>
        <v>-0.78508732534850068</v>
      </c>
      <c r="AV19" s="94">
        <f t="shared" si="29"/>
        <v>-0.61937168868983394</v>
      </c>
      <c r="AW19" s="92">
        <f t="shared" si="30"/>
        <v>0.57560085967259722</v>
      </c>
      <c r="AX19" s="90">
        <f t="shared" si="31"/>
        <v>0.65087807428316435</v>
      </c>
      <c r="AY19" s="17">
        <v>11</v>
      </c>
      <c r="AZ19" s="17">
        <v>10.9</v>
      </c>
      <c r="BA19" s="90">
        <f t="shared" si="32"/>
        <v>-9.0909090909090384E-3</v>
      </c>
      <c r="BB19" s="17">
        <v>0.93</v>
      </c>
      <c r="BC19" s="17">
        <v>0.79</v>
      </c>
      <c r="BD19" s="90">
        <f t="shared" si="33"/>
        <v>-0.15053763440860213</v>
      </c>
      <c r="BE19" s="17">
        <v>2.1999999999999999E-2</v>
      </c>
      <c r="BF19" s="17">
        <v>2.1999999999999999E-2</v>
      </c>
      <c r="BG19" s="92">
        <f t="shared" si="34"/>
        <v>0</v>
      </c>
      <c r="BH19" s="91">
        <f t="shared" si="40"/>
        <v>5.9755809431034604E-2</v>
      </c>
      <c r="BI19" s="91">
        <f t="shared" si="42"/>
        <v>5.2969256788509951E-2</v>
      </c>
      <c r="BJ19" s="91">
        <f t="shared" si="41"/>
        <v>2.832740813015697E-2</v>
      </c>
      <c r="BK19" s="90">
        <f t="shared" si="36"/>
        <v>0.86989422205978695</v>
      </c>
      <c r="BL19" s="13"/>
    </row>
    <row r="20" spans="1:64" x14ac:dyDescent="0.2">
      <c r="A20" t="s">
        <v>220</v>
      </c>
      <c r="B20" t="s">
        <v>214</v>
      </c>
      <c r="D20" t="s">
        <v>197</v>
      </c>
      <c r="E20" t="s">
        <v>63</v>
      </c>
      <c r="F20" t="s">
        <v>178</v>
      </c>
      <c r="G20" s="11">
        <v>7.6</v>
      </c>
      <c r="H20" s="2">
        <v>0.4</v>
      </c>
      <c r="I20" s="99">
        <f t="shared" si="39"/>
        <v>205.50417469492612</v>
      </c>
      <c r="J20" s="99">
        <f t="shared" ref="J20:J32" si="43">AC20/3.114</f>
        <v>209.69813744380218</v>
      </c>
      <c r="K20" s="25">
        <v>6.4999999999999997E-3</v>
      </c>
      <c r="N20" s="17">
        <f t="shared" si="3"/>
        <v>2.6115244465639047</v>
      </c>
      <c r="O20" s="17">
        <f t="shared" si="4"/>
        <v>10.446097786255619</v>
      </c>
      <c r="P20" s="17">
        <f t="shared" si="5"/>
        <v>0.19369240797125542</v>
      </c>
      <c r="Q20" s="17">
        <f t="shared" si="6"/>
        <v>2.0088649588953111</v>
      </c>
      <c r="R20" s="17">
        <f t="shared" si="7"/>
        <v>0.40177299177906228</v>
      </c>
      <c r="S20" s="17">
        <f t="shared" si="8"/>
        <v>0.28124109424534355</v>
      </c>
      <c r="T20" s="17">
        <v>1.9E-2</v>
      </c>
      <c r="U20" t="s">
        <v>193</v>
      </c>
      <c r="V20" s="101">
        <f t="shared" si="0"/>
        <v>4.6344578607810612E-5</v>
      </c>
      <c r="W20" s="94">
        <f t="shared" si="9"/>
        <v>-0.99287006482956763</v>
      </c>
      <c r="X20" s="94">
        <f t="shared" si="10"/>
        <v>-0.98145791740279276</v>
      </c>
      <c r="Y20" s="94">
        <f t="shared" si="11"/>
        <v>-0.90358117049452236</v>
      </c>
      <c r="Z20" s="94">
        <f t="shared" si="12"/>
        <v>-0.51790585247261167</v>
      </c>
      <c r="AA20" s="97">
        <f t="shared" si="13"/>
        <v>-0.31129407496087369</v>
      </c>
      <c r="AB20" s="11" t="s">
        <v>195</v>
      </c>
      <c r="AC20" s="11">
        <v>653</v>
      </c>
      <c r="AD20" s="96" t="e">
        <f t="shared" si="14"/>
        <v>#VALUE!</v>
      </c>
      <c r="AE20" s="81">
        <f t="shared" si="15"/>
        <v>639.93999999999994</v>
      </c>
      <c r="AF20" s="81">
        <f t="shared" si="16"/>
        <v>651.09954623181534</v>
      </c>
      <c r="AG20" s="81">
        <f t="shared" si="17"/>
        <v>629.56430725754649</v>
      </c>
      <c r="AH20" s="81">
        <f t="shared" si="18"/>
        <v>626.78638407193318</v>
      </c>
      <c r="AI20" s="92">
        <f t="shared" si="19"/>
        <v>1.7438425839634064E-2</v>
      </c>
      <c r="AJ20" s="92">
        <f t="shared" si="20"/>
        <v>3.42065754459282E-2</v>
      </c>
      <c r="AK20" s="90">
        <f t="shared" si="21"/>
        <v>3.8790188775210899E-2</v>
      </c>
      <c r="AL20" s="17">
        <f t="shared" si="1"/>
        <v>0.7649400953564548</v>
      </c>
      <c r="AM20" s="17">
        <f t="shared" si="22"/>
        <v>1.3952532522928709</v>
      </c>
      <c r="AN20" s="17">
        <f t="shared" si="23"/>
        <v>0.29985760826646407</v>
      </c>
      <c r="AO20" s="17">
        <f t="shared" si="24"/>
        <v>0.71645446789980749</v>
      </c>
      <c r="AP20" s="17">
        <f t="shared" si="25"/>
        <v>0.18474674770712912</v>
      </c>
      <c r="AQ20" s="17">
        <f t="shared" si="26"/>
        <v>0.17504962221579964</v>
      </c>
      <c r="AR20" s="102">
        <v>0.24</v>
      </c>
      <c r="AS20" t="s">
        <v>193</v>
      </c>
      <c r="AT20" s="94">
        <f t="shared" si="27"/>
        <v>-0.68624994106478066</v>
      </c>
      <c r="AU20" s="94">
        <f t="shared" si="28"/>
        <v>-0.78508732534850068</v>
      </c>
      <c r="AV20" s="94">
        <f t="shared" si="29"/>
        <v>-0.58147011191728981</v>
      </c>
      <c r="AW20" s="92">
        <f t="shared" si="30"/>
        <v>0.62307381314130161</v>
      </c>
      <c r="AX20" s="90">
        <f t="shared" si="31"/>
        <v>0.71298632051203303</v>
      </c>
      <c r="AY20" s="17" t="s">
        <v>195</v>
      </c>
      <c r="AZ20" s="17">
        <v>19.5</v>
      </c>
      <c r="BA20" s="93" t="e">
        <f t="shared" si="32"/>
        <v>#VALUE!</v>
      </c>
      <c r="BB20" s="17" t="s">
        <v>195</v>
      </c>
      <c r="BC20" s="17">
        <v>0.61</v>
      </c>
      <c r="BD20" s="93" t="e">
        <f t="shared" si="33"/>
        <v>#VALUE!</v>
      </c>
      <c r="BE20" s="17" t="s">
        <v>195</v>
      </c>
      <c r="BF20" s="17" t="s">
        <v>195</v>
      </c>
      <c r="BG20" s="93" t="e">
        <f t="shared" si="34"/>
        <v>#VALUE!</v>
      </c>
      <c r="BH20" s="91">
        <f t="shared" si="40"/>
        <v>0.1247287545452096</v>
      </c>
      <c r="BI20" s="91">
        <f t="shared" si="42"/>
        <v>0.11056313170757506</v>
      </c>
      <c r="BJ20" s="91">
        <f t="shared" si="41"/>
        <v>6.5763302229076212E-2</v>
      </c>
      <c r="BK20" s="90">
        <f t="shared" si="36"/>
        <v>0.68122840490043557</v>
      </c>
      <c r="BL20" s="13"/>
    </row>
    <row r="21" spans="1:64" x14ac:dyDescent="0.2">
      <c r="A21" t="s">
        <v>219</v>
      </c>
      <c r="B21" t="s">
        <v>214</v>
      </c>
      <c r="D21" t="s">
        <v>197</v>
      </c>
      <c r="E21" t="s">
        <v>63</v>
      </c>
      <c r="F21" t="s">
        <v>178</v>
      </c>
      <c r="G21" s="11">
        <v>7.6</v>
      </c>
      <c r="H21" s="2">
        <v>0.75</v>
      </c>
      <c r="I21" s="99">
        <f t="shared" si="39"/>
        <v>195.11881824020551</v>
      </c>
      <c r="J21" s="99">
        <f t="shared" si="43"/>
        <v>199.10083493898523</v>
      </c>
      <c r="K21" s="25">
        <v>6.4999999999999997E-3</v>
      </c>
      <c r="N21" s="17">
        <f t="shared" si="3"/>
        <v>2.4795484791265254</v>
      </c>
      <c r="O21" s="17">
        <f t="shared" si="4"/>
        <v>9.9181939165061017</v>
      </c>
      <c r="P21" s="17">
        <f t="shared" si="5"/>
        <v>0.18390397081497453</v>
      </c>
      <c r="Q21" s="17">
        <f t="shared" si="6"/>
        <v>1.9073449839434811</v>
      </c>
      <c r="R21" s="17">
        <f t="shared" si="7"/>
        <v>0.38146899678869622</v>
      </c>
      <c r="S21" s="17">
        <f t="shared" si="8"/>
        <v>0.26702829775208731</v>
      </c>
      <c r="T21" s="17">
        <v>3.3000000000000002E-2</v>
      </c>
      <c r="U21" t="s">
        <v>193</v>
      </c>
      <c r="V21" s="101">
        <f t="shared" si="0"/>
        <v>8.4777531784355773E-5</v>
      </c>
      <c r="W21" s="94">
        <f t="shared" si="9"/>
        <v>-0.98695730280240679</v>
      </c>
      <c r="X21" s="94">
        <f t="shared" si="10"/>
        <v>-0.98145791740279276</v>
      </c>
      <c r="Y21" s="94">
        <f t="shared" si="11"/>
        <v>-0.90358117049452236</v>
      </c>
      <c r="Z21" s="94">
        <f t="shared" si="12"/>
        <v>-0.51790585247261167</v>
      </c>
      <c r="AA21" s="97">
        <f t="shared" si="13"/>
        <v>-0.31129407496087369</v>
      </c>
      <c r="AB21" s="11" t="s">
        <v>195</v>
      </c>
      <c r="AC21" s="11">
        <v>620</v>
      </c>
      <c r="AD21" s="96" t="e">
        <f t="shared" si="14"/>
        <v>#VALUE!</v>
      </c>
      <c r="AE21" s="81">
        <f t="shared" si="15"/>
        <v>607.59999999999991</v>
      </c>
      <c r="AF21" s="81">
        <f t="shared" si="16"/>
        <v>618.19558754016157</v>
      </c>
      <c r="AG21" s="81">
        <f t="shared" si="17"/>
        <v>596.45994502247902</v>
      </c>
      <c r="AH21" s="81">
        <f t="shared" si="18"/>
        <v>593.49093127809886</v>
      </c>
      <c r="AI21" s="92">
        <f t="shared" si="19"/>
        <v>1.7438425839634064E-2</v>
      </c>
      <c r="AJ21" s="92">
        <f t="shared" si="20"/>
        <v>3.6441076553536789E-2</v>
      </c>
      <c r="AK21" s="90">
        <f t="shared" si="21"/>
        <v>4.1626004644857106E-2</v>
      </c>
      <c r="AL21" s="17">
        <f t="shared" si="1"/>
        <v>0.79450667552986509</v>
      </c>
      <c r="AM21" s="17">
        <f t="shared" si="22"/>
        <v>1.3929663344894028</v>
      </c>
      <c r="AN21" s="17">
        <f t="shared" si="23"/>
        <v>0.2993661206446126</v>
      </c>
      <c r="AO21" s="17">
        <f t="shared" si="24"/>
        <v>0.74847131714836235</v>
      </c>
      <c r="AP21" s="17">
        <f t="shared" si="25"/>
        <v>0.1870336655105973</v>
      </c>
      <c r="AQ21" s="17">
        <f t="shared" si="26"/>
        <v>0.17782659383429675</v>
      </c>
      <c r="AR21" s="102">
        <v>0.15</v>
      </c>
      <c r="AS21" t="s">
        <v>193</v>
      </c>
      <c r="AT21" s="94">
        <f t="shared" si="27"/>
        <v>-0.81120360014601089</v>
      </c>
      <c r="AU21" s="94">
        <f t="shared" si="28"/>
        <v>-0.78508732534850068</v>
      </c>
      <c r="AV21" s="94">
        <f t="shared" si="29"/>
        <v>-0.60002993596978138</v>
      </c>
      <c r="AW21" s="92">
        <f t="shared" si="30"/>
        <v>0.6006001904916447</v>
      </c>
      <c r="AX21" s="90">
        <f t="shared" si="31"/>
        <v>0.68347216346937079</v>
      </c>
      <c r="AY21" s="17" t="s">
        <v>195</v>
      </c>
      <c r="AZ21" s="17">
        <v>11.4</v>
      </c>
      <c r="BA21" s="93" t="e">
        <f t="shared" si="32"/>
        <v>#VALUE!</v>
      </c>
      <c r="BB21" s="17" t="s">
        <v>195</v>
      </c>
      <c r="BC21" s="17">
        <v>0.34</v>
      </c>
      <c r="BD21" s="93" t="e">
        <f t="shared" si="33"/>
        <v>#VALUE!</v>
      </c>
      <c r="BE21" s="17" t="s">
        <v>195</v>
      </c>
      <c r="BF21" s="17" t="s">
        <v>195</v>
      </c>
      <c r="BG21" s="93" t="e">
        <f t="shared" si="34"/>
        <v>#VALUE!</v>
      </c>
      <c r="BH21" s="91">
        <f t="shared" si="40"/>
        <v>6.4443610288622999E-2</v>
      </c>
      <c r="BI21" s="91">
        <f t="shared" si="42"/>
        <v>5.7124657405843667E-2</v>
      </c>
      <c r="BJ21" s="91">
        <f t="shared" si="41"/>
        <v>3.0720247940128398E-2</v>
      </c>
      <c r="BK21" s="90">
        <f t="shared" si="36"/>
        <v>0.85951160020503758</v>
      </c>
      <c r="BL21" s="13"/>
    </row>
    <row r="22" spans="1:64" x14ac:dyDescent="0.2">
      <c r="A22" t="s">
        <v>218</v>
      </c>
      <c r="B22" t="s">
        <v>214</v>
      </c>
      <c r="D22" t="s">
        <v>197</v>
      </c>
      <c r="E22" t="s">
        <v>216</v>
      </c>
      <c r="F22" t="s">
        <v>178</v>
      </c>
      <c r="G22" s="11">
        <v>7.6</v>
      </c>
      <c r="H22" s="2">
        <v>0.4</v>
      </c>
      <c r="I22" s="99">
        <f t="shared" si="39"/>
        <v>204.56005138086064</v>
      </c>
      <c r="J22" s="99">
        <f t="shared" si="43"/>
        <v>208.73474630700065</v>
      </c>
      <c r="K22" s="25">
        <v>6.4999999999999997E-3</v>
      </c>
      <c r="N22" s="17">
        <f t="shared" si="3"/>
        <v>2.5995266313423251</v>
      </c>
      <c r="O22" s="17">
        <f t="shared" si="4"/>
        <v>10.3981065253693</v>
      </c>
      <c r="P22" s="17">
        <f t="shared" si="5"/>
        <v>0.19280255004795718</v>
      </c>
      <c r="Q22" s="17">
        <f t="shared" si="6"/>
        <v>1.9996358702633272</v>
      </c>
      <c r="R22" s="17">
        <f t="shared" si="7"/>
        <v>0.39992717405266542</v>
      </c>
      <c r="S22" s="17">
        <f t="shared" si="8"/>
        <v>0.27994902183686582</v>
      </c>
      <c r="T22" s="17">
        <v>1.2999999999999999E-2</v>
      </c>
      <c r="U22" t="s">
        <v>193</v>
      </c>
      <c r="V22" s="98">
        <f t="shared" si="0"/>
        <v>3.1855799822000343E-5</v>
      </c>
      <c r="W22" s="94">
        <f t="shared" si="9"/>
        <v>-0.99509910771969223</v>
      </c>
      <c r="X22" s="94">
        <f t="shared" si="10"/>
        <v>-0.98145791740279276</v>
      </c>
      <c r="Y22" s="94">
        <f t="shared" si="11"/>
        <v>-0.90358117049452236</v>
      </c>
      <c r="Z22" s="94">
        <f t="shared" si="12"/>
        <v>-0.51790585247261167</v>
      </c>
      <c r="AA22" s="97">
        <f t="shared" si="13"/>
        <v>-0.31129407496087391</v>
      </c>
      <c r="AB22" s="11" t="s">
        <v>195</v>
      </c>
      <c r="AC22" s="11">
        <v>650</v>
      </c>
      <c r="AD22" s="96" t="e">
        <f t="shared" si="14"/>
        <v>#VALUE!</v>
      </c>
      <c r="AE22" s="81">
        <f t="shared" si="15"/>
        <v>637</v>
      </c>
      <c r="AF22" s="81">
        <f t="shared" si="16"/>
        <v>648.10827725984689</v>
      </c>
      <c r="AG22" s="81">
        <f t="shared" si="17"/>
        <v>626.55481978163129</v>
      </c>
      <c r="AH22" s="81">
        <f t="shared" si="18"/>
        <v>623.75952472703921</v>
      </c>
      <c r="AI22" s="92">
        <f t="shared" si="19"/>
        <v>1.7438425839634064E-2</v>
      </c>
      <c r="AJ22" s="92">
        <f t="shared" si="20"/>
        <v>3.4399954796816345E-2</v>
      </c>
      <c r="AK22" s="90">
        <f t="shared" si="21"/>
        <v>3.9035480129081535E-2</v>
      </c>
      <c r="AL22" s="17">
        <f t="shared" si="1"/>
        <v>0.76762796628131025</v>
      </c>
      <c r="AM22" s="17">
        <f t="shared" si="22"/>
        <v>1.3950453506743739</v>
      </c>
      <c r="AN22" s="17">
        <f t="shared" si="23"/>
        <v>0.29981292757356848</v>
      </c>
      <c r="AO22" s="17">
        <f t="shared" si="24"/>
        <v>0.71936509055876696</v>
      </c>
      <c r="AP22" s="17">
        <f t="shared" si="25"/>
        <v>0.18495464932562622</v>
      </c>
      <c r="AQ22" s="17">
        <f t="shared" si="26"/>
        <v>0.17530207418111754</v>
      </c>
      <c r="AR22" s="102">
        <v>0.12</v>
      </c>
      <c r="AS22" t="s">
        <v>193</v>
      </c>
      <c r="AT22" s="94">
        <f t="shared" si="27"/>
        <v>-0.84367427286250796</v>
      </c>
      <c r="AU22" s="94">
        <f t="shared" si="28"/>
        <v>-0.78508732534850068</v>
      </c>
      <c r="AV22" s="94">
        <f t="shared" si="29"/>
        <v>-0.58322563673379157</v>
      </c>
      <c r="AW22" s="92">
        <f t="shared" si="30"/>
        <v>0.62100779118953553</v>
      </c>
      <c r="AX22" s="90">
        <f t="shared" si="31"/>
        <v>0.71026457601299997</v>
      </c>
      <c r="AY22" s="17" t="s">
        <v>192</v>
      </c>
      <c r="AZ22" s="17">
        <v>5</v>
      </c>
      <c r="BA22" s="93" t="e">
        <f t="shared" si="32"/>
        <v>#VALUE!</v>
      </c>
      <c r="BB22" s="17" t="s">
        <v>195</v>
      </c>
      <c r="BC22" s="17">
        <v>0.94</v>
      </c>
      <c r="BD22" s="93" t="e">
        <f t="shared" si="33"/>
        <v>#VALUE!</v>
      </c>
      <c r="BE22" s="17" t="s">
        <v>195</v>
      </c>
      <c r="BF22" s="17" t="s">
        <v>195</v>
      </c>
      <c r="BG22" s="93" t="e">
        <f t="shared" si="34"/>
        <v>#VALUE!</v>
      </c>
      <c r="BH22" s="91">
        <f t="shared" si="40"/>
        <v>0.12415572810778905</v>
      </c>
      <c r="BI22" s="91">
        <f t="shared" si="42"/>
        <v>0.11005518470126156</v>
      </c>
      <c r="BJ22" s="91">
        <f t="shared" si="41"/>
        <v>6.5445719921990997E-2</v>
      </c>
      <c r="BK22" s="90">
        <f t="shared" si="36"/>
        <v>0.6816253963199348</v>
      </c>
      <c r="BL22" s="13"/>
    </row>
    <row r="23" spans="1:64" x14ac:dyDescent="0.2">
      <c r="A23" t="s">
        <v>217</v>
      </c>
      <c r="B23" t="s">
        <v>214</v>
      </c>
      <c r="D23" t="s">
        <v>197</v>
      </c>
      <c r="E23" t="s">
        <v>216</v>
      </c>
      <c r="F23" t="s">
        <v>178</v>
      </c>
      <c r="G23" s="11">
        <v>7.6</v>
      </c>
      <c r="H23" s="2">
        <v>0.75</v>
      </c>
      <c r="I23" s="99">
        <f t="shared" si="39"/>
        <v>197.32177263969172</v>
      </c>
      <c r="J23" s="99">
        <f t="shared" si="43"/>
        <v>201.34874759152217</v>
      </c>
      <c r="K23" s="25">
        <v>6.4999999999999997E-3</v>
      </c>
      <c r="N23" s="17">
        <f t="shared" si="3"/>
        <v>2.5075433813102115</v>
      </c>
      <c r="O23" s="17">
        <f t="shared" si="4"/>
        <v>10.030173525240846</v>
      </c>
      <c r="P23" s="17">
        <f t="shared" si="5"/>
        <v>0.18598030596933712</v>
      </c>
      <c r="Q23" s="17">
        <f t="shared" si="6"/>
        <v>1.9288795240847785</v>
      </c>
      <c r="R23" s="17">
        <f t="shared" si="7"/>
        <v>0.38577590481695573</v>
      </c>
      <c r="S23" s="17">
        <f t="shared" si="8"/>
        <v>0.27004313337186897</v>
      </c>
      <c r="T23" s="17">
        <v>6.0000000000000001E-3</v>
      </c>
      <c r="U23" t="s">
        <v>193</v>
      </c>
      <c r="V23" s="98">
        <f t="shared" si="0"/>
        <v>1.5242009484210691E-5</v>
      </c>
      <c r="W23" s="94">
        <f t="shared" si="9"/>
        <v>-0.99765507546396759</v>
      </c>
      <c r="X23" s="94">
        <f t="shared" si="10"/>
        <v>-0.98145791740279276</v>
      </c>
      <c r="Y23" s="94">
        <f t="shared" si="11"/>
        <v>-0.90358117049452236</v>
      </c>
      <c r="Z23" s="94">
        <f t="shared" si="12"/>
        <v>-0.51790585247261178</v>
      </c>
      <c r="AA23" s="97">
        <f t="shared" si="13"/>
        <v>-0.31129407496087391</v>
      </c>
      <c r="AB23" s="11" t="s">
        <v>195</v>
      </c>
      <c r="AC23" s="11">
        <v>627</v>
      </c>
      <c r="AD23" s="96" t="e">
        <f t="shared" si="14"/>
        <v>#VALUE!</v>
      </c>
      <c r="AE23" s="81">
        <f t="shared" si="15"/>
        <v>614.45999999999992</v>
      </c>
      <c r="AF23" s="81">
        <f t="shared" si="16"/>
        <v>625.17521514142152</v>
      </c>
      <c r="AG23" s="81">
        <f t="shared" si="17"/>
        <v>603.48208246628121</v>
      </c>
      <c r="AH23" s="81">
        <f t="shared" si="18"/>
        <v>600.55360308285162</v>
      </c>
      <c r="AI23" s="92">
        <f t="shared" si="19"/>
        <v>1.7438425839634064E-2</v>
      </c>
      <c r="AJ23" s="92">
        <f t="shared" si="20"/>
        <v>3.5946606047499996E-2</v>
      </c>
      <c r="AK23" s="90">
        <f t="shared" si="21"/>
        <v>4.0998192221607832E-2</v>
      </c>
      <c r="AL23" s="17">
        <f t="shared" si="1"/>
        <v>0.78823497670520237</v>
      </c>
      <c r="AM23" s="17">
        <f t="shared" si="22"/>
        <v>1.393451438265896</v>
      </c>
      <c r="AN23" s="17">
        <f t="shared" si="23"/>
        <v>0.2994703755947023</v>
      </c>
      <c r="AO23" s="17">
        <f t="shared" si="24"/>
        <v>0.74167986427745669</v>
      </c>
      <c r="AP23" s="17">
        <f t="shared" si="25"/>
        <v>0.18654856173410406</v>
      </c>
      <c r="AQ23" s="17">
        <f t="shared" si="26"/>
        <v>0.17723753924855493</v>
      </c>
      <c r="AR23" s="102">
        <v>0.11</v>
      </c>
      <c r="AS23" t="s">
        <v>193</v>
      </c>
      <c r="AT23" s="94">
        <f t="shared" si="27"/>
        <v>-0.86044770499807488</v>
      </c>
      <c r="AU23" s="94">
        <f t="shared" si="28"/>
        <v>-0.78508732534850068</v>
      </c>
      <c r="AV23" s="94">
        <f t="shared" si="29"/>
        <v>-0.5962269032523273</v>
      </c>
      <c r="AW23" s="92">
        <f t="shared" si="30"/>
        <v>0.60532127833582927</v>
      </c>
      <c r="AX23" s="90">
        <f t="shared" si="31"/>
        <v>0.68965545823071994</v>
      </c>
      <c r="AY23" s="17" t="s">
        <v>192</v>
      </c>
      <c r="AZ23" s="17">
        <v>1.2</v>
      </c>
      <c r="BA23" s="93" t="e">
        <f t="shared" si="32"/>
        <v>#VALUE!</v>
      </c>
      <c r="BB23" s="17" t="s">
        <v>195</v>
      </c>
      <c r="BC23" s="17">
        <v>0.56000000000000005</v>
      </c>
      <c r="BD23" s="93" t="e">
        <f t="shared" si="33"/>
        <v>#VALUE!</v>
      </c>
      <c r="BE23" s="17" t="s">
        <v>195</v>
      </c>
      <c r="BF23" s="17" t="s">
        <v>195</v>
      </c>
      <c r="BG23" s="93" t="e">
        <f t="shared" si="34"/>
        <v>#VALUE!</v>
      </c>
      <c r="BH23" s="91">
        <f t="shared" si="40"/>
        <v>6.5171199437042943E-2</v>
      </c>
      <c r="BI23" s="91">
        <f t="shared" si="42"/>
        <v>5.7769613215264491E-2</v>
      </c>
      <c r="BJ23" s="91">
        <f t="shared" si="41"/>
        <v>3.1085825605307735E-2</v>
      </c>
      <c r="BK23" s="90">
        <f t="shared" si="36"/>
        <v>0.85839082895069208</v>
      </c>
      <c r="BL23" s="13"/>
    </row>
    <row r="24" spans="1:64" x14ac:dyDescent="0.2">
      <c r="A24" t="s">
        <v>215</v>
      </c>
      <c r="B24" t="s">
        <v>214</v>
      </c>
      <c r="D24" t="s">
        <v>213</v>
      </c>
      <c r="E24" t="s">
        <v>212</v>
      </c>
      <c r="F24" t="s">
        <v>178</v>
      </c>
      <c r="G24" s="11">
        <v>7.6</v>
      </c>
      <c r="H24" s="2">
        <v>0.65</v>
      </c>
      <c r="I24" s="99">
        <f t="shared" si="39"/>
        <v>171.20102761721259</v>
      </c>
      <c r="J24" s="99">
        <f t="shared" si="43"/>
        <v>174.69492614001285</v>
      </c>
      <c r="K24" s="25">
        <v>1.9E-2</v>
      </c>
      <c r="N24" s="17">
        <f t="shared" si="3"/>
        <v>6.3594573400128453</v>
      </c>
      <c r="O24" s="17">
        <f t="shared" si="4"/>
        <v>8.7024153073859996</v>
      </c>
      <c r="P24" s="17">
        <f t="shared" si="5"/>
        <v>0.16136090342475187</v>
      </c>
      <c r="Q24" s="17">
        <f t="shared" si="6"/>
        <v>1.6735414052665383</v>
      </c>
      <c r="R24" s="17">
        <f t="shared" si="7"/>
        <v>0.33470828105330763</v>
      </c>
      <c r="S24" s="17">
        <f t="shared" si="8"/>
        <v>0.23429579673731538</v>
      </c>
      <c r="T24" s="17">
        <v>7.0000000000000007E-2</v>
      </c>
      <c r="U24" t="s">
        <v>193</v>
      </c>
      <c r="V24" s="101">
        <f t="shared" si="0"/>
        <v>2.0495459444301698E-4</v>
      </c>
      <c r="W24" s="94">
        <f t="shared" si="9"/>
        <v>-0.9892129160819465</v>
      </c>
      <c r="X24" s="94">
        <f t="shared" si="10"/>
        <v>-0.98145791740279276</v>
      </c>
      <c r="Y24" s="94">
        <f t="shared" si="11"/>
        <v>-0.90358117049452236</v>
      </c>
      <c r="Z24" s="94">
        <f t="shared" si="12"/>
        <v>-0.51790585247261167</v>
      </c>
      <c r="AA24" s="97">
        <f t="shared" si="13"/>
        <v>-0.3112940749608738</v>
      </c>
      <c r="AB24" s="11" t="s">
        <v>195</v>
      </c>
      <c r="AC24" s="11">
        <v>544</v>
      </c>
      <c r="AD24" s="96" t="e">
        <f t="shared" si="14"/>
        <v>#VALUE!</v>
      </c>
      <c r="AE24" s="81">
        <f t="shared" si="15"/>
        <v>533.12</v>
      </c>
      <c r="AF24" s="81">
        <f t="shared" si="16"/>
        <v>542.41677358362574</v>
      </c>
      <c r="AG24" s="81">
        <f t="shared" si="17"/>
        <v>520.21959563262681</v>
      </c>
      <c r="AH24" s="81">
        <f t="shared" si="18"/>
        <v>516.81049454078357</v>
      </c>
      <c r="AI24" s="92">
        <f t="shared" si="19"/>
        <v>1.7438425839634064E-2</v>
      </c>
      <c r="AJ24" s="92">
        <f t="shared" si="20"/>
        <v>4.2668861644870271E-2</v>
      </c>
      <c r="AK24" s="90">
        <f t="shared" si="21"/>
        <v>4.9546747431270521E-2</v>
      </c>
      <c r="AL24" s="17">
        <f t="shared" si="1"/>
        <v>1.1992020260500964</v>
      </c>
      <c r="AM24" s="17">
        <f t="shared" si="22"/>
        <v>1.387699493487476</v>
      </c>
      <c r="AN24" s="17">
        <f t="shared" si="23"/>
        <v>0.29823420975792436</v>
      </c>
      <c r="AO24" s="17">
        <f t="shared" si="24"/>
        <v>0.82220709117533719</v>
      </c>
      <c r="AP24" s="17">
        <f t="shared" si="25"/>
        <v>0.19230050651252409</v>
      </c>
      <c r="AQ24" s="17">
        <f t="shared" si="26"/>
        <v>0.18422204362235067</v>
      </c>
      <c r="AR24" s="102">
        <v>0.24</v>
      </c>
      <c r="AS24" t="s">
        <v>193</v>
      </c>
      <c r="AT24" s="94">
        <f t="shared" si="27"/>
        <v>-0.79986691584360781</v>
      </c>
      <c r="AU24" s="94">
        <f t="shared" si="28"/>
        <v>-0.78508732534850068</v>
      </c>
      <c r="AV24" s="94">
        <f t="shared" si="29"/>
        <v>-0.63727604278916949</v>
      </c>
      <c r="AW24" s="92">
        <f t="shared" si="30"/>
        <v>0.55087584097705466</v>
      </c>
      <c r="AX24" s="90">
        <f t="shared" si="31"/>
        <v>0.61888449337417506</v>
      </c>
      <c r="AY24" s="17" t="s">
        <v>195</v>
      </c>
      <c r="AZ24" s="17">
        <v>15</v>
      </c>
      <c r="BA24" s="93" t="e">
        <f t="shared" si="32"/>
        <v>#VALUE!</v>
      </c>
      <c r="BB24" s="17" t="s">
        <v>211</v>
      </c>
      <c r="BC24" s="17">
        <v>0.16</v>
      </c>
      <c r="BD24" s="93" t="e">
        <f t="shared" si="33"/>
        <v>#VALUE!</v>
      </c>
      <c r="BE24" s="17" t="s">
        <v>195</v>
      </c>
      <c r="BF24" s="17" t="s">
        <v>195</v>
      </c>
      <c r="BG24" s="93" t="e">
        <f t="shared" si="34"/>
        <v>#VALUE!</v>
      </c>
      <c r="BH24" s="91">
        <f t="shared" si="40"/>
        <v>6.4945078578624998E-2</v>
      </c>
      <c r="BI24" s="91">
        <f t="shared" si="42"/>
        <v>5.7569173225766865E-2</v>
      </c>
      <c r="BJ24" s="91">
        <f t="shared" si="41"/>
        <v>3.141927797082248E-2</v>
      </c>
      <c r="BK24" s="90">
        <f t="shared" si="36"/>
        <v>0.83228823015056208</v>
      </c>
      <c r="BL24" s="13"/>
    </row>
    <row r="25" spans="1:64" ht="17" x14ac:dyDescent="0.2">
      <c r="A25" t="s">
        <v>210</v>
      </c>
      <c r="B25" s="104" t="s">
        <v>206</v>
      </c>
      <c r="D25" t="s">
        <v>205</v>
      </c>
      <c r="E25" t="s">
        <v>179</v>
      </c>
      <c r="F25" t="s">
        <v>178</v>
      </c>
      <c r="G25">
        <v>3</v>
      </c>
      <c r="H25" s="2">
        <v>0.95</v>
      </c>
      <c r="I25" s="99">
        <f>AB25/3.114</f>
        <v>194.92614001284522</v>
      </c>
      <c r="J25" s="99">
        <f t="shared" si="43"/>
        <v>194.92614001284522</v>
      </c>
      <c r="K25" s="25">
        <v>1.24E-2</v>
      </c>
      <c r="L25" s="103">
        <v>2</v>
      </c>
      <c r="M25" s="23" t="s">
        <v>177</v>
      </c>
      <c r="N25" s="17">
        <f t="shared" si="3"/>
        <v>4.7255445112395638</v>
      </c>
      <c r="O25" s="17">
        <f t="shared" si="4"/>
        <v>9.9083997816313421</v>
      </c>
      <c r="P25" s="17">
        <f t="shared" si="5"/>
        <v>0.18372236715715856</v>
      </c>
      <c r="Q25" s="17">
        <f t="shared" si="6"/>
        <v>1.905461496467566</v>
      </c>
      <c r="R25" s="17">
        <f t="shared" si="7"/>
        <v>0.38109229929351318</v>
      </c>
      <c r="S25" s="17">
        <f t="shared" si="8"/>
        <v>0.26676460950545927</v>
      </c>
      <c r="T25" s="17">
        <v>0.17</v>
      </c>
      <c r="U25" t="s">
        <v>193</v>
      </c>
      <c r="V25" s="101">
        <f t="shared" si="0"/>
        <v>4.4608615895717126E-4</v>
      </c>
      <c r="W25" s="94">
        <f t="shared" si="9"/>
        <v>-0.96402530976151846</v>
      </c>
      <c r="X25" s="94">
        <f t="shared" si="10"/>
        <v>-0.98145791740279276</v>
      </c>
      <c r="Y25" s="94">
        <f t="shared" si="11"/>
        <v>-0.90358117049452236</v>
      </c>
      <c r="Z25" s="94">
        <f t="shared" si="12"/>
        <v>-0.51790585247261167</v>
      </c>
      <c r="AA25" s="97">
        <f t="shared" si="13"/>
        <v>-0.31129407496087391</v>
      </c>
      <c r="AB25">
        <v>607</v>
      </c>
      <c r="AC25">
        <v>607</v>
      </c>
      <c r="AD25" s="96">
        <f t="shared" si="14"/>
        <v>0</v>
      </c>
      <c r="AE25" s="81">
        <f t="shared" si="15"/>
        <v>607</v>
      </c>
      <c r="AF25" s="81">
        <f t="shared" si="16"/>
        <v>617.58512448465785</v>
      </c>
      <c r="AG25" s="81">
        <f t="shared" si="17"/>
        <v>595.84576390494544</v>
      </c>
      <c r="AH25" s="81">
        <f t="shared" si="18"/>
        <v>592.87320488118178</v>
      </c>
      <c r="AI25" s="92">
        <f t="shared" si="19"/>
        <v>1.7438425839634064E-2</v>
      </c>
      <c r="AJ25" s="92">
        <f t="shared" si="20"/>
        <v>3.6484878968075396E-2</v>
      </c>
      <c r="AK25" s="90">
        <f t="shared" si="21"/>
        <v>4.1681626695253771E-2</v>
      </c>
      <c r="AL25" s="17">
        <f t="shared" si="1"/>
        <v>0.9759488227360309</v>
      </c>
      <c r="AM25" s="17">
        <f t="shared" si="22"/>
        <v>1.3929239055876685</v>
      </c>
      <c r="AN25" s="17">
        <f t="shared" si="23"/>
        <v>0.29935700213585836</v>
      </c>
      <c r="AO25" s="17">
        <f t="shared" si="24"/>
        <v>0.74906532177263974</v>
      </c>
      <c r="AP25" s="17">
        <f t="shared" si="25"/>
        <v>0.18707609441233142</v>
      </c>
      <c r="AQ25" s="17">
        <f t="shared" si="26"/>
        <v>0.1778781146435453</v>
      </c>
      <c r="AR25" s="102">
        <v>0.47</v>
      </c>
      <c r="AS25" t="s">
        <v>193</v>
      </c>
      <c r="AT25" s="94">
        <f t="shared" si="27"/>
        <v>-0.51841737081830275</v>
      </c>
      <c r="AU25" s="94">
        <f t="shared" si="28"/>
        <v>-0.78508732534850068</v>
      </c>
      <c r="AV25" s="94">
        <f t="shared" si="29"/>
        <v>-0.60035928318315501</v>
      </c>
      <c r="AW25" s="92">
        <f t="shared" si="30"/>
        <v>0.60018843175146896</v>
      </c>
      <c r="AX25" s="90">
        <f t="shared" si="31"/>
        <v>0.6829332980943037</v>
      </c>
      <c r="AY25" s="17">
        <v>7.96</v>
      </c>
      <c r="AZ25" s="17">
        <v>8.52</v>
      </c>
      <c r="BA25" s="90">
        <f t="shared" si="32"/>
        <v>7.035175879396971E-2</v>
      </c>
      <c r="BB25" s="17">
        <v>0.44</v>
      </c>
      <c r="BC25" s="17">
        <v>0.43</v>
      </c>
      <c r="BD25" s="90">
        <f t="shared" si="33"/>
        <v>-2.2727272727272707E-2</v>
      </c>
      <c r="BE25" s="17" t="s">
        <v>195</v>
      </c>
      <c r="BF25" s="17" t="s">
        <v>195</v>
      </c>
      <c r="BG25" s="93" t="e">
        <f t="shared" si="34"/>
        <v>#VALUE!</v>
      </c>
      <c r="BH25" s="91">
        <f t="shared" si="40"/>
        <v>5.1212224611767596E-2</v>
      </c>
      <c r="BI25" s="91">
        <f t="shared" si="42"/>
        <v>4.5395979102288271E-2</v>
      </c>
      <c r="BJ25" s="91">
        <f t="shared" si="41"/>
        <v>2.3527727404511357E-2</v>
      </c>
      <c r="BK25" s="90">
        <f t="shared" si="36"/>
        <v>0.92946723335394288</v>
      </c>
      <c r="BL25" s="13"/>
    </row>
    <row r="26" spans="1:64" ht="17" x14ac:dyDescent="0.2">
      <c r="A26" t="s">
        <v>209</v>
      </c>
      <c r="B26" s="104" t="s">
        <v>206</v>
      </c>
      <c r="D26" t="s">
        <v>205</v>
      </c>
      <c r="E26" t="s">
        <v>179</v>
      </c>
      <c r="F26" t="s">
        <v>178</v>
      </c>
      <c r="G26">
        <v>3</v>
      </c>
      <c r="H26" s="2">
        <v>0.95</v>
      </c>
      <c r="I26" s="99">
        <f>AB26/3.114</f>
        <v>194.92614001284522</v>
      </c>
      <c r="J26" s="99">
        <f t="shared" si="43"/>
        <v>194.92614001284522</v>
      </c>
      <c r="K26" s="25">
        <v>1.24E-2</v>
      </c>
      <c r="L26" s="103">
        <v>2.8</v>
      </c>
      <c r="M26" s="23" t="s">
        <v>177</v>
      </c>
      <c r="N26" s="17">
        <f t="shared" si="3"/>
        <v>4.7255445112395638</v>
      </c>
      <c r="O26" s="17">
        <f t="shared" si="4"/>
        <v>9.9083997816313421</v>
      </c>
      <c r="P26" s="17">
        <f t="shared" si="5"/>
        <v>0.18372236715715856</v>
      </c>
      <c r="Q26" s="17">
        <f t="shared" si="6"/>
        <v>1.905461496467566</v>
      </c>
      <c r="R26" s="17">
        <f t="shared" si="7"/>
        <v>0.38109229929351318</v>
      </c>
      <c r="S26" s="17">
        <f t="shared" si="8"/>
        <v>0.26676460950545927</v>
      </c>
      <c r="T26" s="17">
        <v>0.24</v>
      </c>
      <c r="U26" t="s">
        <v>193</v>
      </c>
      <c r="V26" s="101">
        <f t="shared" si="0"/>
        <v>6.2976869499835938E-4</v>
      </c>
      <c r="W26" s="94">
        <f t="shared" si="9"/>
        <v>-0.94921220201626133</v>
      </c>
      <c r="X26" s="94">
        <f t="shared" si="10"/>
        <v>-0.98145791740279276</v>
      </c>
      <c r="Y26" s="94">
        <f t="shared" si="11"/>
        <v>-0.90358117049452236</v>
      </c>
      <c r="Z26" s="94">
        <f t="shared" si="12"/>
        <v>-0.51790585247261167</v>
      </c>
      <c r="AA26" s="97">
        <f t="shared" si="13"/>
        <v>-0.31129407496087391</v>
      </c>
      <c r="AB26">
        <v>607</v>
      </c>
      <c r="AC26">
        <v>607</v>
      </c>
      <c r="AD26" s="96">
        <f t="shared" si="14"/>
        <v>0</v>
      </c>
      <c r="AE26" s="81">
        <f t="shared" si="15"/>
        <v>607</v>
      </c>
      <c r="AF26" s="81">
        <f t="shared" si="16"/>
        <v>617.58512448465785</v>
      </c>
      <c r="AG26" s="81">
        <f t="shared" si="17"/>
        <v>595.84576390494544</v>
      </c>
      <c r="AH26" s="81">
        <f t="shared" si="18"/>
        <v>592.87320488118178</v>
      </c>
      <c r="AI26" s="92">
        <f t="shared" si="19"/>
        <v>1.7438425839634064E-2</v>
      </c>
      <c r="AJ26" s="92">
        <f t="shared" si="20"/>
        <v>3.6484878968075396E-2</v>
      </c>
      <c r="AK26" s="90">
        <f t="shared" si="21"/>
        <v>4.1681626695253771E-2</v>
      </c>
      <c r="AL26" s="17">
        <f t="shared" si="1"/>
        <v>0.9759488227360309</v>
      </c>
      <c r="AM26" s="17">
        <f t="shared" si="22"/>
        <v>1.3929239055876685</v>
      </c>
      <c r="AN26" s="17">
        <f t="shared" si="23"/>
        <v>0.29935700213585836</v>
      </c>
      <c r="AO26" s="17">
        <f t="shared" si="24"/>
        <v>0.74906532177263974</v>
      </c>
      <c r="AP26" s="17">
        <f t="shared" si="25"/>
        <v>0.18707609441233142</v>
      </c>
      <c r="AQ26" s="17">
        <f t="shared" si="26"/>
        <v>0.1778781146435453</v>
      </c>
      <c r="AR26" s="102">
        <v>0.26</v>
      </c>
      <c r="AS26" t="s">
        <v>193</v>
      </c>
      <c r="AT26" s="94">
        <f t="shared" si="27"/>
        <v>-0.73359258811225247</v>
      </c>
      <c r="AU26" s="94">
        <f t="shared" si="28"/>
        <v>-0.78508732534850068</v>
      </c>
      <c r="AV26" s="94">
        <f t="shared" si="29"/>
        <v>-0.60035928318315501</v>
      </c>
      <c r="AW26" s="92">
        <f t="shared" si="30"/>
        <v>0.60018843175146896</v>
      </c>
      <c r="AX26" s="90">
        <f t="shared" si="31"/>
        <v>0.6829332980943037</v>
      </c>
      <c r="AY26" s="17">
        <v>8.3000000000000007</v>
      </c>
      <c r="AZ26" s="17">
        <v>8.8000000000000007</v>
      </c>
      <c r="BA26" s="90">
        <f t="shared" si="32"/>
        <v>6.024096385542177E-2</v>
      </c>
      <c r="BB26" s="17">
        <v>0.46</v>
      </c>
      <c r="BC26" s="17">
        <v>0.46</v>
      </c>
      <c r="BD26" s="90">
        <f t="shared" si="33"/>
        <v>0</v>
      </c>
      <c r="BE26" s="17" t="s">
        <v>195</v>
      </c>
      <c r="BF26" s="17" t="s">
        <v>195</v>
      </c>
      <c r="BG26" s="93" t="e">
        <f t="shared" si="34"/>
        <v>#VALUE!</v>
      </c>
      <c r="BH26" s="91">
        <f t="shared" si="40"/>
        <v>5.1212224611767596E-2</v>
      </c>
      <c r="BI26" s="91">
        <f t="shared" si="42"/>
        <v>4.5395979102288271E-2</v>
      </c>
      <c r="BJ26" s="91">
        <f t="shared" si="41"/>
        <v>2.3527727404511357E-2</v>
      </c>
      <c r="BK26" s="90">
        <f t="shared" si="36"/>
        <v>0.92946723335394288</v>
      </c>
      <c r="BL26" s="13"/>
    </row>
    <row r="27" spans="1:64" ht="15.75" customHeight="1" x14ac:dyDescent="0.2">
      <c r="A27" t="s">
        <v>208</v>
      </c>
      <c r="B27" s="104" t="s">
        <v>206</v>
      </c>
      <c r="D27" t="s">
        <v>205</v>
      </c>
      <c r="E27" t="s">
        <v>179</v>
      </c>
      <c r="F27" t="s">
        <v>178</v>
      </c>
      <c r="G27">
        <v>3</v>
      </c>
      <c r="H27" s="2">
        <v>0.95</v>
      </c>
      <c r="I27" s="99">
        <f>AB27/3.114</f>
        <v>218.36865767501607</v>
      </c>
      <c r="J27" s="99">
        <f t="shared" si="43"/>
        <v>222.86448298008992</v>
      </c>
      <c r="K27" s="25">
        <v>1.35E-2</v>
      </c>
      <c r="L27" s="103">
        <v>3</v>
      </c>
      <c r="M27" s="23" t="s">
        <v>177</v>
      </c>
      <c r="N27" s="17">
        <f t="shared" si="3"/>
        <v>5.7634716763005782</v>
      </c>
      <c r="O27" s="17">
        <f t="shared" si="4"/>
        <v>11.100019524727038</v>
      </c>
      <c r="P27" s="17">
        <f t="shared" si="5"/>
        <v>0.20581747885810184</v>
      </c>
      <c r="Q27" s="17">
        <f t="shared" si="6"/>
        <v>2.1346191393705847</v>
      </c>
      <c r="R27" s="17">
        <f t="shared" si="7"/>
        <v>0.42692382787411692</v>
      </c>
      <c r="S27" s="17">
        <f t="shared" si="8"/>
        <v>0.29884667951188182</v>
      </c>
      <c r="T27" s="17">
        <v>0.3</v>
      </c>
      <c r="U27" t="s">
        <v>193</v>
      </c>
      <c r="V27" s="101">
        <f t="shared" si="0"/>
        <v>6.8852593275216885E-4</v>
      </c>
      <c r="W27" s="94">
        <f t="shared" si="9"/>
        <v>-0.94899807905539491</v>
      </c>
      <c r="X27" s="94">
        <f t="shared" si="10"/>
        <v>-0.98145791740279276</v>
      </c>
      <c r="Y27" s="94">
        <f t="shared" si="11"/>
        <v>-0.90358117049452236</v>
      </c>
      <c r="Z27" s="94">
        <f t="shared" si="12"/>
        <v>-0.51790585247261167</v>
      </c>
      <c r="AA27" s="97">
        <f t="shared" si="13"/>
        <v>-0.3112940749608738</v>
      </c>
      <c r="AB27">
        <v>680</v>
      </c>
      <c r="AC27">
        <v>694</v>
      </c>
      <c r="AD27" s="94">
        <f t="shared" si="14"/>
        <v>2.0588235294117574E-2</v>
      </c>
      <c r="AE27" s="81">
        <f t="shared" si="15"/>
        <v>680</v>
      </c>
      <c r="AF27" s="81">
        <f t="shared" si="16"/>
        <v>691.85812957095118</v>
      </c>
      <c r="AG27" s="81">
        <f t="shared" si="17"/>
        <v>670.57113320488122</v>
      </c>
      <c r="AH27" s="81">
        <f t="shared" si="18"/>
        <v>668.02991650610147</v>
      </c>
      <c r="AI27" s="92">
        <f t="shared" si="19"/>
        <v>1.7438425839634064E-2</v>
      </c>
      <c r="AJ27" s="92">
        <f t="shared" si="20"/>
        <v>3.1744576096397692E-2</v>
      </c>
      <c r="AK27" s="90">
        <f t="shared" si="21"/>
        <v>3.5669380182065558E-2</v>
      </c>
      <c r="AL27" s="17">
        <f t="shared" si="1"/>
        <v>0.96874601156069362</v>
      </c>
      <c r="AM27" s="17">
        <f t="shared" si="22"/>
        <v>1.3980860886319846</v>
      </c>
      <c r="AN27" s="17">
        <f t="shared" si="23"/>
        <v>0.30046642070095297</v>
      </c>
      <c r="AO27" s="17">
        <f t="shared" si="24"/>
        <v>0.67679475915221587</v>
      </c>
      <c r="AP27" s="17">
        <f t="shared" si="25"/>
        <v>0.18191391136801544</v>
      </c>
      <c r="AQ27" s="17">
        <f t="shared" si="26"/>
        <v>0.17160974951830443</v>
      </c>
      <c r="AR27" s="102">
        <v>0.2</v>
      </c>
      <c r="AS27" t="s">
        <v>193</v>
      </c>
      <c r="AT27" s="94">
        <f t="shared" si="27"/>
        <v>-0.79354753711162029</v>
      </c>
      <c r="AU27" s="94">
        <f t="shared" si="28"/>
        <v>-0.78508732534850068</v>
      </c>
      <c r="AV27" s="94">
        <f t="shared" si="29"/>
        <v>-0.55604499497405835</v>
      </c>
      <c r="AW27" s="92">
        <f t="shared" si="30"/>
        <v>0.65169567539616846</v>
      </c>
      <c r="AX27" s="90">
        <f t="shared" si="31"/>
        <v>0.75087034125007146</v>
      </c>
      <c r="AY27" s="17">
        <v>15.1</v>
      </c>
      <c r="AZ27" s="17">
        <v>13.9</v>
      </c>
      <c r="BA27" s="90">
        <f t="shared" si="32"/>
        <v>-7.9470198675496651E-2</v>
      </c>
      <c r="BB27" s="17">
        <v>0.4</v>
      </c>
      <c r="BC27" s="17">
        <v>0.3</v>
      </c>
      <c r="BD27" s="90">
        <f t="shared" si="33"/>
        <v>-0.25000000000000011</v>
      </c>
      <c r="BE27" s="17" t="s">
        <v>195</v>
      </c>
      <c r="BF27" s="17" t="s">
        <v>195</v>
      </c>
      <c r="BG27" s="93" t="e">
        <f t="shared" si="34"/>
        <v>#VALUE!</v>
      </c>
      <c r="BH27" s="91">
        <f t="shared" si="40"/>
        <v>5.7371190668866499E-2</v>
      </c>
      <c r="BI27" s="91">
        <f t="shared" si="42"/>
        <v>5.0855462585759514E-2</v>
      </c>
      <c r="BJ27" s="91">
        <f t="shared" si="41"/>
        <v>2.6510265001374014E-2</v>
      </c>
      <c r="BK27" s="90">
        <f t="shared" si="36"/>
        <v>0.91833097794849294</v>
      </c>
      <c r="BL27" s="13"/>
    </row>
    <row r="28" spans="1:64" ht="17" x14ac:dyDescent="0.2">
      <c r="A28" t="s">
        <v>207</v>
      </c>
      <c r="B28" s="104" t="s">
        <v>206</v>
      </c>
      <c r="D28" t="s">
        <v>205</v>
      </c>
      <c r="E28" t="s">
        <v>179</v>
      </c>
      <c r="F28" t="s">
        <v>178</v>
      </c>
      <c r="G28">
        <v>3</v>
      </c>
      <c r="H28" s="2">
        <v>0.95</v>
      </c>
      <c r="I28" s="99">
        <f>AB28/3.114</f>
        <v>220.29543994861916</v>
      </c>
      <c r="J28" s="99">
        <f t="shared" si="43"/>
        <v>224.47013487475917</v>
      </c>
      <c r="K28" s="25">
        <v>1.35E-2</v>
      </c>
      <c r="L28" s="103">
        <v>3.15</v>
      </c>
      <c r="M28" s="23" t="s">
        <v>177</v>
      </c>
      <c r="N28" s="17">
        <f t="shared" si="3"/>
        <v>5.8143258381502898</v>
      </c>
      <c r="O28" s="17">
        <f t="shared" si="4"/>
        <v>11.197960873474631</v>
      </c>
      <c r="P28" s="17">
        <f t="shared" si="5"/>
        <v>0.20763351543626157</v>
      </c>
      <c r="Q28" s="17">
        <f t="shared" si="6"/>
        <v>2.1534540141297369</v>
      </c>
      <c r="R28" s="17">
        <f t="shared" si="7"/>
        <v>0.43069080282594741</v>
      </c>
      <c r="S28" s="17">
        <f t="shared" si="8"/>
        <v>0.30148356197816317</v>
      </c>
      <c r="T28" s="17">
        <v>0.3</v>
      </c>
      <c r="U28" t="s">
        <v>193</v>
      </c>
      <c r="V28" s="101">
        <f t="shared" si="0"/>
        <v>6.8360085454936359E-4</v>
      </c>
      <c r="W28" s="94">
        <f t="shared" si="9"/>
        <v>-0.94936289966301013</v>
      </c>
      <c r="X28" s="94">
        <f t="shared" si="10"/>
        <v>-0.98145791740279276</v>
      </c>
      <c r="Y28" s="94">
        <f t="shared" si="11"/>
        <v>-0.90358117049452236</v>
      </c>
      <c r="Z28" s="94">
        <f t="shared" si="12"/>
        <v>-0.51790585247261167</v>
      </c>
      <c r="AA28" s="97">
        <f t="shared" si="13"/>
        <v>-0.31129407496087391</v>
      </c>
      <c r="AB28">
        <v>686</v>
      </c>
      <c r="AC28">
        <v>699</v>
      </c>
      <c r="AD28" s="94">
        <f t="shared" si="14"/>
        <v>1.895043731778423E-2</v>
      </c>
      <c r="AE28" s="81">
        <f t="shared" si="15"/>
        <v>686</v>
      </c>
      <c r="AF28" s="81">
        <f t="shared" si="16"/>
        <v>697.96276012598901</v>
      </c>
      <c r="AG28" s="81">
        <f t="shared" si="17"/>
        <v>676.71294438021835</v>
      </c>
      <c r="AH28" s="81">
        <f t="shared" si="18"/>
        <v>674.20718047527305</v>
      </c>
      <c r="AI28" s="92">
        <f t="shared" si="19"/>
        <v>1.7438425839634064E-2</v>
      </c>
      <c r="AJ28" s="92">
        <f t="shared" si="20"/>
        <v>3.1401521017501377E-2</v>
      </c>
      <c r="AK28" s="90">
        <f t="shared" si="21"/>
        <v>3.5234836321336394E-2</v>
      </c>
      <c r="AL28" s="17">
        <f t="shared" si="1"/>
        <v>0.96538200578034683</v>
      </c>
      <c r="AM28" s="17">
        <f t="shared" si="22"/>
        <v>1.3985103776493257</v>
      </c>
      <c r="AN28" s="17">
        <f t="shared" si="23"/>
        <v>0.300557605788495</v>
      </c>
      <c r="AO28" s="17">
        <f t="shared" si="24"/>
        <v>0.67085471290944121</v>
      </c>
      <c r="AP28" s="17">
        <f t="shared" si="25"/>
        <v>0.1814896223506744</v>
      </c>
      <c r="AQ28" s="17">
        <f t="shared" si="26"/>
        <v>0.1710945414258189</v>
      </c>
      <c r="AR28" s="102">
        <v>0.2</v>
      </c>
      <c r="AS28" t="s">
        <v>193</v>
      </c>
      <c r="AT28" s="94">
        <f t="shared" si="27"/>
        <v>-0.79282812523697899</v>
      </c>
      <c r="AU28" s="94">
        <f t="shared" si="28"/>
        <v>-0.78508732534850068</v>
      </c>
      <c r="AV28" s="94">
        <f t="shared" si="29"/>
        <v>-0.55197809599488146</v>
      </c>
      <c r="AW28" s="92">
        <f t="shared" si="30"/>
        <v>0.6560594589136195</v>
      </c>
      <c r="AX28" s="90">
        <f t="shared" si="31"/>
        <v>0.75667559750178892</v>
      </c>
      <c r="AY28" s="17">
        <v>14.5</v>
      </c>
      <c r="AZ28" s="17">
        <v>13.9</v>
      </c>
      <c r="BA28" s="90">
        <f t="shared" si="32"/>
        <v>-4.1379310344827558E-2</v>
      </c>
      <c r="BB28" s="17">
        <v>0.5</v>
      </c>
      <c r="BC28" s="17">
        <v>0.4</v>
      </c>
      <c r="BD28" s="90">
        <f t="shared" si="33"/>
        <v>-0.19999999999999996</v>
      </c>
      <c r="BE28" s="17" t="s">
        <v>195</v>
      </c>
      <c r="BF28" s="17" t="s">
        <v>195</v>
      </c>
      <c r="BG28" s="93" t="e">
        <f t="shared" si="34"/>
        <v>#VALUE!</v>
      </c>
      <c r="BH28" s="91">
        <f t="shared" si="40"/>
        <v>5.7877407057121209E-2</v>
      </c>
      <c r="BI28" s="91">
        <f t="shared" si="42"/>
        <v>5.1304187255633869E-2</v>
      </c>
      <c r="BJ28" s="91">
        <f t="shared" si="41"/>
        <v>2.6755405077828479E-2</v>
      </c>
      <c r="BK28" s="90">
        <f t="shared" si="36"/>
        <v>0.9175260888929071</v>
      </c>
      <c r="BL28" s="13"/>
    </row>
    <row r="29" spans="1:64" x14ac:dyDescent="0.2">
      <c r="A29" t="s">
        <v>204</v>
      </c>
      <c r="B29" t="s">
        <v>198</v>
      </c>
      <c r="D29" t="s">
        <v>197</v>
      </c>
      <c r="E29" t="s">
        <v>202</v>
      </c>
      <c r="F29" t="s">
        <v>178</v>
      </c>
      <c r="G29" t="s">
        <v>195</v>
      </c>
      <c r="H29" s="2">
        <v>0.75</v>
      </c>
      <c r="I29" s="99">
        <f>J29*0.98</f>
        <v>195.11881824020551</v>
      </c>
      <c r="J29" s="99">
        <f t="shared" si="43"/>
        <v>199.10083493898523</v>
      </c>
      <c r="K29" s="25">
        <v>6.4999999999999997E-3</v>
      </c>
      <c r="N29" s="17">
        <f t="shared" si="3"/>
        <v>2.4795484791265254</v>
      </c>
      <c r="O29" s="17">
        <f t="shared" si="4"/>
        <v>9.9181939165061017</v>
      </c>
      <c r="P29" s="17">
        <f t="shared" si="5"/>
        <v>0.18390397081497453</v>
      </c>
      <c r="Q29" s="17">
        <f t="shared" si="6"/>
        <v>1.9073449839434811</v>
      </c>
      <c r="R29" s="17">
        <f t="shared" si="7"/>
        <v>0.38146899678869622</v>
      </c>
      <c r="S29" s="17">
        <f t="shared" si="8"/>
        <v>0.26702829775208731</v>
      </c>
      <c r="T29">
        <v>3.3000000000000002E-2</v>
      </c>
      <c r="U29" t="s">
        <v>193</v>
      </c>
      <c r="V29" s="101">
        <f t="shared" si="0"/>
        <v>8.4777531784355773E-5</v>
      </c>
      <c r="W29" s="94">
        <f t="shared" si="9"/>
        <v>-0.98695730280240679</v>
      </c>
      <c r="X29" s="94">
        <f t="shared" si="10"/>
        <v>-0.98145791740279276</v>
      </c>
      <c r="Y29" s="94">
        <f t="shared" si="11"/>
        <v>-0.90358117049452236</v>
      </c>
      <c r="Z29" s="94">
        <f t="shared" si="12"/>
        <v>-0.51790585247261167</v>
      </c>
      <c r="AA29" s="97">
        <f t="shared" si="13"/>
        <v>-0.31129407496087369</v>
      </c>
      <c r="AB29" t="s">
        <v>194</v>
      </c>
      <c r="AC29">
        <v>620</v>
      </c>
      <c r="AD29" s="96" t="e">
        <f t="shared" si="14"/>
        <v>#VALUE!</v>
      </c>
      <c r="AE29" s="81">
        <f t="shared" si="15"/>
        <v>607.59999999999991</v>
      </c>
      <c r="AF29" s="81">
        <f t="shared" si="16"/>
        <v>618.19558754016157</v>
      </c>
      <c r="AG29" s="81">
        <f t="shared" si="17"/>
        <v>596.45994502247902</v>
      </c>
      <c r="AH29" s="81">
        <f t="shared" si="18"/>
        <v>593.49093127809886</v>
      </c>
      <c r="AI29" s="92">
        <f t="shared" si="19"/>
        <v>1.7438425839634064E-2</v>
      </c>
      <c r="AJ29" s="92">
        <f t="shared" si="20"/>
        <v>3.6441076553536789E-2</v>
      </c>
      <c r="AK29" s="90">
        <f t="shared" si="21"/>
        <v>4.1626004644857106E-2</v>
      </c>
      <c r="AL29" s="17">
        <f t="shared" si="1"/>
        <v>0.79450667552986509</v>
      </c>
      <c r="AM29" s="17">
        <f t="shared" si="22"/>
        <v>1.3929663344894028</v>
      </c>
      <c r="AN29" s="17">
        <f t="shared" si="23"/>
        <v>0.2993661206446126</v>
      </c>
      <c r="AO29" s="17">
        <f t="shared" si="24"/>
        <v>0.74847131714836235</v>
      </c>
      <c r="AP29" s="17">
        <f t="shared" si="25"/>
        <v>0.1870336655105973</v>
      </c>
      <c r="AQ29" s="17">
        <f t="shared" si="26"/>
        <v>0.17782659383429675</v>
      </c>
      <c r="AR29" s="95">
        <v>0.156</v>
      </c>
      <c r="AS29" t="s">
        <v>193</v>
      </c>
      <c r="AT29" s="94">
        <f t="shared" si="27"/>
        <v>-0.80365174415185137</v>
      </c>
      <c r="AU29" s="94">
        <f t="shared" si="28"/>
        <v>-0.78508732534850068</v>
      </c>
      <c r="AV29" s="94">
        <f t="shared" si="29"/>
        <v>-0.60002993596978138</v>
      </c>
      <c r="AW29" s="92">
        <f t="shared" si="30"/>
        <v>0.6006001904916447</v>
      </c>
      <c r="AX29" s="90">
        <f t="shared" si="31"/>
        <v>0.68347216346937079</v>
      </c>
      <c r="AY29" s="17" t="s">
        <v>201</v>
      </c>
      <c r="AZ29" s="17">
        <v>11.4</v>
      </c>
      <c r="BA29" s="93" t="e">
        <f t="shared" si="32"/>
        <v>#VALUE!</v>
      </c>
      <c r="BB29" s="17" t="s">
        <v>191</v>
      </c>
      <c r="BC29" s="17">
        <v>0.34</v>
      </c>
      <c r="BD29" s="93" t="e">
        <f t="shared" si="33"/>
        <v>#VALUE!</v>
      </c>
      <c r="BE29" s="17" t="s">
        <v>190</v>
      </c>
      <c r="BF29" s="17">
        <v>1.9E-2</v>
      </c>
      <c r="BG29" s="92">
        <v>-0.06</v>
      </c>
      <c r="BH29" s="91">
        <f t="shared" si="40"/>
        <v>6.4443610288622999E-2</v>
      </c>
      <c r="BI29" s="91">
        <f t="shared" si="42"/>
        <v>5.7124657405843667E-2</v>
      </c>
      <c r="BJ29" s="91">
        <f t="shared" si="41"/>
        <v>3.0720247940128398E-2</v>
      </c>
      <c r="BK29" s="90">
        <f t="shared" si="36"/>
        <v>0.85951160020503758</v>
      </c>
      <c r="BL29" s="13"/>
    </row>
    <row r="30" spans="1:64" x14ac:dyDescent="0.2">
      <c r="A30" t="s">
        <v>203</v>
      </c>
      <c r="B30" t="s">
        <v>198</v>
      </c>
      <c r="D30" t="s">
        <v>197</v>
      </c>
      <c r="E30" t="s">
        <v>202</v>
      </c>
      <c r="F30" t="s">
        <v>178</v>
      </c>
      <c r="G30" t="s">
        <v>195</v>
      </c>
      <c r="H30" s="2">
        <v>0.4</v>
      </c>
      <c r="I30" s="99">
        <f>J30*0.98</f>
        <v>205.50417469492612</v>
      </c>
      <c r="J30" s="99">
        <f t="shared" si="43"/>
        <v>209.69813744380218</v>
      </c>
      <c r="K30" s="25">
        <v>6.4999999999999997E-3</v>
      </c>
      <c r="N30" s="17">
        <f t="shared" si="3"/>
        <v>2.6115244465639047</v>
      </c>
      <c r="O30" s="17">
        <f t="shared" si="4"/>
        <v>10.446097786255619</v>
      </c>
      <c r="P30" s="17">
        <f t="shared" si="5"/>
        <v>0.19369240797125542</v>
      </c>
      <c r="Q30" s="17">
        <f t="shared" si="6"/>
        <v>2.0088649588953111</v>
      </c>
      <c r="R30" s="17">
        <f t="shared" si="7"/>
        <v>0.40177299177906228</v>
      </c>
      <c r="S30" s="17">
        <f t="shared" si="8"/>
        <v>0.28124109424534355</v>
      </c>
      <c r="T30">
        <v>1.9E-2</v>
      </c>
      <c r="U30" t="s">
        <v>193</v>
      </c>
      <c r="V30" s="98">
        <f t="shared" si="0"/>
        <v>4.6344578607810612E-5</v>
      </c>
      <c r="W30" s="94">
        <f t="shared" si="9"/>
        <v>-0.99287006482956763</v>
      </c>
      <c r="X30" s="94">
        <f t="shared" si="10"/>
        <v>-0.98145791740279276</v>
      </c>
      <c r="Y30" s="94">
        <f t="shared" si="11"/>
        <v>-0.90358117049452236</v>
      </c>
      <c r="Z30" s="94">
        <f t="shared" si="12"/>
        <v>-0.51790585247261167</v>
      </c>
      <c r="AA30" s="97">
        <f t="shared" si="13"/>
        <v>-0.31129407496087369</v>
      </c>
      <c r="AB30" t="s">
        <v>194</v>
      </c>
      <c r="AC30">
        <v>653</v>
      </c>
      <c r="AD30" s="96" t="e">
        <f t="shared" si="14"/>
        <v>#VALUE!</v>
      </c>
      <c r="AE30" s="81">
        <f t="shared" si="15"/>
        <v>639.93999999999994</v>
      </c>
      <c r="AF30" s="81">
        <f t="shared" si="16"/>
        <v>651.09954623181534</v>
      </c>
      <c r="AG30" s="81">
        <f t="shared" si="17"/>
        <v>629.56430725754649</v>
      </c>
      <c r="AH30" s="81">
        <f t="shared" si="18"/>
        <v>626.78638407193318</v>
      </c>
      <c r="AI30" s="92">
        <f t="shared" si="19"/>
        <v>1.7438425839634064E-2</v>
      </c>
      <c r="AJ30" s="92">
        <f t="shared" si="20"/>
        <v>3.42065754459282E-2</v>
      </c>
      <c r="AK30" s="90">
        <f t="shared" si="21"/>
        <v>3.8790188775210899E-2</v>
      </c>
      <c r="AL30" s="17">
        <f t="shared" si="1"/>
        <v>0.7649400953564548</v>
      </c>
      <c r="AM30" s="17">
        <f t="shared" si="22"/>
        <v>1.3952532522928709</v>
      </c>
      <c r="AN30" s="17">
        <f t="shared" si="23"/>
        <v>0.29985760826646407</v>
      </c>
      <c r="AO30" s="17">
        <f t="shared" si="24"/>
        <v>0.71645446789980749</v>
      </c>
      <c r="AP30" s="17">
        <f t="shared" si="25"/>
        <v>0.18474674770712912</v>
      </c>
      <c r="AQ30" s="17">
        <f t="shared" si="26"/>
        <v>0.17504962221579964</v>
      </c>
      <c r="AR30" s="95">
        <v>0.24</v>
      </c>
      <c r="AS30" t="s">
        <v>193</v>
      </c>
      <c r="AT30" s="94">
        <f t="shared" si="27"/>
        <v>-0.68624994106478066</v>
      </c>
      <c r="AU30" s="94">
        <f t="shared" si="28"/>
        <v>-0.78508732534850068</v>
      </c>
      <c r="AV30" s="94">
        <f t="shared" si="29"/>
        <v>-0.58147011191728981</v>
      </c>
      <c r="AW30" s="92">
        <f t="shared" si="30"/>
        <v>0.62307381314130161</v>
      </c>
      <c r="AX30" s="90">
        <f t="shared" si="31"/>
        <v>0.71298632051203303</v>
      </c>
      <c r="AY30" s="17" t="s">
        <v>201</v>
      </c>
      <c r="AZ30" s="17">
        <v>19.5</v>
      </c>
      <c r="BA30" s="93" t="e">
        <f t="shared" si="32"/>
        <v>#VALUE!</v>
      </c>
      <c r="BB30" s="17" t="s">
        <v>191</v>
      </c>
      <c r="BC30" s="17">
        <v>0.61</v>
      </c>
      <c r="BD30" s="93" t="e">
        <f t="shared" si="33"/>
        <v>#VALUE!</v>
      </c>
      <c r="BE30" s="17" t="s">
        <v>190</v>
      </c>
      <c r="BF30" s="17">
        <v>2.3E-2</v>
      </c>
      <c r="BG30" s="92">
        <v>-0.09</v>
      </c>
      <c r="BH30" s="91">
        <f t="shared" si="40"/>
        <v>0.1247287545452096</v>
      </c>
      <c r="BI30" s="91">
        <f t="shared" si="42"/>
        <v>0.11056313170757506</v>
      </c>
      <c r="BJ30" s="91">
        <f t="shared" si="41"/>
        <v>6.5763302229076212E-2</v>
      </c>
      <c r="BK30" s="90">
        <f t="shared" si="36"/>
        <v>0.68122840490043557</v>
      </c>
      <c r="BL30" s="13"/>
    </row>
    <row r="31" spans="1:64" x14ac:dyDescent="0.2">
      <c r="A31" t="s">
        <v>200</v>
      </c>
      <c r="B31" t="s">
        <v>198</v>
      </c>
      <c r="D31" t="s">
        <v>197</v>
      </c>
      <c r="E31" t="s">
        <v>196</v>
      </c>
      <c r="F31" t="s">
        <v>178</v>
      </c>
      <c r="G31" t="s">
        <v>195</v>
      </c>
      <c r="H31" s="2">
        <v>0.75</v>
      </c>
      <c r="I31" s="99">
        <f>J31*0.98</f>
        <v>197.32177263969172</v>
      </c>
      <c r="J31" s="99">
        <f t="shared" si="43"/>
        <v>201.34874759152217</v>
      </c>
      <c r="K31" s="25">
        <v>6.4999999999999997E-3</v>
      </c>
      <c r="N31" s="17">
        <f t="shared" si="3"/>
        <v>2.5075433813102115</v>
      </c>
      <c r="O31" s="17">
        <f t="shared" si="4"/>
        <v>10.030173525240846</v>
      </c>
      <c r="P31" s="17">
        <f t="shared" si="5"/>
        <v>0.18598030596933712</v>
      </c>
      <c r="Q31" s="17">
        <f t="shared" si="6"/>
        <v>1.9288795240847785</v>
      </c>
      <c r="R31" s="17">
        <f t="shared" si="7"/>
        <v>0.38577590481695573</v>
      </c>
      <c r="S31" s="17">
        <f t="shared" si="8"/>
        <v>0.27004313337186897</v>
      </c>
      <c r="T31" s="100">
        <v>6.0999999999999995E-3</v>
      </c>
      <c r="U31" t="s">
        <v>193</v>
      </c>
      <c r="V31" s="98">
        <f t="shared" si="0"/>
        <v>1.5496042975614202E-5</v>
      </c>
      <c r="W31" s="94">
        <f t="shared" si="9"/>
        <v>-0.99761599338836704</v>
      </c>
      <c r="X31" s="94">
        <f t="shared" si="10"/>
        <v>-0.98145791740279276</v>
      </c>
      <c r="Y31" s="94">
        <f t="shared" si="11"/>
        <v>-0.90358117049452236</v>
      </c>
      <c r="Z31" s="94">
        <f t="shared" si="12"/>
        <v>-0.51790585247261178</v>
      </c>
      <c r="AA31" s="97">
        <f t="shared" si="13"/>
        <v>-0.31129407496087391</v>
      </c>
      <c r="AB31" t="s">
        <v>194</v>
      </c>
      <c r="AC31">
        <v>627</v>
      </c>
      <c r="AD31" s="96" t="e">
        <f t="shared" si="14"/>
        <v>#VALUE!</v>
      </c>
      <c r="AE31" s="81">
        <f t="shared" si="15"/>
        <v>614.45999999999992</v>
      </c>
      <c r="AF31" s="81">
        <f t="shared" si="16"/>
        <v>625.17521514142152</v>
      </c>
      <c r="AG31" s="81">
        <f t="shared" si="17"/>
        <v>603.48208246628121</v>
      </c>
      <c r="AH31" s="81">
        <f t="shared" si="18"/>
        <v>600.55360308285162</v>
      </c>
      <c r="AI31" s="92">
        <f t="shared" si="19"/>
        <v>1.7438425839634064E-2</v>
      </c>
      <c r="AJ31" s="92">
        <f t="shared" si="20"/>
        <v>3.5946606047499996E-2</v>
      </c>
      <c r="AK31" s="90">
        <f t="shared" si="21"/>
        <v>4.0998192221607832E-2</v>
      </c>
      <c r="AL31" s="17">
        <f t="shared" si="1"/>
        <v>0.78823497670520237</v>
      </c>
      <c r="AM31" s="17">
        <f t="shared" si="22"/>
        <v>1.393451438265896</v>
      </c>
      <c r="AN31" s="17">
        <f t="shared" si="23"/>
        <v>0.2994703755947023</v>
      </c>
      <c r="AO31" s="17">
        <f t="shared" si="24"/>
        <v>0.74167986427745669</v>
      </c>
      <c r="AP31" s="17">
        <f t="shared" si="25"/>
        <v>0.18654856173410406</v>
      </c>
      <c r="AQ31" s="17">
        <f t="shared" si="26"/>
        <v>0.17723753924855493</v>
      </c>
      <c r="AR31" s="95">
        <v>0.12</v>
      </c>
      <c r="AS31" t="s">
        <v>193</v>
      </c>
      <c r="AT31" s="94">
        <f t="shared" si="27"/>
        <v>-0.84776113272517262</v>
      </c>
      <c r="AU31" s="94">
        <f t="shared" si="28"/>
        <v>-0.78508732534850068</v>
      </c>
      <c r="AV31" s="94">
        <f t="shared" si="29"/>
        <v>-0.5962269032523273</v>
      </c>
      <c r="AW31" s="92">
        <f t="shared" si="30"/>
        <v>0.60532127833582927</v>
      </c>
      <c r="AX31" s="90">
        <f t="shared" si="31"/>
        <v>0.68965545823071994</v>
      </c>
      <c r="AY31" s="17" t="s">
        <v>192</v>
      </c>
      <c r="AZ31" s="17">
        <v>1.2</v>
      </c>
      <c r="BA31" s="93" t="e">
        <f t="shared" si="32"/>
        <v>#VALUE!</v>
      </c>
      <c r="BB31" s="17" t="s">
        <v>191</v>
      </c>
      <c r="BC31" s="17">
        <v>0.56000000000000005</v>
      </c>
      <c r="BD31" s="93" t="e">
        <f t="shared" si="33"/>
        <v>#VALUE!</v>
      </c>
      <c r="BE31" s="17" t="s">
        <v>190</v>
      </c>
      <c r="BF31" s="17">
        <v>1.7999999999999999E-2</v>
      </c>
      <c r="BG31" s="92">
        <v>-7.0000000000000007E-2</v>
      </c>
      <c r="BH31" s="91">
        <f t="shared" si="40"/>
        <v>6.5171199437042943E-2</v>
      </c>
      <c r="BI31" s="91">
        <f t="shared" si="42"/>
        <v>5.7769613215264491E-2</v>
      </c>
      <c r="BJ31" s="91">
        <f t="shared" si="41"/>
        <v>3.1085825605307735E-2</v>
      </c>
      <c r="BK31" s="90">
        <f t="shared" si="36"/>
        <v>0.85839082895069208</v>
      </c>
      <c r="BL31" s="13"/>
    </row>
    <row r="32" spans="1:64" x14ac:dyDescent="0.2">
      <c r="A32" t="s">
        <v>199</v>
      </c>
      <c r="B32" t="s">
        <v>198</v>
      </c>
      <c r="D32" t="s">
        <v>197</v>
      </c>
      <c r="E32" t="s">
        <v>196</v>
      </c>
      <c r="F32" t="s">
        <v>178</v>
      </c>
      <c r="G32" t="s">
        <v>195</v>
      </c>
      <c r="H32" s="2">
        <v>0.4</v>
      </c>
      <c r="I32" s="99">
        <f>J32*0.98</f>
        <v>204.56005138086064</v>
      </c>
      <c r="J32" s="99">
        <f t="shared" si="43"/>
        <v>208.73474630700065</v>
      </c>
      <c r="K32" s="25">
        <v>6.4999999999999997E-3</v>
      </c>
      <c r="N32" s="17">
        <f t="shared" si="3"/>
        <v>2.5995266313423251</v>
      </c>
      <c r="O32" s="17">
        <f t="shared" si="4"/>
        <v>10.3981065253693</v>
      </c>
      <c r="P32" s="17">
        <f t="shared" si="5"/>
        <v>0.19280255004795718</v>
      </c>
      <c r="Q32" s="17">
        <f t="shared" si="6"/>
        <v>1.9996358702633272</v>
      </c>
      <c r="R32" s="17">
        <f t="shared" si="7"/>
        <v>0.39992717405266542</v>
      </c>
      <c r="S32" s="17">
        <f t="shared" si="8"/>
        <v>0.27994902183686582</v>
      </c>
      <c r="T32" s="18">
        <v>1.2999999999999999E-2</v>
      </c>
      <c r="U32" t="s">
        <v>193</v>
      </c>
      <c r="V32" s="98">
        <f t="shared" si="0"/>
        <v>3.1855799822000343E-5</v>
      </c>
      <c r="W32" s="94">
        <f t="shared" si="9"/>
        <v>-0.99509910771969223</v>
      </c>
      <c r="X32" s="94">
        <f t="shared" si="10"/>
        <v>-0.98145791740279276</v>
      </c>
      <c r="Y32" s="94">
        <f t="shared" si="11"/>
        <v>-0.90358117049452236</v>
      </c>
      <c r="Z32" s="94">
        <f t="shared" si="12"/>
        <v>-0.51790585247261167</v>
      </c>
      <c r="AA32" s="97">
        <f t="shared" si="13"/>
        <v>-0.31129407496087391</v>
      </c>
      <c r="AB32" t="s">
        <v>194</v>
      </c>
      <c r="AC32">
        <v>650</v>
      </c>
      <c r="AD32" s="96" t="e">
        <f t="shared" si="14"/>
        <v>#VALUE!</v>
      </c>
      <c r="AE32" s="81">
        <f t="shared" si="15"/>
        <v>637</v>
      </c>
      <c r="AF32" s="81">
        <f t="shared" si="16"/>
        <v>648.10827725984689</v>
      </c>
      <c r="AG32" s="81">
        <f t="shared" si="17"/>
        <v>626.55481978163129</v>
      </c>
      <c r="AH32" s="81">
        <f t="shared" si="18"/>
        <v>623.75952472703921</v>
      </c>
      <c r="AI32" s="92">
        <f t="shared" si="19"/>
        <v>1.7438425839634064E-2</v>
      </c>
      <c r="AJ32" s="92">
        <f t="shared" si="20"/>
        <v>3.4399954796816345E-2</v>
      </c>
      <c r="AK32" s="90">
        <f t="shared" si="21"/>
        <v>3.9035480129081535E-2</v>
      </c>
      <c r="AL32" s="17">
        <f t="shared" si="1"/>
        <v>0.76762796628131025</v>
      </c>
      <c r="AM32" s="17">
        <f t="shared" si="22"/>
        <v>1.3950453506743739</v>
      </c>
      <c r="AN32" s="17">
        <f t="shared" si="23"/>
        <v>0.29981292757356848</v>
      </c>
      <c r="AO32" s="17">
        <f t="shared" si="24"/>
        <v>0.71936509055876696</v>
      </c>
      <c r="AP32" s="17">
        <f t="shared" si="25"/>
        <v>0.18495464932562622</v>
      </c>
      <c r="AQ32" s="17">
        <f t="shared" si="26"/>
        <v>0.17530207418111754</v>
      </c>
      <c r="AR32" s="95">
        <v>0.112</v>
      </c>
      <c r="AS32" t="s">
        <v>193</v>
      </c>
      <c r="AT32" s="94">
        <f t="shared" si="27"/>
        <v>-0.85409598800500752</v>
      </c>
      <c r="AU32" s="94">
        <f t="shared" si="28"/>
        <v>-0.78508732534850068</v>
      </c>
      <c r="AV32" s="94">
        <f t="shared" si="29"/>
        <v>-0.58322563673379157</v>
      </c>
      <c r="AW32" s="92">
        <f t="shared" si="30"/>
        <v>0.62100779118953553</v>
      </c>
      <c r="AX32" s="90">
        <f t="shared" si="31"/>
        <v>0.71026457601299997</v>
      </c>
      <c r="AY32" s="17" t="s">
        <v>192</v>
      </c>
      <c r="AZ32" s="17">
        <v>5</v>
      </c>
      <c r="BA32" s="93" t="e">
        <f t="shared" si="32"/>
        <v>#VALUE!</v>
      </c>
      <c r="BB32" s="17" t="s">
        <v>191</v>
      </c>
      <c r="BC32" s="17">
        <v>0.94</v>
      </c>
      <c r="BD32" s="93" t="e">
        <f t="shared" si="33"/>
        <v>#VALUE!</v>
      </c>
      <c r="BE32" s="17" t="s">
        <v>190</v>
      </c>
      <c r="BF32" s="17">
        <v>0.02</v>
      </c>
      <c r="BG32" s="92">
        <v>-0.09</v>
      </c>
      <c r="BH32" s="91">
        <f t="shared" si="40"/>
        <v>0.12415572810778905</v>
      </c>
      <c r="BI32" s="91">
        <f t="shared" si="42"/>
        <v>0.11005518470126156</v>
      </c>
      <c r="BJ32" s="91">
        <f t="shared" si="41"/>
        <v>6.5445719921990997E-2</v>
      </c>
      <c r="BK32" s="90">
        <f t="shared" si="36"/>
        <v>0.6816253963199348</v>
      </c>
      <c r="BL32" s="13"/>
    </row>
    <row r="33" spans="1:63" x14ac:dyDescent="0.2">
      <c r="A33" t="s">
        <v>189</v>
      </c>
      <c r="B33" t="s">
        <v>181</v>
      </c>
      <c r="D33" t="s">
        <v>180</v>
      </c>
      <c r="E33" t="s">
        <v>179</v>
      </c>
      <c r="F33" t="s">
        <v>178</v>
      </c>
      <c r="G33">
        <v>0.68</v>
      </c>
      <c r="H33" s="2">
        <v>0.08</v>
      </c>
      <c r="I33" s="2"/>
      <c r="K33" s="25">
        <v>1.4999999999999999E-2</v>
      </c>
      <c r="L33" s="89">
        <v>0.42553191489361702</v>
      </c>
      <c r="M33" s="23" t="s">
        <v>177</v>
      </c>
      <c r="AN33" s="17"/>
    </row>
    <row r="34" spans="1:63" x14ac:dyDescent="0.2">
      <c r="A34" t="s">
        <v>188</v>
      </c>
      <c r="B34" t="s">
        <v>181</v>
      </c>
      <c r="D34" t="s">
        <v>180</v>
      </c>
      <c r="E34" t="s">
        <v>179</v>
      </c>
      <c r="F34" t="s">
        <v>178</v>
      </c>
      <c r="G34">
        <v>0.68</v>
      </c>
      <c r="H34" s="2">
        <v>0.4</v>
      </c>
      <c r="I34" s="2"/>
      <c r="K34" s="25">
        <v>1.4999999999999999E-2</v>
      </c>
      <c r="L34" s="89">
        <v>0.32786885245901642</v>
      </c>
      <c r="M34" s="23" t="s">
        <v>177</v>
      </c>
    </row>
    <row r="35" spans="1:63" x14ac:dyDescent="0.2">
      <c r="A35" t="s">
        <v>187</v>
      </c>
      <c r="B35" t="s">
        <v>181</v>
      </c>
      <c r="D35" t="s">
        <v>180</v>
      </c>
      <c r="E35" t="s">
        <v>179</v>
      </c>
      <c r="F35" t="s">
        <v>178</v>
      </c>
      <c r="G35">
        <v>0.68</v>
      </c>
      <c r="H35" s="2">
        <v>0.7</v>
      </c>
      <c r="I35" s="2"/>
      <c r="K35" s="25">
        <v>1.4999999999999999E-2</v>
      </c>
      <c r="L35" s="89">
        <v>0.30769230769230771</v>
      </c>
      <c r="M35" s="23" t="s">
        <v>177</v>
      </c>
    </row>
    <row r="36" spans="1:63" x14ac:dyDescent="0.2">
      <c r="A36" t="s">
        <v>186</v>
      </c>
      <c r="B36" t="s">
        <v>181</v>
      </c>
      <c r="D36" t="s">
        <v>180</v>
      </c>
      <c r="E36" t="s">
        <v>179</v>
      </c>
      <c r="F36" t="s">
        <v>178</v>
      </c>
      <c r="G36">
        <v>0.68</v>
      </c>
      <c r="H36" s="2">
        <v>1</v>
      </c>
      <c r="I36" s="2"/>
      <c r="K36" s="25">
        <v>1.4999999999999999E-2</v>
      </c>
      <c r="L36" s="89">
        <v>0.30303030303030304</v>
      </c>
      <c r="M36" s="23" t="s">
        <v>177</v>
      </c>
    </row>
    <row r="37" spans="1:63" x14ac:dyDescent="0.2">
      <c r="A37" t="s">
        <v>185</v>
      </c>
      <c r="B37" t="s">
        <v>181</v>
      </c>
      <c r="D37" t="s">
        <v>180</v>
      </c>
      <c r="E37" t="s">
        <v>179</v>
      </c>
      <c r="F37" t="s">
        <v>178</v>
      </c>
      <c r="G37">
        <v>0.68</v>
      </c>
      <c r="H37" s="2">
        <v>0.08</v>
      </c>
      <c r="I37" s="2"/>
      <c r="K37" s="25">
        <v>1.4999999999999999E-2</v>
      </c>
      <c r="L37" s="89">
        <v>0.43478260869565222</v>
      </c>
      <c r="M37" s="23" t="s">
        <v>177</v>
      </c>
    </row>
    <row r="38" spans="1:63" x14ac:dyDescent="0.2">
      <c r="A38" t="s">
        <v>184</v>
      </c>
      <c r="B38" t="s">
        <v>181</v>
      </c>
      <c r="D38" t="s">
        <v>180</v>
      </c>
      <c r="E38" t="s">
        <v>179</v>
      </c>
      <c r="F38" t="s">
        <v>178</v>
      </c>
      <c r="G38">
        <v>0.68</v>
      </c>
      <c r="H38" s="2">
        <v>0.4</v>
      </c>
      <c r="I38" s="2"/>
      <c r="K38" s="25">
        <v>3.4000000000000002E-2</v>
      </c>
      <c r="L38" s="89">
        <v>0.33333333333333331</v>
      </c>
      <c r="M38" s="23" t="s">
        <v>177</v>
      </c>
    </row>
    <row r="39" spans="1:63" x14ac:dyDescent="0.2">
      <c r="A39" t="s">
        <v>183</v>
      </c>
      <c r="B39" t="s">
        <v>181</v>
      </c>
      <c r="D39" t="s">
        <v>180</v>
      </c>
      <c r="E39" t="s">
        <v>179</v>
      </c>
      <c r="F39" t="s">
        <v>178</v>
      </c>
      <c r="G39">
        <v>0.68</v>
      </c>
      <c r="H39" s="2">
        <v>0.7</v>
      </c>
      <c r="I39" s="2"/>
      <c r="K39" s="25">
        <v>3.4000000000000002E-2</v>
      </c>
      <c r="L39" s="89">
        <v>0.3125</v>
      </c>
      <c r="M39" s="23" t="s">
        <v>177</v>
      </c>
    </row>
    <row r="40" spans="1:63" x14ac:dyDescent="0.2">
      <c r="A40" t="s">
        <v>182</v>
      </c>
      <c r="B40" t="s">
        <v>181</v>
      </c>
      <c r="D40" t="s">
        <v>180</v>
      </c>
      <c r="E40" t="s">
        <v>179</v>
      </c>
      <c r="F40" t="s">
        <v>178</v>
      </c>
      <c r="G40">
        <v>0.68</v>
      </c>
      <c r="H40" s="2">
        <v>1</v>
      </c>
      <c r="I40" s="2"/>
      <c r="K40" s="25">
        <v>3.4000000000000002E-2</v>
      </c>
      <c r="L40" s="89">
        <v>0.29850746268656714</v>
      </c>
      <c r="M40" s="23" t="s">
        <v>177</v>
      </c>
    </row>
    <row r="41" spans="1:63" x14ac:dyDescent="0.2">
      <c r="H41" s="2"/>
      <c r="I41" s="2"/>
      <c r="K41" s="25"/>
      <c r="L41" s="18"/>
      <c r="M41" s="23"/>
      <c r="AX41"/>
    </row>
    <row r="42" spans="1:63" x14ac:dyDescent="0.2">
      <c r="H42" s="2"/>
      <c r="I42" s="2"/>
      <c r="K42" s="25"/>
      <c r="L42" s="18"/>
      <c r="M42" s="23"/>
      <c r="AX42"/>
    </row>
    <row r="43" spans="1:63" x14ac:dyDescent="0.2">
      <c r="H43" s="2"/>
      <c r="I43" s="2"/>
      <c r="K43" s="25"/>
      <c r="L43" s="18"/>
      <c r="M43" s="23"/>
      <c r="AX43"/>
    </row>
    <row r="44" spans="1:63" x14ac:dyDescent="0.2">
      <c r="W44" s="86">
        <f>AVERAGE(W10:W32)</f>
        <v>-0.98145791740279276</v>
      </c>
      <c r="X44" s="86">
        <f>AVERAGE(X10:X32)</f>
        <v>-0.98145791740279276</v>
      </c>
      <c r="Y44" s="86">
        <f>AVERAGE(Y10:Y32)</f>
        <v>-0.90358117049452236</v>
      </c>
      <c r="Z44" s="86">
        <f>AVERAGE(Z10:Z32)</f>
        <v>-0.51790585247261178</v>
      </c>
      <c r="AA44" s="85">
        <f>AVERAGE(AA10:AA32)</f>
        <v>-0.31129407496087386</v>
      </c>
      <c r="AC44" s="88"/>
      <c r="AD44" s="86">
        <f>AVERAGE(AD10:AD11,AD18:AD19,AD27:AD28,AD13:AD15)</f>
        <v>1.743842583963404E-2</v>
      </c>
      <c r="AE44" s="88"/>
      <c r="AF44" s="88"/>
      <c r="AG44" s="88"/>
      <c r="AH44" s="88"/>
      <c r="AI44" s="85">
        <f>AVERAGE(AI10:AI12,AI20:AI32)</f>
        <v>1.7438425839634064E-2</v>
      </c>
      <c r="AJ44" s="85">
        <f>AVERAGE(AJ10:AJ12,AJ20:AJ32)</f>
        <v>3.5680856949817763E-2</v>
      </c>
      <c r="AK44" s="85">
        <f>AVERAGE(AK10:AK12,AK20:AK32)</f>
        <v>4.0662849529050804E-2</v>
      </c>
      <c r="AT44" s="86">
        <f>AVERAGE(AT17:AT32,AT16)</f>
        <v>-0.78508732534850068</v>
      </c>
      <c r="AU44" s="86">
        <f>AVERAGE(AU10:AU32)</f>
        <v>-0.78508732534850068</v>
      </c>
      <c r="AV44" s="86">
        <f>AVERAGE(AV10:AV32)</f>
        <v>-0.59372982866511126</v>
      </c>
      <c r="AW44" s="86">
        <f>AVERAGE(AW10:AW32)</f>
        <v>0.60702931768689905</v>
      </c>
      <c r="AX44" s="86">
        <f>AVERAGE(AX10:AX32)</f>
        <v>0.69208670933151339</v>
      </c>
      <c r="BA44" s="85">
        <f>AVERAGE(BA10:BA12,BA18:BA19,BA25:BA28,BA13:BA16)</f>
        <v>4.4770685364772756E-3</v>
      </c>
      <c r="BD44" s="85">
        <f>AVERAGE(BD10:BD12,BD18:BD19,BD25:BD28,BD13:BD15)</f>
        <v>-0.11116768671550466</v>
      </c>
      <c r="BG44" s="86">
        <f>AVERAGE(BG10:BG12,BG13)</f>
        <v>-9.1269841269841251E-2</v>
      </c>
      <c r="BH44" s="87"/>
      <c r="BI44" s="87"/>
      <c r="BJ44" s="87"/>
      <c r="BK44" s="85">
        <f>AVERAGE(BK10:BK12,BK13:BK16)</f>
        <v>3.5257349797625119</v>
      </c>
    </row>
    <row r="45" spans="1:63" x14ac:dyDescent="0.2">
      <c r="W45" t="s">
        <v>176</v>
      </c>
      <c r="Y45" t="s">
        <v>175</v>
      </c>
      <c r="Z45" t="s">
        <v>174</v>
      </c>
      <c r="AA45" s="3" t="s">
        <v>173</v>
      </c>
      <c r="AD45" t="s">
        <v>172</v>
      </c>
      <c r="AI45" t="s">
        <v>171</v>
      </c>
      <c r="AJ45" s="3" t="s">
        <v>170</v>
      </c>
      <c r="AK45" s="3" t="s">
        <v>169</v>
      </c>
      <c r="AT45" t="s">
        <v>168</v>
      </c>
      <c r="AU45" t="s">
        <v>167</v>
      </c>
      <c r="AV45" t="s">
        <v>166</v>
      </c>
      <c r="AW45" t="s">
        <v>165</v>
      </c>
      <c r="AX45" t="s">
        <v>164</v>
      </c>
      <c r="BA45" s="3" t="s">
        <v>163</v>
      </c>
      <c r="BD45" s="3" t="s">
        <v>162</v>
      </c>
      <c r="BG45" t="s">
        <v>161</v>
      </c>
      <c r="BK45" s="3" t="s">
        <v>160</v>
      </c>
    </row>
    <row r="47" spans="1:63" x14ac:dyDescent="0.2">
      <c r="BG47" s="86">
        <f>AVERAGE(BG18,BG19,BG29:BG32)</f>
        <v>-0.1135714285714286</v>
      </c>
      <c r="BK47" s="85">
        <f>AVERAGE(BK17:BK32)</f>
        <v>0.81030454122054574</v>
      </c>
    </row>
    <row r="48" spans="1:63" x14ac:dyDescent="0.2">
      <c r="BG48" t="s">
        <v>159</v>
      </c>
      <c r="BK48" s="3" t="s">
        <v>158</v>
      </c>
    </row>
  </sheetData>
  <sheetProtection algorithmName="SHA-512" hashValue="cfU2SClTWGobk2odnji68/9D1LGnzEbG3hQmhDD8qvfXaO1eaV42Y1ODhJ9v9WN4xsK5iMbtR60HfGZJHhcdSA==" saltValue="fWEqbxlRYU+uG7yscCShfw==" spinCount="100000" sheet="1" objects="1" scenarios="1"/>
  <mergeCells count="9">
    <mergeCell ref="B2:B3"/>
    <mergeCell ref="L2:M2"/>
    <mergeCell ref="AY2:BA2"/>
    <mergeCell ref="N2:W2"/>
    <mergeCell ref="BH2:BJ2"/>
    <mergeCell ref="BB2:BD2"/>
    <mergeCell ref="BE2:BG2"/>
    <mergeCell ref="AB2:AD2"/>
    <mergeCell ref="AL2:AX2"/>
  </mergeCells>
  <conditionalFormatting sqref="AR10:AR16">
    <cfRule type="cellIs" dxfId="0" priority="1" operator="lessThan">
      <formula>$AP$10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2262F-A8ED-BA4D-9789-85A2FE46E1D5}">
  <sheetPr>
    <tabColor theme="9"/>
  </sheetPr>
  <dimension ref="A1:AL15"/>
  <sheetViews>
    <sheetView topLeftCell="AC1" workbookViewId="0">
      <selection activeCell="AL21" sqref="AL21"/>
    </sheetView>
  </sheetViews>
  <sheetFormatPr baseColWidth="10" defaultRowHeight="16" x14ac:dyDescent="0.2"/>
  <sheetData>
    <row r="1" spans="1:38" x14ac:dyDescent="0.2">
      <c r="A1" s="9" t="s">
        <v>329</v>
      </c>
      <c r="Z1" s="9" t="s">
        <v>328</v>
      </c>
    </row>
    <row r="2" spans="1:38" x14ac:dyDescent="0.2">
      <c r="C2" t="s">
        <v>327</v>
      </c>
      <c r="L2" t="s">
        <v>326</v>
      </c>
      <c r="Z2" t="s">
        <v>325</v>
      </c>
    </row>
    <row r="3" spans="1:38" x14ac:dyDescent="0.2">
      <c r="A3" t="s">
        <v>324</v>
      </c>
      <c r="B3" t="s">
        <v>319</v>
      </c>
      <c r="C3" t="s">
        <v>303</v>
      </c>
      <c r="D3" t="s">
        <v>302</v>
      </c>
      <c r="E3" t="s">
        <v>301</v>
      </c>
      <c r="F3" t="s">
        <v>316</v>
      </c>
      <c r="G3" t="s">
        <v>163</v>
      </c>
      <c r="H3" t="s">
        <v>162</v>
      </c>
      <c r="I3" t="s">
        <v>323</v>
      </c>
      <c r="J3" t="s">
        <v>322</v>
      </c>
      <c r="L3" t="s">
        <v>294</v>
      </c>
      <c r="M3" t="s">
        <v>321</v>
      </c>
      <c r="N3" t="s">
        <v>320</v>
      </c>
      <c r="O3" t="s">
        <v>319</v>
      </c>
      <c r="P3" t="s">
        <v>318</v>
      </c>
      <c r="Q3" t="s">
        <v>317</v>
      </c>
      <c r="R3" t="s">
        <v>303</v>
      </c>
      <c r="S3" t="s">
        <v>302</v>
      </c>
      <c r="T3" t="s">
        <v>301</v>
      </c>
      <c r="U3" t="s">
        <v>316</v>
      </c>
      <c r="V3" t="s">
        <v>163</v>
      </c>
      <c r="W3" t="s">
        <v>162</v>
      </c>
      <c r="X3" t="s">
        <v>315</v>
      </c>
      <c r="Z3" t="s">
        <v>294</v>
      </c>
      <c r="AA3" t="s">
        <v>321</v>
      </c>
      <c r="AB3" t="s">
        <v>320</v>
      </c>
      <c r="AC3" t="s">
        <v>319</v>
      </c>
      <c r="AD3" t="s">
        <v>318</v>
      </c>
      <c r="AE3" t="s">
        <v>317</v>
      </c>
      <c r="AF3" t="s">
        <v>303</v>
      </c>
      <c r="AG3" t="s">
        <v>302</v>
      </c>
      <c r="AH3" t="s">
        <v>301</v>
      </c>
      <c r="AI3" t="s">
        <v>316</v>
      </c>
      <c r="AJ3" t="s">
        <v>163</v>
      </c>
      <c r="AK3" t="s">
        <v>162</v>
      </c>
      <c r="AL3" t="s">
        <v>315</v>
      </c>
    </row>
    <row r="4" spans="1:38" x14ac:dyDescent="0.2">
      <c r="A4" t="s">
        <v>314</v>
      </c>
      <c r="B4" s="14">
        <v>2.5999999999999999E-2</v>
      </c>
      <c r="C4" s="2">
        <f>'Summary Table (AIR)'!W44</f>
        <v>-0.98145791740279276</v>
      </c>
      <c r="D4" s="2">
        <f>'Summary Table (AIR)'!AI44</f>
        <v>1.7438425839634064E-2</v>
      </c>
      <c r="E4" s="2">
        <f>'Summary Table (AIR)'!AT44</f>
        <v>-0.78508732534850068</v>
      </c>
      <c r="F4" s="2">
        <f>E4</f>
        <v>-0.78508732534850068</v>
      </c>
      <c r="G4" s="2">
        <f>'Summary Table (AIR)'!BA44</f>
        <v>4.4770685364772756E-3</v>
      </c>
      <c r="H4" s="2">
        <f>'Summary Table (AIR)'!BD44</f>
        <v>-0.11116768671550466</v>
      </c>
      <c r="I4" s="2">
        <f>'Summary Table (AIR)'!BG44</f>
        <v>-9.1269841269841251E-2</v>
      </c>
      <c r="J4" s="2">
        <f>'Summary Table (AIR)'!BG47</f>
        <v>-0.1135714285714286</v>
      </c>
      <c r="L4" t="s">
        <v>225</v>
      </c>
      <c r="M4" t="s">
        <v>309</v>
      </c>
      <c r="N4">
        <v>205</v>
      </c>
      <c r="O4" s="14">
        <v>2.5999999999999999E-2</v>
      </c>
      <c r="P4" s="100">
        <v>3.1139999999999999</v>
      </c>
      <c r="Q4" s="100" t="s">
        <v>310</v>
      </c>
      <c r="R4" s="18">
        <f t="shared" ref="R4:R15" si="0">N4*O4*0.97753*2</f>
        <v>10.420469800000001</v>
      </c>
      <c r="S4" s="88">
        <f t="shared" ref="S4:S15" si="1">N4*P4</f>
        <v>638.37</v>
      </c>
      <c r="T4" s="18">
        <f t="shared" ref="T4:T15" si="2">1.35+N4*7*0.02247*(O4-0.0246)</f>
        <v>1.39514223</v>
      </c>
      <c r="U4" s="18">
        <f t="shared" ref="U4:U15" si="3">T4*0.92</f>
        <v>1.2835308516000001</v>
      </c>
      <c r="V4">
        <v>18.100000000000001</v>
      </c>
      <c r="W4">
        <v>0.54</v>
      </c>
      <c r="X4" s="18">
        <f t="shared" ref="X4:X9" si="4">0.15*0.5^(-0.359)*(N4/1000)</f>
        <v>3.9438000534939129E-2</v>
      </c>
      <c r="Z4" t="s">
        <v>225</v>
      </c>
      <c r="AA4" t="s">
        <v>309</v>
      </c>
      <c r="AB4" s="88">
        <f>N4*(1+$D$4)</f>
        <v>208.57487729712497</v>
      </c>
      <c r="AC4" s="14">
        <v>2.5999999999999999E-2</v>
      </c>
      <c r="AD4" s="100">
        <v>3.1139999999999999</v>
      </c>
      <c r="AE4" s="100" t="s">
        <v>310</v>
      </c>
      <c r="AF4" s="18">
        <f t="shared" ref="AF4:AF15" si="5">R4*(1+$C$4)</f>
        <v>0.19321721173330367</v>
      </c>
      <c r="AG4" s="88">
        <f>S4*(1+$D$4)</f>
        <v>649.50216790324725</v>
      </c>
      <c r="AH4" s="18">
        <f t="shared" ref="AH4:AH15" si="6">T4*(1+$E$4)</f>
        <v>0.29983374816855723</v>
      </c>
      <c r="AI4" s="18">
        <f t="shared" ref="AI4:AI15" si="7">AH4*0.92</f>
        <v>0.27584704831507267</v>
      </c>
      <c r="AJ4" s="40">
        <f t="shared" ref="AJ4:AJ15" si="8">V4*(1+$G$4)</f>
        <v>18.181034940510241</v>
      </c>
      <c r="AK4" s="18">
        <f t="shared" ref="AK4:AK15" si="9">W4*(1+$H$4)</f>
        <v>0.47996944917362749</v>
      </c>
      <c r="AL4" s="18">
        <f>X4*(1+$I$4)</f>
        <v>3.5838500486115317E-2</v>
      </c>
    </row>
    <row r="5" spans="1:38" x14ac:dyDescent="0.2">
      <c r="A5" t="s">
        <v>313</v>
      </c>
      <c r="B5" s="14">
        <v>5.0000000000000001E-3</v>
      </c>
      <c r="C5" s="2">
        <f>'Summary Table (AIR)'!Y44</f>
        <v>-0.90358117049452236</v>
      </c>
      <c r="D5" s="2">
        <f>'Summary Table (AIR)'!AJ44</f>
        <v>3.5680856949817763E-2</v>
      </c>
      <c r="E5" s="2">
        <f>'Summary Table (AIR)'!AV44</f>
        <v>-0.59372982866511126</v>
      </c>
      <c r="F5" s="2">
        <f>E5</f>
        <v>-0.59372982866511126</v>
      </c>
      <c r="G5" s="2">
        <f>'Summary Table (AIR)'!BA44</f>
        <v>4.4770685364772756E-3</v>
      </c>
      <c r="H5" s="2">
        <f>'Summary Table (AIR)'!BD44</f>
        <v>-0.11116768671550466</v>
      </c>
      <c r="I5" s="2" t="s">
        <v>312</v>
      </c>
      <c r="J5" t="s">
        <v>312</v>
      </c>
      <c r="L5" t="s">
        <v>225</v>
      </c>
      <c r="M5" t="s">
        <v>308</v>
      </c>
      <c r="N5">
        <v>185</v>
      </c>
      <c r="O5" s="14">
        <v>2.5999999999999999E-2</v>
      </c>
      <c r="P5" s="100">
        <v>3.1139999999999999</v>
      </c>
      <c r="Q5" s="100" t="s">
        <v>310</v>
      </c>
      <c r="R5" s="18">
        <f t="shared" si="0"/>
        <v>9.4038385999999985</v>
      </c>
      <c r="S5" s="88">
        <f t="shared" si="1"/>
        <v>576.09</v>
      </c>
      <c r="T5" s="18">
        <f t="shared" si="2"/>
        <v>1.39073811</v>
      </c>
      <c r="U5" s="18">
        <f t="shared" si="3"/>
        <v>1.2794790612</v>
      </c>
      <c r="V5">
        <v>18.100000000000001</v>
      </c>
      <c r="W5">
        <v>0.54</v>
      </c>
      <c r="X5" s="18">
        <f t="shared" si="4"/>
        <v>3.5590390726652384E-2</v>
      </c>
      <c r="Z5" t="s">
        <v>225</v>
      </c>
      <c r="AA5" t="s">
        <v>308</v>
      </c>
      <c r="AB5" s="88">
        <f t="shared" ref="AB5:AB15" si="10">N5*(1+$D$4)</f>
        <v>188.22610878033231</v>
      </c>
      <c r="AC5" s="14">
        <v>2.5999999999999999E-2</v>
      </c>
      <c r="AD5" s="100">
        <v>3.1139999999999999</v>
      </c>
      <c r="AE5" s="100" t="s">
        <v>310</v>
      </c>
      <c r="AF5" s="18">
        <f t="shared" si="5"/>
        <v>0.17436675205200569</v>
      </c>
      <c r="AG5" s="88">
        <f t="shared" ref="AG5:AG15" si="11">S5*(1+$D$4)</f>
        <v>586.1361027419548</v>
      </c>
      <c r="AH5" s="18">
        <f t="shared" si="6"/>
        <v>0.29888724695987107</v>
      </c>
      <c r="AI5" s="18">
        <f t="shared" si="7"/>
        <v>0.27497626720308138</v>
      </c>
      <c r="AJ5" s="40">
        <f t="shared" si="8"/>
        <v>18.181034940510241</v>
      </c>
      <c r="AK5" s="18">
        <f t="shared" si="9"/>
        <v>0.47996944917362749</v>
      </c>
      <c r="AL5" s="18">
        <f t="shared" ref="AL5:AL9" si="12">X5*(1+$I$4)</f>
        <v>3.2342061414299191E-2</v>
      </c>
    </row>
    <row r="6" spans="1:38" x14ac:dyDescent="0.2">
      <c r="A6" t="s">
        <v>311</v>
      </c>
      <c r="B6" s="14">
        <v>1E-3</v>
      </c>
      <c r="C6" s="2">
        <f>'Summary Table (AIR)'!Z44</f>
        <v>-0.51790585247261178</v>
      </c>
      <c r="D6" s="2">
        <f>'Summary Table (AIR)'!AK44</f>
        <v>4.0662849529050804E-2</v>
      </c>
      <c r="E6" s="2">
        <f>'Summary Table (AIR)'!AW44</f>
        <v>0.60702931768689905</v>
      </c>
      <c r="F6" s="2">
        <f>E6</f>
        <v>0.60702931768689905</v>
      </c>
      <c r="G6" s="2">
        <f>'Summary Table (AIR)'!BA44</f>
        <v>4.4770685364772756E-3</v>
      </c>
      <c r="H6" s="2">
        <f>'Summary Table (AIR)'!BD44</f>
        <v>-0.11116768671550466</v>
      </c>
      <c r="I6" s="2">
        <f>'Summary Table (AIR)'!BK44</f>
        <v>3.5257349797625119</v>
      </c>
      <c r="J6" s="2">
        <f>'Summary Table (AIR)'!BK47</f>
        <v>0.81030454122054574</v>
      </c>
      <c r="L6" t="s">
        <v>225</v>
      </c>
      <c r="M6" t="s">
        <v>307</v>
      </c>
      <c r="N6">
        <v>175</v>
      </c>
      <c r="O6" s="14">
        <v>2.5999999999999999E-2</v>
      </c>
      <c r="P6" s="100">
        <v>3.1139999999999999</v>
      </c>
      <c r="Q6" s="100" t="s">
        <v>310</v>
      </c>
      <c r="R6" s="18">
        <f t="shared" si="0"/>
        <v>8.895522999999999</v>
      </c>
      <c r="S6" s="88">
        <f t="shared" si="1"/>
        <v>544.94999999999993</v>
      </c>
      <c r="T6" s="18">
        <f t="shared" si="2"/>
        <v>1.3885360500000001</v>
      </c>
      <c r="U6" s="18">
        <f t="shared" si="3"/>
        <v>1.2774531660000001</v>
      </c>
      <c r="V6">
        <v>17</v>
      </c>
      <c r="W6">
        <v>0.54</v>
      </c>
      <c r="X6" s="18">
        <f t="shared" si="4"/>
        <v>3.3666585822509011E-2</v>
      </c>
      <c r="Z6" t="s">
        <v>225</v>
      </c>
      <c r="AA6" t="s">
        <v>307</v>
      </c>
      <c r="AB6" s="88">
        <f t="shared" si="10"/>
        <v>178.05172452193597</v>
      </c>
      <c r="AC6" s="14">
        <v>2.5999999999999999E-2</v>
      </c>
      <c r="AD6" s="100">
        <v>3.1139999999999999</v>
      </c>
      <c r="AE6" s="100" t="s">
        <v>310</v>
      </c>
      <c r="AF6" s="18">
        <f t="shared" si="5"/>
        <v>0.16494152221135674</v>
      </c>
      <c r="AG6" s="88">
        <f t="shared" si="11"/>
        <v>554.45307016130846</v>
      </c>
      <c r="AH6" s="18">
        <f t="shared" si="6"/>
        <v>0.29841399635552801</v>
      </c>
      <c r="AI6" s="18">
        <f t="shared" si="7"/>
        <v>0.27454087664708576</v>
      </c>
      <c r="AJ6" s="40">
        <f t="shared" si="8"/>
        <v>17.076110165120113</v>
      </c>
      <c r="AK6" s="18">
        <f t="shared" si="9"/>
        <v>0.47996944917362749</v>
      </c>
      <c r="AL6" s="18">
        <f t="shared" si="12"/>
        <v>3.0593841878391124E-2</v>
      </c>
    </row>
    <row r="7" spans="1:38" x14ac:dyDescent="0.2">
      <c r="A7" t="s">
        <v>311</v>
      </c>
      <c r="B7" s="14">
        <v>6.9999999999999999E-4</v>
      </c>
      <c r="C7" s="2">
        <f>'Summary Table (AIR)'!AA44</f>
        <v>-0.31129407496087386</v>
      </c>
      <c r="D7" s="2">
        <f>'Summary Table (AIR)'!AK44</f>
        <v>4.0662849529050804E-2</v>
      </c>
      <c r="E7" s="2">
        <f>'Summary Table (AIR)'!AX44</f>
        <v>0.69208670933151339</v>
      </c>
      <c r="F7" s="2">
        <f>E7</f>
        <v>0.69208670933151339</v>
      </c>
      <c r="G7" s="2">
        <f>'Summary Table (AIR)'!BA44</f>
        <v>4.4770685364772756E-3</v>
      </c>
      <c r="H7" s="2">
        <f>'Summary Table (AIR)'!BD44</f>
        <v>-0.11116768671550466</v>
      </c>
      <c r="I7" s="2">
        <f>'Summary Table (AIR)'!BK44</f>
        <v>3.5257349797625119</v>
      </c>
      <c r="J7" s="2">
        <f>'Summary Table (AIR)'!BK47</f>
        <v>0.81030454122054574</v>
      </c>
      <c r="L7" t="s">
        <v>225</v>
      </c>
      <c r="M7" t="s">
        <v>306</v>
      </c>
      <c r="N7">
        <v>175</v>
      </c>
      <c r="O7" s="14">
        <v>2.5999999999999999E-2</v>
      </c>
      <c r="P7" s="100">
        <v>3.1139999999999999</v>
      </c>
      <c r="Q7" s="100" t="s">
        <v>310</v>
      </c>
      <c r="R7" s="18">
        <f t="shared" si="0"/>
        <v>8.895522999999999</v>
      </c>
      <c r="S7" s="88">
        <f t="shared" si="1"/>
        <v>544.94999999999993</v>
      </c>
      <c r="T7" s="18">
        <f t="shared" si="2"/>
        <v>1.3885360500000001</v>
      </c>
      <c r="U7" s="18">
        <f t="shared" si="3"/>
        <v>1.2774531660000001</v>
      </c>
      <c r="V7">
        <v>14.4</v>
      </c>
      <c r="W7">
        <v>0.54</v>
      </c>
      <c r="X7" s="18">
        <f t="shared" si="4"/>
        <v>3.3666585822509011E-2</v>
      </c>
      <c r="Z7" t="s">
        <v>225</v>
      </c>
      <c r="AA7" t="s">
        <v>306</v>
      </c>
      <c r="AB7" s="88">
        <f t="shared" si="10"/>
        <v>178.05172452193597</v>
      </c>
      <c r="AC7" s="14">
        <v>2.5999999999999999E-2</v>
      </c>
      <c r="AD7" s="100">
        <v>3.1139999999999999</v>
      </c>
      <c r="AE7" s="100" t="s">
        <v>310</v>
      </c>
      <c r="AF7" s="18">
        <f t="shared" si="5"/>
        <v>0.16494152221135674</v>
      </c>
      <c r="AG7" s="88">
        <f t="shared" si="11"/>
        <v>554.45307016130846</v>
      </c>
      <c r="AH7" s="18">
        <f t="shared" si="6"/>
        <v>0.29841399635552801</v>
      </c>
      <c r="AI7" s="18">
        <f t="shared" si="7"/>
        <v>0.27454087664708576</v>
      </c>
      <c r="AJ7" s="40">
        <f t="shared" si="8"/>
        <v>14.464469786925273</v>
      </c>
      <c r="AK7" s="18">
        <f t="shared" si="9"/>
        <v>0.47996944917362749</v>
      </c>
      <c r="AL7" s="18">
        <f t="shared" si="12"/>
        <v>3.0593841878391124E-2</v>
      </c>
    </row>
    <row r="8" spans="1:38" x14ac:dyDescent="0.2">
      <c r="B8" s="14"/>
      <c r="L8" t="s">
        <v>225</v>
      </c>
      <c r="M8" t="s">
        <v>305</v>
      </c>
      <c r="N8">
        <v>175</v>
      </c>
      <c r="O8" s="14">
        <v>2.5999999999999999E-2</v>
      </c>
      <c r="P8" s="100">
        <v>3.1139999999999999</v>
      </c>
      <c r="Q8" s="100" t="s">
        <v>310</v>
      </c>
      <c r="R8" s="18">
        <f t="shared" si="0"/>
        <v>8.895522999999999</v>
      </c>
      <c r="S8" s="88">
        <f t="shared" si="1"/>
        <v>544.94999999999993</v>
      </c>
      <c r="T8" s="18">
        <f t="shared" si="2"/>
        <v>1.3885360500000001</v>
      </c>
      <c r="U8" s="18">
        <f t="shared" si="3"/>
        <v>1.2774531660000001</v>
      </c>
      <c r="V8">
        <v>14.4</v>
      </c>
      <c r="W8">
        <v>0.54</v>
      </c>
      <c r="X8" s="18">
        <f t="shared" si="4"/>
        <v>3.3666585822509011E-2</v>
      </c>
      <c r="Z8" t="s">
        <v>225</v>
      </c>
      <c r="AA8" t="s">
        <v>305</v>
      </c>
      <c r="AB8" s="88">
        <f t="shared" si="10"/>
        <v>178.05172452193597</v>
      </c>
      <c r="AC8" s="14">
        <v>2.5999999999999999E-2</v>
      </c>
      <c r="AD8" s="100">
        <v>3.1139999999999999</v>
      </c>
      <c r="AE8" s="100" t="s">
        <v>310</v>
      </c>
      <c r="AF8" s="18">
        <f t="shared" si="5"/>
        <v>0.16494152221135674</v>
      </c>
      <c r="AG8" s="88">
        <f t="shared" si="11"/>
        <v>554.45307016130846</v>
      </c>
      <c r="AH8" s="18">
        <f t="shared" si="6"/>
        <v>0.29841399635552801</v>
      </c>
      <c r="AI8" s="18">
        <f t="shared" si="7"/>
        <v>0.27454087664708576</v>
      </c>
      <c r="AJ8" s="40">
        <f t="shared" si="8"/>
        <v>14.464469786925273</v>
      </c>
      <c r="AK8" s="18">
        <f t="shared" si="9"/>
        <v>0.47996944917362749</v>
      </c>
      <c r="AL8" s="18">
        <f t="shared" si="12"/>
        <v>3.0593841878391124E-2</v>
      </c>
    </row>
    <row r="9" spans="1:38" x14ac:dyDescent="0.2">
      <c r="L9" t="s">
        <v>225</v>
      </c>
      <c r="M9" t="s">
        <v>304</v>
      </c>
      <c r="N9">
        <v>175</v>
      </c>
      <c r="O9" s="14">
        <v>2.5999999999999999E-2</v>
      </c>
      <c r="P9" s="100">
        <v>3.1139999999999999</v>
      </c>
      <c r="Q9" s="100" t="s">
        <v>310</v>
      </c>
      <c r="R9" s="18">
        <f t="shared" si="0"/>
        <v>8.895522999999999</v>
      </c>
      <c r="S9" s="88">
        <f t="shared" si="1"/>
        <v>544.94999999999993</v>
      </c>
      <c r="T9" s="18">
        <f t="shared" si="2"/>
        <v>1.3885360500000001</v>
      </c>
      <c r="U9" s="18">
        <f t="shared" si="3"/>
        <v>1.2774531660000001</v>
      </c>
      <c r="V9">
        <v>3.4</v>
      </c>
      <c r="W9">
        <v>0.54</v>
      </c>
      <c r="X9" s="18">
        <f t="shared" si="4"/>
        <v>3.3666585822509011E-2</v>
      </c>
      <c r="Z9" t="s">
        <v>225</v>
      </c>
      <c r="AA9" t="s">
        <v>304</v>
      </c>
      <c r="AB9" s="88">
        <f t="shared" si="10"/>
        <v>178.05172452193597</v>
      </c>
      <c r="AC9" s="14">
        <v>2.5999999999999999E-2</v>
      </c>
      <c r="AD9" s="100">
        <v>3.1139999999999999</v>
      </c>
      <c r="AE9" s="100" t="s">
        <v>310</v>
      </c>
      <c r="AF9" s="18">
        <f t="shared" si="5"/>
        <v>0.16494152221135674</v>
      </c>
      <c r="AG9" s="88">
        <f t="shared" si="11"/>
        <v>554.45307016130846</v>
      </c>
      <c r="AH9" s="18">
        <f t="shared" si="6"/>
        <v>0.29841399635552801</v>
      </c>
      <c r="AI9" s="18">
        <f t="shared" si="7"/>
        <v>0.27454087664708576</v>
      </c>
      <c r="AJ9" s="40">
        <f t="shared" si="8"/>
        <v>3.4152220330240226</v>
      </c>
      <c r="AK9" s="18">
        <f t="shared" si="9"/>
        <v>0.47996944917362749</v>
      </c>
      <c r="AL9" s="18">
        <f t="shared" si="12"/>
        <v>3.0593841878391124E-2</v>
      </c>
    </row>
    <row r="10" spans="1:38" x14ac:dyDescent="0.2">
      <c r="L10" t="s">
        <v>178</v>
      </c>
      <c r="M10" t="s">
        <v>309</v>
      </c>
      <c r="N10">
        <v>215</v>
      </c>
      <c r="O10" s="14">
        <v>2.5999999999999999E-2</v>
      </c>
      <c r="P10" s="100">
        <v>3.1139999999999999</v>
      </c>
      <c r="Q10" s="88">
        <v>720</v>
      </c>
      <c r="R10" s="18">
        <f t="shared" si="0"/>
        <v>10.928785400000001</v>
      </c>
      <c r="S10" s="88">
        <f t="shared" si="1"/>
        <v>669.51</v>
      </c>
      <c r="T10" s="18">
        <f t="shared" si="2"/>
        <v>1.3973442899999999</v>
      </c>
      <c r="U10" s="18">
        <f t="shared" si="3"/>
        <v>1.2855567468</v>
      </c>
      <c r="V10">
        <v>14</v>
      </c>
      <c r="W10">
        <v>0.54</v>
      </c>
      <c r="X10" s="18">
        <f>0.25*0.5^(-0.968)*(N10/1000)</f>
        <v>0.10514182339558897</v>
      </c>
      <c r="Z10" t="s">
        <v>178</v>
      </c>
      <c r="AA10" t="s">
        <v>309</v>
      </c>
      <c r="AB10" s="88">
        <f t="shared" si="10"/>
        <v>218.74926155552131</v>
      </c>
      <c r="AC10" s="14">
        <v>2.5999999999999999E-2</v>
      </c>
      <c r="AD10" s="100">
        <v>3.1139999999999999</v>
      </c>
      <c r="AE10" s="88">
        <v>720</v>
      </c>
      <c r="AF10" s="18">
        <f t="shared" si="5"/>
        <v>0.20264244157395261</v>
      </c>
      <c r="AG10" s="88">
        <f t="shared" si="11"/>
        <v>681.18520048389337</v>
      </c>
      <c r="AH10" s="18">
        <f t="shared" si="6"/>
        <v>0.30030699877290029</v>
      </c>
      <c r="AI10" s="18">
        <f t="shared" si="7"/>
        <v>0.27628243887106829</v>
      </c>
      <c r="AJ10" s="40">
        <f t="shared" si="8"/>
        <v>14.062678959510681</v>
      </c>
      <c r="AK10" s="18">
        <f t="shared" si="9"/>
        <v>0.47996944917362749</v>
      </c>
      <c r="AL10" s="18">
        <f>X10*(1+$J$4)</f>
        <v>9.3200716309947071E-2</v>
      </c>
    </row>
    <row r="11" spans="1:38" x14ac:dyDescent="0.2">
      <c r="L11" t="s">
        <v>178</v>
      </c>
      <c r="M11" t="s">
        <v>308</v>
      </c>
      <c r="N11">
        <v>195</v>
      </c>
      <c r="O11" s="14">
        <v>2.5999999999999999E-2</v>
      </c>
      <c r="P11" s="100">
        <v>3.1139999999999999</v>
      </c>
      <c r="Q11" s="88">
        <v>720</v>
      </c>
      <c r="R11" s="18">
        <f t="shared" si="0"/>
        <v>9.9121541999999998</v>
      </c>
      <c r="S11" s="88">
        <f t="shared" si="1"/>
        <v>607.23</v>
      </c>
      <c r="T11" s="18">
        <f t="shared" si="2"/>
        <v>1.3929401700000001</v>
      </c>
      <c r="U11" s="18">
        <f t="shared" si="3"/>
        <v>1.2815049564000003</v>
      </c>
      <c r="V11">
        <v>14</v>
      </c>
      <c r="W11">
        <v>0.54</v>
      </c>
      <c r="X11" s="18">
        <f t="shared" ref="X11:X15" si="13">0.25*0.5^(-0.968)*(N11/1000)</f>
        <v>9.5361188661115592E-2</v>
      </c>
      <c r="Z11" t="s">
        <v>178</v>
      </c>
      <c r="AA11" t="s">
        <v>308</v>
      </c>
      <c r="AB11" s="88">
        <f t="shared" si="10"/>
        <v>198.40049303872865</v>
      </c>
      <c r="AC11" s="14">
        <v>2.5999999999999999E-2</v>
      </c>
      <c r="AD11" s="100">
        <v>3.1139999999999999</v>
      </c>
      <c r="AE11" s="88">
        <v>720</v>
      </c>
      <c r="AF11" s="18">
        <f t="shared" si="5"/>
        <v>0.18379198189265469</v>
      </c>
      <c r="AG11" s="88">
        <f t="shared" si="11"/>
        <v>617.81913532260103</v>
      </c>
      <c r="AH11" s="18">
        <f t="shared" si="6"/>
        <v>0.29936049756421418</v>
      </c>
      <c r="AI11" s="18">
        <f t="shared" si="7"/>
        <v>0.27541165775907706</v>
      </c>
      <c r="AJ11" s="40">
        <f t="shared" si="8"/>
        <v>14.062678959510681</v>
      </c>
      <c r="AK11" s="18">
        <f t="shared" si="9"/>
        <v>0.47996944917362749</v>
      </c>
      <c r="AL11" s="18">
        <f t="shared" ref="AL11:AL15" si="14">X11*(1+$J$4)</f>
        <v>8.4530882234603172E-2</v>
      </c>
    </row>
    <row r="12" spans="1:38" x14ac:dyDescent="0.2">
      <c r="L12" t="s">
        <v>178</v>
      </c>
      <c r="M12" t="s">
        <v>307</v>
      </c>
      <c r="N12">
        <v>185</v>
      </c>
      <c r="O12" s="14">
        <v>2.5999999999999999E-2</v>
      </c>
      <c r="P12" s="100">
        <v>3.1139999999999999</v>
      </c>
      <c r="Q12" s="88">
        <v>720</v>
      </c>
      <c r="R12" s="18">
        <f t="shared" si="0"/>
        <v>9.4038385999999985</v>
      </c>
      <c r="S12" s="88">
        <f t="shared" si="1"/>
        <v>576.09</v>
      </c>
      <c r="T12" s="18">
        <f t="shared" si="2"/>
        <v>1.39073811</v>
      </c>
      <c r="U12" s="18">
        <f t="shared" si="3"/>
        <v>1.2794790612</v>
      </c>
      <c r="V12" s="40">
        <f>45*Q12^(-0.2)</f>
        <v>12.07107683999738</v>
      </c>
      <c r="W12">
        <v>0.54</v>
      </c>
      <c r="X12" s="18">
        <f t="shared" si="13"/>
        <v>9.0470871293878888E-2</v>
      </c>
      <c r="Z12" t="s">
        <v>178</v>
      </c>
      <c r="AA12" t="s">
        <v>307</v>
      </c>
      <c r="AB12" s="88">
        <f t="shared" si="10"/>
        <v>188.22610878033231</v>
      </c>
      <c r="AC12" s="14">
        <v>2.5999999999999999E-2</v>
      </c>
      <c r="AD12" s="100">
        <v>3.1139999999999999</v>
      </c>
      <c r="AE12" s="88">
        <v>720</v>
      </c>
      <c r="AF12" s="18">
        <f t="shared" si="5"/>
        <v>0.17436675205200569</v>
      </c>
      <c r="AG12" s="88">
        <f t="shared" si="11"/>
        <v>586.1361027419548</v>
      </c>
      <c r="AH12" s="18">
        <f t="shared" si="6"/>
        <v>0.29888724695987107</v>
      </c>
      <c r="AI12" s="18">
        <f t="shared" si="7"/>
        <v>0.27497626720308138</v>
      </c>
      <c r="AJ12" s="40">
        <f t="shared" si="8"/>
        <v>12.125119878319131</v>
      </c>
      <c r="AK12" s="18">
        <f t="shared" si="9"/>
        <v>0.47996944917362749</v>
      </c>
      <c r="AL12" s="18">
        <f t="shared" si="14"/>
        <v>8.0195965196931202E-2</v>
      </c>
    </row>
    <row r="13" spans="1:38" x14ac:dyDescent="0.2">
      <c r="L13" t="s">
        <v>178</v>
      </c>
      <c r="M13" t="s">
        <v>306</v>
      </c>
      <c r="N13">
        <v>185</v>
      </c>
      <c r="O13" s="14">
        <v>2.5999999999999999E-2</v>
      </c>
      <c r="P13" s="100">
        <v>3.1139999999999999</v>
      </c>
      <c r="Q13" s="88">
        <v>720</v>
      </c>
      <c r="R13" s="18">
        <f t="shared" si="0"/>
        <v>9.4038385999999985</v>
      </c>
      <c r="S13" s="88">
        <f t="shared" si="1"/>
        <v>576.09</v>
      </c>
      <c r="T13" s="18">
        <f t="shared" si="2"/>
        <v>1.39073811</v>
      </c>
      <c r="U13" s="18">
        <f t="shared" si="3"/>
        <v>1.2794790612</v>
      </c>
      <c r="V13" s="40">
        <f>44*Q13^(-0.23)</f>
        <v>9.6887154746112429</v>
      </c>
      <c r="W13">
        <v>0.54</v>
      </c>
      <c r="X13" s="18">
        <f t="shared" si="13"/>
        <v>9.0470871293878888E-2</v>
      </c>
      <c r="Z13" t="s">
        <v>178</v>
      </c>
      <c r="AA13" t="s">
        <v>306</v>
      </c>
      <c r="AB13" s="88">
        <f t="shared" si="10"/>
        <v>188.22610878033231</v>
      </c>
      <c r="AC13" s="14">
        <v>2.5999999999999999E-2</v>
      </c>
      <c r="AD13" s="100">
        <v>3.1139999999999999</v>
      </c>
      <c r="AE13" s="88">
        <v>720</v>
      </c>
      <c r="AF13" s="18">
        <f t="shared" si="5"/>
        <v>0.17436675205200569</v>
      </c>
      <c r="AG13" s="88">
        <f t="shared" si="11"/>
        <v>586.1361027419548</v>
      </c>
      <c r="AH13" s="18">
        <f t="shared" si="6"/>
        <v>0.29888724695987107</v>
      </c>
      <c r="AI13" s="18">
        <f t="shared" si="7"/>
        <v>0.27497626720308138</v>
      </c>
      <c r="AJ13" s="40">
        <f t="shared" si="8"/>
        <v>9.7320925178215045</v>
      </c>
      <c r="AK13" s="18">
        <f t="shared" si="9"/>
        <v>0.47996944917362749</v>
      </c>
      <c r="AL13" s="18">
        <f t="shared" si="14"/>
        <v>8.0195965196931202E-2</v>
      </c>
    </row>
    <row r="14" spans="1:38" x14ac:dyDescent="0.2">
      <c r="L14" t="s">
        <v>178</v>
      </c>
      <c r="M14" t="s">
        <v>305</v>
      </c>
      <c r="N14">
        <v>185</v>
      </c>
      <c r="O14" s="14">
        <v>2.5999999999999999E-2</v>
      </c>
      <c r="P14" s="100">
        <v>3.1139999999999999</v>
      </c>
      <c r="Q14" s="88">
        <v>720</v>
      </c>
      <c r="R14" s="18">
        <f t="shared" si="0"/>
        <v>9.4038385999999985</v>
      </c>
      <c r="S14" s="88">
        <f t="shared" si="1"/>
        <v>576.09</v>
      </c>
      <c r="T14" s="18">
        <f t="shared" si="2"/>
        <v>1.39073811</v>
      </c>
      <c r="U14" s="18">
        <f t="shared" si="3"/>
        <v>1.2794790612</v>
      </c>
      <c r="V14" s="40">
        <f>44*Q14^(-0.23)</f>
        <v>9.6887154746112429</v>
      </c>
      <c r="W14">
        <v>0.54</v>
      </c>
      <c r="X14" s="18">
        <f t="shared" si="13"/>
        <v>9.0470871293878888E-2</v>
      </c>
      <c r="Z14" t="s">
        <v>178</v>
      </c>
      <c r="AA14" t="s">
        <v>305</v>
      </c>
      <c r="AB14" s="88">
        <f t="shared" si="10"/>
        <v>188.22610878033231</v>
      </c>
      <c r="AC14" s="14">
        <v>2.5999999999999999E-2</v>
      </c>
      <c r="AD14" s="100">
        <v>3.1139999999999999</v>
      </c>
      <c r="AE14" s="88">
        <v>720</v>
      </c>
      <c r="AF14" s="18">
        <f t="shared" si="5"/>
        <v>0.17436675205200569</v>
      </c>
      <c r="AG14" s="88">
        <f t="shared" si="11"/>
        <v>586.1361027419548</v>
      </c>
      <c r="AH14" s="18">
        <f t="shared" si="6"/>
        <v>0.29888724695987107</v>
      </c>
      <c r="AI14" s="18">
        <f t="shared" si="7"/>
        <v>0.27497626720308138</v>
      </c>
      <c r="AJ14" s="40">
        <f t="shared" si="8"/>
        <v>9.7320925178215045</v>
      </c>
      <c r="AK14" s="18">
        <f t="shared" si="9"/>
        <v>0.47996944917362749</v>
      </c>
      <c r="AL14" s="18">
        <f t="shared" si="14"/>
        <v>8.0195965196931202E-2</v>
      </c>
    </row>
    <row r="15" spans="1:38" x14ac:dyDescent="0.2">
      <c r="L15" t="s">
        <v>178</v>
      </c>
      <c r="M15" t="s">
        <v>304</v>
      </c>
      <c r="N15">
        <v>185</v>
      </c>
      <c r="O15" s="14">
        <v>2.5999999999999999E-2</v>
      </c>
      <c r="P15" s="100">
        <v>3.1139999999999999</v>
      </c>
      <c r="Q15" s="88">
        <v>720</v>
      </c>
      <c r="R15" s="18">
        <f t="shared" si="0"/>
        <v>9.4038385999999985</v>
      </c>
      <c r="S15" s="88">
        <f t="shared" si="1"/>
        <v>576.09</v>
      </c>
      <c r="T15" s="18">
        <f t="shared" si="2"/>
        <v>1.39073811</v>
      </c>
      <c r="U15" s="18">
        <f t="shared" si="3"/>
        <v>1.2794790612</v>
      </c>
      <c r="V15">
        <v>2.4</v>
      </c>
      <c r="W15">
        <v>0.54</v>
      </c>
      <c r="X15" s="18">
        <f t="shared" si="13"/>
        <v>9.0470871293878888E-2</v>
      </c>
      <c r="Z15" t="s">
        <v>178</v>
      </c>
      <c r="AA15" t="s">
        <v>304</v>
      </c>
      <c r="AB15" s="88">
        <f t="shared" si="10"/>
        <v>188.22610878033231</v>
      </c>
      <c r="AC15" s="14">
        <v>2.5999999999999999E-2</v>
      </c>
      <c r="AD15" s="100">
        <v>3.1139999999999999</v>
      </c>
      <c r="AE15" s="88">
        <v>720</v>
      </c>
      <c r="AF15" s="18">
        <f t="shared" si="5"/>
        <v>0.17436675205200569</v>
      </c>
      <c r="AG15" s="88">
        <f t="shared" si="11"/>
        <v>586.1361027419548</v>
      </c>
      <c r="AH15" s="18">
        <f t="shared" si="6"/>
        <v>0.29888724695987107</v>
      </c>
      <c r="AI15" s="18">
        <f t="shared" si="7"/>
        <v>0.27497626720308138</v>
      </c>
      <c r="AJ15" s="40">
        <f t="shared" si="8"/>
        <v>2.4107449644875452</v>
      </c>
      <c r="AK15" s="18">
        <f t="shared" si="9"/>
        <v>0.47996944917362749</v>
      </c>
      <c r="AL15" s="18">
        <f t="shared" si="14"/>
        <v>8.0195965196931202E-2</v>
      </c>
    </row>
  </sheetData>
  <sheetProtection algorithmName="SHA-512" hashValue="KRsc4V4u3XzvOCkzCsr4VN/XB/ZA7i1m7NONQoA7D1jw8C8ormOJCXXZl2rfeFbGJ0IKffmxtunNIHgAwmEP0w==" saltValue="w16NtBK5SNzW8dwMlZ/AUw==" spinCount="100000" sheet="1" objects="1" scenarios="1"/>
  <autoFilter ref="L3:X15" xr:uid="{736BA609-3DC7-6049-BAF9-1A981D72B12A}">
    <sortState xmlns:xlrd2="http://schemas.microsoft.com/office/spreadsheetml/2017/richdata2" ref="L4:X15">
      <sortCondition descending="1" ref="L3:L15"/>
    </sortState>
  </autoFilter>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4451-2557-124D-9739-D41B890C3281}">
  <sheetPr>
    <tabColor theme="9"/>
  </sheetPr>
  <dimension ref="A1:V16"/>
  <sheetViews>
    <sheetView workbookViewId="0">
      <selection activeCell="C7" sqref="C7"/>
    </sheetView>
  </sheetViews>
  <sheetFormatPr baseColWidth="10" defaultRowHeight="16" x14ac:dyDescent="0.2"/>
  <cols>
    <col min="1" max="1" width="16" customWidth="1"/>
    <col min="4" max="4" width="19.83203125" bestFit="1" customWidth="1"/>
    <col min="5" max="5" width="18.83203125" bestFit="1" customWidth="1"/>
    <col min="6" max="6" width="18.83203125" customWidth="1"/>
    <col min="7" max="7" width="22.1640625" customWidth="1"/>
    <col min="8" max="8" width="18.83203125" customWidth="1"/>
    <col min="9" max="9" width="16.83203125" customWidth="1"/>
    <col min="10" max="10" width="20.33203125" customWidth="1"/>
    <col min="11" max="11" width="25.1640625" customWidth="1"/>
    <col min="12" max="12" width="21.6640625" customWidth="1"/>
    <col min="16" max="16" width="13.6640625" bestFit="1" customWidth="1"/>
    <col min="17" max="17" width="20.5" bestFit="1" customWidth="1"/>
    <col min="18" max="18" width="19.83203125" bestFit="1" customWidth="1"/>
    <col min="19" max="19" width="10.6640625" bestFit="1" customWidth="1"/>
    <col min="22" max="22" width="27.1640625" bestFit="1" customWidth="1"/>
  </cols>
  <sheetData>
    <row r="1" spans="1:22" x14ac:dyDescent="0.2">
      <c r="P1" s="151" t="s">
        <v>352</v>
      </c>
      <c r="Q1" s="150"/>
      <c r="R1" s="150"/>
      <c r="S1" s="150"/>
      <c r="T1" s="150"/>
      <c r="U1" s="150"/>
      <c r="V1" s="150"/>
    </row>
    <row r="2" spans="1:22" x14ac:dyDescent="0.2">
      <c r="D2" t="s">
        <v>351</v>
      </c>
      <c r="F2" s="147" t="s">
        <v>350</v>
      </c>
      <c r="G2" t="s">
        <v>349</v>
      </c>
      <c r="I2" t="s">
        <v>334</v>
      </c>
      <c r="J2" s="147" t="s">
        <v>348</v>
      </c>
      <c r="K2" s="147" t="s">
        <v>347</v>
      </c>
      <c r="L2" s="147" t="s">
        <v>346</v>
      </c>
      <c r="N2" s="147" t="s">
        <v>345</v>
      </c>
      <c r="P2" s="149"/>
      <c r="Q2" s="148"/>
      <c r="R2" s="148"/>
      <c r="S2" s="160" t="s">
        <v>344</v>
      </c>
      <c r="T2" s="160"/>
      <c r="U2" s="160"/>
      <c r="V2" s="148"/>
    </row>
    <row r="3" spans="1:22" x14ac:dyDescent="0.2">
      <c r="A3" t="s">
        <v>324</v>
      </c>
      <c r="B3" t="s">
        <v>343</v>
      </c>
      <c r="C3" t="s">
        <v>342</v>
      </c>
      <c r="D3" t="s">
        <v>336</v>
      </c>
      <c r="E3" t="s">
        <v>341</v>
      </c>
      <c r="F3" s="147" t="s">
        <v>338</v>
      </c>
      <c r="H3" t="s">
        <v>340</v>
      </c>
      <c r="I3" t="s">
        <v>339</v>
      </c>
      <c r="J3" s="147" t="s">
        <v>338</v>
      </c>
      <c r="K3" s="147" t="s">
        <v>338</v>
      </c>
      <c r="L3" s="147"/>
      <c r="P3" s="146" t="s">
        <v>324</v>
      </c>
      <c r="Q3" s="146" t="s">
        <v>337</v>
      </c>
      <c r="R3" s="146" t="s">
        <v>336</v>
      </c>
      <c r="S3" s="146" t="s">
        <v>335</v>
      </c>
      <c r="T3" s="146" t="s">
        <v>334</v>
      </c>
      <c r="U3" s="146" t="s">
        <v>333</v>
      </c>
      <c r="V3" s="146" t="s">
        <v>332</v>
      </c>
    </row>
    <row r="4" spans="1:22" x14ac:dyDescent="0.2">
      <c r="A4" s="7" t="s">
        <v>311</v>
      </c>
      <c r="B4">
        <f>42.7/1000</f>
        <v>4.2700000000000002E-2</v>
      </c>
      <c r="C4" s="88">
        <f>1/B4</f>
        <v>23.419203747072597</v>
      </c>
      <c r="D4" s="88">
        <v>165</v>
      </c>
      <c r="E4" s="88">
        <f>D4/3.6</f>
        <v>45.833333333333336</v>
      </c>
      <c r="F4" s="143">
        <f>3.206*E4</f>
        <v>146.94166666666666</v>
      </c>
      <c r="G4" s="138">
        <f>F4/$F$4-1</f>
        <v>0</v>
      </c>
      <c r="H4" s="40">
        <f>E4*B4</f>
        <v>1.9570833333333335</v>
      </c>
      <c r="I4">
        <v>13.5</v>
      </c>
      <c r="J4" s="144">
        <f>I4*H4</f>
        <v>26.420625000000001</v>
      </c>
      <c r="K4" s="143">
        <f>F4+J4</f>
        <v>173.36229166666666</v>
      </c>
      <c r="L4" s="145">
        <f>K4/$K$4-1</f>
        <v>0</v>
      </c>
      <c r="N4" s="100">
        <f>F4/(F4+J4)</f>
        <v>0.84759877856944577</v>
      </c>
      <c r="P4" s="141" t="str">
        <f>A4</f>
        <v>MGO</v>
      </c>
      <c r="Q4" s="141">
        <v>42.7</v>
      </c>
      <c r="R4" s="140">
        <f>D4</f>
        <v>165</v>
      </c>
      <c r="S4" s="140">
        <f>F4*3.6</f>
        <v>528.99</v>
      </c>
      <c r="T4" s="140">
        <f>J4*3.6</f>
        <v>95.114250000000013</v>
      </c>
      <c r="U4" s="140">
        <f>S4+T4</f>
        <v>624.10424999999998</v>
      </c>
      <c r="V4" s="139">
        <f>U4/$U$4-1</f>
        <v>0</v>
      </c>
    </row>
    <row r="5" spans="1:22" x14ac:dyDescent="0.2">
      <c r="A5" s="7" t="s">
        <v>313</v>
      </c>
      <c r="B5">
        <f>(B4*0.8+B6*0.2)</f>
        <v>4.2200000000000001E-2</v>
      </c>
      <c r="C5" s="88">
        <f>1/B5</f>
        <v>23.696682464454977</v>
      </c>
      <c r="D5">
        <f>(D4*0.8+D6*0.2)</f>
        <v>167</v>
      </c>
      <c r="E5" s="88">
        <f>D5/3.6</f>
        <v>46.388888888888886</v>
      </c>
      <c r="F5" s="143">
        <f>(3.206*0.8+3.114*0.2)*E5</f>
        <v>147.86922222222219</v>
      </c>
      <c r="G5" s="138">
        <f>F5/$F$4-1</f>
        <v>6.3124066617514796E-3</v>
      </c>
      <c r="H5" s="40">
        <f>E5*B5</f>
        <v>1.957611111111111</v>
      </c>
      <c r="I5" s="40">
        <f>(I4*0.8+I6*0.2)</f>
        <v>12.940000000000001</v>
      </c>
      <c r="J5" s="144">
        <f>I5*H5</f>
        <v>25.331487777777777</v>
      </c>
      <c r="K5" s="143">
        <f>F5+J5</f>
        <v>173.20070999999996</v>
      </c>
      <c r="L5" s="145">
        <f>K5/$K$4-1</f>
        <v>-9.3204620862641363E-4</v>
      </c>
      <c r="N5" s="100">
        <f>F5/(F5+J5)</f>
        <v>0.85374489643964058</v>
      </c>
      <c r="P5" s="141" t="s">
        <v>313</v>
      </c>
      <c r="Q5" s="141">
        <f>B5*1000</f>
        <v>42.2</v>
      </c>
      <c r="R5" s="140">
        <f>D5</f>
        <v>167</v>
      </c>
      <c r="S5" s="140">
        <f>F5*3.6</f>
        <v>532.3291999999999</v>
      </c>
      <c r="T5" s="140">
        <f>J5*3.6</f>
        <v>91.193355999999994</v>
      </c>
      <c r="U5" s="140">
        <f>S5+T5</f>
        <v>623.52255599999989</v>
      </c>
      <c r="V5" s="139">
        <f>U5/$U$4-1</f>
        <v>-9.3204620862630261E-4</v>
      </c>
    </row>
    <row r="6" spans="1:22" x14ac:dyDescent="0.2">
      <c r="A6" s="7" t="s">
        <v>314</v>
      </c>
      <c r="B6">
        <f>40.2/1000</f>
        <v>4.02E-2</v>
      </c>
      <c r="C6" s="88">
        <f>1/B6</f>
        <v>24.875621890547265</v>
      </c>
      <c r="D6" s="88">
        <v>175</v>
      </c>
      <c r="E6" s="88">
        <f>D6/3.6</f>
        <v>48.611111111111107</v>
      </c>
      <c r="F6" s="143">
        <f>3.114*E6</f>
        <v>151.37499999999997</v>
      </c>
      <c r="G6" s="138">
        <f>F6/$F$4-1</f>
        <v>3.0170702659785498E-2</v>
      </c>
      <c r="H6" s="40">
        <f>E6*B6</f>
        <v>1.9541666666666664</v>
      </c>
      <c r="I6">
        <v>10.7</v>
      </c>
      <c r="J6" s="144">
        <f>I6*H6</f>
        <v>20.90958333333333</v>
      </c>
      <c r="K6" s="143">
        <f>F6+J6</f>
        <v>172.2845833333333</v>
      </c>
      <c r="L6" s="145">
        <f>K6/$K$4-1</f>
        <v>-6.2165095014176108E-3</v>
      </c>
      <c r="N6" s="100">
        <f>F6/(F6+J6)</f>
        <v>0.87863346256073405</v>
      </c>
      <c r="P6" s="141" t="str">
        <f>A6</f>
        <v>HFO</v>
      </c>
      <c r="Q6" s="141">
        <v>40.200000000000003</v>
      </c>
      <c r="R6" s="140">
        <f>D6</f>
        <v>175</v>
      </c>
      <c r="S6" s="140">
        <f>F6*3.6</f>
        <v>544.94999999999993</v>
      </c>
      <c r="T6" s="140">
        <f>J6*3.6</f>
        <v>75.274499999999989</v>
      </c>
      <c r="U6" s="140">
        <f>S6+T6</f>
        <v>620.22449999999992</v>
      </c>
      <c r="V6" s="139">
        <f>U6/$U$4-1</f>
        <v>-6.2165095014174998E-3</v>
      </c>
    </row>
    <row r="7" spans="1:22" x14ac:dyDescent="0.2">
      <c r="A7" s="7" t="s">
        <v>331</v>
      </c>
      <c r="B7">
        <f>40.2/1000</f>
        <v>4.02E-2</v>
      </c>
      <c r="C7" s="88">
        <f>1/B7</f>
        <v>24.875621890547265</v>
      </c>
      <c r="D7" s="88">
        <f>D6*(1+'Summary Table (AIR)'!AD44)</f>
        <v>178.05172452193597</v>
      </c>
      <c r="E7" s="88">
        <f>D7/3.6</f>
        <v>49.45881236720443</v>
      </c>
      <c r="F7" s="143">
        <f>3.114*E7</f>
        <v>154.01474171147458</v>
      </c>
      <c r="G7" s="138">
        <f>F7/$F$4-1</f>
        <v>4.8135258060281849E-2</v>
      </c>
      <c r="H7" s="40">
        <f>E7*B7</f>
        <v>1.9882442571616181</v>
      </c>
      <c r="I7">
        <v>10.7</v>
      </c>
      <c r="J7" s="144">
        <f>I7*H7</f>
        <v>21.274213551629312</v>
      </c>
      <c r="K7" s="143">
        <f>F7+J7</f>
        <v>175.2889552631039</v>
      </c>
      <c r="L7" s="142">
        <f>K7/$K$4-1</f>
        <v>1.1113510198294652E-2</v>
      </c>
      <c r="N7" s="100">
        <f>F7/(F7+J7)</f>
        <v>0.87863346256073405</v>
      </c>
      <c r="P7" s="141" t="str">
        <f>A7</f>
        <v>HFO + scrubber</v>
      </c>
      <c r="Q7" s="141">
        <v>40.200000000000003</v>
      </c>
      <c r="R7" s="140">
        <f>D7</f>
        <v>178.05172452193597</v>
      </c>
      <c r="S7" s="140">
        <f>F7*3.6</f>
        <v>554.45307016130857</v>
      </c>
      <c r="T7" s="140">
        <f>J7*3.6</f>
        <v>76.587168785865529</v>
      </c>
      <c r="U7" s="140">
        <f>S7+T7</f>
        <v>631.04023894717409</v>
      </c>
      <c r="V7" s="139">
        <f>U7/$U$4-1</f>
        <v>1.1113510198294874E-2</v>
      </c>
    </row>
    <row r="9" spans="1:22" x14ac:dyDescent="0.2">
      <c r="H9" t="s">
        <v>330</v>
      </c>
    </row>
    <row r="10" spans="1:22" x14ac:dyDescent="0.2">
      <c r="H10" s="138">
        <f>1/H4</f>
        <v>0.51096444539067487</v>
      </c>
    </row>
    <row r="11" spans="1:22" x14ac:dyDescent="0.2">
      <c r="H11" s="138">
        <f>1/H5</f>
        <v>0.51082668785651453</v>
      </c>
    </row>
    <row r="12" spans="1:22" x14ac:dyDescent="0.2">
      <c r="H12" s="138">
        <f>1/H6</f>
        <v>0.51172707889125812</v>
      </c>
    </row>
    <row r="13" spans="1:22" x14ac:dyDescent="0.2">
      <c r="H13" s="138">
        <f>1/H7</f>
        <v>0.50295631253454853</v>
      </c>
    </row>
    <row r="14" spans="1:22" x14ac:dyDescent="0.2">
      <c r="E14" s="88"/>
      <c r="F14" s="88"/>
      <c r="G14" s="88"/>
      <c r="H14" s="88"/>
      <c r="I14" s="137"/>
    </row>
    <row r="15" spans="1:22" x14ac:dyDescent="0.2">
      <c r="E15" s="88"/>
      <c r="F15" s="88"/>
      <c r="G15" s="88"/>
      <c r="H15" s="88"/>
      <c r="I15" s="137"/>
    </row>
    <row r="16" spans="1:22" x14ac:dyDescent="0.2">
      <c r="E16" s="88"/>
      <c r="F16" s="88"/>
      <c r="G16" s="88"/>
      <c r="H16" s="88"/>
      <c r="I16" s="136"/>
    </row>
  </sheetData>
  <sheetProtection algorithmName="SHA-512" hashValue="LYd3QpUpL4FsHwh7Ml3bJYt6TwwGpnAVG8VHJbRYnLyDpgJQthQK2js8tnqLxWODZg96qMlXqjPewStTUqXvLA==" saltValue="tMJGqRgj9yeC0W1TxZZmaw==" spinCount="100000" sheet="1" objects="1" scenarios="1"/>
  <mergeCells count="1">
    <mergeCell ref="S2:U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5531CFF9453D41957C8E1CB3B94FE0" ma:contentTypeVersion="8" ma:contentTypeDescription="Create a new document." ma:contentTypeScope="" ma:versionID="8bfc1bc9b367de20bff88db23a3c3191">
  <xsd:schema xmlns:xsd="http://www.w3.org/2001/XMLSchema" xmlns:xs="http://www.w3.org/2001/XMLSchema" xmlns:p="http://schemas.microsoft.com/office/2006/metadata/properties" xmlns:ns2="45df10e0-2373-4aaf-a8dc-7d57aa5c1fb0" targetNamespace="http://schemas.microsoft.com/office/2006/metadata/properties" ma:root="true" ma:fieldsID="1552815d5e48d79c85bb56ba5be71e36" ns2:_="">
    <xsd:import namespace="45df10e0-2373-4aaf-a8dc-7d57aa5c1f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f10e0-2373-4aaf-a8dc-7d57aa5c1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4A68A9-78BF-47AE-9D2F-6B3FF355A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f10e0-2373-4aaf-a8dc-7d57aa5c1f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59542A-8AD8-4DB3-A7D3-3DDD81B5D1E2}">
  <ds:schemaRefs>
    <ds:schemaRef ds:uri="http://schemas.microsoft.com/sharepoint/v3/contenttype/forms"/>
  </ds:schemaRefs>
</ds:datastoreItem>
</file>

<file path=customXml/itemProps3.xml><?xml version="1.0" encoding="utf-8"?>
<ds:datastoreItem xmlns:ds="http://schemas.openxmlformats.org/officeDocument/2006/customXml" ds:itemID="{12F71D1C-3B6D-47FE-9987-515A5CA28B1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 Table (WATER)</vt:lpstr>
      <vt:lpstr>WaterEF Table</vt:lpstr>
      <vt:lpstr>Summary Table (AIR)</vt:lpstr>
      <vt:lpstr>Table 5 and 6 - Air EFs</vt:lpstr>
      <vt:lpstr>Table 7 - life-cycle CO2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2020-07-10T10:12:12Z</dcterms:created>
  <dcterms:modified xsi:type="dcterms:W3CDTF">2020-12-02T14:48:54Z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0x0101002A5531CFF9453D41957C8E1CB3B94FE0</vt:lpwstr>
  </property>
</Properties>
</file>