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updateLinks="never" codeName="ThisWorkbook"/>
  <mc:AlternateContent xmlns:mc="http://schemas.openxmlformats.org/markup-compatibility/2006">
    <mc:Choice Requires="x15">
      <x15ac:absPath xmlns:x15ac="http://schemas.microsoft.com/office/spreadsheetml/2010/11/ac" url="/Users/aaron.isenstadt/Downloads/ACCII summary reports copy/"/>
    </mc:Choice>
  </mc:AlternateContent>
  <xr:revisionPtr revIDLastSave="0" documentId="13_ncr:1_{A38AA006-C900-7243-A936-8AD5F4A84378}" xr6:coauthVersionLast="47" xr6:coauthVersionMax="47" xr10:uidLastSave="{00000000-0000-0000-0000-000000000000}"/>
  <bookViews>
    <workbookView xWindow="-120" yWindow="760" windowWidth="29040" windowHeight="15840" tabRatio="767"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County Scale Output 2017-2040" sheetId="20" r:id="rId17"/>
    <sheet name="Default Output 2017-2040" sheetId="21" r:id="rId18"/>
    <sheet name="Output Interpolation" sheetId="22" r:id="rId19"/>
    <sheet name="GREET factors" sheetId="9" r:id="rId20"/>
    <sheet name="State grid data" sheetId="31" r:id="rId21"/>
    <sheet name="Regional GREET factors" sheetId="23" r:id="rId22"/>
  </sheets>
  <externalReferences>
    <externalReference r:id="rId23"/>
    <externalReference r:id="rId24"/>
    <externalReference r:id="rId25"/>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 l="1"/>
  <c r="E19" i="1"/>
  <c r="E23" i="1" s="1"/>
  <c r="E18" i="1"/>
  <c r="E17" i="1"/>
  <c r="E14" i="1"/>
  <c r="E16" i="1" s="1"/>
  <c r="E9" i="1"/>
  <c r="E10" i="1" s="1"/>
  <c r="E8" i="1"/>
  <c r="W37" i="1"/>
  <c r="W32" i="1"/>
  <c r="W27" i="1"/>
  <c r="W22" i="1"/>
  <c r="W17"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26" i="1"/>
  <c r="K24" i="2"/>
  <c r="L24" i="2"/>
  <c r="K25" i="2"/>
  <c r="L25" i="2"/>
  <c r="K26" i="2"/>
  <c r="L26" i="2"/>
  <c r="K27" i="2"/>
  <c r="L27" i="2"/>
  <c r="K28" i="2"/>
  <c r="L28" i="2"/>
  <c r="K29" i="2"/>
  <c r="L29" i="2"/>
  <c r="K30" i="2"/>
  <c r="L30" i="2"/>
  <c r="K31" i="2"/>
  <c r="L31" i="2"/>
  <c r="K32" i="2"/>
  <c r="L32" i="2"/>
  <c r="K23" i="2"/>
  <c r="L23" i="2"/>
  <c r="B34" i="36"/>
  <c r="B33" i="36"/>
  <c r="B32" i="36"/>
  <c r="B31" i="36"/>
  <c r="M24" i="2"/>
  <c r="M25" i="2"/>
  <c r="M26" i="2"/>
  <c r="M27" i="2"/>
  <c r="M28" i="2"/>
  <c r="M29" i="2"/>
  <c r="M30" i="2"/>
  <c r="M31" i="2"/>
  <c r="M32" i="2"/>
  <c r="M23" i="2"/>
  <c r="AF51" i="15"/>
  <c r="AF50" i="15"/>
  <c r="AG49" i="15"/>
  <c r="AF49" i="15"/>
  <c r="AF48" i="15"/>
  <c r="AD47" i="15"/>
  <c r="AC47" i="15"/>
  <c r="AD51" i="15"/>
  <c r="AC51" i="15"/>
  <c r="AD50" i="15"/>
  <c r="AC50" i="15"/>
  <c r="AE49" i="15"/>
  <c r="AD49" i="15"/>
  <c r="AC49" i="15"/>
  <c r="AD48" i="15"/>
  <c r="AC48" i="15"/>
  <c r="F108" i="11"/>
  <c r="D108" i="11"/>
  <c r="C108" i="11"/>
  <c r="B25" i="36"/>
  <c r="B24" i="36"/>
  <c r="B23" i="36"/>
  <c r="B22" i="36"/>
  <c r="Z13" i="2"/>
  <c r="AC68" i="2"/>
  <c r="AB68" i="2"/>
  <c r="AC58" i="2"/>
  <c r="AB58" i="2"/>
  <c r="AC48" i="2"/>
  <c r="AB48" i="2"/>
  <c r="B35" i="36" l="1"/>
  <c r="B26" i="36"/>
  <c r="E12" i="1"/>
  <c r="E20" i="1"/>
  <c r="E11" i="1"/>
  <c r="E13" i="1"/>
  <c r="E21" i="1"/>
  <c r="E22" i="1"/>
  <c r="E15" i="1"/>
  <c r="AA68" i="2"/>
  <c r="Z68" i="2"/>
  <c r="Y68" i="2"/>
  <c r="X68" i="2"/>
  <c r="W68" i="2"/>
  <c r="AA67" i="2"/>
  <c r="Z67" i="2"/>
  <c r="Y67" i="2"/>
  <c r="X67" i="2"/>
  <c r="W67" i="2"/>
  <c r="AA66" i="2"/>
  <c r="Z66" i="2"/>
  <c r="Y66" i="2"/>
  <c r="X66" i="2"/>
  <c r="W66" i="2"/>
  <c r="AA65" i="2"/>
  <c r="Z65" i="2"/>
  <c r="Y65" i="2"/>
  <c r="X65" i="2"/>
  <c r="W65" i="2"/>
  <c r="AA64" i="2"/>
  <c r="Z64" i="2"/>
  <c r="Y64" i="2"/>
  <c r="X64" i="2"/>
  <c r="W64" i="2"/>
  <c r="AA63" i="2"/>
  <c r="Z63" i="2"/>
  <c r="Y63" i="2"/>
  <c r="X63" i="2"/>
  <c r="W63" i="2"/>
  <c r="AA62" i="2"/>
  <c r="Z62" i="2"/>
  <c r="Y62" i="2"/>
  <c r="X62" i="2"/>
  <c r="W62" i="2"/>
  <c r="AA61" i="2"/>
  <c r="Z61" i="2"/>
  <c r="Y61" i="2"/>
  <c r="X61" i="2"/>
  <c r="W61" i="2"/>
  <c r="AA60" i="2"/>
  <c r="Z60" i="2"/>
  <c r="Y60" i="2"/>
  <c r="X60" i="2"/>
  <c r="W60" i="2"/>
  <c r="AA59" i="2"/>
  <c r="Z59" i="2"/>
  <c r="Y59" i="2"/>
  <c r="X59" i="2"/>
  <c r="W59" i="2"/>
  <c r="AA58" i="2"/>
  <c r="Z58" i="2"/>
  <c r="Y58" i="2"/>
  <c r="X58" i="2"/>
  <c r="W58" i="2"/>
  <c r="AA57" i="2"/>
  <c r="Z57" i="2"/>
  <c r="Y57" i="2"/>
  <c r="X57" i="2"/>
  <c r="W57" i="2"/>
  <c r="AA56" i="2"/>
  <c r="Z56" i="2"/>
  <c r="Y56" i="2"/>
  <c r="X56" i="2"/>
  <c r="W56" i="2"/>
  <c r="AA55" i="2"/>
  <c r="Z55" i="2"/>
  <c r="Y55" i="2"/>
  <c r="X55" i="2"/>
  <c r="W55" i="2"/>
  <c r="AA54" i="2"/>
  <c r="Z54" i="2"/>
  <c r="Y54" i="2"/>
  <c r="X54" i="2"/>
  <c r="W54" i="2"/>
  <c r="AA53" i="2"/>
  <c r="Z53" i="2"/>
  <c r="Y53" i="2"/>
  <c r="X53" i="2"/>
  <c r="W53" i="2"/>
  <c r="AA52" i="2"/>
  <c r="Z52" i="2"/>
  <c r="Y52" i="2"/>
  <c r="X52" i="2"/>
  <c r="W52" i="2"/>
  <c r="AA51" i="2"/>
  <c r="Z51" i="2"/>
  <c r="Y51" i="2"/>
  <c r="X51" i="2"/>
  <c r="W51" i="2"/>
  <c r="AA50" i="2"/>
  <c r="Z50" i="2"/>
  <c r="Y50" i="2"/>
  <c r="X50" i="2"/>
  <c r="W50" i="2"/>
  <c r="AA49" i="2"/>
  <c r="Z49" i="2"/>
  <c r="Y49" i="2"/>
  <c r="X49" i="2"/>
  <c r="W49" i="2"/>
  <c r="AA48" i="2"/>
  <c r="Z48" i="2"/>
  <c r="Y48" i="2"/>
  <c r="X48" i="2"/>
  <c r="W48" i="2"/>
  <c r="AA47" i="2"/>
  <c r="Z47" i="2"/>
  <c r="Y47" i="2"/>
  <c r="X47" i="2"/>
  <c r="W47" i="2"/>
  <c r="AA46" i="2"/>
  <c r="Z46" i="2"/>
  <c r="Y46" i="2"/>
  <c r="X46" i="2"/>
  <c r="W46" i="2"/>
  <c r="AA45" i="2"/>
  <c r="Z45" i="2"/>
  <c r="Y45" i="2"/>
  <c r="X45" i="2"/>
  <c r="W45" i="2"/>
  <c r="AA44" i="2"/>
  <c r="Z44" i="2"/>
  <c r="Y44" i="2"/>
  <c r="X44" i="2"/>
  <c r="W44" i="2"/>
  <c r="AA43" i="2"/>
  <c r="Z43" i="2"/>
  <c r="Y43" i="2"/>
  <c r="X43" i="2"/>
  <c r="W43" i="2"/>
  <c r="AA42" i="2"/>
  <c r="Z42" i="2"/>
  <c r="Y42" i="2"/>
  <c r="X42" i="2"/>
  <c r="W42" i="2"/>
  <c r="AA41" i="2"/>
  <c r="Z41" i="2"/>
  <c r="Y41" i="2"/>
  <c r="X41" i="2"/>
  <c r="W41" i="2"/>
  <c r="AA40" i="2"/>
  <c r="Z40" i="2"/>
  <c r="Y40" i="2"/>
  <c r="X40" i="2"/>
  <c r="W40" i="2"/>
  <c r="AA39" i="2"/>
  <c r="Z39" i="2"/>
  <c r="Y39" i="2"/>
  <c r="X39" i="2"/>
  <c r="W39" i="2"/>
  <c r="AD68" i="2" l="1"/>
  <c r="AG59" i="2" s="1"/>
  <c r="AD58" i="2"/>
  <c r="AD48" i="2"/>
  <c r="D13" i="2"/>
  <c r="AG54" i="2" l="1"/>
  <c r="AG55" i="2"/>
  <c r="AG51" i="2"/>
  <c r="AG56" i="2"/>
  <c r="AG57" i="2"/>
  <c r="AG52" i="2"/>
  <c r="AG53" i="2"/>
  <c r="AG58" i="2"/>
  <c r="AG49" i="2"/>
  <c r="AG50" i="2"/>
  <c r="AG48" i="2"/>
  <c r="AG40" i="2"/>
  <c r="AG46" i="2"/>
  <c r="AG42" i="2"/>
  <c r="AG47" i="2"/>
  <c r="AG43" i="2"/>
  <c r="AG44" i="2"/>
  <c r="AG39" i="2"/>
  <c r="AG45" i="2"/>
  <c r="AG41" i="2"/>
  <c r="G9" i="31" l="1"/>
  <c r="F9" i="31"/>
  <c r="E9" i="31"/>
  <c r="D9" i="31"/>
  <c r="C9" i="31"/>
  <c r="G79" i="23" l="1"/>
  <c r="E79" i="23"/>
  <c r="D79" i="23"/>
  <c r="C79" i="23"/>
  <c r="A79" i="23"/>
  <c r="E74" i="23"/>
  <c r="E75" i="23" l="1"/>
  <c r="K7" i="9" l="1"/>
  <c r="M5" i="9"/>
  <c r="K5" i="9"/>
  <c r="J5" i="9"/>
  <c r="M4" i="9"/>
  <c r="L4" i="9"/>
  <c r="K4" i="9"/>
  <c r="J4" i="9"/>
  <c r="M3" i="9"/>
  <c r="M7" i="9" s="1"/>
  <c r="K3" i="9"/>
  <c r="K125" i="9"/>
  <c r="L6" i="9" s="1"/>
  <c r="J119" i="9"/>
  <c r="J120" i="9"/>
  <c r="J121" i="9"/>
  <c r="J122" i="9"/>
  <c r="J123" i="9"/>
  <c r="J124" i="9"/>
  <c r="J118" i="9"/>
  <c r="L5" i="9" s="1"/>
  <c r="D119" i="9"/>
  <c r="J3" i="9" s="1"/>
  <c r="J7" i="9" s="1"/>
  <c r="D120" i="9"/>
  <c r="D121" i="9"/>
  <c r="D122" i="9"/>
  <c r="D123" i="9"/>
  <c r="D124" i="9"/>
  <c r="D118" i="9"/>
  <c r="L3" i="9" s="1"/>
  <c r="L7" i="9" l="1"/>
  <c r="G103" i="23" l="1"/>
  <c r="E103" i="23"/>
  <c r="D103" i="23"/>
  <c r="C103" i="23"/>
  <c r="A103" i="23"/>
  <c r="K10" i="34" l="1"/>
  <c r="K11" i="34"/>
  <c r="K12" i="34"/>
  <c r="K13" i="34"/>
  <c r="K14" i="34"/>
  <c r="K15" i="34"/>
  <c r="K16" i="34"/>
  <c r="K17" i="34"/>
  <c r="K18" i="34"/>
  <c r="K19" i="34"/>
  <c r="K20" i="34"/>
  <c r="K21" i="34"/>
  <c r="K22" i="34"/>
  <c r="K23" i="34"/>
  <c r="K24" i="34"/>
  <c r="K9" i="34"/>
  <c r="U9" i="35" l="1"/>
  <c r="V9" i="35"/>
  <c r="W9" i="35"/>
  <c r="U10" i="35"/>
  <c r="V10" i="35"/>
  <c r="W10" i="35"/>
  <c r="U11" i="35"/>
  <c r="V11" i="35"/>
  <c r="W11" i="35"/>
  <c r="U12" i="35"/>
  <c r="V12" i="35"/>
  <c r="W12" i="35"/>
  <c r="U13" i="35"/>
  <c r="V13" i="35"/>
  <c r="W13" i="35"/>
  <c r="U14" i="35"/>
  <c r="V14" i="35"/>
  <c r="W14" i="35"/>
  <c r="U15" i="35"/>
  <c r="V15" i="35"/>
  <c r="W15" i="35"/>
  <c r="U16" i="35"/>
  <c r="V16" i="35"/>
  <c r="W16" i="35"/>
  <c r="U17" i="35"/>
  <c r="V17" i="35"/>
  <c r="W17" i="35"/>
  <c r="U18" i="35"/>
  <c r="V18" i="35"/>
  <c r="W18" i="35"/>
  <c r="U19" i="35"/>
  <c r="V19" i="35"/>
  <c r="W19" i="35"/>
  <c r="U20" i="35"/>
  <c r="V20" i="35"/>
  <c r="W20" i="35"/>
  <c r="U21" i="35"/>
  <c r="V21" i="35"/>
  <c r="W21" i="35"/>
  <c r="U22" i="35"/>
  <c r="V22" i="35"/>
  <c r="W22" i="35"/>
  <c r="U23" i="35"/>
  <c r="V23" i="35"/>
  <c r="W23" i="35"/>
  <c r="U24" i="35"/>
  <c r="V24" i="35"/>
  <c r="W24" i="35"/>
  <c r="V8" i="35"/>
  <c r="W8" i="35"/>
  <c r="U8" i="35"/>
  <c r="L17" i="9"/>
  <c r="M17" i="9"/>
  <c r="N17" i="9"/>
  <c r="O17" i="9"/>
  <c r="K17" i="9"/>
  <c r="L38" i="9"/>
  <c r="M38" i="9"/>
  <c r="N38" i="9"/>
  <c r="O38" i="9"/>
  <c r="K38" i="9"/>
  <c r="L59" i="9"/>
  <c r="M59" i="9"/>
  <c r="N59" i="9"/>
  <c r="O59" i="9"/>
  <c r="K59" i="9"/>
  <c r="L80" i="9"/>
  <c r="M80" i="9"/>
  <c r="N80" i="9"/>
  <c r="O80" i="9"/>
  <c r="K80" i="9"/>
  <c r="Q43" i="35" l="1"/>
  <c r="Q42" i="35"/>
  <c r="Q41" i="35"/>
  <c r="Q40" i="35"/>
  <c r="Q38" i="35"/>
  <c r="Q37" i="35"/>
  <c r="Q36" i="35"/>
  <c r="Q35" i="35"/>
  <c r="Q31" i="35"/>
  <c r="Q33" i="35"/>
  <c r="Q32" i="35"/>
  <c r="Q30" i="35"/>
  <c r="Q44" i="35"/>
  <c r="Q39" i="35"/>
  <c r="Q34" i="35"/>
  <c r="Q29" i="35"/>
  <c r="F90" i="35"/>
  <c r="G90" i="35" s="1"/>
  <c r="F83" i="35"/>
  <c r="G83" i="35" s="1"/>
  <c r="F76" i="35"/>
  <c r="G76" i="35" s="1"/>
  <c r="F69" i="35"/>
  <c r="G69" i="35" s="1"/>
  <c r="G60" i="35"/>
  <c r="F60" i="35"/>
  <c r="N44" i="35" l="1"/>
  <c r="N38" i="35" l="1"/>
  <c r="N37" i="35"/>
  <c r="N34" i="35"/>
  <c r="N36" i="35"/>
  <c r="N43" i="35"/>
  <c r="N35" i="35"/>
  <c r="N42" i="35"/>
  <c r="N41" i="35"/>
  <c r="N39" i="35"/>
  <c r="N40" i="35"/>
  <c r="J8" i="35"/>
  <c r="N29" i="35" l="1"/>
  <c r="N33" i="35"/>
  <c r="N32" i="35"/>
  <c r="N31" i="35"/>
  <c r="N30" i="35"/>
  <c r="T493" i="34" l="1"/>
  <c r="T462" i="34"/>
  <c r="T431" i="34"/>
  <c r="U431" i="34" s="1"/>
  <c r="Y42" i="34" s="1"/>
  <c r="E41" i="34" s="1"/>
  <c r="T400" i="34"/>
  <c r="T369" i="34"/>
  <c r="T338" i="34"/>
  <c r="T307" i="34"/>
  <c r="T276" i="34"/>
  <c r="T245" i="34"/>
  <c r="T214" i="34"/>
  <c r="T183" i="34"/>
  <c r="U183" i="34" s="1"/>
  <c r="Y34" i="34" s="1"/>
  <c r="E33" i="34" s="1"/>
  <c r="T152" i="34"/>
  <c r="T121" i="34"/>
  <c r="T90" i="34"/>
  <c r="T59" i="34"/>
  <c r="S493" i="34"/>
  <c r="S462" i="34"/>
  <c r="S431" i="34"/>
  <c r="S400" i="34"/>
  <c r="S369" i="34"/>
  <c r="S338" i="34"/>
  <c r="S307" i="34"/>
  <c r="S276" i="34"/>
  <c r="S245" i="34"/>
  <c r="S214" i="34"/>
  <c r="S183" i="34"/>
  <c r="S152" i="34"/>
  <c r="S121" i="34"/>
  <c r="S90" i="34"/>
  <c r="S59" i="34"/>
  <c r="S10" i="35"/>
  <c r="S9" i="35"/>
  <c r="S8" i="35"/>
  <c r="S7" i="35"/>
  <c r="U152" i="34" l="1"/>
  <c r="Y33" i="34" s="1"/>
  <c r="E32" i="34" s="1"/>
  <c r="U59" i="34"/>
  <c r="Y30" i="34" s="1"/>
  <c r="U307" i="34"/>
  <c r="Y38" i="34" s="1"/>
  <c r="E37" i="34" s="1"/>
  <c r="U245" i="34"/>
  <c r="Y36" i="34" s="1"/>
  <c r="E35" i="34" s="1"/>
  <c r="U400" i="34"/>
  <c r="Y41" i="34" s="1"/>
  <c r="E40" i="34" s="1"/>
  <c r="U276" i="34"/>
  <c r="Y37" i="34" s="1"/>
  <c r="E36" i="34" s="1"/>
  <c r="U214" i="34"/>
  <c r="Y35" i="34" s="1"/>
  <c r="E34" i="34" s="1"/>
  <c r="U462" i="34"/>
  <c r="Y43" i="34" s="1"/>
  <c r="E42" i="34" s="1"/>
  <c r="U369" i="34"/>
  <c r="Y40" i="34" s="1"/>
  <c r="E39" i="34" s="1"/>
  <c r="U493" i="34"/>
  <c r="Y44" i="34" s="1"/>
  <c r="E43" i="34" s="1"/>
  <c r="U121" i="34"/>
  <c r="Y32" i="34" s="1"/>
  <c r="E31" i="34" s="1"/>
  <c r="U90" i="34"/>
  <c r="Y31" i="34" s="1"/>
  <c r="E30" i="34" s="1"/>
  <c r="U338" i="34"/>
  <c r="Y39" i="34" s="1"/>
  <c r="E38"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G18" i="2" l="1"/>
  <c r="G19" i="2" s="1"/>
  <c r="G20" i="2" s="1"/>
  <c r="G21" i="2" s="1"/>
  <c r="G22" i="2" s="1"/>
  <c r="G23" i="2" s="1"/>
  <c r="G24" i="2" s="1"/>
  <c r="G25" i="2" s="1"/>
  <c r="G26" i="2" s="1"/>
  <c r="G27" i="2" s="1"/>
  <c r="G28" i="2" s="1"/>
  <c r="G29" i="2" s="1"/>
  <c r="G30" i="2" s="1"/>
  <c r="G31" i="2" s="1"/>
  <c r="G32" i="2" s="1"/>
  <c r="D32" i="2" s="1"/>
  <c r="G15" i="2"/>
  <c r="D15" i="2" s="1"/>
  <c r="L30" i="35"/>
  <c r="M30" i="35"/>
  <c r="O30" i="35" s="1"/>
  <c r="M32" i="35"/>
  <c r="L32" i="35"/>
  <c r="L33" i="35" s="1"/>
  <c r="L34" i="35" s="1"/>
  <c r="L35" i="35" s="1"/>
  <c r="L36" i="35" s="1"/>
  <c r="L37" i="35" s="1"/>
  <c r="L38" i="35" s="1"/>
  <c r="L39" i="35" s="1"/>
  <c r="L40" i="35" s="1"/>
  <c r="L41" i="35" s="1"/>
  <c r="L42" i="35" s="1"/>
  <c r="L43" i="35" s="1"/>
  <c r="L44" i="35" s="1"/>
  <c r="L29" i="35"/>
  <c r="M29" i="35"/>
  <c r="O29" i="35" s="1"/>
  <c r="P29" i="35" s="1"/>
  <c r="M31" i="35"/>
  <c r="O31" i="35" s="1"/>
  <c r="L31" i="35"/>
  <c r="C22" i="2"/>
  <c r="C31" i="2"/>
  <c r="C30" i="2"/>
  <c r="C25" i="2"/>
  <c r="C23" i="2"/>
  <c r="B18" i="2"/>
  <c r="B15" i="2"/>
  <c r="C28" i="2"/>
  <c r="C20" i="2"/>
  <c r="G16" i="2"/>
  <c r="D16" i="2" s="1"/>
  <c r="C27" i="2"/>
  <c r="C19" i="2"/>
  <c r="C24" i="2"/>
  <c r="C29" i="2"/>
  <c r="C21" i="2"/>
  <c r="B16" i="2"/>
  <c r="C26" i="2"/>
  <c r="C18" i="2"/>
  <c r="G17" i="2"/>
  <c r="D17" i="2" s="1"/>
  <c r="E19" i="2"/>
  <c r="D14" i="2"/>
  <c r="E100" i="2"/>
  <c r="D100" i="2"/>
  <c r="C100"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D23" i="2" l="1"/>
  <c r="D20" i="2"/>
  <c r="D21" i="2"/>
  <c r="D28" i="2"/>
  <c r="D31" i="2"/>
  <c r="D19" i="2"/>
  <c r="D29" i="2"/>
  <c r="D27" i="2"/>
  <c r="D25" i="2"/>
  <c r="D18" i="2"/>
  <c r="D30" i="2"/>
  <c r="D24" i="2"/>
  <c r="D22" i="2"/>
  <c r="D26" i="2"/>
  <c r="C9" i="35"/>
  <c r="E9" i="35"/>
  <c r="F9" i="35"/>
  <c r="D9" i="35"/>
  <c r="P31" i="35"/>
  <c r="O32" i="35"/>
  <c r="P32" i="35" s="1"/>
  <c r="M33" i="35"/>
  <c r="P30" i="35"/>
  <c r="E20" i="2"/>
  <c r="B19" i="2"/>
  <c r="G100" i="2"/>
  <c r="F100" i="2" s="1"/>
  <c r="E114" i="23"/>
  <c r="D114" i="23"/>
  <c r="E113" i="23"/>
  <c r="D113" i="23"/>
  <c r="E112" i="23"/>
  <c r="D112" i="23"/>
  <c r="E111" i="23"/>
  <c r="D111" i="23"/>
  <c r="E110" i="23"/>
  <c r="D110" i="23"/>
  <c r="E109" i="23"/>
  <c r="D109" i="23"/>
  <c r="E94" i="23"/>
  <c r="D94" i="23"/>
  <c r="E93" i="23"/>
  <c r="D93" i="23"/>
  <c r="E92" i="23"/>
  <c r="D92" i="23"/>
  <c r="E91" i="23"/>
  <c r="D91" i="23"/>
  <c r="E90" i="23"/>
  <c r="D90" i="23"/>
  <c r="E89" i="23"/>
  <c r="D89" i="23"/>
  <c r="D74" i="23"/>
  <c r="D73" i="23"/>
  <c r="D72" i="23"/>
  <c r="D71" i="23"/>
  <c r="D70" i="23"/>
  <c r="D69" i="23"/>
  <c r="E11" i="35" l="1"/>
  <c r="C11" i="35"/>
  <c r="F11" i="35"/>
  <c r="D11" i="35"/>
  <c r="F10" i="35"/>
  <c r="C10" i="35"/>
  <c r="D10" i="35"/>
  <c r="E10" i="35"/>
  <c r="D12" i="35"/>
  <c r="E12" i="35"/>
  <c r="C12" i="35"/>
  <c r="F12" i="35"/>
  <c r="O33" i="35"/>
  <c r="P33" i="35" s="1"/>
  <c r="M34" i="35"/>
  <c r="E21" i="2"/>
  <c r="B20" i="2"/>
  <c r="D75" i="23"/>
  <c r="B79" i="23" s="1"/>
  <c r="L13" i="9" s="1"/>
  <c r="C28" i="9" s="1"/>
  <c r="C112" i="9" s="1"/>
  <c r="F103" i="23"/>
  <c r="B103" i="23"/>
  <c r="G83" i="23"/>
  <c r="F83" i="23"/>
  <c r="E83" i="23"/>
  <c r="D83" i="23"/>
  <c r="C83" i="23"/>
  <c r="B83" i="23"/>
  <c r="A83" i="23"/>
  <c r="G63" i="23"/>
  <c r="F63" i="23"/>
  <c r="E63" i="23"/>
  <c r="D63" i="23"/>
  <c r="C63" i="23"/>
  <c r="B63" i="23"/>
  <c r="A63" i="23"/>
  <c r="D115" i="23"/>
  <c r="D95" i="23"/>
  <c r="AN19" i="15"/>
  <c r="AN18" i="15"/>
  <c r="AN17" i="15"/>
  <c r="AN16" i="15"/>
  <c r="AN15" i="15"/>
  <c r="AN14" i="15"/>
  <c r="AN13" i="15"/>
  <c r="AN12" i="15"/>
  <c r="AN11" i="15"/>
  <c r="AN10" i="15"/>
  <c r="AN9" i="15"/>
  <c r="AN8" i="15"/>
  <c r="AN7" i="15"/>
  <c r="AN6" i="15"/>
  <c r="AN5" i="15"/>
  <c r="AN4" i="15"/>
  <c r="C64" i="40"/>
  <c r="B64" i="40"/>
  <c r="C24" i="40"/>
  <c r="B24" i="40"/>
  <c r="H44" i="39"/>
  <c r="C75" i="40"/>
  <c r="C76" i="40" s="1"/>
  <c r="C77" i="40" s="1"/>
  <c r="C78" i="40" s="1"/>
  <c r="C79" i="40" s="1"/>
  <c r="B75" i="40"/>
  <c r="B76" i="40" s="1"/>
  <c r="B77" i="40" s="1"/>
  <c r="B78" i="40" s="1"/>
  <c r="B79" i="40" s="1"/>
  <c r="C71" i="40"/>
  <c r="C72" i="40" s="1"/>
  <c r="C73" i="40" s="1"/>
  <c r="C74" i="40" s="1"/>
  <c r="B71" i="40"/>
  <c r="B72" i="40" s="1"/>
  <c r="B73" i="40" s="1"/>
  <c r="C70" i="40"/>
  <c r="B70" i="40"/>
  <c r="C69" i="40"/>
  <c r="B69" i="40"/>
  <c r="C68" i="40"/>
  <c r="B68" i="40"/>
  <c r="C67" i="40"/>
  <c r="B67" i="40"/>
  <c r="C66" i="40"/>
  <c r="B66" i="40"/>
  <c r="C65" i="40"/>
  <c r="B65" i="40"/>
  <c r="L60" i="40"/>
  <c r="K60" i="40"/>
  <c r="I60" i="40"/>
  <c r="H60" i="40"/>
  <c r="G60" i="40"/>
  <c r="F60" i="40"/>
  <c r="E60" i="40"/>
  <c r="L59" i="40"/>
  <c r="K59" i="40"/>
  <c r="I59" i="40"/>
  <c r="H59" i="40"/>
  <c r="G59" i="40"/>
  <c r="F59" i="40"/>
  <c r="E59" i="40"/>
  <c r="L58" i="40"/>
  <c r="K58" i="40"/>
  <c r="I58" i="40"/>
  <c r="H58" i="40"/>
  <c r="G58" i="40"/>
  <c r="F58" i="40"/>
  <c r="E58" i="40"/>
  <c r="L57" i="40"/>
  <c r="K57" i="40"/>
  <c r="I57" i="40"/>
  <c r="H57" i="40"/>
  <c r="G57" i="40"/>
  <c r="F57" i="40"/>
  <c r="E57" i="40"/>
  <c r="L56" i="40"/>
  <c r="K56" i="40"/>
  <c r="I56" i="40"/>
  <c r="H56" i="40"/>
  <c r="G56" i="40"/>
  <c r="F56" i="40"/>
  <c r="E56" i="40"/>
  <c r="L55" i="40"/>
  <c r="K55" i="40"/>
  <c r="I55" i="40"/>
  <c r="H55" i="40"/>
  <c r="G55" i="40"/>
  <c r="F55" i="40"/>
  <c r="E55" i="40"/>
  <c r="L54" i="40"/>
  <c r="K54" i="40"/>
  <c r="I54" i="40"/>
  <c r="H54" i="40"/>
  <c r="G54" i="40"/>
  <c r="F54" i="40"/>
  <c r="E54" i="40"/>
  <c r="L53" i="40"/>
  <c r="K53" i="40"/>
  <c r="I53" i="40"/>
  <c r="H53" i="40"/>
  <c r="G53" i="40"/>
  <c r="F53" i="40"/>
  <c r="E53" i="40"/>
  <c r="L52" i="40"/>
  <c r="K52" i="40"/>
  <c r="I52" i="40"/>
  <c r="H52" i="40"/>
  <c r="G52" i="40"/>
  <c r="F52" i="40"/>
  <c r="E52" i="40"/>
  <c r="L51" i="40"/>
  <c r="K51" i="40"/>
  <c r="I51" i="40"/>
  <c r="H51" i="40"/>
  <c r="G51" i="40"/>
  <c r="F51" i="40"/>
  <c r="E51" i="40"/>
  <c r="L50" i="40"/>
  <c r="K50" i="40"/>
  <c r="I50" i="40"/>
  <c r="H50" i="40"/>
  <c r="G50" i="40"/>
  <c r="F50" i="40"/>
  <c r="E50" i="40"/>
  <c r="L49" i="40"/>
  <c r="K49" i="40"/>
  <c r="I49" i="40"/>
  <c r="H49" i="40"/>
  <c r="G49" i="40"/>
  <c r="F49" i="40"/>
  <c r="E49" i="40"/>
  <c r="L48" i="40"/>
  <c r="K48" i="40"/>
  <c r="I48" i="40"/>
  <c r="H48" i="40"/>
  <c r="G48" i="40"/>
  <c r="F48" i="40"/>
  <c r="E48" i="40"/>
  <c r="L47" i="40"/>
  <c r="K47" i="40"/>
  <c r="I47" i="40"/>
  <c r="H47" i="40"/>
  <c r="G47" i="40"/>
  <c r="F47" i="40"/>
  <c r="E47" i="40"/>
  <c r="L46" i="40"/>
  <c r="K46" i="40"/>
  <c r="I46" i="40"/>
  <c r="H46" i="40"/>
  <c r="G46" i="40"/>
  <c r="F46" i="40"/>
  <c r="E46" i="40"/>
  <c r="L45" i="40"/>
  <c r="K45" i="40"/>
  <c r="I45" i="40"/>
  <c r="H45" i="40"/>
  <c r="G45" i="40"/>
  <c r="F45" i="40"/>
  <c r="E45" i="40"/>
  <c r="C35" i="40"/>
  <c r="C36" i="40" s="1"/>
  <c r="C37" i="40" s="1"/>
  <c r="C38" i="40" s="1"/>
  <c r="C39" i="40" s="1"/>
  <c r="B35" i="40"/>
  <c r="B36" i="40" s="1"/>
  <c r="B37" i="40" s="1"/>
  <c r="B38" i="40" s="1"/>
  <c r="B39" i="40" s="1"/>
  <c r="C31" i="40"/>
  <c r="C32" i="40" s="1"/>
  <c r="C33" i="40" s="1"/>
  <c r="C34" i="40" s="1"/>
  <c r="B31" i="40"/>
  <c r="B32" i="40" s="1"/>
  <c r="B33" i="40" s="1"/>
  <c r="B34" i="40" s="1"/>
  <c r="C30" i="40"/>
  <c r="B30" i="40"/>
  <c r="C29" i="40"/>
  <c r="B29" i="40"/>
  <c r="C28" i="40"/>
  <c r="B28" i="40"/>
  <c r="C27" i="40"/>
  <c r="B27" i="40"/>
  <c r="C26" i="40"/>
  <c r="B26" i="40"/>
  <c r="C25" i="40"/>
  <c r="B25" i="40"/>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E13" i="35" l="1"/>
  <c r="F13" i="35"/>
  <c r="C13" i="35"/>
  <c r="D13" i="35"/>
  <c r="M35" i="35"/>
  <c r="O34" i="35"/>
  <c r="P34" i="35" s="1"/>
  <c r="E22" i="2"/>
  <c r="B21" i="2"/>
  <c r="M10" i="40"/>
  <c r="I49" i="39" s="1"/>
  <c r="O13" i="9"/>
  <c r="F12" i="9" s="1"/>
  <c r="K13" i="9"/>
  <c r="B23" i="9" s="1"/>
  <c r="B107" i="9" s="1"/>
  <c r="Q13" i="9"/>
  <c r="H12" i="9" s="1"/>
  <c r="H96" i="9" s="1"/>
  <c r="F79" i="23"/>
  <c r="P13" i="9" s="1"/>
  <c r="G18" i="9" s="1"/>
  <c r="G102" i="9" s="1"/>
  <c r="N13" i="9"/>
  <c r="M13" i="9"/>
  <c r="C12" i="9"/>
  <c r="C96" i="9" s="1"/>
  <c r="G99" i="23"/>
  <c r="Q34" i="9" s="1"/>
  <c r="F99" i="23"/>
  <c r="P34" i="9" s="1"/>
  <c r="E99" i="23"/>
  <c r="O34" i="9" s="1"/>
  <c r="D99" i="23"/>
  <c r="N34" i="9" s="1"/>
  <c r="A99" i="23"/>
  <c r="K34" i="9" s="1"/>
  <c r="C99" i="23"/>
  <c r="M34" i="9" s="1"/>
  <c r="B99" i="23"/>
  <c r="L34" i="9" s="1"/>
  <c r="A119" i="23"/>
  <c r="K55" i="9" s="1"/>
  <c r="B119" i="23"/>
  <c r="L55" i="9" s="1"/>
  <c r="C119" i="23"/>
  <c r="M55" i="9" s="1"/>
  <c r="F119" i="23"/>
  <c r="P55" i="9" s="1"/>
  <c r="G119" i="23"/>
  <c r="Q55" i="9" s="1"/>
  <c r="D119" i="23"/>
  <c r="N55" i="9" s="1"/>
  <c r="E119" i="23"/>
  <c r="O55" i="9" s="1"/>
  <c r="C23" i="9"/>
  <c r="C107" i="9" s="1"/>
  <c r="C18" i="9"/>
  <c r="C102" i="9" s="1"/>
  <c r="J49" i="40"/>
  <c r="J59" i="40"/>
  <c r="J57" i="40"/>
  <c r="J48" i="40"/>
  <c r="N67" i="40" s="1"/>
  <c r="J47" i="40"/>
  <c r="B47" i="40" s="1"/>
  <c r="J56" i="40"/>
  <c r="N75" i="40" s="1"/>
  <c r="J58" i="40"/>
  <c r="N77" i="40" s="1"/>
  <c r="J50" i="40"/>
  <c r="B50" i="40" s="1"/>
  <c r="J9" i="40"/>
  <c r="B9" i="40" s="1"/>
  <c r="J46" i="40"/>
  <c r="N65" i="40" s="1"/>
  <c r="J55" i="40"/>
  <c r="B55" i="40" s="1"/>
  <c r="J13" i="40"/>
  <c r="M13" i="40" s="1"/>
  <c r="I52" i="39" s="1"/>
  <c r="B48" i="40"/>
  <c r="J54" i="40"/>
  <c r="B54" i="40" s="1"/>
  <c r="J53" i="40"/>
  <c r="B53" i="40" s="1"/>
  <c r="J45" i="40"/>
  <c r="B45" i="40" s="1"/>
  <c r="J51" i="40"/>
  <c r="N78" i="40"/>
  <c r="B74" i="40"/>
  <c r="N74" i="40" s="1"/>
  <c r="N66" i="40"/>
  <c r="J52" i="40"/>
  <c r="N71" i="40" s="1"/>
  <c r="J60" i="40"/>
  <c r="N79" i="40" s="1"/>
  <c r="J12" i="40"/>
  <c r="J20" i="40"/>
  <c r="J8" i="40"/>
  <c r="J7" i="40"/>
  <c r="B7" i="40" s="1"/>
  <c r="J6" i="40"/>
  <c r="N25" i="40" s="1"/>
  <c r="J15" i="40"/>
  <c r="B15" i="40" s="1"/>
  <c r="J18" i="40"/>
  <c r="B18" i="40" s="1"/>
  <c r="B13" i="40"/>
  <c r="J17" i="40"/>
  <c r="B17" i="40" s="1"/>
  <c r="J11" i="40"/>
  <c r="N30" i="40" s="1"/>
  <c r="J16" i="40"/>
  <c r="J5" i="40"/>
  <c r="J10" i="40"/>
  <c r="N29" i="40" s="1"/>
  <c r="J14" i="40"/>
  <c r="B14" i="40" s="1"/>
  <c r="J19" i="40"/>
  <c r="N38" i="40" s="1"/>
  <c r="N32" i="40"/>
  <c r="F13" i="9" l="1"/>
  <c r="F97" i="9" s="1"/>
  <c r="F96" i="9"/>
  <c r="D14" i="35"/>
  <c r="E14" i="35"/>
  <c r="F14" i="35"/>
  <c r="C14" i="35"/>
  <c r="H18" i="9"/>
  <c r="H102" i="9" s="1"/>
  <c r="F28" i="9"/>
  <c r="F112" i="9" s="1"/>
  <c r="M36" i="35"/>
  <c r="O35" i="35"/>
  <c r="P35" i="35" s="1"/>
  <c r="F18" i="9"/>
  <c r="F102" i="9" s="1"/>
  <c r="H28" i="9"/>
  <c r="H112" i="9" s="1"/>
  <c r="F23" i="9"/>
  <c r="F107" i="9" s="1"/>
  <c r="E23" i="2"/>
  <c r="B22" i="2"/>
  <c r="B28" i="9"/>
  <c r="B112" i="9" s="1"/>
  <c r="M56" i="40"/>
  <c r="J55" i="39" s="1"/>
  <c r="Q78" i="40"/>
  <c r="N64" i="40"/>
  <c r="M53" i="40"/>
  <c r="J52" i="39" s="1"/>
  <c r="B46" i="40"/>
  <c r="M58" i="40"/>
  <c r="J57" i="39" s="1"/>
  <c r="Q65" i="40"/>
  <c r="M50" i="40"/>
  <c r="J49" i="39" s="1"/>
  <c r="M18" i="40"/>
  <c r="I57" i="39" s="1"/>
  <c r="M17" i="40"/>
  <c r="I56" i="39" s="1"/>
  <c r="M45" i="40"/>
  <c r="J44" i="39" s="1"/>
  <c r="L44" i="39" s="1"/>
  <c r="N70" i="40"/>
  <c r="M51" i="40"/>
  <c r="J50" i="39" s="1"/>
  <c r="N68" i="40"/>
  <c r="M49" i="40"/>
  <c r="J48" i="39" s="1"/>
  <c r="M54" i="40"/>
  <c r="J53" i="39" s="1"/>
  <c r="M52" i="40"/>
  <c r="J51" i="39" s="1"/>
  <c r="M46" i="40"/>
  <c r="J45" i="39" s="1"/>
  <c r="M47" i="40"/>
  <c r="J46" i="39" s="1"/>
  <c r="M55" i="40"/>
  <c r="J54" i="39" s="1"/>
  <c r="Q70" i="40"/>
  <c r="N76" i="40"/>
  <c r="M57" i="40"/>
  <c r="J56" i="39" s="1"/>
  <c r="B59" i="40"/>
  <c r="M59" i="40"/>
  <c r="J58" i="39" s="1"/>
  <c r="M60" i="40"/>
  <c r="J59" i="39" s="1"/>
  <c r="M48" i="40"/>
  <c r="J47" i="39" s="1"/>
  <c r="M6" i="40"/>
  <c r="I45" i="39" s="1"/>
  <c r="B5" i="40"/>
  <c r="M5" i="40"/>
  <c r="I44" i="39" s="1"/>
  <c r="K44" i="39" s="1"/>
  <c r="B16" i="40"/>
  <c r="M16" i="40"/>
  <c r="I55" i="39" s="1"/>
  <c r="B8" i="40"/>
  <c r="M8" i="40"/>
  <c r="I47" i="39" s="1"/>
  <c r="N24" i="40"/>
  <c r="Q64" i="40" s="1"/>
  <c r="N34" i="40"/>
  <c r="Q74" i="40" s="1"/>
  <c r="N31" i="40"/>
  <c r="Q71" i="40" s="1"/>
  <c r="M12" i="40"/>
  <c r="I51" i="39" s="1"/>
  <c r="M15" i="40"/>
  <c r="I54" i="39" s="1"/>
  <c r="M19" i="40"/>
  <c r="I58" i="39" s="1"/>
  <c r="C52" i="34"/>
  <c r="B20" i="40"/>
  <c r="M20" i="40"/>
  <c r="I59" i="39" s="1"/>
  <c r="M7" i="40"/>
  <c r="I46" i="39" s="1"/>
  <c r="M11" i="40"/>
  <c r="I50" i="39" s="1"/>
  <c r="C60" i="34"/>
  <c r="M9" i="40"/>
  <c r="I48" i="39" s="1"/>
  <c r="M14" i="40"/>
  <c r="I53" i="39" s="1"/>
  <c r="H13" i="9"/>
  <c r="H97" i="9" s="1"/>
  <c r="G23" i="9"/>
  <c r="G107" i="9" s="1"/>
  <c r="B12" i="9"/>
  <c r="B96" i="9" s="1"/>
  <c r="B18" i="9"/>
  <c r="H23" i="9"/>
  <c r="H107" i="9" s="1"/>
  <c r="D23" i="9"/>
  <c r="D107" i="9" s="1"/>
  <c r="D12" i="9"/>
  <c r="D96" i="9" s="1"/>
  <c r="D18" i="9"/>
  <c r="D102" i="9" s="1"/>
  <c r="D28" i="9"/>
  <c r="D112" i="9" s="1"/>
  <c r="E28" i="9"/>
  <c r="E112" i="9" s="1"/>
  <c r="E23" i="9"/>
  <c r="E107" i="9" s="1"/>
  <c r="E12" i="9"/>
  <c r="E96" i="9" s="1"/>
  <c r="E18" i="9"/>
  <c r="E102" i="9" s="1"/>
  <c r="G28" i="9"/>
  <c r="G112" i="9" s="1"/>
  <c r="G12" i="9"/>
  <c r="G96" i="9" s="1"/>
  <c r="C22" i="9"/>
  <c r="C106" i="9" s="1"/>
  <c r="C13" i="9"/>
  <c r="C97" i="9" s="1"/>
  <c r="C27" i="9"/>
  <c r="C111" i="9" s="1"/>
  <c r="C24" i="9"/>
  <c r="C108" i="9" s="1"/>
  <c r="C26" i="9"/>
  <c r="C110" i="9" s="1"/>
  <c r="C25" i="9"/>
  <c r="C109" i="9" s="1"/>
  <c r="B60" i="9"/>
  <c r="B65" i="9"/>
  <c r="B54" i="9"/>
  <c r="B70" i="9"/>
  <c r="H44" i="9"/>
  <c r="H49" i="9"/>
  <c r="H33" i="9"/>
  <c r="H34" i="9" s="1"/>
  <c r="H39" i="9"/>
  <c r="C70" i="9"/>
  <c r="C65" i="9"/>
  <c r="C54" i="9"/>
  <c r="C60" i="9"/>
  <c r="G44" i="9"/>
  <c r="G39" i="9"/>
  <c r="G49" i="9"/>
  <c r="G33" i="9"/>
  <c r="G34" i="9" s="1"/>
  <c r="C19" i="9"/>
  <c r="C103" i="9" s="1"/>
  <c r="F60" i="9"/>
  <c r="F70" i="9"/>
  <c r="F54" i="9"/>
  <c r="F65" i="9"/>
  <c r="C20" i="9"/>
  <c r="C104" i="9" s="1"/>
  <c r="E65" i="9"/>
  <c r="E70" i="9"/>
  <c r="E54" i="9"/>
  <c r="E60" i="9"/>
  <c r="C33" i="9"/>
  <c r="C34" i="9" s="1"/>
  <c r="C39" i="9"/>
  <c r="C44" i="9"/>
  <c r="C49" i="9"/>
  <c r="F39" i="9"/>
  <c r="F44" i="9"/>
  <c r="F33" i="9"/>
  <c r="F49" i="9"/>
  <c r="C21" i="9"/>
  <c r="C105" i="9" s="1"/>
  <c r="H54" i="9"/>
  <c r="H65" i="9"/>
  <c r="H70" i="9"/>
  <c r="H60" i="9"/>
  <c r="D49" i="9"/>
  <c r="D33" i="9"/>
  <c r="D34" i="9" s="1"/>
  <c r="D39" i="9"/>
  <c r="D44" i="9"/>
  <c r="G70" i="9"/>
  <c r="G60" i="9"/>
  <c r="G54" i="9"/>
  <c r="G65" i="9"/>
  <c r="B33" i="9"/>
  <c r="B34" i="9" s="1"/>
  <c r="B39" i="9"/>
  <c r="B44" i="9"/>
  <c r="B49" i="9"/>
  <c r="D60" i="9"/>
  <c r="D65" i="9"/>
  <c r="D70" i="9"/>
  <c r="D54" i="9"/>
  <c r="E33" i="9"/>
  <c r="E34" i="9" s="1"/>
  <c r="E39" i="9"/>
  <c r="E49" i="9"/>
  <c r="E44" i="9"/>
  <c r="N72" i="40"/>
  <c r="Q72" i="40" s="1"/>
  <c r="B49" i="40"/>
  <c r="B57" i="40"/>
  <c r="B11" i="40"/>
  <c r="B58" i="40"/>
  <c r="B12" i="40"/>
  <c r="N73" i="40"/>
  <c r="N39" i="40"/>
  <c r="Q79" i="40" s="1"/>
  <c r="B19" i="40"/>
  <c r="B10" i="40"/>
  <c r="B51" i="40"/>
  <c r="N69" i="40"/>
  <c r="Q69" i="40" s="1"/>
  <c r="N28" i="40"/>
  <c r="Q68" i="40" s="1"/>
  <c r="B56" i="40"/>
  <c r="B60" i="40"/>
  <c r="B52" i="40"/>
  <c r="N27" i="40"/>
  <c r="Q67" i="40" s="1"/>
  <c r="N37" i="40"/>
  <c r="Q77" i="40" s="1"/>
  <c r="B6" i="40"/>
  <c r="N26" i="40"/>
  <c r="Q66" i="40" s="1"/>
  <c r="N36" i="40"/>
  <c r="N35" i="40"/>
  <c r="Q75" i="40" s="1"/>
  <c r="N33" i="40"/>
  <c r="Q73" i="40" s="1"/>
  <c r="B22" i="9" l="1"/>
  <c r="B106" i="9" s="1"/>
  <c r="B102" i="9"/>
  <c r="H55" i="9"/>
  <c r="C55" i="9"/>
  <c r="B55" i="9"/>
  <c r="E55" i="9"/>
  <c r="D55" i="9"/>
  <c r="G55" i="9"/>
  <c r="D15" i="35"/>
  <c r="C15" i="35"/>
  <c r="E15" i="35"/>
  <c r="F15" i="35"/>
  <c r="F17" i="9"/>
  <c r="F101" i="9" s="1"/>
  <c r="H21" i="9"/>
  <c r="H105" i="9" s="1"/>
  <c r="F16" i="9"/>
  <c r="F100" i="9" s="1"/>
  <c r="F14" i="9"/>
  <c r="F98" i="9" s="1"/>
  <c r="F15" i="9"/>
  <c r="F99" i="9" s="1"/>
  <c r="H16" i="9"/>
  <c r="H100" i="9" s="1"/>
  <c r="G19" i="9"/>
  <c r="G103" i="9" s="1"/>
  <c r="H14" i="9"/>
  <c r="H98" i="9" s="1"/>
  <c r="H17" i="9"/>
  <c r="H101" i="9" s="1"/>
  <c r="H15" i="9"/>
  <c r="H99" i="9" s="1"/>
  <c r="B20" i="9"/>
  <c r="B104" i="9" s="1"/>
  <c r="F19" i="9"/>
  <c r="F103" i="9" s="1"/>
  <c r="M37" i="35"/>
  <c r="O36" i="35"/>
  <c r="P36" i="35" s="1"/>
  <c r="B27" i="9"/>
  <c r="B111" i="9" s="1"/>
  <c r="H20" i="9"/>
  <c r="H104" i="9" s="1"/>
  <c r="F24" i="9"/>
  <c r="F108" i="9" s="1"/>
  <c r="F27" i="9"/>
  <c r="F111" i="9" s="1"/>
  <c r="F26" i="9"/>
  <c r="F110" i="9" s="1"/>
  <c r="F20" i="9"/>
  <c r="F104" i="9" s="1"/>
  <c r="F21" i="9"/>
  <c r="F105" i="9" s="1"/>
  <c r="B24" i="9"/>
  <c r="B108" i="9" s="1"/>
  <c r="F25" i="9"/>
  <c r="F109" i="9" s="1"/>
  <c r="B26" i="9"/>
  <c r="B110" i="9" s="1"/>
  <c r="F22" i="9"/>
  <c r="F106" i="9" s="1"/>
  <c r="B25" i="9"/>
  <c r="B109" i="9" s="1"/>
  <c r="E24" i="2"/>
  <c r="B23" i="2"/>
  <c r="C47" i="34"/>
  <c r="C51" i="34"/>
  <c r="C54" i="34"/>
  <c r="M10" i="26"/>
  <c r="M15" i="6"/>
  <c r="M10" i="6"/>
  <c r="M15" i="26"/>
  <c r="Q76" i="40"/>
  <c r="C58" i="34" s="1"/>
  <c r="C49" i="34"/>
  <c r="C50" i="34"/>
  <c r="C53" i="34"/>
  <c r="C56" i="34"/>
  <c r="C59" i="34"/>
  <c r="C61" i="34"/>
  <c r="C55" i="34"/>
  <c r="C57" i="34"/>
  <c r="C48" i="34"/>
  <c r="M15" i="5"/>
  <c r="M10" i="5"/>
  <c r="C14" i="9"/>
  <c r="C98" i="9" s="1"/>
  <c r="G22" i="9"/>
  <c r="G106" i="9" s="1"/>
  <c r="G20" i="9"/>
  <c r="G104" i="9" s="1"/>
  <c r="C16" i="9"/>
  <c r="C100" i="9" s="1"/>
  <c r="B19" i="9"/>
  <c r="B103" i="9" s="1"/>
  <c r="B21" i="9"/>
  <c r="B105" i="9" s="1"/>
  <c r="B13" i="9"/>
  <c r="B97" i="9" s="1"/>
  <c r="G21" i="9"/>
  <c r="G105" i="9" s="1"/>
  <c r="H22" i="9"/>
  <c r="H106" i="9" s="1"/>
  <c r="C17" i="9"/>
  <c r="C101" i="9" s="1"/>
  <c r="C15" i="9"/>
  <c r="C99" i="9" s="1"/>
  <c r="I23" i="9"/>
  <c r="I107" i="9" s="1"/>
  <c r="H19" i="9"/>
  <c r="H103" i="9" s="1"/>
  <c r="I18" i="9"/>
  <c r="I102" i="9" s="1"/>
  <c r="G13" i="9"/>
  <c r="G97" i="9" s="1"/>
  <c r="I28" i="9"/>
  <c r="I112" i="9" s="1"/>
  <c r="G24" i="9"/>
  <c r="G108" i="9" s="1"/>
  <c r="G26" i="9"/>
  <c r="G110" i="9" s="1"/>
  <c r="D13" i="9"/>
  <c r="D97" i="9" s="1"/>
  <c r="I12" i="9"/>
  <c r="I96" i="9" s="1"/>
  <c r="E20" i="9"/>
  <c r="E104" i="9" s="1"/>
  <c r="E21" i="9"/>
  <c r="E105" i="9" s="1"/>
  <c r="E22" i="9"/>
  <c r="E106" i="9" s="1"/>
  <c r="E19" i="9"/>
  <c r="E103" i="9" s="1"/>
  <c r="D26" i="9"/>
  <c r="D110" i="9" s="1"/>
  <c r="D25" i="9"/>
  <c r="D109" i="9" s="1"/>
  <c r="D27" i="9"/>
  <c r="D111" i="9" s="1"/>
  <c r="D24" i="9"/>
  <c r="D108" i="9" s="1"/>
  <c r="H45" i="9"/>
  <c r="G27" i="9"/>
  <c r="G111" i="9" s="1"/>
  <c r="G25" i="9"/>
  <c r="G109" i="9" s="1"/>
  <c r="E13" i="9"/>
  <c r="E97" i="9" s="1"/>
  <c r="H27" i="9"/>
  <c r="H111" i="9" s="1"/>
  <c r="H25" i="9"/>
  <c r="H109" i="9" s="1"/>
  <c r="H24" i="9"/>
  <c r="H108" i="9" s="1"/>
  <c r="H26" i="9"/>
  <c r="H110" i="9" s="1"/>
  <c r="D19" i="9"/>
  <c r="D103" i="9" s="1"/>
  <c r="D22" i="9"/>
  <c r="D106" i="9" s="1"/>
  <c r="D21" i="9"/>
  <c r="D105" i="9" s="1"/>
  <c r="D20" i="9"/>
  <c r="D104" i="9" s="1"/>
  <c r="E26" i="9"/>
  <c r="E110" i="9" s="1"/>
  <c r="E27" i="9"/>
  <c r="E111" i="9" s="1"/>
  <c r="E25" i="9"/>
  <c r="E109" i="9" s="1"/>
  <c r="E24" i="9"/>
  <c r="E108" i="9" s="1"/>
  <c r="G48" i="9"/>
  <c r="D45" i="9"/>
  <c r="D62" i="9"/>
  <c r="D68" i="9"/>
  <c r="D67" i="9"/>
  <c r="D66" i="9"/>
  <c r="D69" i="9"/>
  <c r="F43" i="9"/>
  <c r="F42" i="9"/>
  <c r="F41" i="9"/>
  <c r="F40" i="9"/>
  <c r="I39" i="9"/>
  <c r="C38" i="9"/>
  <c r="C41" i="9"/>
  <c r="C43" i="9"/>
  <c r="C40" i="9"/>
  <c r="C42" i="9"/>
  <c r="F55" i="9"/>
  <c r="I54" i="9"/>
  <c r="G41" i="9"/>
  <c r="G43" i="9"/>
  <c r="G42" i="9"/>
  <c r="G40" i="9"/>
  <c r="F48" i="9"/>
  <c r="F47" i="9"/>
  <c r="F46" i="9"/>
  <c r="F45" i="9"/>
  <c r="I44" i="9"/>
  <c r="H36" i="9"/>
  <c r="H38" i="9"/>
  <c r="H35" i="9"/>
  <c r="H37" i="9"/>
  <c r="G64" i="9"/>
  <c r="G63" i="9"/>
  <c r="G62" i="9"/>
  <c r="G61" i="9"/>
  <c r="D63" i="9"/>
  <c r="D64" i="9"/>
  <c r="D61" i="9"/>
  <c r="H68" i="9"/>
  <c r="H67" i="9"/>
  <c r="H66" i="9"/>
  <c r="H69" i="9"/>
  <c r="C36" i="9"/>
  <c r="C35" i="9"/>
  <c r="C37" i="9"/>
  <c r="I70" i="9"/>
  <c r="G46" i="9"/>
  <c r="G45" i="9"/>
  <c r="G47" i="9"/>
  <c r="H48" i="9"/>
  <c r="H46" i="9"/>
  <c r="H47" i="9"/>
  <c r="E48" i="9"/>
  <c r="E47" i="9"/>
  <c r="E46" i="9"/>
  <c r="E45" i="9"/>
  <c r="E61" i="9"/>
  <c r="E63" i="9"/>
  <c r="E62" i="9"/>
  <c r="E64" i="9"/>
  <c r="F63" i="9"/>
  <c r="F62" i="9"/>
  <c r="F61" i="9"/>
  <c r="I60" i="9"/>
  <c r="F64" i="9"/>
  <c r="C61" i="9"/>
  <c r="C64" i="9"/>
  <c r="C62" i="9"/>
  <c r="C63" i="9"/>
  <c r="C48" i="9"/>
  <c r="C47" i="9"/>
  <c r="C46" i="9"/>
  <c r="C45" i="9"/>
  <c r="B45" i="9"/>
  <c r="B46" i="9"/>
  <c r="B48" i="9"/>
  <c r="B47" i="9"/>
  <c r="D47" i="9"/>
  <c r="D48" i="9"/>
  <c r="D46" i="9"/>
  <c r="H64" i="9"/>
  <c r="H63" i="9"/>
  <c r="H62" i="9"/>
  <c r="H61" i="9"/>
  <c r="E41" i="9"/>
  <c r="E40" i="9"/>
  <c r="E43" i="9"/>
  <c r="E42" i="9"/>
  <c r="B36" i="9"/>
  <c r="B43" i="9"/>
  <c r="B42" i="9"/>
  <c r="B40" i="9"/>
  <c r="B41" i="9"/>
  <c r="D40" i="9"/>
  <c r="D43" i="9"/>
  <c r="D41" i="9"/>
  <c r="D42" i="9"/>
  <c r="C67" i="9"/>
  <c r="C66" i="9"/>
  <c r="C68" i="9"/>
  <c r="C69" i="9"/>
  <c r="I65" i="9"/>
  <c r="F69" i="9"/>
  <c r="F68" i="9"/>
  <c r="F66" i="9"/>
  <c r="F67" i="9"/>
  <c r="E38" i="9"/>
  <c r="E37" i="9"/>
  <c r="E36" i="9"/>
  <c r="E35" i="9"/>
  <c r="B37" i="9"/>
  <c r="B35" i="9"/>
  <c r="B38" i="9"/>
  <c r="D35" i="9"/>
  <c r="D37" i="9"/>
  <c r="D36" i="9"/>
  <c r="D38" i="9"/>
  <c r="I49" i="9"/>
  <c r="E68" i="9"/>
  <c r="E66" i="9"/>
  <c r="E67" i="9"/>
  <c r="E69" i="9"/>
  <c r="B66" i="9"/>
  <c r="B68" i="9"/>
  <c r="B69" i="9"/>
  <c r="B67" i="9"/>
  <c r="G66" i="9"/>
  <c r="G69" i="9"/>
  <c r="G67" i="9"/>
  <c r="G68" i="9"/>
  <c r="F34" i="9"/>
  <c r="F38" i="9" s="1"/>
  <c r="I33" i="9"/>
  <c r="G37" i="9"/>
  <c r="G36" i="9"/>
  <c r="G35" i="9"/>
  <c r="G38" i="9"/>
  <c r="H43" i="9"/>
  <c r="H41" i="9"/>
  <c r="H40" i="9"/>
  <c r="H42" i="9"/>
  <c r="B61" i="9"/>
  <c r="B64" i="9"/>
  <c r="B63" i="9"/>
  <c r="B62" i="9"/>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E58" i="9" l="1"/>
  <c r="E56" i="9"/>
  <c r="C57" i="9"/>
  <c r="G58" i="9"/>
  <c r="C59" i="9"/>
  <c r="G59" i="9"/>
  <c r="E59" i="9"/>
  <c r="H56" i="9"/>
  <c r="B57" i="9"/>
  <c r="D57" i="9"/>
  <c r="E57" i="9"/>
  <c r="B59" i="9"/>
  <c r="C56" i="9"/>
  <c r="C58" i="9"/>
  <c r="G57" i="9"/>
  <c r="B56" i="9"/>
  <c r="D58" i="9"/>
  <c r="G56" i="9"/>
  <c r="B58" i="9"/>
  <c r="D59" i="9"/>
  <c r="D56" i="9"/>
  <c r="H57" i="9"/>
  <c r="H59" i="9"/>
  <c r="H58" i="9"/>
  <c r="E16" i="35"/>
  <c r="C16" i="35"/>
  <c r="F16" i="35"/>
  <c r="D16" i="35"/>
  <c r="M38" i="35"/>
  <c r="O37" i="35"/>
  <c r="P37" i="35" s="1"/>
  <c r="E25" i="2"/>
  <c r="B24" i="2"/>
  <c r="B14" i="9"/>
  <c r="B98" i="9" s="1"/>
  <c r="B15" i="9"/>
  <c r="B99" i="9" s="1"/>
  <c r="B16" i="9"/>
  <c r="B100" i="9" s="1"/>
  <c r="B17" i="9"/>
  <c r="B101" i="9" s="1"/>
  <c r="D26" i="39"/>
  <c r="D27" i="39" s="1"/>
  <c r="D37" i="39" s="1"/>
  <c r="I19" i="9"/>
  <c r="I103" i="9" s="1"/>
  <c r="I27" i="9"/>
  <c r="I111" i="9" s="1"/>
  <c r="I26" i="9"/>
  <c r="I110" i="9" s="1"/>
  <c r="I24" i="9"/>
  <c r="I108" i="9" s="1"/>
  <c r="D16" i="9"/>
  <c r="D100" i="9" s="1"/>
  <c r="D17" i="9"/>
  <c r="D101" i="9" s="1"/>
  <c r="D14" i="9"/>
  <c r="D98" i="9" s="1"/>
  <c r="D15" i="9"/>
  <c r="D99" i="9" s="1"/>
  <c r="I13" i="9"/>
  <c r="I97" i="9" s="1"/>
  <c r="I20" i="9"/>
  <c r="I104" i="9" s="1"/>
  <c r="I21" i="9"/>
  <c r="I105" i="9" s="1"/>
  <c r="I22" i="9"/>
  <c r="I106" i="9" s="1"/>
  <c r="G16" i="9"/>
  <c r="G100" i="9" s="1"/>
  <c r="G17" i="9"/>
  <c r="G101" i="9" s="1"/>
  <c r="G14" i="9"/>
  <c r="G98" i="9" s="1"/>
  <c r="G15" i="9"/>
  <c r="G99" i="9" s="1"/>
  <c r="E16" i="9"/>
  <c r="E100" i="9" s="1"/>
  <c r="E14" i="9"/>
  <c r="E98" i="9" s="1"/>
  <c r="E17" i="9"/>
  <c r="E101" i="9" s="1"/>
  <c r="E15" i="9"/>
  <c r="E99" i="9" s="1"/>
  <c r="I25" i="9"/>
  <c r="I109" i="9" s="1"/>
  <c r="I67" i="9"/>
  <c r="I38" i="9"/>
  <c r="I62" i="9"/>
  <c r="I46" i="9"/>
  <c r="I64" i="9"/>
  <c r="I48" i="9"/>
  <c r="I43" i="9"/>
  <c r="I47" i="9"/>
  <c r="I42" i="9"/>
  <c r="D20" i="39"/>
  <c r="D21" i="39" s="1"/>
  <c r="D34" i="39" s="1"/>
  <c r="D28" i="39"/>
  <c r="D29" i="39" s="1"/>
  <c r="D38" i="39" s="1"/>
  <c r="I34" i="9"/>
  <c r="I61" i="9"/>
  <c r="I66" i="9"/>
  <c r="I63" i="9"/>
  <c r="F37" i="9"/>
  <c r="I37" i="9" s="1"/>
  <c r="F36" i="9"/>
  <c r="I36" i="9" s="1"/>
  <c r="F35" i="9"/>
  <c r="I35" i="9" s="1"/>
  <c r="I68" i="9"/>
  <c r="I69" i="9"/>
  <c r="I45" i="9"/>
  <c r="I40" i="9"/>
  <c r="I55" i="9"/>
  <c r="F58" i="9"/>
  <c r="F57" i="9"/>
  <c r="F59" i="9"/>
  <c r="F56" i="9"/>
  <c r="I41" i="9"/>
  <c r="D24" i="39"/>
  <c r="D25" i="39" s="1"/>
  <c r="D36" i="39" s="1"/>
  <c r="C40" i="39"/>
  <c r="F8" i="39"/>
  <c r="E22" i="39"/>
  <c r="E23" i="39" s="1"/>
  <c r="E35" i="39" s="1"/>
  <c r="E6" i="39"/>
  <c r="E10" i="39"/>
  <c r="E14" i="39"/>
  <c r="D22" i="39"/>
  <c r="D23" i="39" s="1"/>
  <c r="D35" i="39" s="1"/>
  <c r="E12" i="39"/>
  <c r="I56" i="9" l="1"/>
  <c r="I59" i="9"/>
  <c r="I57" i="9"/>
  <c r="I58" i="9"/>
  <c r="C17" i="35"/>
  <c r="E17" i="35"/>
  <c r="D17" i="35"/>
  <c r="F17" i="35"/>
  <c r="M39" i="35"/>
  <c r="O38" i="35"/>
  <c r="P38" i="35" s="1"/>
  <c r="E26" i="2"/>
  <c r="B25" i="2"/>
  <c r="I15" i="9"/>
  <c r="I99" i="9" s="1"/>
  <c r="I14" i="9"/>
  <c r="I98" i="9" s="1"/>
  <c r="I17" i="9"/>
  <c r="I101" i="9" s="1"/>
  <c r="I16" i="9"/>
  <c r="I100" i="9" s="1"/>
  <c r="D39" i="39"/>
  <c r="E28" i="39"/>
  <c r="E29" i="39" s="1"/>
  <c r="E38" i="39" s="1"/>
  <c r="F14" i="39"/>
  <c r="F6" i="39"/>
  <c r="E20" i="39"/>
  <c r="E21" i="39" s="1"/>
  <c r="E34" i="39" s="1"/>
  <c r="G8" i="39"/>
  <c r="F22" i="39"/>
  <c r="F23" i="39" s="1"/>
  <c r="F35" i="39" s="1"/>
  <c r="F10" i="39"/>
  <c r="E24" i="39"/>
  <c r="E25" i="39" s="1"/>
  <c r="E36" i="39" s="1"/>
  <c r="F12" i="39"/>
  <c r="E26" i="39"/>
  <c r="E27" i="39" s="1"/>
  <c r="E37" i="39" s="1"/>
  <c r="C18" i="35" l="1"/>
  <c r="F18" i="35"/>
  <c r="D18" i="35"/>
  <c r="E18" i="35"/>
  <c r="M40" i="35"/>
  <c r="O39" i="35"/>
  <c r="P3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E19" i="35" l="1"/>
  <c r="F19" i="35"/>
  <c r="C19" i="35"/>
  <c r="D19" i="35"/>
  <c r="M41" i="35"/>
  <c r="O40" i="35"/>
  <c r="P4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E20" i="35" l="1"/>
  <c r="C20" i="35"/>
  <c r="D20" i="35"/>
  <c r="F20" i="35"/>
  <c r="M42" i="35"/>
  <c r="O41" i="35"/>
  <c r="P4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C21" i="35" l="1"/>
  <c r="D21" i="35"/>
  <c r="E21" i="35"/>
  <c r="F21" i="35"/>
  <c r="M43" i="35"/>
  <c r="O42" i="35"/>
  <c r="P4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D22" i="35" l="1"/>
  <c r="E22" i="35"/>
  <c r="F22" i="35"/>
  <c r="C22" i="35"/>
  <c r="M44" i="35"/>
  <c r="O44" i="35" s="1"/>
  <c r="P44" i="35" s="1"/>
  <c r="O43" i="35"/>
  <c r="P4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D23" i="35" l="1"/>
  <c r="C23" i="35"/>
  <c r="E23" i="35"/>
  <c r="F23" i="35"/>
  <c r="F24" i="35"/>
  <c r="E24" i="35"/>
  <c r="D24" i="35"/>
  <c r="C24" i="35"/>
  <c r="E32" i="2"/>
  <c r="B32" i="2" s="1"/>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M20" i="26" l="1"/>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L39" i="39" l="1"/>
  <c r="M39" i="39"/>
  <c r="M40" i="39" s="1"/>
  <c r="H54" i="39" s="1"/>
  <c r="P28" i="2"/>
  <c r="P29" i="2"/>
  <c r="P30" i="2"/>
  <c r="P31" i="2"/>
  <c r="P32" i="2"/>
  <c r="P7" i="1"/>
  <c r="Q7" i="1"/>
  <c r="R7" i="1"/>
  <c r="S7" i="1"/>
  <c r="T7" i="1"/>
  <c r="T4" i="15"/>
  <c r="T5" i="15" s="1"/>
  <c r="T6" i="15" s="1"/>
  <c r="T7" i="15" s="1"/>
  <c r="T8" i="15" s="1"/>
  <c r="T9" i="15" s="1"/>
  <c r="T10" i="15" s="1"/>
  <c r="T11" i="15" s="1"/>
  <c r="T12" i="15" s="1"/>
  <c r="T13" i="15" s="1"/>
  <c r="T14" i="15" s="1"/>
  <c r="T15" i="15" s="1"/>
  <c r="T16" i="15" s="1"/>
  <c r="T17" i="15" s="1"/>
  <c r="T18" i="15" s="1"/>
  <c r="T19" i="15" s="1"/>
  <c r="L54" i="39" l="1"/>
  <c r="K54" i="39"/>
  <c r="M65" i="5" s="1"/>
  <c r="H55" i="39"/>
  <c r="H51" i="39"/>
  <c r="H50" i="39"/>
  <c r="H53" i="39"/>
  <c r="H52" i="39"/>
  <c r="AB4" i="15"/>
  <c r="B4" i="15"/>
  <c r="H4" i="15" s="1"/>
  <c r="O4" i="15" s="1"/>
  <c r="L50" i="39" l="1"/>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M55" i="6" l="1"/>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L18" i="2"/>
  <c r="K18" i="2"/>
  <c r="J24" i="2"/>
  <c r="J25" i="2"/>
  <c r="J26" i="2"/>
  <c r="J27" i="2"/>
  <c r="P19" i="2"/>
  <c r="P20" i="2"/>
  <c r="P21" i="2"/>
  <c r="P22" i="2"/>
  <c r="P23" i="2"/>
  <c r="P24" i="2"/>
  <c r="P25" i="2"/>
  <c r="P26" i="2"/>
  <c r="P27" i="2"/>
  <c r="P18" i="2"/>
  <c r="M75" i="6" l="1"/>
  <c r="M75" i="26"/>
  <c r="H58" i="39"/>
  <c r="L57" i="39"/>
  <c r="K57" i="39"/>
  <c r="M80" i="5" s="1"/>
  <c r="AM26" i="22"/>
  <c r="AY30" i="1" s="1"/>
  <c r="AD30" i="1" s="1"/>
  <c r="AB10" i="1"/>
  <c r="AB36" i="1"/>
  <c r="AB26" i="1"/>
  <c r="M21" i="2"/>
  <c r="M18" i="2"/>
  <c r="M22" i="2"/>
  <c r="M20" i="2"/>
  <c r="M19" i="2"/>
  <c r="AM25" i="22"/>
  <c r="AY29" i="1" s="1"/>
  <c r="AD29" i="1" s="1"/>
  <c r="AM24" i="22"/>
  <c r="AY28" i="1" s="1"/>
  <c r="AD28" i="1" s="1"/>
  <c r="AC10" i="1"/>
  <c r="AD26" i="1"/>
  <c r="AD36" i="1"/>
  <c r="AC26" i="1"/>
  <c r="AD10" i="1"/>
  <c r="AC36" i="1"/>
  <c r="M80" i="26" l="1"/>
  <c r="M80" i="6"/>
  <c r="H59" i="39"/>
  <c r="L58" i="39"/>
  <c r="K58" i="39"/>
  <c r="M85" i="5" s="1"/>
  <c r="G10" i="11"/>
  <c r="G24" i="1"/>
  <c r="G90" i="5" s="1"/>
  <c r="I8" i="11"/>
  <c r="I14" i="1"/>
  <c r="H8" i="11"/>
  <c r="H14" i="1"/>
  <c r="H40" i="5" s="1"/>
  <c r="G8" i="11"/>
  <c r="G14" i="1"/>
  <c r="G40" i="5" s="1"/>
  <c r="H10" i="11"/>
  <c r="H24" i="1"/>
  <c r="H90" i="5" s="1"/>
  <c r="I10" i="11"/>
  <c r="I24" i="1"/>
  <c r="AD31" i="1"/>
  <c r="E43" i="23"/>
  <c r="D43" i="23"/>
  <c r="C43" i="23"/>
  <c r="B43" i="23"/>
  <c r="A43" i="23"/>
  <c r="L59" i="39" l="1"/>
  <c r="K59" i="39"/>
  <c r="M90" i="5" s="1"/>
  <c r="M85" i="6"/>
  <c r="M85" i="26"/>
  <c r="I9" i="11"/>
  <c r="I19" i="1"/>
  <c r="D55" i="23"/>
  <c r="I17" i="1" l="1"/>
  <c r="M90" i="6"/>
  <c r="M90" i="26"/>
  <c r="C59" i="23"/>
  <c r="M76" i="9" s="1"/>
  <c r="F59" i="23"/>
  <c r="P76" i="9" s="1"/>
  <c r="G59" i="23"/>
  <c r="Q76" i="9" s="1"/>
  <c r="I23" i="1"/>
  <c r="I22" i="1"/>
  <c r="I21" i="1"/>
  <c r="I20" i="1"/>
  <c r="I18" i="1"/>
  <c r="I16" i="1"/>
  <c r="I15" i="1"/>
  <c r="A59" i="23"/>
  <c r="K76" i="9" s="1"/>
  <c r="D59" i="23"/>
  <c r="N76" i="9" s="1"/>
  <c r="E59" i="23"/>
  <c r="O76" i="9" s="1"/>
  <c r="B59" i="23"/>
  <c r="L76" i="9" s="1"/>
  <c r="H75" i="9" l="1"/>
  <c r="H86" i="9"/>
  <c r="H91" i="9"/>
  <c r="H81" i="9"/>
  <c r="H76" i="9"/>
  <c r="G91" i="9"/>
  <c r="G75" i="9"/>
  <c r="G81" i="9"/>
  <c r="G76" i="9"/>
  <c r="G86" i="9"/>
  <c r="F76" i="9"/>
  <c r="F75" i="9"/>
  <c r="F86" i="9"/>
  <c r="F91" i="9"/>
  <c r="F81" i="9"/>
  <c r="E76" i="9"/>
  <c r="E86" i="9"/>
  <c r="E81" i="9"/>
  <c r="E75" i="9"/>
  <c r="E91" i="9"/>
  <c r="D81" i="9"/>
  <c r="D76" i="9"/>
  <c r="D91" i="9"/>
  <c r="D86" i="9"/>
  <c r="D75" i="9"/>
  <c r="B76" i="9"/>
  <c r="B86" i="9"/>
  <c r="B81" i="9"/>
  <c r="B91" i="9"/>
  <c r="B75" i="9"/>
  <c r="C76" i="9"/>
  <c r="C75" i="9"/>
  <c r="C81" i="9"/>
  <c r="C86" i="9"/>
  <c r="C91" i="9"/>
  <c r="AN14" i="22"/>
  <c r="AO14" i="22"/>
  <c r="AP14" i="22"/>
  <c r="AQ14" i="22"/>
  <c r="AN15" i="22"/>
  <c r="AO15" i="22"/>
  <c r="AP15" i="22"/>
  <c r="AQ15" i="22"/>
  <c r="AN16" i="22"/>
  <c r="AO16" i="22"/>
  <c r="AP16" i="22"/>
  <c r="AQ16" i="22"/>
  <c r="AN9" i="22"/>
  <c r="AO9" i="22"/>
  <c r="AP9" i="22"/>
  <c r="AQ9" i="22"/>
  <c r="AN10" i="22"/>
  <c r="AO10" i="22"/>
  <c r="AP10" i="22"/>
  <c r="AQ10" i="22"/>
  <c r="AN11" i="22"/>
  <c r="AO11" i="22"/>
  <c r="AP11" i="22"/>
  <c r="AQ11" i="22"/>
  <c r="I75" i="9" l="1"/>
  <c r="C78" i="9"/>
  <c r="C77" i="9"/>
  <c r="C79" i="9"/>
  <c r="C80" i="9"/>
  <c r="D78" i="9"/>
  <c r="D80" i="9"/>
  <c r="D79" i="9"/>
  <c r="D77" i="9"/>
  <c r="H84" i="9"/>
  <c r="H85" i="9"/>
  <c r="H83" i="9"/>
  <c r="H82" i="9"/>
  <c r="D90" i="9"/>
  <c r="D89" i="9"/>
  <c r="D88" i="9"/>
  <c r="D87" i="9"/>
  <c r="F85" i="9"/>
  <c r="F84" i="9"/>
  <c r="I81" i="9"/>
  <c r="F83" i="9"/>
  <c r="F82" i="9"/>
  <c r="F88" i="9"/>
  <c r="F87" i="9"/>
  <c r="F90" i="9"/>
  <c r="I86" i="9"/>
  <c r="F89" i="9"/>
  <c r="B85" i="9"/>
  <c r="B84" i="9"/>
  <c r="B83" i="9"/>
  <c r="B82" i="9"/>
  <c r="B89" i="9"/>
  <c r="B87" i="9"/>
  <c r="B90" i="9"/>
  <c r="B88" i="9"/>
  <c r="I76" i="9"/>
  <c r="F79" i="9"/>
  <c r="F80" i="9"/>
  <c r="F77" i="9"/>
  <c r="F78" i="9"/>
  <c r="E79" i="9"/>
  <c r="E77" i="9"/>
  <c r="E78" i="9"/>
  <c r="E80" i="9"/>
  <c r="C90" i="9"/>
  <c r="C87" i="9"/>
  <c r="C89" i="9"/>
  <c r="C88" i="9"/>
  <c r="B79" i="9"/>
  <c r="B78" i="9"/>
  <c r="B80" i="9"/>
  <c r="B77" i="9"/>
  <c r="E84" i="9"/>
  <c r="E83" i="9"/>
  <c r="E85" i="9"/>
  <c r="E82" i="9"/>
  <c r="G88" i="9"/>
  <c r="G89" i="9"/>
  <c r="G90" i="9"/>
  <c r="G87" i="9"/>
  <c r="H89" i="9"/>
  <c r="H88" i="9"/>
  <c r="H90" i="9"/>
  <c r="H87" i="9"/>
  <c r="G82" i="9"/>
  <c r="G83" i="9"/>
  <c r="G85" i="9"/>
  <c r="G84" i="9"/>
  <c r="I91" i="9"/>
  <c r="D83" i="9"/>
  <c r="D82" i="9"/>
  <c r="D85" i="9"/>
  <c r="D84" i="9"/>
  <c r="H78" i="9"/>
  <c r="H77" i="9"/>
  <c r="H80" i="9"/>
  <c r="H79" i="9"/>
  <c r="C83" i="9"/>
  <c r="C82" i="9"/>
  <c r="C85" i="9"/>
  <c r="C84" i="9"/>
  <c r="E90" i="9"/>
  <c r="E89" i="9"/>
  <c r="E88" i="9"/>
  <c r="E87" i="9"/>
  <c r="G78" i="9"/>
  <c r="G80" i="9"/>
  <c r="G77" i="9"/>
  <c r="G79" i="9"/>
  <c r="P33" i="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G24" i="1" s="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I90" i="9" l="1"/>
  <c r="I88" i="9"/>
  <c r="I77" i="9"/>
  <c r="I78" i="9"/>
  <c r="I87" i="9"/>
  <c r="I79" i="9"/>
  <c r="I83" i="9"/>
  <c r="I80" i="9"/>
  <c r="I82" i="9"/>
  <c r="I89" i="9"/>
  <c r="I84" i="9"/>
  <c r="I85" i="9"/>
  <c r="AG34" i="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C27" i="17" l="1"/>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U32" i="2"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9" i="1" s="1"/>
  <c r="S29" i="1" s="1"/>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20" i="15" s="1"/>
  <c r="AZ18" i="1"/>
  <c r="AE18" i="1" s="1"/>
  <c r="AV20" i="1"/>
  <c r="Z20" i="1" s="1"/>
  <c r="AV18" i="1"/>
  <c r="Z18" i="1" s="1"/>
  <c r="AU20" i="1"/>
  <c r="Y20" i="1" s="1"/>
  <c r="AU18" i="1"/>
  <c r="Y18" i="1" s="1"/>
  <c r="BA19" i="1"/>
  <c r="AF19" i="1" s="1"/>
  <c r="X4" i="15" s="1"/>
  <c r="X20" i="15" s="1"/>
  <c r="AZ19" i="1"/>
  <c r="AE19" i="1" s="1"/>
  <c r="AD4" i="15" s="1"/>
  <c r="AD20" i="15" s="1"/>
  <c r="AV19" i="1"/>
  <c r="Z19" i="1" s="1"/>
  <c r="AZ20" i="1"/>
  <c r="AE20" i="1" s="1"/>
  <c r="AE4" i="15" s="1"/>
  <c r="AE20" i="15" s="1"/>
  <c r="AU19" i="1"/>
  <c r="Y19" i="1" s="1"/>
  <c r="AJ26" i="1"/>
  <c r="V26" i="1" s="1"/>
  <c r="K51" i="37" l="1"/>
  <c r="I51" i="37"/>
  <c r="F51" i="37" s="1"/>
  <c r="G51" i="37"/>
  <c r="L51" i="37"/>
  <c r="H51" i="37"/>
  <c r="P51" i="37"/>
  <c r="O51" i="37"/>
  <c r="AC4" i="15"/>
  <c r="AC20" i="15" s="1"/>
  <c r="AG19" i="1"/>
  <c r="AE17" i="1"/>
  <c r="T12" i="2"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2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AA12" i="2" l="1"/>
  <c r="L10" i="5" s="1"/>
  <c r="AP39" i="2"/>
  <c r="L10" i="6"/>
  <c r="L10" i="26"/>
  <c r="I10" i="5"/>
  <c r="L27" i="37"/>
  <c r="G27" i="37"/>
  <c r="M27" i="37"/>
  <c r="J27" i="37" s="1"/>
  <c r="K27" i="37"/>
  <c r="P27" i="37"/>
  <c r="O27" i="37"/>
  <c r="H27" i="37"/>
  <c r="I27" i="37"/>
  <c r="F27" i="37" s="1"/>
  <c r="Q27" i="37"/>
  <c r="N27" i="37" s="1"/>
  <c r="AG29" i="1"/>
  <c r="AG38" i="1" s="1"/>
  <c r="C7" i="17"/>
  <c r="C15" i="17" s="1"/>
  <c r="C23" i="17"/>
  <c r="H19" i="1"/>
  <c r="H18" i="1" s="1"/>
  <c r="H60" i="5" s="1"/>
  <c r="G19" i="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20" i="15" s="1"/>
  <c r="X5" i="15"/>
  <c r="R20" i="1"/>
  <c r="AJ15" i="1"/>
  <c r="V15" i="1" s="1"/>
  <c r="S20" i="1"/>
  <c r="AE31" i="1"/>
  <c r="J19" i="1" s="1"/>
  <c r="AE16" i="1"/>
  <c r="AG17" i="1" s="1"/>
  <c r="AE21" i="1"/>
  <c r="J9" i="1" s="1"/>
  <c r="AJ31" i="1"/>
  <c r="V31" i="1" s="1"/>
  <c r="E5" i="37" l="1"/>
  <c r="E7" i="37" s="1"/>
  <c r="H7" i="37" s="1"/>
  <c r="X16" i="35"/>
  <c r="Z16" i="35" s="1"/>
  <c r="H16" i="35" s="1"/>
  <c r="I50" i="5" s="1"/>
  <c r="X24" i="35"/>
  <c r="Z24" i="35" s="1"/>
  <c r="H24" i="35" s="1"/>
  <c r="I90" i="5" s="1"/>
  <c r="X17" i="35"/>
  <c r="Z17" i="35" s="1"/>
  <c r="H17" i="35" s="1"/>
  <c r="I55" i="5" s="1"/>
  <c r="X9" i="35"/>
  <c r="Z9" i="35" s="1"/>
  <c r="H9" i="35" s="1"/>
  <c r="X10" i="35"/>
  <c r="Z10" i="35" s="1"/>
  <c r="H10" i="35" s="1"/>
  <c r="X18" i="35"/>
  <c r="Z18" i="35" s="1"/>
  <c r="H18" i="35" s="1"/>
  <c r="I60" i="5" s="1"/>
  <c r="X15" i="35"/>
  <c r="Z15" i="35" s="1"/>
  <c r="H15" i="35" s="1"/>
  <c r="I45" i="5" s="1"/>
  <c r="X11" i="35"/>
  <c r="Z11" i="35" s="1"/>
  <c r="H11" i="35" s="1"/>
  <c r="X19" i="35"/>
  <c r="Z19" i="35" s="1"/>
  <c r="H19" i="35" s="1"/>
  <c r="I65" i="5" s="1"/>
  <c r="X12" i="35"/>
  <c r="Z12" i="35" s="1"/>
  <c r="H12" i="35" s="1"/>
  <c r="X20" i="35"/>
  <c r="Z20" i="35" s="1"/>
  <c r="H20" i="35" s="1"/>
  <c r="I70" i="5" s="1"/>
  <c r="X14" i="35"/>
  <c r="Z14" i="35" s="1"/>
  <c r="H14" i="35" s="1"/>
  <c r="I40" i="5" s="1"/>
  <c r="X23" i="35"/>
  <c r="Z23" i="35" s="1"/>
  <c r="H23" i="35" s="1"/>
  <c r="I85" i="5" s="1"/>
  <c r="X13" i="35"/>
  <c r="Z13" i="35" s="1"/>
  <c r="H13" i="35" s="1"/>
  <c r="X21" i="35"/>
  <c r="Z21" i="35" s="1"/>
  <c r="H21" i="35" s="1"/>
  <c r="I75" i="5" s="1"/>
  <c r="X22" i="35"/>
  <c r="Z22" i="35" s="1"/>
  <c r="H22" i="35" s="1"/>
  <c r="I80" i="5" s="1"/>
  <c r="C11" i="17"/>
  <c r="G16" i="1"/>
  <c r="G50" i="5" s="1"/>
  <c r="G65" i="5"/>
  <c r="H15" i="1"/>
  <c r="H45" i="5" s="1"/>
  <c r="H65" i="5"/>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G7" i="37" l="1"/>
  <c r="K7" i="37" s="1"/>
  <c r="I7" i="37"/>
  <c r="F7" i="37" s="1"/>
  <c r="J7" i="37" s="1"/>
  <c r="L7" i="37"/>
  <c r="P7" i="37"/>
  <c r="Q15" i="37"/>
  <c r="N15" i="37" s="1"/>
  <c r="L15" i="37"/>
  <c r="G15" i="37"/>
  <c r="O15" i="37"/>
  <c r="M15" i="37"/>
  <c r="J15" i="37" s="1"/>
  <c r="K15" i="37"/>
  <c r="H15" i="37"/>
  <c r="P15" i="37"/>
  <c r="I15" i="37"/>
  <c r="F15" i="37" s="1"/>
  <c r="P11" i="37"/>
  <c r="I11" i="37"/>
  <c r="F11" i="37" s="1"/>
  <c r="Q11" i="37"/>
  <c r="N11" i="37" s="1"/>
  <c r="G11" i="37"/>
  <c r="O11" i="37"/>
  <c r="H11" i="37"/>
  <c r="L11" i="37"/>
  <c r="K11" i="37"/>
  <c r="M11" i="37"/>
  <c r="J11" i="37" s="1"/>
  <c r="Q23" i="37"/>
  <c r="N23" i="37" s="1"/>
  <c r="O23" i="37"/>
  <c r="H23" i="37"/>
  <c r="I23" i="37"/>
  <c r="F23" i="37" s="1"/>
  <c r="L23" i="37"/>
  <c r="G23" i="37"/>
  <c r="M23" i="37"/>
  <c r="J23" i="37" s="1"/>
  <c r="K23" i="37"/>
  <c r="P23" i="37"/>
  <c r="N7" i="37"/>
  <c r="K19" i="37"/>
  <c r="P19" i="37"/>
  <c r="Q19" i="37"/>
  <c r="N19" i="37" s="1"/>
  <c r="L19" i="37"/>
  <c r="O19" i="37"/>
  <c r="M19" i="37"/>
  <c r="J19" i="37" s="1"/>
  <c r="Q7" i="37"/>
  <c r="M7" i="37"/>
  <c r="G19" i="37"/>
  <c r="H19" i="37"/>
  <c r="I19" i="37"/>
  <c r="F19" i="37" s="1"/>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5" s="1"/>
  <c r="H7" i="11"/>
  <c r="H9" i="1"/>
  <c r="H15" i="5" s="1"/>
  <c r="G7" i="11"/>
  <c r="G9" i="1"/>
  <c r="G15" i="5" s="1"/>
  <c r="AS12" i="2"/>
  <c r="D47" i="37"/>
  <c r="C43" i="37"/>
  <c r="D43" i="37" s="1"/>
  <c r="C31" i="37"/>
  <c r="D31" i="37" s="1"/>
  <c r="D39" i="37"/>
  <c r="C35" i="37"/>
  <c r="D35" i="37" s="1"/>
  <c r="T27" i="2"/>
  <c r="T17" i="2"/>
  <c r="T13" i="2" s="1"/>
  <c r="AP40" i="2" s="1"/>
  <c r="T18" i="2"/>
  <c r="T19" i="2"/>
  <c r="D7" i="37"/>
  <c r="C11" i="37"/>
  <c r="D11" i="37" s="1"/>
  <c r="C19" i="37"/>
  <c r="D19" i="37" s="1"/>
  <c r="C15" i="37"/>
  <c r="D15" i="37" s="1"/>
  <c r="C23" i="37"/>
  <c r="D23" i="37" s="1"/>
  <c r="AJ21" i="1"/>
  <c r="V21" i="1" s="1"/>
  <c r="O7" i="37" l="1"/>
  <c r="X10" i="6"/>
  <c r="L47" i="37"/>
  <c r="M47" i="37"/>
  <c r="J47" i="37" s="1"/>
  <c r="H47" i="37"/>
  <c r="K47" i="37"/>
  <c r="I47" i="37"/>
  <c r="F47" i="37" s="1"/>
  <c r="G47" i="37"/>
  <c r="P47" i="37"/>
  <c r="Q47" i="37"/>
  <c r="O47" i="37"/>
  <c r="P43" i="37"/>
  <c r="Q43" i="37"/>
  <c r="N43" i="37" s="1"/>
  <c r="O43" i="37"/>
  <c r="K43" i="37"/>
  <c r="L43" i="37"/>
  <c r="M43" i="37"/>
  <c r="J43" i="37" s="1"/>
  <c r="H43" i="37"/>
  <c r="I43" i="37"/>
  <c r="F43" i="37" s="1"/>
  <c r="G43" i="37"/>
  <c r="M39" i="37"/>
  <c r="J39" i="37" s="1"/>
  <c r="K39" i="37"/>
  <c r="P39" i="37"/>
  <c r="Q39" i="37"/>
  <c r="N39" i="37" s="1"/>
  <c r="L39" i="37"/>
  <c r="O39" i="37"/>
  <c r="K31" i="37"/>
  <c r="P31" i="37"/>
  <c r="Q31" i="37"/>
  <c r="N31" i="37" s="1"/>
  <c r="O31" i="37"/>
  <c r="H31" i="37"/>
  <c r="I31" i="37"/>
  <c r="F31" i="37" s="1"/>
  <c r="L31" i="37"/>
  <c r="G31" i="37"/>
  <c r="M31" i="37"/>
  <c r="J31" i="37" s="1"/>
  <c r="Q35" i="37"/>
  <c r="N35" i="37" s="1"/>
  <c r="O35" i="37"/>
  <c r="H35" i="37"/>
  <c r="I35" i="37"/>
  <c r="F35" i="37" s="1"/>
  <c r="L35" i="37"/>
  <c r="G35" i="37"/>
  <c r="M35" i="37"/>
  <c r="J35" i="37" s="1"/>
  <c r="P35" i="37"/>
  <c r="K35" i="37"/>
  <c r="H39" i="37"/>
  <c r="I39" i="37"/>
  <c r="F39" i="37" s="1"/>
  <c r="G39" i="37"/>
  <c r="U13" i="2"/>
  <c r="T15" i="2"/>
  <c r="U15" i="2" s="1"/>
  <c r="U12" i="2"/>
  <c r="T16" i="2"/>
  <c r="U16" i="2" s="1"/>
  <c r="T14" i="2"/>
  <c r="U14" i="2" s="1"/>
  <c r="I10" i="6"/>
  <c r="I54" i="11" s="1"/>
  <c r="H10" i="5"/>
  <c r="H10" i="6" s="1"/>
  <c r="H54" i="11" s="1"/>
  <c r="G10" i="5"/>
  <c r="G10" i="26" s="1"/>
  <c r="G34"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N47" i="37" l="1"/>
  <c r="AG50" i="15"/>
  <c r="Z14" i="2"/>
  <c r="Z15" i="2" s="1"/>
  <c r="Z16" i="2" s="1"/>
  <c r="Z17" i="2" s="1"/>
  <c r="G10" i="6"/>
  <c r="G54" i="11" s="1"/>
  <c r="D14" i="11"/>
  <c r="D10" i="26"/>
  <c r="D34" i="11" s="1"/>
  <c r="I10" i="26"/>
  <c r="I34" i="11" s="1"/>
  <c r="X10" i="26"/>
  <c r="H10" i="26"/>
  <c r="H34" i="11" s="1"/>
  <c r="I14" i="11"/>
  <c r="G14" i="11"/>
  <c r="H14" i="11"/>
  <c r="D10" i="1"/>
  <c r="D13" i="1"/>
  <c r="D11" i="1"/>
  <c r="D12" i="1"/>
  <c r="D54" i="11"/>
  <c r="AA17" i="2" l="1"/>
  <c r="I7" i="17"/>
  <c r="AI4" i="15"/>
  <c r="Z18" i="2"/>
  <c r="I11" i="17" s="1"/>
  <c r="F11" i="17" s="1"/>
  <c r="AL17" i="2"/>
  <c r="AJ4" i="15" s="1"/>
  <c r="V17" i="2"/>
  <c r="G7" i="17" s="1"/>
  <c r="AF17" i="2"/>
  <c r="AF18" i="2" s="1"/>
  <c r="AR17" i="2"/>
  <c r="AK4" i="15" s="1"/>
  <c r="U31" i="2"/>
  <c r="U30" i="2"/>
  <c r="U29" i="2"/>
  <c r="U28" i="2"/>
  <c r="L15" i="5" l="1"/>
  <c r="L15" i="26" s="1"/>
  <c r="L9" i="34"/>
  <c r="M9" i="34" s="1"/>
  <c r="K7" i="17"/>
  <c r="O7" i="17"/>
  <c r="AG18" i="2"/>
  <c r="M11" i="17"/>
  <c r="J11" i="17" s="1"/>
  <c r="Q7" i="17"/>
  <c r="M7" i="17"/>
  <c r="F7" i="17"/>
  <c r="AA18" i="2"/>
  <c r="AS18" i="2" s="1"/>
  <c r="X17" i="2"/>
  <c r="V18" i="2"/>
  <c r="W17" i="2"/>
  <c r="AS17" i="2"/>
  <c r="G15" i="11"/>
  <c r="Z19" i="2"/>
  <c r="AI5" i="15"/>
  <c r="I15" i="11"/>
  <c r="H15" i="6"/>
  <c r="H55" i="11" s="1"/>
  <c r="AM17" i="2"/>
  <c r="AG17" i="2"/>
  <c r="AR18" i="2"/>
  <c r="AR19" i="2" s="1"/>
  <c r="AN17" i="2"/>
  <c r="AO17" i="2" s="1"/>
  <c r="AB17" i="2"/>
  <c r="AC17" i="2" s="1"/>
  <c r="AL18" i="2"/>
  <c r="AH17" i="2"/>
  <c r="AH18" i="2" s="1"/>
  <c r="O11" i="17" s="1"/>
  <c r="AF19" i="2"/>
  <c r="L15" i="6" l="1"/>
  <c r="L20" i="5"/>
  <c r="L20" i="6" s="1"/>
  <c r="L10" i="34"/>
  <c r="M10" i="34" s="1"/>
  <c r="AN18" i="2"/>
  <c r="AN19" i="2" s="1"/>
  <c r="AN20" i="2" s="1"/>
  <c r="G11" i="17"/>
  <c r="Y17" i="2"/>
  <c r="H7" i="17"/>
  <c r="AL19" i="2"/>
  <c r="AM19" i="2" s="1"/>
  <c r="L25" i="26" s="1"/>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55" i="11" s="1"/>
  <c r="Z20" i="2"/>
  <c r="Z21" i="2" s="1"/>
  <c r="I15" i="26"/>
  <c r="I35" i="11" s="1"/>
  <c r="H15" i="11"/>
  <c r="H15" i="26"/>
  <c r="H35" i="11" s="1"/>
  <c r="G15" i="26"/>
  <c r="G35" i="11" s="1"/>
  <c r="G15" i="6"/>
  <c r="G55" i="11" s="1"/>
  <c r="AK5" i="15"/>
  <c r="X18" i="2"/>
  <c r="H11" i="17" s="1"/>
  <c r="AJ5" i="15"/>
  <c r="AM18" i="2"/>
  <c r="L20" i="26" s="1"/>
  <c r="AI18" i="2"/>
  <c r="AH19" i="2"/>
  <c r="O15" i="17" s="1"/>
  <c r="AK6" i="15"/>
  <c r="AS19" i="2"/>
  <c r="AR20" i="2"/>
  <c r="AF20" i="2"/>
  <c r="AC11" i="15"/>
  <c r="AC16" i="15"/>
  <c r="AC17" i="15"/>
  <c r="AC12" i="15"/>
  <c r="AC6" i="15"/>
  <c r="AC7" i="15"/>
  <c r="AC8" i="15"/>
  <c r="AC13" i="15"/>
  <c r="AC18" i="15"/>
  <c r="AC5" i="15"/>
  <c r="AC10" i="15"/>
  <c r="AC15" i="15"/>
  <c r="L25" i="5" l="1"/>
  <c r="L11" i="34"/>
  <c r="M11" i="34" s="1"/>
  <c r="F10" i="34"/>
  <c r="F47" i="34" s="1"/>
  <c r="D10" i="34"/>
  <c r="E47" i="34" s="1"/>
  <c r="C10" i="34"/>
  <c r="D47" i="34" s="1"/>
  <c r="H10" i="34"/>
  <c r="I10" i="34" s="1"/>
  <c r="G10" i="34"/>
  <c r="G47" i="34" s="1"/>
  <c r="AO18" i="2"/>
  <c r="AO19" i="2"/>
  <c r="AE17" i="2"/>
  <c r="AJ6" i="15"/>
  <c r="Q15" i="17"/>
  <c r="N15" i="17" s="1"/>
  <c r="P7" i="17"/>
  <c r="L7" i="17"/>
  <c r="AL20" i="2"/>
  <c r="Q19" i="17" s="1"/>
  <c r="N19" i="17" s="1"/>
  <c r="AC18" i="2"/>
  <c r="K11" i="17"/>
  <c r="AA20" i="2"/>
  <c r="L12" i="34" s="1"/>
  <c r="M12" i="34" s="1"/>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AK7" i="15"/>
  <c r="AS20" i="2"/>
  <c r="AR21" i="2"/>
  <c r="AF21" i="2"/>
  <c r="L30" i="5" l="1"/>
  <c r="G13" i="34"/>
  <c r="H13" i="34"/>
  <c r="C13" i="34"/>
  <c r="F13" i="34"/>
  <c r="D13" i="34"/>
  <c r="F12" i="34"/>
  <c r="H12" i="34"/>
  <c r="D12" i="34"/>
  <c r="G12" i="34"/>
  <c r="C12" i="34"/>
  <c r="H11" i="34"/>
  <c r="G11" i="34"/>
  <c r="D11" i="34"/>
  <c r="F11" i="34"/>
  <c r="C11"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G31" i="34" l="1"/>
  <c r="G49" i="34"/>
  <c r="D31" i="34"/>
  <c r="E49" i="34"/>
  <c r="F14" i="34"/>
  <c r="C14" i="34"/>
  <c r="H14" i="34"/>
  <c r="D14" i="34"/>
  <c r="G14" i="34"/>
  <c r="C30" i="34"/>
  <c r="D48" i="34"/>
  <c r="I12" i="34"/>
  <c r="I31" i="34" s="1"/>
  <c r="H31" i="34"/>
  <c r="G32" i="34"/>
  <c r="G50" i="34"/>
  <c r="F30" i="34"/>
  <c r="F48" i="34"/>
  <c r="F31" i="34"/>
  <c r="F49" i="34"/>
  <c r="D30" i="34"/>
  <c r="E48" i="34"/>
  <c r="D32" i="34"/>
  <c r="E50" i="34"/>
  <c r="AG22" i="2"/>
  <c r="G30" i="34"/>
  <c r="G48" i="34"/>
  <c r="F32" i="34"/>
  <c r="F50" i="34"/>
  <c r="AF23" i="2"/>
  <c r="M31" i="17" s="1"/>
  <c r="J31" i="17" s="1"/>
  <c r="I11" i="34"/>
  <c r="I30" i="34" s="1"/>
  <c r="H30" i="34"/>
  <c r="C32" i="34"/>
  <c r="D50" i="34"/>
  <c r="C31" i="34"/>
  <c r="D49" i="34"/>
  <c r="I13" i="34"/>
  <c r="H32" i="34"/>
  <c r="AC20" i="2"/>
  <c r="AB21" i="2"/>
  <c r="K23" i="17" s="1"/>
  <c r="AL22" i="2"/>
  <c r="AJ9" i="15" s="1"/>
  <c r="AM21" i="2"/>
  <c r="L35" i="26" s="1"/>
  <c r="Q23" i="17"/>
  <c r="N23" i="17" s="1"/>
  <c r="Y20" i="2"/>
  <c r="H19" i="17"/>
  <c r="AA23" i="2"/>
  <c r="L15" i="34" s="1"/>
  <c r="M15" i="34" s="1"/>
  <c r="I31" i="17"/>
  <c r="F31" i="17" s="1"/>
  <c r="AQ21" i="2"/>
  <c r="AI10" i="15"/>
  <c r="V22" i="2"/>
  <c r="G27" i="17" s="1"/>
  <c r="W21" i="2"/>
  <c r="X21" i="2"/>
  <c r="Z24" i="2"/>
  <c r="AP23" i="2"/>
  <c r="AQ22" i="2"/>
  <c r="AB22" i="2"/>
  <c r="K27" i="17" s="1"/>
  <c r="AC21" i="2"/>
  <c r="AN23" i="2"/>
  <c r="AO22" i="2"/>
  <c r="AD21" i="2"/>
  <c r="L23" i="17" s="1"/>
  <c r="AE20" i="2"/>
  <c r="AJ21" i="2"/>
  <c r="P23" i="17" s="1"/>
  <c r="AK20" i="2"/>
  <c r="AH22" i="2"/>
  <c r="O27" i="17" s="1"/>
  <c r="AI21" i="2"/>
  <c r="L35" i="6"/>
  <c r="AK9" i="15"/>
  <c r="AS22" i="2"/>
  <c r="AR23" i="2"/>
  <c r="I32" i="34"/>
  <c r="L40" i="5"/>
  <c r="AF24" i="2"/>
  <c r="M35" i="17" s="1"/>
  <c r="J35" i="17" s="1"/>
  <c r="AB6" i="15"/>
  <c r="AH5" i="15"/>
  <c r="AG23" i="2" l="1"/>
  <c r="I14" i="34"/>
  <c r="I33" i="34" s="1"/>
  <c r="H33" i="34"/>
  <c r="C33" i="34"/>
  <c r="D51" i="34"/>
  <c r="D33" i="34"/>
  <c r="E51" i="34"/>
  <c r="F33" i="34"/>
  <c r="F51" i="34"/>
  <c r="F15" i="34"/>
  <c r="G15" i="34"/>
  <c r="H15" i="34"/>
  <c r="D15" i="34"/>
  <c r="C15" i="34"/>
  <c r="G33" i="34"/>
  <c r="G51" i="34"/>
  <c r="Q27" i="17"/>
  <c r="N27" i="17" s="1"/>
  <c r="AL23" i="2"/>
  <c r="AM22" i="2"/>
  <c r="L40" i="26" s="1"/>
  <c r="AA24" i="2"/>
  <c r="L16" i="34" s="1"/>
  <c r="M16" i="34" s="1"/>
  <c r="I35" i="17"/>
  <c r="F35" i="17" s="1"/>
  <c r="Y21" i="2"/>
  <c r="H23" i="17"/>
  <c r="AI11" i="15"/>
  <c r="V23" i="2"/>
  <c r="G31" i="17" s="1"/>
  <c r="W22" i="2"/>
  <c r="X22" i="2"/>
  <c r="Z25" i="2"/>
  <c r="AD22" i="2"/>
  <c r="L27" i="17" s="1"/>
  <c r="AE21" i="2"/>
  <c r="AH23" i="2"/>
  <c r="O31" i="17" s="1"/>
  <c r="AI22" i="2"/>
  <c r="AB23" i="2"/>
  <c r="K31" i="17" s="1"/>
  <c r="AC22" i="2"/>
  <c r="AN24" i="2"/>
  <c r="AO23" i="2"/>
  <c r="AJ22" i="2"/>
  <c r="P27" i="17" s="1"/>
  <c r="AK21" i="2"/>
  <c r="AP24" i="2"/>
  <c r="AQ23" i="2"/>
  <c r="L40" i="6"/>
  <c r="AK10" i="15"/>
  <c r="AS23" i="2"/>
  <c r="AR24" i="2"/>
  <c r="L45" i="5"/>
  <c r="AG24" i="2"/>
  <c r="AF25" i="2"/>
  <c r="M39" i="17" s="1"/>
  <c r="J39" i="17" s="1"/>
  <c r="AB7" i="15"/>
  <c r="AH6" i="15"/>
  <c r="C34" i="34" l="1"/>
  <c r="D52" i="34"/>
  <c r="D34" i="34"/>
  <c r="E52" i="34"/>
  <c r="F16" i="34"/>
  <c r="D16" i="34"/>
  <c r="H16" i="34"/>
  <c r="G16" i="34"/>
  <c r="C16" i="34"/>
  <c r="I15" i="34"/>
  <c r="I34" i="34" s="1"/>
  <c r="H34" i="34"/>
  <c r="F34" i="34"/>
  <c r="F52" i="34"/>
  <c r="G34" i="34"/>
  <c r="G52" i="34"/>
  <c r="AM23" i="2"/>
  <c r="L45" i="26" s="1"/>
  <c r="AL24" i="2"/>
  <c r="AJ10" i="15"/>
  <c r="Q31" i="17"/>
  <c r="N31" i="17" s="1"/>
  <c r="AA25" i="2"/>
  <c r="L17" i="34" s="1"/>
  <c r="M17" i="34" s="1"/>
  <c r="I39" i="17"/>
  <c r="F39" i="17" s="1"/>
  <c r="Y22" i="2"/>
  <c r="H27" i="17"/>
  <c r="AI12" i="15"/>
  <c r="V24" i="2"/>
  <c r="G35" i="17" s="1"/>
  <c r="W23" i="2"/>
  <c r="X23" i="2"/>
  <c r="Z26" i="2"/>
  <c r="I43" i="17" s="1"/>
  <c r="F43" i="17" s="1"/>
  <c r="AN25" i="2"/>
  <c r="AO24" i="2"/>
  <c r="AB24" i="2"/>
  <c r="K35" i="17" s="1"/>
  <c r="AC23" i="2"/>
  <c r="AP25" i="2"/>
  <c r="AQ24" i="2"/>
  <c r="AH24" i="2"/>
  <c r="O35" i="17" s="1"/>
  <c r="AI23" i="2"/>
  <c r="AJ23" i="2"/>
  <c r="P31" i="17" s="1"/>
  <c r="AK22" i="2"/>
  <c r="AD23" i="2"/>
  <c r="L31" i="17" s="1"/>
  <c r="AE22" i="2"/>
  <c r="H18" i="11"/>
  <c r="H40" i="6"/>
  <c r="H60" i="11" s="1"/>
  <c r="H40" i="26"/>
  <c r="H40" i="11" s="1"/>
  <c r="I17" i="11"/>
  <c r="I40" i="26"/>
  <c r="I40" i="11" s="1"/>
  <c r="G19" i="11"/>
  <c r="G40" i="26"/>
  <c r="G40" i="11" s="1"/>
  <c r="G40" i="6"/>
  <c r="G60" i="11" s="1"/>
  <c r="L45" i="6"/>
  <c r="AK11" i="15"/>
  <c r="AR25" i="2"/>
  <c r="AS24" i="2"/>
  <c r="L50" i="5"/>
  <c r="I20" i="11"/>
  <c r="G20" i="11"/>
  <c r="H20" i="11"/>
  <c r="AF26" i="2"/>
  <c r="M43" i="17" s="1"/>
  <c r="J43" i="17" s="1"/>
  <c r="AG25" i="2"/>
  <c r="AB8" i="15"/>
  <c r="AH7" i="15"/>
  <c r="I16" i="34" l="1"/>
  <c r="I35" i="34" s="1"/>
  <c r="H35" i="34"/>
  <c r="D35" i="34"/>
  <c r="E53" i="34"/>
  <c r="F35" i="34"/>
  <c r="F53" i="34"/>
  <c r="F17" i="34"/>
  <c r="G17" i="34"/>
  <c r="H17" i="34"/>
  <c r="C17" i="34"/>
  <c r="D17" i="34"/>
  <c r="G35" i="34"/>
  <c r="G53" i="34"/>
  <c r="C35" i="34"/>
  <c r="D53" i="34"/>
  <c r="AL25" i="2"/>
  <c r="AM24" i="2"/>
  <c r="L50" i="26" s="1"/>
  <c r="AJ11" i="15"/>
  <c r="Q35" i="17"/>
  <c r="N35" i="17" s="1"/>
  <c r="Y23" i="2"/>
  <c r="H31" i="17"/>
  <c r="AI13" i="15"/>
  <c r="AA26" i="2"/>
  <c r="L18" i="34" s="1"/>
  <c r="M18" i="34" s="1"/>
  <c r="V25" i="2"/>
  <c r="G39" i="17" s="1"/>
  <c r="W24" i="2"/>
  <c r="X24" i="2"/>
  <c r="Z27" i="2"/>
  <c r="I40" i="6"/>
  <c r="I60" i="11" s="1"/>
  <c r="I97" i="11" s="1"/>
  <c r="AH25" i="2"/>
  <c r="O39" i="17" s="1"/>
  <c r="AI24" i="2"/>
  <c r="AP26" i="2"/>
  <c r="AQ25" i="2"/>
  <c r="AD24" i="2"/>
  <c r="L35" i="17" s="1"/>
  <c r="AE23" i="2"/>
  <c r="AB25" i="2"/>
  <c r="K39" i="17" s="1"/>
  <c r="AC24" i="2"/>
  <c r="AJ24" i="2"/>
  <c r="P35" i="17" s="1"/>
  <c r="AK23" i="2"/>
  <c r="AN26" i="2"/>
  <c r="AO25" i="2"/>
  <c r="H17" i="11"/>
  <c r="H25" i="6"/>
  <c r="H57" i="11" s="1"/>
  <c r="H25" i="26"/>
  <c r="H37" i="11" s="1"/>
  <c r="G30" i="26"/>
  <c r="G38" i="11" s="1"/>
  <c r="G30" i="6"/>
  <c r="G58" i="11" s="1"/>
  <c r="H20" i="26"/>
  <c r="H36" i="11" s="1"/>
  <c r="G16" i="11"/>
  <c r="G20" i="26"/>
  <c r="G36" i="11" s="1"/>
  <c r="I30" i="26"/>
  <c r="I38" i="11" s="1"/>
  <c r="I30" i="6"/>
  <c r="I58" i="11" s="1"/>
  <c r="I35" i="26"/>
  <c r="I39" i="11" s="1"/>
  <c r="I35" i="6"/>
  <c r="I59" i="11" s="1"/>
  <c r="H19" i="11"/>
  <c r="H35" i="26"/>
  <c r="H39" i="11" s="1"/>
  <c r="H35" i="6"/>
  <c r="H59" i="11" s="1"/>
  <c r="I16" i="11"/>
  <c r="I20" i="26"/>
  <c r="I25" i="6"/>
  <c r="I57" i="11" s="1"/>
  <c r="I94" i="11" s="1"/>
  <c r="I25" i="26"/>
  <c r="I37" i="11" s="1"/>
  <c r="I76" i="11" s="1"/>
  <c r="G35" i="26"/>
  <c r="G39" i="11" s="1"/>
  <c r="G78" i="11" s="1"/>
  <c r="G35" i="6"/>
  <c r="G59" i="11" s="1"/>
  <c r="G96" i="11" s="1"/>
  <c r="G25" i="26"/>
  <c r="G37" i="11" s="1"/>
  <c r="G25" i="6"/>
  <c r="G57" i="11" s="1"/>
  <c r="H30" i="26"/>
  <c r="H38" i="11" s="1"/>
  <c r="H77" i="11" s="1"/>
  <c r="H30" i="6"/>
  <c r="H58" i="11" s="1"/>
  <c r="H95" i="11" s="1"/>
  <c r="L50" i="6"/>
  <c r="I19" i="11"/>
  <c r="I18" i="11"/>
  <c r="I79" i="11"/>
  <c r="G17" i="11"/>
  <c r="L55" i="5"/>
  <c r="I20" i="6"/>
  <c r="I56" i="11" s="1"/>
  <c r="AK12" i="15"/>
  <c r="AR26" i="2"/>
  <c r="AS25" i="2"/>
  <c r="H20" i="6"/>
  <c r="H56" i="11" s="1"/>
  <c r="G20" i="6"/>
  <c r="G56" i="11" s="1"/>
  <c r="H16" i="11"/>
  <c r="G79" i="11"/>
  <c r="G97" i="11"/>
  <c r="H79" i="11"/>
  <c r="G18" i="11"/>
  <c r="H97" i="11"/>
  <c r="AF27" i="2"/>
  <c r="M47" i="17" s="1"/>
  <c r="J47" i="17" s="1"/>
  <c r="AG26" i="2"/>
  <c r="AB9" i="15"/>
  <c r="AH8" i="15"/>
  <c r="C36" i="34" l="1"/>
  <c r="D54" i="34"/>
  <c r="F18" i="34"/>
  <c r="D18" i="34"/>
  <c r="C18" i="34"/>
  <c r="H18" i="34"/>
  <c r="G18" i="34"/>
  <c r="F36" i="34"/>
  <c r="F54" i="34"/>
  <c r="G36" i="34"/>
  <c r="G54" i="34"/>
  <c r="D36" i="34"/>
  <c r="E54" i="34"/>
  <c r="I17" i="34"/>
  <c r="I36" i="34" s="1"/>
  <c r="H36" i="34"/>
  <c r="AM25" i="2"/>
  <c r="L55" i="26" s="1"/>
  <c r="AL26" i="2"/>
  <c r="AJ12" i="15"/>
  <c r="Q39" i="17"/>
  <c r="N39" i="17" s="1"/>
  <c r="AA27" i="2"/>
  <c r="L19" i="34" s="1"/>
  <c r="M19" i="34" s="1"/>
  <c r="I47" i="17"/>
  <c r="F47" i="17" s="1"/>
  <c r="Y24" i="2"/>
  <c r="H35" i="17"/>
  <c r="AI14" i="15"/>
  <c r="V26" i="2"/>
  <c r="G43" i="17" s="1"/>
  <c r="W25" i="2"/>
  <c r="X25" i="2"/>
  <c r="Z28" i="2"/>
  <c r="AA28" i="2" s="1"/>
  <c r="L20" i="34" s="1"/>
  <c r="M20" i="34" s="1"/>
  <c r="G75" i="11"/>
  <c r="AB26" i="2"/>
  <c r="K43" i="17" s="1"/>
  <c r="AC25" i="2"/>
  <c r="AD25" i="2"/>
  <c r="L39" i="17" s="1"/>
  <c r="AE24" i="2"/>
  <c r="AN27" i="2"/>
  <c r="AO26" i="2"/>
  <c r="AP27" i="2"/>
  <c r="AQ26" i="2"/>
  <c r="AJ25" i="2"/>
  <c r="P39" i="17" s="1"/>
  <c r="AK24" i="2"/>
  <c r="AH26" i="2"/>
  <c r="O43" i="17" s="1"/>
  <c r="AI25" i="2"/>
  <c r="G93" i="11"/>
  <c r="I93" i="11"/>
  <c r="H78" i="11"/>
  <c r="H94" i="11"/>
  <c r="H96" i="11"/>
  <c r="H76" i="11"/>
  <c r="I95" i="11"/>
  <c r="I78" i="11"/>
  <c r="G76" i="11"/>
  <c r="H75" i="11"/>
  <c r="L55" i="6"/>
  <c r="I96" i="11"/>
  <c r="G94" i="11"/>
  <c r="I77" i="11"/>
  <c r="L60" i="5"/>
  <c r="AK13" i="15"/>
  <c r="AS26" i="2"/>
  <c r="AR27" i="2"/>
  <c r="H93" i="11"/>
  <c r="G95" i="11"/>
  <c r="G77" i="11"/>
  <c r="AG27" i="2"/>
  <c r="AB10" i="15"/>
  <c r="AH9" i="15"/>
  <c r="I18" i="34" l="1"/>
  <c r="I37" i="34" s="1"/>
  <c r="H37" i="34"/>
  <c r="G37" i="34"/>
  <c r="G55" i="34"/>
  <c r="C37" i="34"/>
  <c r="D55" i="34"/>
  <c r="F37" i="34"/>
  <c r="F55" i="34"/>
  <c r="F20" i="34"/>
  <c r="C20" i="34"/>
  <c r="H20" i="34"/>
  <c r="D20" i="34"/>
  <c r="G20" i="34"/>
  <c r="H19" i="34"/>
  <c r="G19" i="34"/>
  <c r="F19" i="34"/>
  <c r="D19" i="34"/>
  <c r="C19" i="34"/>
  <c r="D37" i="34"/>
  <c r="E55" i="34"/>
  <c r="AL27" i="2"/>
  <c r="AM26" i="2"/>
  <c r="L60" i="26" s="1"/>
  <c r="AJ13" i="15"/>
  <c r="Q43" i="17"/>
  <c r="N43" i="17" s="1"/>
  <c r="AI15" i="15"/>
  <c r="Y25" i="2"/>
  <c r="H39" i="17"/>
  <c r="V27" i="2"/>
  <c r="G47" i="17" s="1"/>
  <c r="W26" i="2"/>
  <c r="X26" i="2"/>
  <c r="Z29" i="2"/>
  <c r="AA29" i="2" s="1"/>
  <c r="L21" i="34" s="1"/>
  <c r="M21" i="34" s="1"/>
  <c r="AP28" i="2"/>
  <c r="AQ27" i="2"/>
  <c r="AN28" i="2"/>
  <c r="AO27" i="2"/>
  <c r="AH27" i="2"/>
  <c r="O47" i="17" s="1"/>
  <c r="AI26" i="2"/>
  <c r="AD26" i="2"/>
  <c r="L43" i="17" s="1"/>
  <c r="AE25" i="2"/>
  <c r="AJ26" i="2"/>
  <c r="P43" i="17" s="1"/>
  <c r="AK25" i="2"/>
  <c r="AB27" i="2"/>
  <c r="K47" i="17" s="1"/>
  <c r="AC26" i="2"/>
  <c r="L60" i="6"/>
  <c r="AK14" i="15"/>
  <c r="AE50" i="15" s="1"/>
  <c r="AS27" i="2"/>
  <c r="L65" i="5"/>
  <c r="AB11" i="15"/>
  <c r="AH10" i="15"/>
  <c r="H21" i="34" l="1"/>
  <c r="D21" i="34"/>
  <c r="G21" i="34"/>
  <c r="C21" i="34"/>
  <c r="F21" i="34"/>
  <c r="I19" i="34"/>
  <c r="I38" i="34" s="1"/>
  <c r="H38" i="34"/>
  <c r="G39" i="34"/>
  <c r="G57" i="34"/>
  <c r="F38" i="34"/>
  <c r="F56" i="34"/>
  <c r="D39" i="34"/>
  <c r="E57" i="34"/>
  <c r="I20" i="34"/>
  <c r="H39" i="34"/>
  <c r="C38" i="34"/>
  <c r="D56" i="34"/>
  <c r="C39" i="34"/>
  <c r="D57" i="34"/>
  <c r="G38" i="34"/>
  <c r="G56" i="34"/>
  <c r="D38" i="34"/>
  <c r="E56" i="34"/>
  <c r="F39" i="34"/>
  <c r="F57" i="34"/>
  <c r="AM27" i="2"/>
  <c r="L65" i="26" s="1"/>
  <c r="AJ14" i="15"/>
  <c r="Q47" i="17"/>
  <c r="N47" i="17" s="1"/>
  <c r="Y26" i="2"/>
  <c r="H43" i="17"/>
  <c r="AI16" i="15"/>
  <c r="V28" i="2"/>
  <c r="W27" i="2"/>
  <c r="X27" i="2"/>
  <c r="Z30" i="2"/>
  <c r="AA30" i="2" s="1"/>
  <c r="L22" i="34" s="1"/>
  <c r="M22" i="34" s="1"/>
  <c r="AD27" i="2"/>
  <c r="L47" i="17" s="1"/>
  <c r="AE26" i="2"/>
  <c r="AH28" i="2"/>
  <c r="AI27" i="2"/>
  <c r="AN29" i="2"/>
  <c r="AO28" i="2"/>
  <c r="AB28" i="2"/>
  <c r="AC27" i="2"/>
  <c r="AJ27" i="2"/>
  <c r="P47" i="17" s="1"/>
  <c r="AK26" i="2"/>
  <c r="AP29" i="2"/>
  <c r="AQ28" i="2"/>
  <c r="L65" i="6"/>
  <c r="L70" i="5"/>
  <c r="AB12" i="15"/>
  <c r="AH11" i="15"/>
  <c r="F40" i="34" l="1"/>
  <c r="F58" i="34"/>
  <c r="C40" i="34"/>
  <c r="D58" i="34"/>
  <c r="F22" i="34"/>
  <c r="D22" i="34"/>
  <c r="H22" i="34"/>
  <c r="G22" i="34"/>
  <c r="C22" i="34"/>
  <c r="G40" i="34"/>
  <c r="G58" i="34"/>
  <c r="D40" i="34"/>
  <c r="E58" i="34"/>
  <c r="I21" i="34"/>
  <c r="H40" i="34"/>
  <c r="Y27" i="2"/>
  <c r="H47" i="17"/>
  <c r="AI17" i="15"/>
  <c r="V29" i="2"/>
  <c r="W28" i="2"/>
  <c r="X28" i="2"/>
  <c r="Y28" i="2" s="1"/>
  <c r="Z31" i="2"/>
  <c r="AA31" i="2" s="1"/>
  <c r="L23" i="34" s="1"/>
  <c r="M23" i="34" s="1"/>
  <c r="AB29" i="2"/>
  <c r="AC28" i="2"/>
  <c r="AN30" i="2"/>
  <c r="AO29" i="2"/>
  <c r="AP30" i="2"/>
  <c r="AQ29" i="2"/>
  <c r="AH29" i="2"/>
  <c r="AI28" i="2"/>
  <c r="AJ28" i="2"/>
  <c r="AK27" i="2"/>
  <c r="AD28" i="2"/>
  <c r="AE27" i="2"/>
  <c r="G22" i="11"/>
  <c r="G65" i="26"/>
  <c r="G45" i="11" s="1"/>
  <c r="G65" i="6"/>
  <c r="G65" i="11" s="1"/>
  <c r="I25" i="11"/>
  <c r="I65" i="26"/>
  <c r="I45" i="11" s="1"/>
  <c r="H23" i="11"/>
  <c r="H65" i="6"/>
  <c r="H65" i="11" s="1"/>
  <c r="H65" i="26"/>
  <c r="H45" i="11" s="1"/>
  <c r="L75" i="5"/>
  <c r="H25" i="11"/>
  <c r="G25" i="11"/>
  <c r="AB13" i="15"/>
  <c r="AH12" i="15"/>
  <c r="A8" i="11"/>
  <c r="A6" i="11"/>
  <c r="I22" i="34" l="1"/>
  <c r="H41" i="34"/>
  <c r="D41" i="34"/>
  <c r="E59" i="34"/>
  <c r="G41" i="34"/>
  <c r="G59" i="34"/>
  <c r="F41" i="34"/>
  <c r="F59" i="34"/>
  <c r="H23" i="34"/>
  <c r="G23" i="34"/>
  <c r="C23" i="34"/>
  <c r="D23" i="34"/>
  <c r="F23" i="34"/>
  <c r="C41" i="34"/>
  <c r="D59" i="34"/>
  <c r="AI18" i="15"/>
  <c r="V30" i="2"/>
  <c r="W29" i="2"/>
  <c r="X29" i="2"/>
  <c r="Y29" i="2" s="1"/>
  <c r="Z32" i="2"/>
  <c r="I65" i="6"/>
  <c r="I65" i="11" s="1"/>
  <c r="I102" i="11" s="1"/>
  <c r="AP31" i="2"/>
  <c r="AQ30" i="2"/>
  <c r="AH30" i="2"/>
  <c r="AI29" i="2"/>
  <c r="AD29" i="2"/>
  <c r="AE28" i="2"/>
  <c r="AN31" i="2"/>
  <c r="AO30" i="2"/>
  <c r="AJ29" i="2"/>
  <c r="AK28" i="2"/>
  <c r="AB30" i="2"/>
  <c r="AC29" i="2"/>
  <c r="I84" i="11"/>
  <c r="G55" i="26"/>
  <c r="G43" i="11" s="1"/>
  <c r="G55" i="6"/>
  <c r="G63" i="11" s="1"/>
  <c r="H60" i="6"/>
  <c r="H64" i="11" s="1"/>
  <c r="H60" i="26"/>
  <c r="H44" i="11" s="1"/>
  <c r="I55" i="26"/>
  <c r="I43" i="11" s="1"/>
  <c r="I55" i="6"/>
  <c r="I63" i="11" s="1"/>
  <c r="I45" i="6"/>
  <c r="I61" i="11" s="1"/>
  <c r="I45" i="26"/>
  <c r="I41" i="11" s="1"/>
  <c r="H55" i="26"/>
  <c r="H43" i="11" s="1"/>
  <c r="H82" i="11" s="1"/>
  <c r="H55" i="6"/>
  <c r="H63" i="11" s="1"/>
  <c r="H100" i="11" s="1"/>
  <c r="H50" i="26"/>
  <c r="H42" i="11" s="1"/>
  <c r="H50" i="6"/>
  <c r="H62" i="11" s="1"/>
  <c r="I50" i="26"/>
  <c r="I42" i="11" s="1"/>
  <c r="I50" i="6"/>
  <c r="I62" i="11" s="1"/>
  <c r="G21" i="11"/>
  <c r="G45" i="26"/>
  <c r="G41" i="11" s="1"/>
  <c r="G45" i="6"/>
  <c r="G61" i="11" s="1"/>
  <c r="H45" i="6"/>
  <c r="H61" i="11" s="1"/>
  <c r="H45" i="26"/>
  <c r="H41" i="11" s="1"/>
  <c r="G50" i="26"/>
  <c r="G42" i="11" s="1"/>
  <c r="G81" i="11" s="1"/>
  <c r="G50" i="6"/>
  <c r="G62" i="11" s="1"/>
  <c r="G99" i="11" s="1"/>
  <c r="I60" i="6"/>
  <c r="I64" i="11" s="1"/>
  <c r="I60" i="26"/>
  <c r="I44" i="11" s="1"/>
  <c r="G60" i="26"/>
  <c r="G44" i="11" s="1"/>
  <c r="G60" i="6"/>
  <c r="G64" i="11" s="1"/>
  <c r="I22" i="11"/>
  <c r="I21" i="11"/>
  <c r="L80" i="5"/>
  <c r="H22" i="11"/>
  <c r="H84" i="11"/>
  <c r="H21" i="11"/>
  <c r="G23" i="11"/>
  <c r="I23" i="11"/>
  <c r="H24" i="11"/>
  <c r="G84" i="11"/>
  <c r="H102" i="11"/>
  <c r="I24" i="11"/>
  <c r="G102" i="11"/>
  <c r="G24" i="11"/>
  <c r="AB14" i="15"/>
  <c r="AH13" i="15"/>
  <c r="F42" i="34" l="1"/>
  <c r="F60" i="34"/>
  <c r="D42" i="34"/>
  <c r="E60" i="34"/>
  <c r="C42" i="34"/>
  <c r="D60" i="34"/>
  <c r="G42" i="34"/>
  <c r="G60" i="34"/>
  <c r="I23" i="34"/>
  <c r="H42" i="34"/>
  <c r="AA32" i="2"/>
  <c r="I51" i="17"/>
  <c r="F51" i="17" s="1"/>
  <c r="V31" i="2"/>
  <c r="W30" i="2"/>
  <c r="X30" i="2"/>
  <c r="Y30" i="2" s="1"/>
  <c r="AJ30" i="2"/>
  <c r="AK29" i="2"/>
  <c r="AN32" i="2"/>
  <c r="AO32" i="2" s="1"/>
  <c r="AO31" i="2"/>
  <c r="AD30" i="2"/>
  <c r="AE29" i="2"/>
  <c r="AP32" i="2"/>
  <c r="AQ32" i="2" s="1"/>
  <c r="AQ31" i="2"/>
  <c r="AB31" i="2"/>
  <c r="AC30" i="2"/>
  <c r="AH31" i="2"/>
  <c r="AI30" i="2"/>
  <c r="H101" i="11"/>
  <c r="G80" i="11"/>
  <c r="H81" i="11"/>
  <c r="I80" i="11"/>
  <c r="I101" i="11"/>
  <c r="G98" i="11"/>
  <c r="H98" i="11"/>
  <c r="G101" i="11"/>
  <c r="G100" i="11"/>
  <c r="I81" i="11"/>
  <c r="I99" i="11"/>
  <c r="I98" i="11"/>
  <c r="AI19" i="15"/>
  <c r="L85" i="5"/>
  <c r="I82" i="11"/>
  <c r="I100" i="11"/>
  <c r="H99" i="11"/>
  <c r="H80" i="11"/>
  <c r="H83" i="11"/>
  <c r="G82" i="11"/>
  <c r="I83" i="11"/>
  <c r="G83" i="11"/>
  <c r="AB15" i="15"/>
  <c r="AH14" i="15"/>
  <c r="Z26" i="1"/>
  <c r="Y26" i="1"/>
  <c r="X26" i="1"/>
  <c r="D35" i="1" s="1"/>
  <c r="W26" i="1"/>
  <c r="U26" i="1"/>
  <c r="L14" i="1" s="1"/>
  <c r="T26" i="1"/>
  <c r="N14" i="1" s="1"/>
  <c r="S26" i="1"/>
  <c r="M14" i="1" s="1"/>
  <c r="R26" i="1"/>
  <c r="R16" i="1"/>
  <c r="S16" i="1"/>
  <c r="T16" i="1"/>
  <c r="U16" i="1"/>
  <c r="W16" i="1"/>
  <c r="X16" i="1"/>
  <c r="D29" i="1" s="1"/>
  <c r="Y16" i="1"/>
  <c r="Z16" i="1"/>
  <c r="L90" i="5" l="1"/>
  <c r="L24" i="34"/>
  <c r="M24" i="34" s="1"/>
  <c r="J34" i="35"/>
  <c r="G14" i="35" s="1"/>
  <c r="J14" i="35" s="1"/>
  <c r="D40" i="5" s="1"/>
  <c r="C14" i="1"/>
  <c r="C40" i="5" s="1"/>
  <c r="V32" i="2"/>
  <c r="G51" i="17" s="1"/>
  <c r="W31" i="2"/>
  <c r="X31" i="2"/>
  <c r="Y31" i="2" s="1"/>
  <c r="E10" i="5"/>
  <c r="O10" i="5" s="1"/>
  <c r="E40" i="5"/>
  <c r="O40" i="5" s="1"/>
  <c r="C8" i="1"/>
  <c r="C10" i="5" s="1"/>
  <c r="C10" i="26" s="1"/>
  <c r="C34" i="11" s="1"/>
  <c r="AI20" i="15"/>
  <c r="AD31" i="2"/>
  <c r="AE30" i="2"/>
  <c r="AH32" i="2"/>
  <c r="AI31" i="2"/>
  <c r="AB32" i="2"/>
  <c r="AC31" i="2"/>
  <c r="AJ31" i="2"/>
  <c r="AK30" i="2"/>
  <c r="E8" i="11"/>
  <c r="C6" i="11"/>
  <c r="C8" i="11"/>
  <c r="E6" i="11"/>
  <c r="AA16" i="1"/>
  <c r="F8" i="1" s="1"/>
  <c r="AA26" i="1"/>
  <c r="F14" i="1" s="1"/>
  <c r="F40" i="5" s="1"/>
  <c r="AB16" i="15"/>
  <c r="AH15" i="15"/>
  <c r="U36" i="1"/>
  <c r="L24" i="1" s="1"/>
  <c r="U31" i="1"/>
  <c r="L19" i="1" s="1"/>
  <c r="L18" i="1" s="1"/>
  <c r="R31" i="1"/>
  <c r="R36" i="1"/>
  <c r="W36" i="1"/>
  <c r="W31" i="1"/>
  <c r="T31" i="1"/>
  <c r="N19" i="1" s="1"/>
  <c r="N16" i="1" s="1"/>
  <c r="T36" i="1"/>
  <c r="N24" i="1" s="1"/>
  <c r="X31" i="1"/>
  <c r="D40" i="1" s="1"/>
  <c r="X36" i="1"/>
  <c r="D45" i="1" s="1"/>
  <c r="Y36" i="1"/>
  <c r="Y31" i="1"/>
  <c r="Z31" i="1"/>
  <c r="Z36" i="1"/>
  <c r="U21" i="1"/>
  <c r="L9" i="1" s="1"/>
  <c r="Y21" i="1"/>
  <c r="R21" i="1"/>
  <c r="Z21" i="1"/>
  <c r="W21" i="1"/>
  <c r="T21" i="1"/>
  <c r="N9" i="1" s="1"/>
  <c r="X21" i="1"/>
  <c r="D30" i="1" s="1"/>
  <c r="Y10" i="5" l="1"/>
  <c r="Z10" i="5"/>
  <c r="Z40" i="5"/>
  <c r="Y40" i="5"/>
  <c r="F24" i="34"/>
  <c r="D24" i="34"/>
  <c r="H24" i="34"/>
  <c r="G24" i="34"/>
  <c r="C24" i="34"/>
  <c r="L15" i="1"/>
  <c r="L17" i="1"/>
  <c r="L16" i="1"/>
  <c r="N20" i="1"/>
  <c r="N21" i="1"/>
  <c r="N22" i="1"/>
  <c r="N23" i="1"/>
  <c r="L13" i="1"/>
  <c r="L12" i="1"/>
  <c r="L11" i="1"/>
  <c r="L10" i="1"/>
  <c r="N18" i="1"/>
  <c r="X40" i="5"/>
  <c r="D40" i="6"/>
  <c r="D20" i="11"/>
  <c r="D40" i="26"/>
  <c r="N15" i="1"/>
  <c r="N10" i="1"/>
  <c r="N12" i="1"/>
  <c r="N11" i="1"/>
  <c r="N13" i="1"/>
  <c r="L23" i="1"/>
  <c r="L22" i="1"/>
  <c r="L20" i="1"/>
  <c r="L21" i="1"/>
  <c r="N17" i="1"/>
  <c r="AI32" i="2"/>
  <c r="O51" i="17"/>
  <c r="AC32" i="2"/>
  <c r="K51" i="17"/>
  <c r="C29" i="1"/>
  <c r="E29" i="1" s="1"/>
  <c r="F10" i="5" s="1"/>
  <c r="F10" i="26" s="1"/>
  <c r="F34" i="11" s="1"/>
  <c r="C35" i="1"/>
  <c r="E35" i="1" s="1"/>
  <c r="W32" i="2"/>
  <c r="X32" i="2"/>
  <c r="C19" i="1"/>
  <c r="C9" i="1"/>
  <c r="D42" i="1"/>
  <c r="D41" i="1"/>
  <c r="D44" i="1"/>
  <c r="D43" i="1"/>
  <c r="D37" i="1"/>
  <c r="D38" i="1"/>
  <c r="D39" i="1"/>
  <c r="E65" i="5"/>
  <c r="O65" i="5" s="1"/>
  <c r="D32" i="1"/>
  <c r="D31" i="1"/>
  <c r="D34" i="1"/>
  <c r="D33" i="1"/>
  <c r="E40" i="6"/>
  <c r="O40" i="6" s="1"/>
  <c r="E40" i="26"/>
  <c r="O40" i="26" s="1"/>
  <c r="D36" i="1"/>
  <c r="AJ32" i="2"/>
  <c r="AK31" i="2"/>
  <c r="AD32" i="2"/>
  <c r="AE31" i="2"/>
  <c r="C40" i="26"/>
  <c r="C40" i="11" s="1"/>
  <c r="C40" i="6"/>
  <c r="C60" i="11" s="1"/>
  <c r="C17" i="1"/>
  <c r="C55" i="5" s="1"/>
  <c r="C18" i="1"/>
  <c r="C60" i="5" s="1"/>
  <c r="E10" i="11"/>
  <c r="E90" i="5"/>
  <c r="O90" i="5" s="1"/>
  <c r="R6" i="11" s="1"/>
  <c r="C10" i="11"/>
  <c r="C24" i="1"/>
  <c r="C90" i="5" s="1"/>
  <c r="C14" i="11"/>
  <c r="C10" i="6"/>
  <c r="C54" i="11" s="1"/>
  <c r="E9" i="11"/>
  <c r="C20" i="11"/>
  <c r="F8" i="11"/>
  <c r="E7" i="11"/>
  <c r="C9" i="11"/>
  <c r="F6" i="11"/>
  <c r="E20" i="11"/>
  <c r="C7" i="11"/>
  <c r="E10" i="6"/>
  <c r="O10" i="6" s="1"/>
  <c r="E14" i="11"/>
  <c r="E10" i="26"/>
  <c r="O10" i="26" s="1"/>
  <c r="H30" i="11"/>
  <c r="I30" i="11"/>
  <c r="G30" i="11"/>
  <c r="AA36" i="1"/>
  <c r="F24" i="1" s="1"/>
  <c r="F90" i="5" s="1"/>
  <c r="AA21" i="1"/>
  <c r="F9" i="1" s="1"/>
  <c r="F15" i="5" s="1"/>
  <c r="AA31" i="1"/>
  <c r="F19" i="1" s="1"/>
  <c r="AB17" i="15"/>
  <c r="AH16" i="15"/>
  <c r="E45" i="5" l="1"/>
  <c r="O45" i="5" s="1"/>
  <c r="E60" i="5"/>
  <c r="T6" i="11"/>
  <c r="U6" i="11"/>
  <c r="V6" i="11"/>
  <c r="S6" i="11"/>
  <c r="R7" i="11"/>
  <c r="Z10" i="26"/>
  <c r="Y10" i="26"/>
  <c r="Y65" i="5"/>
  <c r="Z65" i="5"/>
  <c r="Z10" i="6"/>
  <c r="Y10" i="6"/>
  <c r="Z40" i="26"/>
  <c r="Y40" i="26"/>
  <c r="Y40" i="6"/>
  <c r="Z40" i="6"/>
  <c r="Y90" i="5"/>
  <c r="AA90" i="5"/>
  <c r="AB90" i="5"/>
  <c r="Z90" i="5"/>
  <c r="C43" i="34"/>
  <c r="C90" i="6" s="1"/>
  <c r="C70" i="11" s="1"/>
  <c r="E19" i="15" s="1"/>
  <c r="D61" i="34"/>
  <c r="G43" i="34"/>
  <c r="G90" i="6" s="1"/>
  <c r="G70" i="11" s="1"/>
  <c r="G61" i="34"/>
  <c r="I24" i="34"/>
  <c r="H43" i="34"/>
  <c r="D43" i="34"/>
  <c r="E61" i="34"/>
  <c r="G90" i="26"/>
  <c r="G50" i="11" s="1"/>
  <c r="G89" i="11" s="1"/>
  <c r="F43" i="34"/>
  <c r="F61" i="34"/>
  <c r="E55" i="5"/>
  <c r="O55" i="5" s="1"/>
  <c r="X40" i="6"/>
  <c r="D60" i="11"/>
  <c r="D97" i="11" s="1"/>
  <c r="C40" i="1"/>
  <c r="E40" i="1" s="1"/>
  <c r="F65" i="5"/>
  <c r="F65" i="26" s="1"/>
  <c r="E35" i="5"/>
  <c r="O35" i="5" s="1"/>
  <c r="E15" i="5"/>
  <c r="O15" i="5" s="1"/>
  <c r="C11" i="1"/>
  <c r="C25" i="5" s="1"/>
  <c r="C25" i="26" s="1"/>
  <c r="C37" i="11" s="1"/>
  <c r="D6" i="15" s="1"/>
  <c r="C15" i="5"/>
  <c r="C15" i="6" s="1"/>
  <c r="C55" i="11" s="1"/>
  <c r="E4" i="15" s="1"/>
  <c r="X40" i="26"/>
  <c r="D40" i="11"/>
  <c r="D79" i="11" s="1"/>
  <c r="C16" i="1"/>
  <c r="C50" i="5" s="1"/>
  <c r="C65" i="5"/>
  <c r="C65" i="26" s="1"/>
  <c r="C45" i="11" s="1"/>
  <c r="AK32" i="2"/>
  <c r="P51" i="17"/>
  <c r="AE32" i="2"/>
  <c r="L51" i="17"/>
  <c r="Y32" i="2"/>
  <c r="H51" i="17"/>
  <c r="E30" i="5"/>
  <c r="O30" i="5" s="1"/>
  <c r="C12" i="1"/>
  <c r="C30" i="5" s="1"/>
  <c r="F40" i="6"/>
  <c r="F60" i="11" s="1"/>
  <c r="F40" i="26"/>
  <c r="F40" i="11" s="1"/>
  <c r="C30" i="1"/>
  <c r="E30" i="1" s="1"/>
  <c r="F15" i="11" s="1"/>
  <c r="I4" i="15" s="1"/>
  <c r="C13" i="1"/>
  <c r="C35" i="5" s="1"/>
  <c r="C15" i="1"/>
  <c r="C45" i="5" s="1"/>
  <c r="C45" i="1"/>
  <c r="E45" i="1" s="1"/>
  <c r="C10" i="1"/>
  <c r="C20" i="5" s="1"/>
  <c r="C23" i="1"/>
  <c r="C85" i="5" s="1"/>
  <c r="E35" i="6"/>
  <c r="O35" i="6" s="1"/>
  <c r="E45" i="6"/>
  <c r="O45" i="6" s="1"/>
  <c r="E45" i="26"/>
  <c r="O45" i="26" s="1"/>
  <c r="C20" i="1"/>
  <c r="C70" i="5" s="1"/>
  <c r="E90" i="6"/>
  <c r="E50" i="5"/>
  <c r="O50" i="5" s="1"/>
  <c r="E65" i="6"/>
  <c r="O65" i="6" s="1"/>
  <c r="E65" i="26"/>
  <c r="O65" i="26" s="1"/>
  <c r="G70" i="26"/>
  <c r="G46" i="11" s="1"/>
  <c r="G70" i="6"/>
  <c r="G66" i="11" s="1"/>
  <c r="G75" i="26"/>
  <c r="G47" i="11" s="1"/>
  <c r="G75" i="6"/>
  <c r="G67" i="11" s="1"/>
  <c r="C90" i="26"/>
  <c r="C50" i="11" s="1"/>
  <c r="D19" i="15" s="1"/>
  <c r="G85" i="26"/>
  <c r="G49" i="11" s="1"/>
  <c r="G85" i="6"/>
  <c r="G69" i="11" s="1"/>
  <c r="G80" i="26"/>
  <c r="G48" i="11" s="1"/>
  <c r="G80" i="6"/>
  <c r="G68" i="11" s="1"/>
  <c r="F20" i="1"/>
  <c r="F70" i="5" s="1"/>
  <c r="F23" i="1"/>
  <c r="F85" i="5" s="1"/>
  <c r="F21" i="1"/>
  <c r="F75" i="5" s="1"/>
  <c r="F22" i="1"/>
  <c r="F80" i="5" s="1"/>
  <c r="F10" i="1"/>
  <c r="F13" i="1"/>
  <c r="F35" i="5" s="1"/>
  <c r="F11" i="1"/>
  <c r="F25" i="5" s="1"/>
  <c r="F12" i="1"/>
  <c r="F30" i="5" s="1"/>
  <c r="C21" i="1"/>
  <c r="C75" i="5" s="1"/>
  <c r="C22" i="1"/>
  <c r="C80" i="5" s="1"/>
  <c r="F15" i="1"/>
  <c r="F45" i="5" s="1"/>
  <c r="F16" i="1"/>
  <c r="F50" i="5" s="1"/>
  <c r="F17" i="1"/>
  <c r="F55" i="5" s="1"/>
  <c r="F18" i="1"/>
  <c r="F60" i="5" s="1"/>
  <c r="F10" i="6"/>
  <c r="F54" i="11" s="1"/>
  <c r="F14" i="11"/>
  <c r="C30" i="11"/>
  <c r="C19" i="15" s="1"/>
  <c r="F10" i="11"/>
  <c r="E30" i="11"/>
  <c r="P10" i="5"/>
  <c r="AD10" i="5" s="1"/>
  <c r="K14" i="11" s="1"/>
  <c r="V10" i="5"/>
  <c r="S10" i="5"/>
  <c r="R10" i="5"/>
  <c r="T10" i="5"/>
  <c r="W10" i="5"/>
  <c r="Q10" i="5"/>
  <c r="AE10" i="5" s="1"/>
  <c r="U10" i="5"/>
  <c r="E9" i="15"/>
  <c r="C97" i="11"/>
  <c r="E54" i="11"/>
  <c r="W10" i="6"/>
  <c r="E60" i="11"/>
  <c r="E97" i="11" s="1"/>
  <c r="C9" i="15"/>
  <c r="W10" i="26"/>
  <c r="E34" i="11"/>
  <c r="E40" i="11"/>
  <c r="E79" i="11" s="1"/>
  <c r="F20" i="11"/>
  <c r="I9" i="15" s="1"/>
  <c r="D9" i="15"/>
  <c r="C79" i="11"/>
  <c r="F9" i="11"/>
  <c r="U40" i="5"/>
  <c r="T40" i="5"/>
  <c r="AC40" i="5" s="1"/>
  <c r="J40" i="5" s="1"/>
  <c r="J20" i="11" s="1"/>
  <c r="P9" i="15" s="1"/>
  <c r="S40" i="5"/>
  <c r="R40" i="5"/>
  <c r="Q40" i="5"/>
  <c r="AE40" i="5" s="1"/>
  <c r="P40" i="5"/>
  <c r="AD40" i="5" s="1"/>
  <c r="K20" i="11" s="1"/>
  <c r="V40" i="5"/>
  <c r="W40" i="5"/>
  <c r="E25" i="11"/>
  <c r="F7" i="11"/>
  <c r="G29" i="11"/>
  <c r="I28" i="11"/>
  <c r="I29" i="11"/>
  <c r="H29" i="11"/>
  <c r="H26" i="11"/>
  <c r="G28" i="11"/>
  <c r="H28" i="11"/>
  <c r="G26" i="11"/>
  <c r="I27" i="11"/>
  <c r="H27" i="11"/>
  <c r="G27" i="11"/>
  <c r="I26" i="11"/>
  <c r="AB18" i="15"/>
  <c r="AH17" i="15"/>
  <c r="S31" i="1"/>
  <c r="M19" i="1" s="1"/>
  <c r="S21" i="1"/>
  <c r="M9" i="1" s="1"/>
  <c r="S36" i="1"/>
  <c r="M24" i="1" s="1"/>
  <c r="J44" i="35" s="1"/>
  <c r="G24" i="35" s="1"/>
  <c r="J24" i="35" s="1"/>
  <c r="D90" i="5" s="1"/>
  <c r="E15" i="6" l="1"/>
  <c r="O15" i="6" s="1"/>
  <c r="E60" i="26"/>
  <c r="O60" i="26" s="1"/>
  <c r="Z60" i="26" s="1"/>
  <c r="E60" i="6"/>
  <c r="O60" i="6" s="1"/>
  <c r="Y60" i="6" s="1"/>
  <c r="C25" i="11"/>
  <c r="C14" i="15" s="1"/>
  <c r="U7" i="11"/>
  <c r="R8" i="11"/>
  <c r="S7" i="11"/>
  <c r="T7" i="11"/>
  <c r="V7" i="11"/>
  <c r="L20" i="11"/>
  <c r="G107" i="11"/>
  <c r="Z15" i="6"/>
  <c r="Y15" i="6"/>
  <c r="E15" i="11"/>
  <c r="E15" i="26"/>
  <c r="O15" i="26" s="1"/>
  <c r="W15" i="26" s="1"/>
  <c r="Y65" i="26"/>
  <c r="Z65" i="26"/>
  <c r="Y30" i="5"/>
  <c r="Z30" i="5"/>
  <c r="Z65" i="6"/>
  <c r="Y65" i="6"/>
  <c r="Y50" i="5"/>
  <c r="Z50" i="5"/>
  <c r="Y45" i="26"/>
  <c r="Z45" i="26"/>
  <c r="Z45" i="6"/>
  <c r="Y45" i="6"/>
  <c r="Z55" i="5"/>
  <c r="Y55" i="5"/>
  <c r="Z15" i="5"/>
  <c r="Y15" i="5"/>
  <c r="Z35" i="5"/>
  <c r="Y35" i="5"/>
  <c r="Z45" i="5"/>
  <c r="Y45" i="5"/>
  <c r="Y35" i="6"/>
  <c r="Z35" i="6"/>
  <c r="C17" i="11"/>
  <c r="C6" i="15" s="1"/>
  <c r="L14" i="11"/>
  <c r="C65" i="6"/>
  <c r="C65" i="11" s="1"/>
  <c r="C102" i="11" s="1"/>
  <c r="C25" i="6"/>
  <c r="C57" i="11" s="1"/>
  <c r="E6" i="15" s="1"/>
  <c r="C15" i="11"/>
  <c r="C4" i="15" s="1"/>
  <c r="E30" i="26"/>
  <c r="O30" i="26" s="1"/>
  <c r="E30" i="6"/>
  <c r="O30" i="6" s="1"/>
  <c r="C15" i="26"/>
  <c r="C35" i="11" s="1"/>
  <c r="D4" i="15" s="1"/>
  <c r="D21" i="15" s="1"/>
  <c r="E55" i="26"/>
  <c r="O55" i="26" s="1"/>
  <c r="E55" i="6"/>
  <c r="O55" i="6" s="1"/>
  <c r="E35" i="26"/>
  <c r="O35" i="26" s="1"/>
  <c r="E25" i="26"/>
  <c r="O25" i="26" s="1"/>
  <c r="E25" i="5"/>
  <c r="O25" i="5" s="1"/>
  <c r="C31" i="1"/>
  <c r="E31" i="1" s="1"/>
  <c r="F20" i="5"/>
  <c r="E20" i="26"/>
  <c r="O20" i="26" s="1"/>
  <c r="E20" i="5"/>
  <c r="O20" i="5" s="1"/>
  <c r="E75" i="6"/>
  <c r="E75" i="5"/>
  <c r="O75" i="5" s="1"/>
  <c r="E80" i="6"/>
  <c r="E80" i="5"/>
  <c r="O80" i="5" s="1"/>
  <c r="E85" i="6"/>
  <c r="E85" i="5"/>
  <c r="O85" i="5" s="1"/>
  <c r="X90" i="5"/>
  <c r="D90" i="6"/>
  <c r="D90" i="26"/>
  <c r="D30" i="11"/>
  <c r="E70" i="6"/>
  <c r="E70" i="5"/>
  <c r="O70" i="5" s="1"/>
  <c r="M20" i="1"/>
  <c r="J40" i="35" s="1"/>
  <c r="G20" i="35" s="1"/>
  <c r="J20" i="35" s="1"/>
  <c r="D70" i="5" s="1"/>
  <c r="M21" i="1"/>
  <c r="J41" i="35" s="1"/>
  <c r="G21" i="35" s="1"/>
  <c r="J21" i="35" s="1"/>
  <c r="D75" i="5" s="1"/>
  <c r="M23" i="1"/>
  <c r="J43" i="35" s="1"/>
  <c r="G23" i="35" s="1"/>
  <c r="J23" i="35" s="1"/>
  <c r="D85" i="5" s="1"/>
  <c r="M22" i="1"/>
  <c r="J42" i="35" s="1"/>
  <c r="G22" i="35" s="1"/>
  <c r="J22" i="35" s="1"/>
  <c r="D80" i="5" s="1"/>
  <c r="M17" i="1"/>
  <c r="J37" i="35" s="1"/>
  <c r="G17" i="35" s="1"/>
  <c r="J17" i="35" s="1"/>
  <c r="D55" i="5" s="1"/>
  <c r="M18" i="1"/>
  <c r="J38" i="35" s="1"/>
  <c r="G18" i="35" s="1"/>
  <c r="J18" i="35" s="1"/>
  <c r="D60" i="5" s="1"/>
  <c r="M16" i="1"/>
  <c r="J36" i="35" s="1"/>
  <c r="G16" i="35" s="1"/>
  <c r="J16" i="35" s="1"/>
  <c r="D50" i="5" s="1"/>
  <c r="M15" i="1"/>
  <c r="J35" i="35" s="1"/>
  <c r="G15" i="35" s="1"/>
  <c r="J15" i="35" s="1"/>
  <c r="D45" i="5" s="1"/>
  <c r="J39" i="35"/>
  <c r="G19" i="35" s="1"/>
  <c r="J19" i="35" s="1"/>
  <c r="D65" i="5" s="1"/>
  <c r="M10" i="1"/>
  <c r="J30" i="35" s="1"/>
  <c r="G10" i="35" s="1"/>
  <c r="J10" i="35" s="1"/>
  <c r="D20" i="5" s="1"/>
  <c r="M11" i="1"/>
  <c r="J31" i="35" s="1"/>
  <c r="G11" i="35" s="1"/>
  <c r="J11" i="35" s="1"/>
  <c r="D25" i="5" s="1"/>
  <c r="M12" i="1"/>
  <c r="J32" i="35" s="1"/>
  <c r="G12" i="35" s="1"/>
  <c r="J12" i="35" s="1"/>
  <c r="D30" i="5" s="1"/>
  <c r="M13" i="1"/>
  <c r="J33" i="35" s="1"/>
  <c r="G13" i="35" s="1"/>
  <c r="J13" i="35" s="1"/>
  <c r="D35" i="5" s="1"/>
  <c r="J29" i="35"/>
  <c r="G9" i="35" s="1"/>
  <c r="J9" i="35" s="1"/>
  <c r="D15" i="5" s="1"/>
  <c r="E25" i="6"/>
  <c r="O25" i="6" s="1"/>
  <c r="F90" i="26"/>
  <c r="F50" i="11" s="1"/>
  <c r="F90" i="6"/>
  <c r="F70" i="11" s="1"/>
  <c r="C42" i="1"/>
  <c r="E42" i="1" s="1"/>
  <c r="C33" i="1"/>
  <c r="E33" i="1" s="1"/>
  <c r="C41" i="1"/>
  <c r="E41" i="1" s="1"/>
  <c r="C36" i="1"/>
  <c r="E36" i="1" s="1"/>
  <c r="C32" i="1"/>
  <c r="E32" i="1" s="1"/>
  <c r="C39" i="1"/>
  <c r="E39" i="1" s="1"/>
  <c r="C34" i="1"/>
  <c r="E34" i="1" s="1"/>
  <c r="C38" i="1"/>
  <c r="E38" i="1" s="1"/>
  <c r="C43" i="1"/>
  <c r="E43" i="1" s="1"/>
  <c r="C44" i="1"/>
  <c r="E44" i="1" s="1"/>
  <c r="C37" i="1"/>
  <c r="E37" i="1" s="1"/>
  <c r="F65" i="6"/>
  <c r="F65" i="11" s="1"/>
  <c r="E22" i="11"/>
  <c r="E50" i="6"/>
  <c r="O50" i="6" s="1"/>
  <c r="E50" i="26"/>
  <c r="O50" i="26" s="1"/>
  <c r="I36" i="11"/>
  <c r="I75" i="11" s="1"/>
  <c r="F20" i="26"/>
  <c r="F36" i="11" s="1"/>
  <c r="J5" i="15" s="1"/>
  <c r="E24" i="11"/>
  <c r="O60" i="5"/>
  <c r="C85" i="26"/>
  <c r="C49" i="11" s="1"/>
  <c r="D18" i="15" s="1"/>
  <c r="C85" i="6"/>
  <c r="C69" i="11" s="1"/>
  <c r="E18" i="15" s="1"/>
  <c r="C18" i="11"/>
  <c r="C7" i="15" s="1"/>
  <c r="C30" i="26"/>
  <c r="C38" i="11" s="1"/>
  <c r="D7" i="15" s="1"/>
  <c r="C30" i="6"/>
  <c r="C58" i="11" s="1"/>
  <c r="E7" i="15" s="1"/>
  <c r="C55" i="26"/>
  <c r="C43" i="11" s="1"/>
  <c r="D12" i="15" s="1"/>
  <c r="C55" i="6"/>
  <c r="C63" i="11" s="1"/>
  <c r="E12" i="15" s="1"/>
  <c r="C75" i="26"/>
  <c r="C47" i="11" s="1"/>
  <c r="D16" i="15" s="1"/>
  <c r="C75" i="6"/>
  <c r="C67" i="11" s="1"/>
  <c r="E16" i="15" s="1"/>
  <c r="C45" i="26"/>
  <c r="C41" i="11" s="1"/>
  <c r="C45" i="6"/>
  <c r="C61" i="11" s="1"/>
  <c r="C80" i="26"/>
  <c r="C48" i="11" s="1"/>
  <c r="D17" i="15" s="1"/>
  <c r="C80" i="6"/>
  <c r="C68" i="11" s="1"/>
  <c r="E17" i="15" s="1"/>
  <c r="C35" i="26"/>
  <c r="C39" i="11" s="1"/>
  <c r="D8" i="15" s="1"/>
  <c r="C35" i="6"/>
  <c r="C59" i="11" s="1"/>
  <c r="E8" i="15" s="1"/>
  <c r="C20" i="26"/>
  <c r="C36" i="11" s="1"/>
  <c r="D5" i="15" s="1"/>
  <c r="C50" i="26"/>
  <c r="C42" i="11" s="1"/>
  <c r="C50" i="6"/>
  <c r="C62" i="11" s="1"/>
  <c r="C24" i="11"/>
  <c r="C13" i="15" s="1"/>
  <c r="C60" i="26"/>
  <c r="C44" i="11" s="1"/>
  <c r="C60" i="6"/>
  <c r="C64" i="11" s="1"/>
  <c r="C70" i="26"/>
  <c r="C46" i="11" s="1"/>
  <c r="D15" i="15" s="1"/>
  <c r="C70" i="6"/>
  <c r="C66" i="11" s="1"/>
  <c r="E15" i="15" s="1"/>
  <c r="E21" i="11"/>
  <c r="C107" i="11"/>
  <c r="C19" i="11"/>
  <c r="C8" i="15" s="1"/>
  <c r="C28" i="11"/>
  <c r="C17" i="15" s="1"/>
  <c r="E21" i="15"/>
  <c r="C29" i="11"/>
  <c r="C18" i="15" s="1"/>
  <c r="C21" i="15"/>
  <c r="C89" i="11"/>
  <c r="C26" i="11"/>
  <c r="C15" i="15" s="1"/>
  <c r="C20" i="6"/>
  <c r="C56" i="11" s="1"/>
  <c r="E5" i="15" s="1"/>
  <c r="C16" i="11"/>
  <c r="C5" i="15" s="1"/>
  <c r="E23" i="11"/>
  <c r="W55" i="5"/>
  <c r="C27" i="11"/>
  <c r="C16" i="15" s="1"/>
  <c r="F15" i="6"/>
  <c r="F55" i="11" s="1"/>
  <c r="K4" i="15" s="1"/>
  <c r="F15" i="26"/>
  <c r="F35" i="11" s="1"/>
  <c r="J4" i="15" s="1"/>
  <c r="C23" i="11"/>
  <c r="C12" i="15" s="1"/>
  <c r="C21" i="11"/>
  <c r="C10" i="15" s="1"/>
  <c r="E45" i="11"/>
  <c r="E84" i="11" s="1"/>
  <c r="E18" i="11"/>
  <c r="E44" i="11"/>
  <c r="R10" i="6"/>
  <c r="R10" i="26"/>
  <c r="R45" i="5"/>
  <c r="Q45" i="5"/>
  <c r="AE45" i="5" s="1"/>
  <c r="T45" i="5"/>
  <c r="W45" i="5"/>
  <c r="V45" i="5"/>
  <c r="U45" i="5"/>
  <c r="P45" i="5"/>
  <c r="S45" i="5"/>
  <c r="E17" i="11"/>
  <c r="S10" i="26"/>
  <c r="S10" i="6"/>
  <c r="Q65" i="5"/>
  <c r="AE65" i="5" s="1"/>
  <c r="W65" i="5"/>
  <c r="V65" i="5"/>
  <c r="U65" i="5"/>
  <c r="P65" i="5"/>
  <c r="AD65" i="5" s="1"/>
  <c r="T65" i="5"/>
  <c r="S65" i="5"/>
  <c r="R65" i="5"/>
  <c r="F45" i="11"/>
  <c r="F25" i="11"/>
  <c r="I14" i="15" s="1"/>
  <c r="J9" i="15"/>
  <c r="F79" i="11"/>
  <c r="S40" i="6"/>
  <c r="T40" i="6"/>
  <c r="AC40" i="6" s="1"/>
  <c r="J40" i="6" s="1"/>
  <c r="J60" i="11" s="1"/>
  <c r="J97" i="11" s="1"/>
  <c r="W40" i="6"/>
  <c r="V40" i="6"/>
  <c r="Q40" i="6"/>
  <c r="AE40" i="6" s="1"/>
  <c r="L60" i="11" s="1"/>
  <c r="P40" i="6"/>
  <c r="AD40" i="6" s="1"/>
  <c r="K60" i="11" s="1"/>
  <c r="R40" i="6"/>
  <c r="U40" i="6"/>
  <c r="E19" i="11"/>
  <c r="E64" i="11"/>
  <c r="W50" i="5"/>
  <c r="V50" i="5"/>
  <c r="U50" i="5"/>
  <c r="T50" i="5"/>
  <c r="S50" i="5"/>
  <c r="P50" i="5"/>
  <c r="R50" i="5"/>
  <c r="Q50" i="5"/>
  <c r="V10" i="6"/>
  <c r="V10" i="26"/>
  <c r="AC10" i="5"/>
  <c r="J10" i="5" s="1"/>
  <c r="J14" i="11" s="1"/>
  <c r="T10" i="26"/>
  <c r="AC10" i="26" s="1"/>
  <c r="J10" i="26" s="1"/>
  <c r="J34" i="11" s="1"/>
  <c r="T10" i="6"/>
  <c r="AC10" i="6" s="1"/>
  <c r="J10" i="6" s="1"/>
  <c r="J54" i="11" s="1"/>
  <c r="E61" i="11"/>
  <c r="E28" i="11"/>
  <c r="K9" i="15"/>
  <c r="F97" i="11"/>
  <c r="E16" i="11"/>
  <c r="P10" i="26"/>
  <c r="AD10" i="26" s="1"/>
  <c r="K34" i="11" s="1"/>
  <c r="P10" i="6"/>
  <c r="AD10" i="6" s="1"/>
  <c r="K54" i="11" s="1"/>
  <c r="E55" i="11"/>
  <c r="W15" i="6"/>
  <c r="C22" i="11"/>
  <c r="C11" i="15" s="1"/>
  <c r="U10" i="6"/>
  <c r="U10" i="26"/>
  <c r="S90" i="5"/>
  <c r="R90" i="5"/>
  <c r="Q90" i="5"/>
  <c r="AE90" i="5" s="1"/>
  <c r="P90" i="5"/>
  <c r="AD90" i="5" s="1"/>
  <c r="K30" i="11" s="1"/>
  <c r="T90" i="5"/>
  <c r="W90" i="5"/>
  <c r="V90" i="5"/>
  <c r="AG90" i="5" s="1"/>
  <c r="N30" i="11" s="1"/>
  <c r="U90" i="5"/>
  <c r="AF90" i="5" s="1"/>
  <c r="M30" i="11" s="1"/>
  <c r="E29" i="11"/>
  <c r="P40" i="26"/>
  <c r="AD40" i="26" s="1"/>
  <c r="K40" i="11" s="1"/>
  <c r="Q40" i="26"/>
  <c r="AE40" i="26" s="1"/>
  <c r="L40" i="11" s="1"/>
  <c r="U40" i="26"/>
  <c r="R40" i="26"/>
  <c r="S40" i="26"/>
  <c r="T40" i="26"/>
  <c r="AC40" i="26" s="1"/>
  <c r="J40" i="26" s="1"/>
  <c r="J40" i="11" s="1"/>
  <c r="J79" i="11" s="1"/>
  <c r="W40" i="26"/>
  <c r="V40" i="26"/>
  <c r="D14" i="15"/>
  <c r="C84" i="11"/>
  <c r="Q10" i="26"/>
  <c r="AE10" i="26" s="1"/>
  <c r="L34" i="11" s="1"/>
  <c r="Q10" i="6"/>
  <c r="AE10" i="6" s="1"/>
  <c r="L54" i="11" s="1"/>
  <c r="F30" i="11"/>
  <c r="I19" i="15" s="1"/>
  <c r="I21" i="15" s="1"/>
  <c r="Q15" i="5"/>
  <c r="AE15" i="5" s="1"/>
  <c r="L15" i="11" s="1"/>
  <c r="U15" i="5"/>
  <c r="T15" i="5"/>
  <c r="W15" i="5"/>
  <c r="R15" i="5"/>
  <c r="S15" i="5"/>
  <c r="V15" i="5"/>
  <c r="P15" i="5"/>
  <c r="E65" i="11"/>
  <c r="E102" i="11" s="1"/>
  <c r="E35" i="11"/>
  <c r="G85" i="11"/>
  <c r="G88" i="11"/>
  <c r="G103" i="11"/>
  <c r="G104" i="11"/>
  <c r="G87" i="11"/>
  <c r="G105" i="11"/>
  <c r="G86" i="11"/>
  <c r="G106" i="11"/>
  <c r="AB19" i="15"/>
  <c r="AH18" i="15"/>
  <c r="E20" i="6" l="1"/>
  <c r="O20" i="6" s="1"/>
  <c r="Z60" i="6"/>
  <c r="Y60" i="26"/>
  <c r="C76" i="11"/>
  <c r="E26" i="11"/>
  <c r="AD15" i="5"/>
  <c r="K15" i="11" s="1"/>
  <c r="AD50" i="5"/>
  <c r="K22" i="11" s="1"/>
  <c r="R9" i="11"/>
  <c r="S8" i="11"/>
  <c r="T8" i="11"/>
  <c r="U8" i="11"/>
  <c r="V8" i="11"/>
  <c r="C94" i="11"/>
  <c r="Y60" i="5"/>
  <c r="Z60" i="5"/>
  <c r="Y20" i="5"/>
  <c r="Z20" i="5"/>
  <c r="Z55" i="26"/>
  <c r="Y55" i="26"/>
  <c r="Z20" i="26"/>
  <c r="Y20" i="26"/>
  <c r="Z15" i="26"/>
  <c r="Y15" i="26"/>
  <c r="Z85" i="5"/>
  <c r="Y85" i="5"/>
  <c r="Z30" i="6"/>
  <c r="Y30" i="6"/>
  <c r="Z30" i="26"/>
  <c r="Y30" i="26"/>
  <c r="Z55" i="6"/>
  <c r="Y55" i="6"/>
  <c r="Y20" i="6"/>
  <c r="Z20" i="6"/>
  <c r="Y50" i="26"/>
  <c r="Z50" i="26"/>
  <c r="Z70" i="5"/>
  <c r="Y70" i="5"/>
  <c r="Y80" i="5"/>
  <c r="Z80" i="5"/>
  <c r="Z25" i="5"/>
  <c r="Y25" i="5"/>
  <c r="Z50" i="6"/>
  <c r="Y50" i="6"/>
  <c r="Z25" i="6"/>
  <c r="Y25" i="6"/>
  <c r="Y25" i="26"/>
  <c r="Z25" i="26"/>
  <c r="Z75" i="5"/>
  <c r="Y75" i="5"/>
  <c r="Z35" i="26"/>
  <c r="Y35" i="26"/>
  <c r="AC90" i="5"/>
  <c r="J90" i="5" s="1"/>
  <c r="J30" i="11" s="1"/>
  <c r="P19" i="15" s="1"/>
  <c r="L30" i="11"/>
  <c r="K25" i="11"/>
  <c r="AD45" i="5"/>
  <c r="K21" i="11" s="1"/>
  <c r="L25" i="11"/>
  <c r="AE50" i="5"/>
  <c r="S60" i="5"/>
  <c r="E14" i="15"/>
  <c r="E63" i="11"/>
  <c r="E100" i="11" s="1"/>
  <c r="X35" i="5"/>
  <c r="D35" i="26"/>
  <c r="D19" i="11"/>
  <c r="D35" i="6"/>
  <c r="X55" i="5"/>
  <c r="D23" i="11"/>
  <c r="D55" i="26"/>
  <c r="D55" i="6"/>
  <c r="X90" i="26"/>
  <c r="D50" i="11"/>
  <c r="D89" i="11" s="1"/>
  <c r="X30" i="5"/>
  <c r="D30" i="26"/>
  <c r="D30" i="6"/>
  <c r="D18" i="11"/>
  <c r="X80" i="5"/>
  <c r="D28" i="11"/>
  <c r="D80" i="26"/>
  <c r="D80" i="6"/>
  <c r="X90" i="6"/>
  <c r="D70" i="11"/>
  <c r="D107" i="11" s="1"/>
  <c r="X25" i="5"/>
  <c r="D25" i="6"/>
  <c r="D17" i="11"/>
  <c r="D25" i="26"/>
  <c r="X85" i="5"/>
  <c r="D29" i="11"/>
  <c r="D85" i="26"/>
  <c r="D85" i="6"/>
  <c r="X15" i="6"/>
  <c r="X15" i="5"/>
  <c r="AC15" i="5" s="1"/>
  <c r="J15" i="5" s="1"/>
  <c r="J15" i="11" s="1"/>
  <c r="X15" i="26"/>
  <c r="D15" i="26"/>
  <c r="D35" i="11" s="1"/>
  <c r="D15" i="11"/>
  <c r="D15" i="6"/>
  <c r="D55" i="11" s="1"/>
  <c r="E27" i="11"/>
  <c r="X20" i="5"/>
  <c r="D20" i="26"/>
  <c r="D20" i="6"/>
  <c r="D16" i="11"/>
  <c r="X75" i="5"/>
  <c r="D75" i="26"/>
  <c r="D27" i="11"/>
  <c r="D75" i="6"/>
  <c r="X65" i="5"/>
  <c r="AC65" i="5" s="1"/>
  <c r="J65" i="5" s="1"/>
  <c r="J25" i="11" s="1"/>
  <c r="P14" i="15" s="1"/>
  <c r="D25" i="11"/>
  <c r="D65" i="26"/>
  <c r="D65" i="6"/>
  <c r="X70" i="5"/>
  <c r="D26" i="11"/>
  <c r="D70" i="26"/>
  <c r="D70" i="6"/>
  <c r="X60" i="5"/>
  <c r="D24" i="11"/>
  <c r="D60" i="26"/>
  <c r="D60" i="6"/>
  <c r="X45" i="5"/>
  <c r="AC45" i="5" s="1"/>
  <c r="J45" i="5" s="1"/>
  <c r="J21" i="11" s="1"/>
  <c r="P10" i="15" s="1"/>
  <c r="D21" i="11"/>
  <c r="D45" i="26"/>
  <c r="D45" i="6"/>
  <c r="X50" i="5"/>
  <c r="AC50" i="5" s="1"/>
  <c r="J50" i="5" s="1"/>
  <c r="J22" i="11" s="1"/>
  <c r="P11" i="15" s="1"/>
  <c r="D50" i="26"/>
  <c r="D50" i="6"/>
  <c r="D22" i="11"/>
  <c r="AU16" i="15"/>
  <c r="F45" i="6"/>
  <c r="F61" i="11" s="1"/>
  <c r="F45" i="26"/>
  <c r="F41" i="11" s="1"/>
  <c r="F70" i="6"/>
  <c r="F66" i="11" s="1"/>
  <c r="F70" i="26"/>
  <c r="F46" i="11" s="1"/>
  <c r="F30" i="6"/>
  <c r="F58" i="11" s="1"/>
  <c r="K7" i="15" s="1"/>
  <c r="F30" i="26"/>
  <c r="F38" i="11" s="1"/>
  <c r="J7" i="15" s="1"/>
  <c r="F25" i="26"/>
  <c r="F37" i="11" s="1"/>
  <c r="J6" i="15" s="1"/>
  <c r="F25" i="6"/>
  <c r="F17" i="11"/>
  <c r="I6" i="15" s="1"/>
  <c r="F22" i="11"/>
  <c r="I11" i="15" s="1"/>
  <c r="F50" i="6"/>
  <c r="F62" i="11" s="1"/>
  <c r="K11" i="15" s="1"/>
  <c r="F50" i="26"/>
  <c r="F42" i="11" s="1"/>
  <c r="J11" i="15" s="1"/>
  <c r="F80" i="26"/>
  <c r="F48" i="11" s="1"/>
  <c r="F80" i="6"/>
  <c r="F68" i="11" s="1"/>
  <c r="F75" i="26"/>
  <c r="F47" i="11" s="1"/>
  <c r="F75" i="6"/>
  <c r="F67" i="11" s="1"/>
  <c r="F55" i="6"/>
  <c r="F63" i="11" s="1"/>
  <c r="F55" i="26"/>
  <c r="F43" i="11" s="1"/>
  <c r="F24" i="11"/>
  <c r="I13" i="15" s="1"/>
  <c r="F60" i="6"/>
  <c r="F64" i="11" s="1"/>
  <c r="K13" i="15" s="1"/>
  <c r="F60" i="26"/>
  <c r="F44" i="11" s="1"/>
  <c r="F85" i="6"/>
  <c r="F69" i="11" s="1"/>
  <c r="F85" i="26"/>
  <c r="F49" i="11" s="1"/>
  <c r="F35" i="26"/>
  <c r="F39" i="11" s="1"/>
  <c r="J8" i="15" s="1"/>
  <c r="F19" i="11"/>
  <c r="I8" i="15" s="1"/>
  <c r="F35" i="6"/>
  <c r="F59" i="11" s="1"/>
  <c r="K8" i="15" s="1"/>
  <c r="AU15" i="15"/>
  <c r="E101" i="11"/>
  <c r="E42" i="11"/>
  <c r="E81" i="11" s="1"/>
  <c r="E62" i="11"/>
  <c r="E99" i="11" s="1"/>
  <c r="E83" i="11"/>
  <c r="E98" i="11"/>
  <c r="C101" i="11"/>
  <c r="C83" i="11"/>
  <c r="R9" i="15"/>
  <c r="Q9" i="15"/>
  <c r="P60" i="5"/>
  <c r="T60" i="5"/>
  <c r="U60" i="5"/>
  <c r="Q60" i="5"/>
  <c r="R60" i="5"/>
  <c r="V60" i="5"/>
  <c r="W60" i="5"/>
  <c r="C87" i="11"/>
  <c r="C105" i="11"/>
  <c r="D13" i="15"/>
  <c r="C95" i="11"/>
  <c r="C78" i="11"/>
  <c r="C96" i="11"/>
  <c r="E41" i="11"/>
  <c r="E80" i="11" s="1"/>
  <c r="C88" i="11"/>
  <c r="T55" i="5"/>
  <c r="P55" i="5"/>
  <c r="AD55" i="5" s="1"/>
  <c r="R55" i="5"/>
  <c r="E13" i="15"/>
  <c r="C103" i="11"/>
  <c r="C85" i="11"/>
  <c r="E43" i="11"/>
  <c r="E82" i="11" s="1"/>
  <c r="C75" i="11"/>
  <c r="C93" i="11"/>
  <c r="C77" i="11"/>
  <c r="F20" i="6"/>
  <c r="F56" i="11" s="1"/>
  <c r="K5" i="15" s="1"/>
  <c r="F16" i="11"/>
  <c r="I5" i="15" s="1"/>
  <c r="F57" i="11"/>
  <c r="K6" i="15" s="1"/>
  <c r="F18" i="11"/>
  <c r="I7" i="15" s="1"/>
  <c r="C106" i="11"/>
  <c r="S55" i="5"/>
  <c r="U55" i="5"/>
  <c r="V55" i="5"/>
  <c r="Q55" i="5"/>
  <c r="AE55" i="5" s="1"/>
  <c r="C104" i="11"/>
  <c r="C86" i="11"/>
  <c r="C100" i="11"/>
  <c r="C82" i="11"/>
  <c r="S55" i="26"/>
  <c r="P55" i="26"/>
  <c r="W55" i="26"/>
  <c r="Q55" i="26"/>
  <c r="V55" i="26"/>
  <c r="R55" i="26"/>
  <c r="U55" i="26"/>
  <c r="T55" i="26"/>
  <c r="R15" i="6"/>
  <c r="R15" i="26"/>
  <c r="U35" i="5"/>
  <c r="T35" i="5"/>
  <c r="P35" i="5"/>
  <c r="AD35" i="5" s="1"/>
  <c r="K19" i="11" s="1"/>
  <c r="S35" i="5"/>
  <c r="R35" i="5"/>
  <c r="Q35" i="5"/>
  <c r="AE35" i="5" s="1"/>
  <c r="V35" i="5"/>
  <c r="W35" i="5"/>
  <c r="K14" i="15"/>
  <c r="F102" i="11"/>
  <c r="E59" i="11"/>
  <c r="E96" i="11" s="1"/>
  <c r="W25" i="5"/>
  <c r="S25" i="5"/>
  <c r="V25" i="5"/>
  <c r="U25" i="5"/>
  <c r="T25" i="5"/>
  <c r="P25" i="5"/>
  <c r="R25" i="5"/>
  <c r="Q25" i="5"/>
  <c r="F23" i="11"/>
  <c r="I12" i="15" s="1"/>
  <c r="E39" i="11"/>
  <c r="E78" i="11" s="1"/>
  <c r="E38" i="11"/>
  <c r="E77" i="11" s="1"/>
  <c r="D10" i="15"/>
  <c r="C80" i="11"/>
  <c r="J19" i="15"/>
  <c r="J21" i="15" s="1"/>
  <c r="F89" i="11"/>
  <c r="W20" i="5"/>
  <c r="V20" i="5"/>
  <c r="V20" i="6" s="1"/>
  <c r="U20" i="5"/>
  <c r="U20" i="6" s="1"/>
  <c r="T20" i="5"/>
  <c r="R20" i="5"/>
  <c r="R20" i="6" s="1"/>
  <c r="S20" i="5"/>
  <c r="S20" i="6" s="1"/>
  <c r="Q20" i="5"/>
  <c r="P20" i="5"/>
  <c r="U60" i="26"/>
  <c r="T60" i="26"/>
  <c r="Q60" i="26"/>
  <c r="AE60" i="26" s="1"/>
  <c r="S60" i="26"/>
  <c r="V60" i="26"/>
  <c r="W60" i="26"/>
  <c r="R60" i="26"/>
  <c r="P60" i="26"/>
  <c r="Q65" i="6"/>
  <c r="AE65" i="6" s="1"/>
  <c r="S65" i="6"/>
  <c r="R65" i="6"/>
  <c r="T65" i="6"/>
  <c r="P65" i="6"/>
  <c r="AD65" i="6" s="1"/>
  <c r="K65" i="11" s="1"/>
  <c r="W65" i="6"/>
  <c r="U65" i="6"/>
  <c r="V65" i="6"/>
  <c r="T15" i="6"/>
  <c r="T15" i="26"/>
  <c r="S75" i="5"/>
  <c r="R75" i="5"/>
  <c r="Q75" i="5"/>
  <c r="P75" i="5"/>
  <c r="W75" i="5"/>
  <c r="U75" i="5"/>
  <c r="T75" i="5"/>
  <c r="V75" i="5"/>
  <c r="R50" i="6"/>
  <c r="P50" i="6"/>
  <c r="S50" i="6"/>
  <c r="W50" i="6"/>
  <c r="Q50" i="6"/>
  <c r="V50" i="6"/>
  <c r="U50" i="6"/>
  <c r="T50" i="6"/>
  <c r="J14" i="15"/>
  <c r="F84" i="11"/>
  <c r="F26" i="11"/>
  <c r="I15" i="15" s="1"/>
  <c r="U15" i="6"/>
  <c r="U15" i="26"/>
  <c r="P80" i="5"/>
  <c r="S80" i="5"/>
  <c r="R80" i="5"/>
  <c r="Q80" i="5"/>
  <c r="W80" i="5"/>
  <c r="U80" i="5"/>
  <c r="V80" i="5"/>
  <c r="T80" i="5"/>
  <c r="F21" i="11"/>
  <c r="I10" i="15" s="1"/>
  <c r="S50" i="26"/>
  <c r="V50" i="26"/>
  <c r="T50" i="26"/>
  <c r="U50" i="26"/>
  <c r="W50" i="26"/>
  <c r="P50" i="26"/>
  <c r="Q50" i="26"/>
  <c r="R50" i="26"/>
  <c r="W55" i="6"/>
  <c r="S55" i="6"/>
  <c r="U55" i="6"/>
  <c r="P55" i="6"/>
  <c r="V55" i="6"/>
  <c r="T55" i="6"/>
  <c r="Q55" i="6"/>
  <c r="R55" i="6"/>
  <c r="E58" i="11"/>
  <c r="E95" i="11" s="1"/>
  <c r="E10" i="15"/>
  <c r="C98" i="11"/>
  <c r="Q15" i="6"/>
  <c r="AE15" i="6" s="1"/>
  <c r="L55" i="11" s="1"/>
  <c r="Q15" i="26"/>
  <c r="D11" i="15"/>
  <c r="C81" i="11"/>
  <c r="V45" i="26"/>
  <c r="Q45" i="26"/>
  <c r="AE45" i="26" s="1"/>
  <c r="S45" i="26"/>
  <c r="R45" i="26"/>
  <c r="W45" i="26"/>
  <c r="P45" i="26"/>
  <c r="AD45" i="26" s="1"/>
  <c r="K41" i="11" s="1"/>
  <c r="U45" i="26"/>
  <c r="T45" i="26"/>
  <c r="E36" i="11"/>
  <c r="E75" i="11" s="1"/>
  <c r="W45" i="6"/>
  <c r="R45" i="6"/>
  <c r="P45" i="6"/>
  <c r="AD45" i="6" s="1"/>
  <c r="K61" i="11" s="1"/>
  <c r="S45" i="6"/>
  <c r="T45" i="6"/>
  <c r="V45" i="6"/>
  <c r="U45" i="6"/>
  <c r="Q45" i="6"/>
  <c r="AE45" i="6" s="1"/>
  <c r="W60" i="6"/>
  <c r="S60" i="6"/>
  <c r="P60" i="6"/>
  <c r="AD60" i="6" s="1"/>
  <c r="K64" i="11" s="1"/>
  <c r="T60" i="6"/>
  <c r="U60" i="6"/>
  <c r="V60" i="6"/>
  <c r="R60" i="6"/>
  <c r="Q60" i="6"/>
  <c r="AE60" i="6" s="1"/>
  <c r="F28" i="11"/>
  <c r="I17" i="15" s="1"/>
  <c r="E37" i="11"/>
  <c r="E76" i="11" s="1"/>
  <c r="V30" i="5"/>
  <c r="R30" i="5"/>
  <c r="U30" i="5"/>
  <c r="T30" i="5"/>
  <c r="AC30" i="5" s="1"/>
  <c r="J30" i="5" s="1"/>
  <c r="J18" i="11" s="1"/>
  <c r="S30" i="5"/>
  <c r="P30" i="5"/>
  <c r="AD30" i="5" s="1"/>
  <c r="K18" i="11" s="1"/>
  <c r="Q30" i="5"/>
  <c r="AE30" i="5" s="1"/>
  <c r="W30" i="5"/>
  <c r="S15" i="6"/>
  <c r="S15" i="26"/>
  <c r="P15" i="6"/>
  <c r="AD15" i="6" s="1"/>
  <c r="K55" i="11" s="1"/>
  <c r="P15" i="26"/>
  <c r="AD15" i="26" s="1"/>
  <c r="K35" i="11" s="1"/>
  <c r="S85" i="5"/>
  <c r="P85" i="5"/>
  <c r="R85" i="5"/>
  <c r="Q85" i="5"/>
  <c r="W85" i="5"/>
  <c r="U85" i="5"/>
  <c r="V85" i="5"/>
  <c r="T85" i="5"/>
  <c r="W20" i="6"/>
  <c r="E56" i="11"/>
  <c r="E93" i="11" s="1"/>
  <c r="F29" i="11"/>
  <c r="I18" i="15" s="1"/>
  <c r="S70" i="5"/>
  <c r="P70" i="5"/>
  <c r="V70" i="5"/>
  <c r="R70" i="5"/>
  <c r="Q70" i="5"/>
  <c r="W70" i="5"/>
  <c r="U70" i="5"/>
  <c r="T70" i="5"/>
  <c r="E57" i="11"/>
  <c r="E94" i="11" s="1"/>
  <c r="V15" i="6"/>
  <c r="V15" i="26"/>
  <c r="K19" i="15"/>
  <c r="K21" i="15" s="1"/>
  <c r="F107" i="11"/>
  <c r="E11" i="15"/>
  <c r="C99" i="11"/>
  <c r="F27" i="11"/>
  <c r="I16" i="15" s="1"/>
  <c r="P65" i="26"/>
  <c r="AD65" i="26" s="1"/>
  <c r="T65" i="26"/>
  <c r="W65" i="26"/>
  <c r="Q65" i="26"/>
  <c r="AE65" i="26" s="1"/>
  <c r="U65" i="26"/>
  <c r="R65" i="26"/>
  <c r="V65" i="26"/>
  <c r="S65" i="26"/>
  <c r="AH19" i="15"/>
  <c r="AD60" i="26" l="1"/>
  <c r="AE60" i="5"/>
  <c r="L24" i="11" s="1"/>
  <c r="AE25" i="5"/>
  <c r="L17" i="11" s="1"/>
  <c r="AE85" i="5"/>
  <c r="L29" i="11" s="1"/>
  <c r="AD75" i="5"/>
  <c r="K27" i="11" s="1"/>
  <c r="AC25" i="5"/>
  <c r="J25" i="5" s="1"/>
  <c r="J17" i="11" s="1"/>
  <c r="P6" i="15" s="1"/>
  <c r="AC55" i="5"/>
  <c r="J55" i="5" s="1"/>
  <c r="J23" i="11" s="1"/>
  <c r="P12" i="15" s="1"/>
  <c r="L64" i="11"/>
  <c r="L18" i="11"/>
  <c r="AE15" i="26"/>
  <c r="L35" i="11" s="1"/>
  <c r="L19" i="11"/>
  <c r="L61" i="11"/>
  <c r="AE55" i="6"/>
  <c r="L63" i="11" s="1"/>
  <c r="U9" i="11"/>
  <c r="V9" i="11"/>
  <c r="S9" i="11"/>
  <c r="T9" i="11"/>
  <c r="AC70" i="5"/>
  <c r="J70" i="5" s="1"/>
  <c r="J26" i="11" s="1"/>
  <c r="P15" i="15" s="1"/>
  <c r="AD25" i="5"/>
  <c r="K17" i="11" s="1"/>
  <c r="AD60" i="5"/>
  <c r="K24" i="11" s="1"/>
  <c r="K101" i="11" s="1"/>
  <c r="AC35" i="5"/>
  <c r="J35" i="5" s="1"/>
  <c r="J19" i="11" s="1"/>
  <c r="P8" i="15" s="1"/>
  <c r="AE50" i="26"/>
  <c r="L42" i="11" s="1"/>
  <c r="AE50" i="6"/>
  <c r="L62" i="11" s="1"/>
  <c r="AC85" i="5"/>
  <c r="J85" i="5" s="1"/>
  <c r="J29" i="11" s="1"/>
  <c r="P18" i="15" s="1"/>
  <c r="L21" i="11"/>
  <c r="L22" i="11"/>
  <c r="AD85" i="5"/>
  <c r="K29" i="11" s="1"/>
  <c r="AD50" i="26"/>
  <c r="K42" i="11" s="1"/>
  <c r="K102" i="11"/>
  <c r="AD80" i="5"/>
  <c r="K28" i="11" s="1"/>
  <c r="AE80" i="5"/>
  <c r="L28" i="11" s="1"/>
  <c r="AE55" i="26"/>
  <c r="L43" i="11" s="1"/>
  <c r="K23" i="11"/>
  <c r="AE70" i="5"/>
  <c r="K79" i="11"/>
  <c r="K44" i="11"/>
  <c r="L23" i="11"/>
  <c r="L79" i="11"/>
  <c r="L44" i="11"/>
  <c r="L45" i="11"/>
  <c r="K80" i="11"/>
  <c r="K45" i="11"/>
  <c r="L41" i="11"/>
  <c r="L65" i="11"/>
  <c r="L102" i="11" s="1"/>
  <c r="AD70" i="5"/>
  <c r="P20" i="6"/>
  <c r="AD20" i="6" s="1"/>
  <c r="K56" i="11" s="1"/>
  <c r="AD20" i="5"/>
  <c r="Q20" i="6"/>
  <c r="AE20" i="6" s="1"/>
  <c r="L56" i="11" s="1"/>
  <c r="AE20" i="5"/>
  <c r="AE75" i="5"/>
  <c r="L27" i="11" s="1"/>
  <c r="AD55" i="26"/>
  <c r="AD55" i="6"/>
  <c r="K63" i="11" s="1"/>
  <c r="AD50" i="6"/>
  <c r="K62" i="11" s="1"/>
  <c r="AC60" i="5"/>
  <c r="J60" i="5" s="1"/>
  <c r="J24" i="11" s="1"/>
  <c r="P13" i="15" s="1"/>
  <c r="AC75" i="5"/>
  <c r="J75" i="5" s="1"/>
  <c r="J27" i="11" s="1"/>
  <c r="P16" i="15" s="1"/>
  <c r="AC15" i="6"/>
  <c r="J15" i="6" s="1"/>
  <c r="J55" i="11" s="1"/>
  <c r="R4" i="15" s="1"/>
  <c r="X55" i="26"/>
  <c r="AC55" i="26" s="1"/>
  <c r="J55" i="26" s="1"/>
  <c r="J43" i="11" s="1"/>
  <c r="D43" i="11"/>
  <c r="D82" i="11" s="1"/>
  <c r="X20" i="26"/>
  <c r="D36" i="11"/>
  <c r="D75" i="11" s="1"/>
  <c r="D57" i="11"/>
  <c r="D94" i="11" s="1"/>
  <c r="X25" i="6"/>
  <c r="D45" i="11"/>
  <c r="D84" i="11" s="1"/>
  <c r="X65" i="26"/>
  <c r="AC65" i="26" s="1"/>
  <c r="J65" i="26" s="1"/>
  <c r="J45" i="11" s="1"/>
  <c r="X30" i="6"/>
  <c r="D58" i="11"/>
  <c r="D95" i="11" s="1"/>
  <c r="X50" i="26"/>
  <c r="AC50" i="26" s="1"/>
  <c r="J50" i="26" s="1"/>
  <c r="J42" i="11" s="1"/>
  <c r="J81" i="11" s="1"/>
  <c r="D42" i="11"/>
  <c r="D81" i="11" s="1"/>
  <c r="X20" i="6"/>
  <c r="D56" i="11"/>
  <c r="D93" i="11" s="1"/>
  <c r="AC15" i="26"/>
  <c r="J15" i="26" s="1"/>
  <c r="J35" i="11" s="1"/>
  <c r="Q4" i="15" s="1"/>
  <c r="D61" i="11"/>
  <c r="D98" i="11" s="1"/>
  <c r="X45" i="6"/>
  <c r="AC45" i="6" s="1"/>
  <c r="J45" i="6" s="1"/>
  <c r="J61" i="11" s="1"/>
  <c r="X70" i="6"/>
  <c r="D66" i="11"/>
  <c r="D103" i="11" s="1"/>
  <c r="X75" i="6"/>
  <c r="D67" i="11"/>
  <c r="D104" i="11" s="1"/>
  <c r="X85" i="6"/>
  <c r="D69" i="11"/>
  <c r="D106" i="11" s="1"/>
  <c r="X30" i="26"/>
  <c r="D38" i="11"/>
  <c r="D77" i="11" s="1"/>
  <c r="D59" i="11"/>
  <c r="D96" i="11" s="1"/>
  <c r="X35" i="6"/>
  <c r="X45" i="26"/>
  <c r="AC45" i="26" s="1"/>
  <c r="J45" i="26" s="1"/>
  <c r="J41" i="11" s="1"/>
  <c r="J80" i="11" s="1"/>
  <c r="D41" i="11"/>
  <c r="D80" i="11" s="1"/>
  <c r="X70" i="26"/>
  <c r="D46" i="11"/>
  <c r="D85" i="11" s="1"/>
  <c r="X85" i="26"/>
  <c r="D49" i="11"/>
  <c r="D88" i="11" s="1"/>
  <c r="D44" i="11"/>
  <c r="D83" i="11" s="1"/>
  <c r="X60" i="26"/>
  <c r="AC60" i="26" s="1"/>
  <c r="J60" i="26" s="1"/>
  <c r="J44" i="11" s="1"/>
  <c r="AC80" i="5"/>
  <c r="J80" i="5" s="1"/>
  <c r="J28" i="11" s="1"/>
  <c r="P17" i="15" s="1"/>
  <c r="X75" i="26"/>
  <c r="D47" i="11"/>
  <c r="D86" i="11" s="1"/>
  <c r="X80" i="6"/>
  <c r="D68" i="11"/>
  <c r="D105" i="11" s="1"/>
  <c r="D39" i="11"/>
  <c r="D78" i="11" s="1"/>
  <c r="X35" i="26"/>
  <c r="X80" i="26"/>
  <c r="D48" i="11"/>
  <c r="D87" i="11" s="1"/>
  <c r="D62" i="11"/>
  <c r="D99" i="11" s="1"/>
  <c r="X50" i="6"/>
  <c r="AC50" i="6" s="1"/>
  <c r="J50" i="6" s="1"/>
  <c r="J62" i="11" s="1"/>
  <c r="X60" i="6"/>
  <c r="AC60" i="6" s="1"/>
  <c r="J60" i="6" s="1"/>
  <c r="J64" i="11" s="1"/>
  <c r="D64" i="11"/>
  <c r="D101" i="11" s="1"/>
  <c r="X65" i="6"/>
  <c r="AC65" i="6" s="1"/>
  <c r="J65" i="6" s="1"/>
  <c r="J65" i="11" s="1"/>
  <c r="D65" i="11"/>
  <c r="D102" i="11" s="1"/>
  <c r="X25" i="26"/>
  <c r="D37" i="11"/>
  <c r="D76" i="11" s="1"/>
  <c r="D63" i="11"/>
  <c r="D100" i="11" s="1"/>
  <c r="X55" i="6"/>
  <c r="AC55" i="6" s="1"/>
  <c r="J55" i="6" s="1"/>
  <c r="J63" i="11" s="1"/>
  <c r="F83" i="11"/>
  <c r="F81" i="11"/>
  <c r="F99" i="11"/>
  <c r="AU8" i="15"/>
  <c r="AV15" i="15"/>
  <c r="AU22" i="15"/>
  <c r="AU23" i="15"/>
  <c r="AV16" i="15"/>
  <c r="AU9" i="15"/>
  <c r="F76" i="11"/>
  <c r="F94" i="11"/>
  <c r="F95" i="11"/>
  <c r="F77" i="11"/>
  <c r="F93" i="11"/>
  <c r="F101" i="11"/>
  <c r="F75" i="11"/>
  <c r="E20" i="15"/>
  <c r="J13" i="15"/>
  <c r="F78" i="11"/>
  <c r="F96" i="11"/>
  <c r="D20" i="15"/>
  <c r="I20" i="15"/>
  <c r="P7" i="15"/>
  <c r="K17" i="15"/>
  <c r="F105" i="11"/>
  <c r="T20" i="6"/>
  <c r="AC20" i="5"/>
  <c r="J20" i="5" s="1"/>
  <c r="J16" i="11" s="1"/>
  <c r="J56" i="11" s="1"/>
  <c r="J93" i="11" s="1"/>
  <c r="J12" i="15"/>
  <c r="F82" i="11"/>
  <c r="J18" i="15"/>
  <c r="F88" i="11"/>
  <c r="Q20" i="26"/>
  <c r="AE20" i="26" s="1"/>
  <c r="L36" i="11" s="1"/>
  <c r="S20" i="26"/>
  <c r="W20" i="26"/>
  <c r="P20" i="26"/>
  <c r="AD20" i="26" s="1"/>
  <c r="K36" i="11" s="1"/>
  <c r="T20" i="26"/>
  <c r="U20" i="26"/>
  <c r="R20" i="26"/>
  <c r="V20" i="26"/>
  <c r="Q30" i="6"/>
  <c r="AE30" i="6" s="1"/>
  <c r="L58" i="11" s="1"/>
  <c r="P30" i="6"/>
  <c r="AD30" i="6" s="1"/>
  <c r="K58" i="11" s="1"/>
  <c r="T30" i="6"/>
  <c r="U30" i="6"/>
  <c r="V30" i="6"/>
  <c r="W30" i="6"/>
  <c r="S30" i="6"/>
  <c r="R30" i="6"/>
  <c r="J15" i="15"/>
  <c r="F85" i="11"/>
  <c r="P4" i="15"/>
  <c r="P21" i="15" s="1"/>
  <c r="R30" i="26"/>
  <c r="S30" i="26"/>
  <c r="Q30" i="26"/>
  <c r="AE30" i="26" s="1"/>
  <c r="L38" i="11" s="1"/>
  <c r="W30" i="26"/>
  <c r="V30" i="26"/>
  <c r="T30" i="26"/>
  <c r="P30" i="26"/>
  <c r="AD30" i="26" s="1"/>
  <c r="K38" i="11" s="1"/>
  <c r="K77" i="11" s="1"/>
  <c r="U30" i="26"/>
  <c r="U35" i="6"/>
  <c r="P35" i="6"/>
  <c r="AD35" i="6" s="1"/>
  <c r="K59" i="11" s="1"/>
  <c r="V35" i="6"/>
  <c r="T35" i="6"/>
  <c r="Q35" i="6"/>
  <c r="AE35" i="6" s="1"/>
  <c r="L59" i="11" s="1"/>
  <c r="W35" i="6"/>
  <c r="R35" i="6"/>
  <c r="S35" i="6"/>
  <c r="J16" i="15"/>
  <c r="F86" i="11"/>
  <c r="K18" i="15"/>
  <c r="F106" i="11"/>
  <c r="K12" i="15"/>
  <c r="F100" i="11"/>
  <c r="J10" i="15"/>
  <c r="F80" i="11"/>
  <c r="K15" i="15"/>
  <c r="F103" i="11"/>
  <c r="K16" i="15"/>
  <c r="F104" i="11"/>
  <c r="Q25" i="26"/>
  <c r="AE25" i="26" s="1"/>
  <c r="L37" i="11" s="1"/>
  <c r="U25" i="26"/>
  <c r="V25" i="26"/>
  <c r="W25" i="26"/>
  <c r="P25" i="26"/>
  <c r="AD25" i="26" s="1"/>
  <c r="K37" i="11" s="1"/>
  <c r="S25" i="26"/>
  <c r="R25" i="26"/>
  <c r="T25" i="26"/>
  <c r="K10" i="15"/>
  <c r="F98" i="11"/>
  <c r="S35" i="26"/>
  <c r="T35" i="26"/>
  <c r="R35" i="26"/>
  <c r="U35" i="26"/>
  <c r="Q35" i="26"/>
  <c r="AE35" i="26" s="1"/>
  <c r="L39" i="11" s="1"/>
  <c r="P35" i="26"/>
  <c r="AD35" i="26" s="1"/>
  <c r="K39" i="11" s="1"/>
  <c r="W35" i="26"/>
  <c r="V35" i="26"/>
  <c r="S25" i="6"/>
  <c r="P25" i="6"/>
  <c r="AD25" i="6" s="1"/>
  <c r="K57" i="11" s="1"/>
  <c r="U25" i="6"/>
  <c r="V25" i="6"/>
  <c r="Q25" i="6"/>
  <c r="AE25" i="6" s="1"/>
  <c r="L57" i="11" s="1"/>
  <c r="T25" i="6"/>
  <c r="R25" i="6"/>
  <c r="W25" i="6"/>
  <c r="J17" i="15"/>
  <c r="F87" i="11"/>
  <c r="C20" i="15"/>
  <c r="L101" i="11" l="1"/>
  <c r="L76" i="11"/>
  <c r="L94" i="11"/>
  <c r="L78" i="11"/>
  <c r="L100" i="11"/>
  <c r="L77" i="11"/>
  <c r="K94" i="11"/>
  <c r="K76" i="11"/>
  <c r="L80" i="11"/>
  <c r="K100" i="11"/>
  <c r="AC30" i="6"/>
  <c r="J30" i="6" s="1"/>
  <c r="J58" i="11" s="1"/>
  <c r="J95" i="11" s="1"/>
  <c r="AC30" i="26"/>
  <c r="J30" i="26" s="1"/>
  <c r="J38" i="11" s="1"/>
  <c r="J77" i="11" s="1"/>
  <c r="K16" i="11"/>
  <c r="K75" i="11" s="1"/>
  <c r="K26" i="11"/>
  <c r="L26" i="11"/>
  <c r="K78" i="11"/>
  <c r="K43" i="11"/>
  <c r="L16" i="11"/>
  <c r="L93" i="11" s="1"/>
  <c r="AC25" i="26"/>
  <c r="J25" i="26" s="1"/>
  <c r="J37" i="11" s="1"/>
  <c r="J76" i="11" s="1"/>
  <c r="AC20" i="26"/>
  <c r="J20" i="26" s="1"/>
  <c r="J36" i="11" s="1"/>
  <c r="J75" i="11" s="1"/>
  <c r="AC35" i="6"/>
  <c r="J35" i="6" s="1"/>
  <c r="J59" i="11" s="1"/>
  <c r="J96" i="11" s="1"/>
  <c r="Q11" i="15"/>
  <c r="R13" i="15"/>
  <c r="J101" i="11"/>
  <c r="J82" i="11"/>
  <c r="Q12" i="15"/>
  <c r="J84" i="11"/>
  <c r="Q14" i="15"/>
  <c r="AC25" i="6"/>
  <c r="J25" i="6" s="1"/>
  <c r="J57" i="11" s="1"/>
  <c r="J94" i="11" s="1"/>
  <c r="J102" i="11"/>
  <c r="R14" i="15"/>
  <c r="J83" i="11"/>
  <c r="Q13" i="15"/>
  <c r="J99" i="11"/>
  <c r="R11" i="15"/>
  <c r="J98" i="11"/>
  <c r="R10" i="15"/>
  <c r="R12" i="15"/>
  <c r="J100" i="11"/>
  <c r="AC35" i="26"/>
  <c r="J35" i="26" s="1"/>
  <c r="J39" i="11" s="1"/>
  <c r="J78" i="11" s="1"/>
  <c r="AC20" i="6"/>
  <c r="J20" i="6" s="1"/>
  <c r="Q10" i="15"/>
  <c r="AV8" i="15"/>
  <c r="AV9" i="15"/>
  <c r="AV22" i="15"/>
  <c r="AV23" i="15"/>
  <c r="R5" i="15"/>
  <c r="J20" i="15"/>
  <c r="P5" i="15"/>
  <c r="P20" i="15" s="1"/>
  <c r="K20" i="15"/>
  <c r="R7" i="15" l="1"/>
  <c r="Q7" i="15"/>
  <c r="L75" i="11"/>
  <c r="K93" i="11"/>
  <c r="Q5" i="15"/>
  <c r="Q6" i="15"/>
  <c r="R8" i="15"/>
  <c r="R6" i="15"/>
  <c r="Q8" i="15"/>
  <c r="AD6" i="15"/>
  <c r="AF4" i="15"/>
  <c r="AD7" i="15"/>
  <c r="AD5" i="15"/>
  <c r="AD8" i="15"/>
  <c r="AD13" i="15"/>
  <c r="AD10" i="15"/>
  <c r="AD11" i="15"/>
  <c r="AD12" i="15"/>
  <c r="AD17" i="15"/>
  <c r="AD18" i="15"/>
  <c r="AD15" i="15"/>
  <c r="AD16" i="15"/>
  <c r="AF19" i="15"/>
  <c r="AO19" i="15" s="1"/>
  <c r="AE8" i="15"/>
  <c r="AE5" i="15"/>
  <c r="AE6" i="15"/>
  <c r="AE7" i="15"/>
  <c r="AE10" i="15"/>
  <c r="AE13" i="15"/>
  <c r="AE11" i="15"/>
  <c r="AE12" i="15"/>
  <c r="AE18" i="15"/>
  <c r="AE17" i="15"/>
  <c r="AE16" i="15"/>
  <c r="AE15" i="15"/>
  <c r="J28" i="2"/>
  <c r="J29" i="2"/>
  <c r="J30" i="2"/>
  <c r="J31" i="2"/>
  <c r="J32" i="2"/>
  <c r="M51" i="37" s="1"/>
  <c r="J51" i="37" s="1"/>
  <c r="AW16" i="15" l="1"/>
  <c r="AW15" i="15"/>
  <c r="AW23" i="15"/>
  <c r="AW22" i="15"/>
  <c r="AQ4" i="15"/>
  <c r="AP4" i="15"/>
  <c r="AO4" i="15"/>
  <c r="AO20" i="15" s="1"/>
  <c r="AF14" i="15"/>
  <c r="AF20" i="15"/>
  <c r="AF7" i="15"/>
  <c r="AF28" i="2"/>
  <c r="Q51" i="37"/>
  <c r="AF16" i="15"/>
  <c r="AO16" i="15" s="1"/>
  <c r="AF15" i="15"/>
  <c r="AO15" i="15" s="1"/>
  <c r="AF18" i="15"/>
  <c r="AO18" i="15" s="1"/>
  <c r="AF17" i="15"/>
  <c r="AO17" i="15" s="1"/>
  <c r="AF12" i="15"/>
  <c r="AF11" i="15"/>
  <c r="AF10" i="15"/>
  <c r="AF13" i="15"/>
  <c r="AF6" i="15"/>
  <c r="AF8" i="15"/>
  <c r="AF5" i="15"/>
  <c r="N51" i="37" l="1"/>
  <c r="AG51" i="15"/>
  <c r="AP6" i="15"/>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L28" i="2"/>
  <c r="AJ15" i="15" s="1"/>
  <c r="AP15" i="15" s="1"/>
  <c r="AR28" i="2"/>
  <c r="AF29" i="2"/>
  <c r="AG28" i="2"/>
  <c r="AP9" i="15" l="1"/>
  <c r="AO9" i="15"/>
  <c r="AQ9" i="15"/>
  <c r="AM28" i="2"/>
  <c r="AL29" i="2"/>
  <c r="AJ16" i="15" s="1"/>
  <c r="AP16" i="15" s="1"/>
  <c r="AK15" i="15"/>
  <c r="AQ15" i="15" s="1"/>
  <c r="AR29" i="2"/>
  <c r="AS28" i="2"/>
  <c r="AG29" i="2"/>
  <c r="AF30" i="2"/>
  <c r="AL30" i="2" l="1"/>
  <c r="AJ17" i="15" s="1"/>
  <c r="AP17" i="15" s="1"/>
  <c r="L70" i="26"/>
  <c r="H70" i="26"/>
  <c r="H46" i="11" s="1"/>
  <c r="H85" i="11" s="1"/>
  <c r="AM29" i="2"/>
  <c r="L70" i="6"/>
  <c r="O70" i="6" s="1"/>
  <c r="AR30" i="2"/>
  <c r="AS29" i="2"/>
  <c r="AK16" i="15"/>
  <c r="AQ16" i="15" s="1"/>
  <c r="AG30" i="2"/>
  <c r="AF31" i="2"/>
  <c r="Z70" i="6" l="1"/>
  <c r="Y70" i="6"/>
  <c r="AM30" i="2"/>
  <c r="AL31" i="2"/>
  <c r="AJ18" i="15" s="1"/>
  <c r="AP18" i="15" s="1"/>
  <c r="L75" i="26"/>
  <c r="H75" i="26"/>
  <c r="H47" i="11" s="1"/>
  <c r="H86" i="11" s="1"/>
  <c r="AK17" i="15"/>
  <c r="AQ17" i="15" s="1"/>
  <c r="AS30" i="2"/>
  <c r="AR31" i="2"/>
  <c r="H70" i="6"/>
  <c r="H66" i="11" s="1"/>
  <c r="H103" i="11" s="1"/>
  <c r="L75" i="6"/>
  <c r="O75" i="6" s="1"/>
  <c r="E70" i="26"/>
  <c r="O70" i="26" s="1"/>
  <c r="E75" i="26"/>
  <c r="E66" i="11"/>
  <c r="E103" i="11" s="1"/>
  <c r="AF32" i="2"/>
  <c r="AG31" i="2"/>
  <c r="Z70" i="26" l="1"/>
  <c r="Y70" i="26"/>
  <c r="Z75" i="6"/>
  <c r="Y75" i="6"/>
  <c r="I70" i="26"/>
  <c r="I46" i="11" s="1"/>
  <c r="I85" i="11" s="1"/>
  <c r="I39" i="34"/>
  <c r="I70" i="6" s="1"/>
  <c r="I66" i="11" s="1"/>
  <c r="I103" i="11" s="1"/>
  <c r="AG32" i="2"/>
  <c r="M51" i="17"/>
  <c r="J51" i="17" s="1"/>
  <c r="L80" i="26"/>
  <c r="H80" i="26"/>
  <c r="H48" i="11" s="1"/>
  <c r="H87" i="11" s="1"/>
  <c r="O75" i="26"/>
  <c r="AL32" i="2"/>
  <c r="AM31" i="2"/>
  <c r="H75" i="6"/>
  <c r="H67" i="11" s="1"/>
  <c r="H104" i="11" s="1"/>
  <c r="AR32" i="2"/>
  <c r="AS31" i="2"/>
  <c r="AK18" i="15"/>
  <c r="AQ18" i="15" s="1"/>
  <c r="L80" i="6"/>
  <c r="O80" i="6" s="1"/>
  <c r="E46" i="11"/>
  <c r="E85" i="11" s="1"/>
  <c r="R70" i="26"/>
  <c r="P70" i="26"/>
  <c r="S70" i="26"/>
  <c r="U70" i="26"/>
  <c r="W70" i="26"/>
  <c r="Q70" i="26"/>
  <c r="AE70" i="26" s="1"/>
  <c r="V70" i="26"/>
  <c r="T70" i="26"/>
  <c r="AC70" i="26" s="1"/>
  <c r="J70" i="26" s="1"/>
  <c r="J46" i="11" s="1"/>
  <c r="J85" i="11" s="1"/>
  <c r="E80" i="26"/>
  <c r="E67" i="11"/>
  <c r="E104" i="11" s="1"/>
  <c r="V70" i="6"/>
  <c r="T70" i="6"/>
  <c r="AC70" i="6" s="1"/>
  <c r="J70" i="6" s="1"/>
  <c r="J66" i="11" s="1"/>
  <c r="J103" i="11" s="1"/>
  <c r="S70" i="6"/>
  <c r="R70" i="6"/>
  <c r="W70" i="6"/>
  <c r="Q70" i="6"/>
  <c r="AE70" i="6" s="1"/>
  <c r="P70" i="6"/>
  <c r="AD70" i="6" s="1"/>
  <c r="U70" i="6"/>
  <c r="E47" i="11"/>
  <c r="E86" i="11" s="1"/>
  <c r="Z75" i="26" l="1"/>
  <c r="Y75" i="26"/>
  <c r="Y80" i="6"/>
  <c r="Z80" i="6"/>
  <c r="AD70" i="26"/>
  <c r="K46" i="11" s="1"/>
  <c r="K95" i="11"/>
  <c r="K66" i="11"/>
  <c r="K103" i="11" s="1"/>
  <c r="L95" i="11"/>
  <c r="L66" i="11"/>
  <c r="L103" i="11" s="1"/>
  <c r="K81" i="11"/>
  <c r="L81" i="11"/>
  <c r="L46" i="11"/>
  <c r="P75" i="26"/>
  <c r="I75" i="26"/>
  <c r="I47" i="11" s="1"/>
  <c r="I86" i="11" s="1"/>
  <c r="I40" i="34"/>
  <c r="I75" i="6" s="1"/>
  <c r="I67" i="11" s="1"/>
  <c r="I104" i="11" s="1"/>
  <c r="AJ19" i="15"/>
  <c r="AJ20" i="15" s="1"/>
  <c r="Q51" i="17"/>
  <c r="N51" i="17" s="1"/>
  <c r="O80" i="26"/>
  <c r="L85" i="26"/>
  <c r="H85" i="26"/>
  <c r="H49" i="11" s="1"/>
  <c r="H88" i="11" s="1"/>
  <c r="AM32" i="2"/>
  <c r="V75" i="26"/>
  <c r="U75" i="26"/>
  <c r="W75" i="26"/>
  <c r="S75" i="26"/>
  <c r="T75" i="26"/>
  <c r="AC75" i="26" s="1"/>
  <c r="J75" i="26" s="1"/>
  <c r="J47" i="11" s="1"/>
  <c r="J86" i="11" s="1"/>
  <c r="Q75" i="26"/>
  <c r="R75" i="26"/>
  <c r="L85" i="6"/>
  <c r="O85" i="6" s="1"/>
  <c r="AS32" i="2"/>
  <c r="AM34" i="2" s="1"/>
  <c r="AK19" i="15"/>
  <c r="AE51" i="15" s="1"/>
  <c r="H80" i="6"/>
  <c r="H68" i="11" s="1"/>
  <c r="H105" i="11" s="1"/>
  <c r="R15" i="15"/>
  <c r="Q15" i="15"/>
  <c r="I42" i="34"/>
  <c r="H90" i="26"/>
  <c r="E68" i="11"/>
  <c r="E105" i="11" s="1"/>
  <c r="S75" i="6"/>
  <c r="U75" i="6"/>
  <c r="R75" i="6"/>
  <c r="P75" i="6"/>
  <c r="AD75" i="6" s="1"/>
  <c r="W75" i="6"/>
  <c r="Q75" i="6"/>
  <c r="AE75" i="6" s="1"/>
  <c r="T75" i="6"/>
  <c r="AC75" i="6" s="1"/>
  <c r="J75" i="6" s="1"/>
  <c r="J67" i="11" s="1"/>
  <c r="J104" i="11" s="1"/>
  <c r="V75" i="6"/>
  <c r="E48" i="11"/>
  <c r="E87" i="11" s="1"/>
  <c r="Z85" i="6" l="1"/>
  <c r="Y85" i="6"/>
  <c r="Z80" i="26"/>
  <c r="Y80" i="26"/>
  <c r="AE75" i="26"/>
  <c r="L47" i="11" s="1"/>
  <c r="L86" i="11" s="1"/>
  <c r="L96" i="11"/>
  <c r="L67" i="11"/>
  <c r="L104" i="11" s="1"/>
  <c r="L82" i="11"/>
  <c r="K96" i="11"/>
  <c r="K67" i="11"/>
  <c r="K104" i="11" s="1"/>
  <c r="Q80" i="26"/>
  <c r="AD75" i="26"/>
  <c r="I80" i="26"/>
  <c r="I48" i="11" s="1"/>
  <c r="I87" i="11" s="1"/>
  <c r="I41" i="34"/>
  <c r="I80" i="6" s="1"/>
  <c r="I68" i="11" s="1"/>
  <c r="I105" i="11" s="1"/>
  <c r="AP19" i="15"/>
  <c r="AP20" i="15" s="1"/>
  <c r="W80" i="26"/>
  <c r="R80" i="26"/>
  <c r="S80" i="26"/>
  <c r="L90" i="26"/>
  <c r="V80" i="26"/>
  <c r="U80" i="26"/>
  <c r="T80" i="26"/>
  <c r="AC80" i="26" s="1"/>
  <c r="J80" i="26" s="1"/>
  <c r="J48" i="11" s="1"/>
  <c r="J87" i="11" s="1"/>
  <c r="P80" i="26"/>
  <c r="Q16" i="15"/>
  <c r="AK20" i="15"/>
  <c r="AQ19" i="15"/>
  <c r="AQ20" i="15" s="1"/>
  <c r="L90" i="6"/>
  <c r="O90" i="6" s="1"/>
  <c r="R14" i="11" s="1"/>
  <c r="H85" i="6"/>
  <c r="H69" i="11" s="1"/>
  <c r="H106" i="11" s="1"/>
  <c r="R16" i="15"/>
  <c r="I85" i="26"/>
  <c r="I49" i="11" s="1"/>
  <c r="I88" i="11" s="1"/>
  <c r="E85" i="26"/>
  <c r="O85" i="26" s="1"/>
  <c r="H50" i="11"/>
  <c r="E69" i="11"/>
  <c r="E106" i="11" s="1"/>
  <c r="E70" i="11"/>
  <c r="E107" i="11" s="1"/>
  <c r="V80" i="6"/>
  <c r="P80" i="6"/>
  <c r="AD80" i="6" s="1"/>
  <c r="R80" i="6"/>
  <c r="S80" i="6"/>
  <c r="U80" i="6"/>
  <c r="W80" i="6"/>
  <c r="Q80" i="6"/>
  <c r="AE80" i="6" s="1"/>
  <c r="T80" i="6"/>
  <c r="AC80" i="6" s="1"/>
  <c r="J80" i="6" s="1"/>
  <c r="J68" i="11" s="1"/>
  <c r="J105" i="11" s="1"/>
  <c r="T14" i="11" l="1"/>
  <c r="T22" i="11" s="1"/>
  <c r="U14" i="11"/>
  <c r="U22" i="11" s="1"/>
  <c r="V14" i="11"/>
  <c r="V22" i="11" s="1"/>
  <c r="S14" i="11"/>
  <c r="S22" i="11" s="1"/>
  <c r="R15" i="11"/>
  <c r="H89" i="11"/>
  <c r="AA90" i="6"/>
  <c r="Z90" i="6"/>
  <c r="Y90" i="6"/>
  <c r="AB90" i="6"/>
  <c r="Y85" i="26"/>
  <c r="Z85" i="26"/>
  <c r="K82" i="11"/>
  <c r="K47" i="11"/>
  <c r="K86" i="11" s="1"/>
  <c r="L97" i="11"/>
  <c r="L68" i="11"/>
  <c r="L105" i="11" s="1"/>
  <c r="K97" i="11"/>
  <c r="K68" i="11"/>
  <c r="K105" i="11" s="1"/>
  <c r="AE80" i="26"/>
  <c r="AD80" i="26"/>
  <c r="I90" i="26"/>
  <c r="I50" i="11" s="1"/>
  <c r="I89" i="11" s="1"/>
  <c r="I43" i="34"/>
  <c r="Q17" i="15"/>
  <c r="I85" i="6"/>
  <c r="I69" i="11" s="1"/>
  <c r="I106" i="11" s="1"/>
  <c r="H90" i="6"/>
  <c r="H70" i="11" s="1"/>
  <c r="R17" i="15"/>
  <c r="E49" i="11"/>
  <c r="E88" i="11" s="1"/>
  <c r="U85" i="26"/>
  <c r="R85" i="26"/>
  <c r="T85" i="26"/>
  <c r="AC85" i="26" s="1"/>
  <c r="J85" i="26" s="1"/>
  <c r="J49" i="11" s="1"/>
  <c r="V85" i="26"/>
  <c r="P85" i="26"/>
  <c r="S85" i="26"/>
  <c r="Q85" i="26"/>
  <c r="W85" i="26"/>
  <c r="E90" i="26"/>
  <c r="O90" i="26" s="1"/>
  <c r="R10" i="11" s="1"/>
  <c r="T90" i="6"/>
  <c r="AC90" i="6" s="1"/>
  <c r="J90" i="6" s="1"/>
  <c r="J70" i="11" s="1"/>
  <c r="V90" i="6"/>
  <c r="AG90" i="6" s="1"/>
  <c r="U90" i="6"/>
  <c r="S90" i="6"/>
  <c r="R90" i="6"/>
  <c r="Q90" i="6"/>
  <c r="W90" i="6"/>
  <c r="P90" i="6"/>
  <c r="V85" i="6"/>
  <c r="U85" i="6"/>
  <c r="W85" i="6"/>
  <c r="R85" i="6"/>
  <c r="P85" i="6"/>
  <c r="AD85" i="6" s="1"/>
  <c r="T85" i="6"/>
  <c r="AC85" i="6" s="1"/>
  <c r="J85" i="6" s="1"/>
  <c r="J69" i="11" s="1"/>
  <c r="Q85" i="6"/>
  <c r="AE85" i="6" s="1"/>
  <c r="S85" i="6"/>
  <c r="AF90" i="6" l="1"/>
  <c r="M70" i="11" s="1"/>
  <c r="M107" i="11" s="1"/>
  <c r="T10" i="11"/>
  <c r="T18" i="11" s="1"/>
  <c r="U10" i="11"/>
  <c r="U18" i="11" s="1"/>
  <c r="R11" i="11"/>
  <c r="V10" i="11"/>
  <c r="V18" i="11" s="1"/>
  <c r="S10" i="11"/>
  <c r="S18" i="11" s="1"/>
  <c r="U15" i="11"/>
  <c r="U23" i="11" s="1"/>
  <c r="V15" i="11"/>
  <c r="V23" i="11" s="1"/>
  <c r="S15" i="11"/>
  <c r="S23" i="11" s="1"/>
  <c r="R16" i="11"/>
  <c r="T15" i="11"/>
  <c r="T23" i="11" s="1"/>
  <c r="H107" i="11"/>
  <c r="N70" i="11"/>
  <c r="N107" i="11" s="1"/>
  <c r="Y90" i="26"/>
  <c r="AB90" i="26"/>
  <c r="AA90" i="26"/>
  <c r="Z90" i="26"/>
  <c r="L83" i="11"/>
  <c r="L48" i="11"/>
  <c r="L87" i="11" s="1"/>
  <c r="L98" i="11"/>
  <c r="L69" i="11"/>
  <c r="L106" i="11" s="1"/>
  <c r="AE90" i="6"/>
  <c r="K83" i="11"/>
  <c r="K48" i="11"/>
  <c r="K87" i="11" s="1"/>
  <c r="K98" i="11"/>
  <c r="K69" i="11"/>
  <c r="K106" i="11" s="1"/>
  <c r="AD90" i="6"/>
  <c r="AD85" i="26"/>
  <c r="AE85" i="26"/>
  <c r="R18" i="15"/>
  <c r="J106" i="11"/>
  <c r="R19" i="15"/>
  <c r="R21" i="15" s="1"/>
  <c r="J107" i="11"/>
  <c r="J108" i="11" s="1"/>
  <c r="Q18" i="15"/>
  <c r="J88" i="11"/>
  <c r="I90" i="6"/>
  <c r="I70" i="11" s="1"/>
  <c r="I107" i="11" s="1"/>
  <c r="E50" i="11"/>
  <c r="E89" i="11" s="1"/>
  <c r="Q90" i="26"/>
  <c r="R90" i="26"/>
  <c r="U90" i="26"/>
  <c r="P90" i="26"/>
  <c r="T90" i="26"/>
  <c r="AC90" i="26" s="1"/>
  <c r="J90" i="26" s="1"/>
  <c r="J50" i="11" s="1"/>
  <c r="W90" i="26"/>
  <c r="V90" i="26"/>
  <c r="S90" i="26"/>
  <c r="AF90" i="26" l="1"/>
  <c r="M50" i="11" s="1"/>
  <c r="M89" i="11" s="1"/>
  <c r="AG90" i="26"/>
  <c r="N50" i="11" s="1"/>
  <c r="N89" i="11" s="1"/>
  <c r="R12" i="11"/>
  <c r="V11" i="11"/>
  <c r="V19" i="11" s="1"/>
  <c r="S11" i="11"/>
  <c r="S19" i="11" s="1"/>
  <c r="U11" i="11"/>
  <c r="U19" i="11" s="1"/>
  <c r="T11" i="11"/>
  <c r="T19" i="11" s="1"/>
  <c r="R17" i="11"/>
  <c r="S16" i="11"/>
  <c r="S24" i="11" s="1"/>
  <c r="T16" i="11"/>
  <c r="T24" i="11" s="1"/>
  <c r="U16" i="11"/>
  <c r="U24" i="11" s="1"/>
  <c r="V16" i="11"/>
  <c r="V24" i="11" s="1"/>
  <c r="AE90" i="26"/>
  <c r="L50" i="11" s="1"/>
  <c r="L89" i="11" s="1"/>
  <c r="K84" i="11"/>
  <c r="K49" i="11"/>
  <c r="K88" i="11" s="1"/>
  <c r="L99" i="11"/>
  <c r="L70" i="11"/>
  <c r="L107" i="11" s="1"/>
  <c r="L108" i="11" s="1"/>
  <c r="L85" i="11"/>
  <c r="L84" i="11"/>
  <c r="L49" i="11"/>
  <c r="L88" i="11" s="1"/>
  <c r="AD90" i="26"/>
  <c r="K99" i="11"/>
  <c r="K70" i="11"/>
  <c r="K107" i="11" s="1"/>
  <c r="K108" i="11" s="1"/>
  <c r="R20" i="15"/>
  <c r="AW9" i="15"/>
  <c r="Q19" i="15"/>
  <c r="AW8" i="15" s="1"/>
  <c r="J89" i="11"/>
  <c r="U17" i="11" l="1"/>
  <c r="U25" i="11" s="1"/>
  <c r="V17" i="11"/>
  <c r="V25" i="11" s="1"/>
  <c r="S17" i="11"/>
  <c r="S25" i="11" s="1"/>
  <c r="T17" i="11"/>
  <c r="T25" i="11" s="1"/>
  <c r="S12" i="11"/>
  <c r="S20" i="11" s="1"/>
  <c r="R13" i="11"/>
  <c r="T12" i="11"/>
  <c r="T20" i="11" s="1"/>
  <c r="U12" i="11"/>
  <c r="U20" i="11" s="1"/>
  <c r="V12" i="11"/>
  <c r="V20" i="11" s="1"/>
  <c r="K85" i="11"/>
  <c r="K50" i="11"/>
  <c r="K89" i="11" s="1"/>
  <c r="Q20" i="15"/>
  <c r="Q21" i="15"/>
  <c r="V13" i="11" l="1"/>
  <c r="V21" i="11" s="1"/>
  <c r="U13" i="11"/>
  <c r="U21" i="11" s="1"/>
  <c r="S13" i="11"/>
  <c r="S21" i="11" s="1"/>
  <c r="T13" i="11"/>
  <c r="T21" i="11" s="1"/>
</calcChain>
</file>

<file path=xl/sharedStrings.xml><?xml version="1.0" encoding="utf-8"?>
<sst xmlns="http://schemas.openxmlformats.org/spreadsheetml/2006/main" count="2658" uniqueCount="612">
  <si>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</si>
  <si>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</si>
  <si>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</si>
  <si>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</si>
  <si>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</si>
  <si>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</si>
  <si>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</si>
  <si>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</si>
  <si>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</si>
  <si>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</si>
  <si>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</si>
  <si>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</si>
  <si>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</si>
  <si>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</si>
  <si>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</si>
  <si>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</si>
  <si>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</si>
  <si>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</si>
  <si>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</si>
  <si>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</si>
  <si>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</si>
  <si>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</si>
  <si>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</si>
  <si>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</si>
  <si>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</si>
  <si>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</si>
  <si>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</si>
  <si>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</si>
  <si>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</si>
  <si>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</si>
  <si>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</si>
  <si>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</si>
  <si>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</si>
  <si>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</si>
  <si>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</si>
  <si>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</si>
  <si>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</si>
  <si>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</si>
  <si>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</si>
  <si>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</si>
  <si>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</si>
  <si>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</si>
  <si>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</si>
  <si>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</si>
  <si>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</si>
  <si>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</si>
  <si>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</si>
  <si>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</si>
  <si>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</si>
  <si>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</si>
  <si>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</si>
  <si>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</si>
  <si>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</si>
  <si>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</si>
  <si>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</si>
  <si>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</si>
  <si>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</si>
  <si>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</si>
  <si>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</si>
  <si>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</si>
  <si>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</si>
  <si>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</si>
  <si>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</si>
  <si>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</si>
  <si>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</si>
  <si>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</si>
  <si>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</si>
  <si>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</si>
  <si>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</si>
  <si>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</si>
  <si>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</si>
  <si>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</si>
  <si>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</si>
  <si>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</si>
  <si>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</si>
  <si>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</si>
  <si>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</si>
  <si>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</si>
  <si>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</si>
  <si>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</si>
  <si>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</si>
  <si>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</si>
  <si>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</si>
  <si>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</si>
  <si>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</si>
  <si>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</si>
  <si>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</si>
  <si>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</si>
  <si>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</si>
  <si>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</si>
  <si>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</si>
  <si>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</si>
  <si>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</si>
  <si>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</si>
  <si>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</si>
  <si>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</si>
  <si>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</si>
  <si>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</si>
  <si>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</si>
  <si>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</si>
  <si>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</si>
  <si>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</si>
  <si>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</si>
  <si>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</si>
  <si>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</si>
  <si>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</si>
  <si>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</si>
  <si>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</si>
  <si>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</si>
  <si>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</si>
  <si>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</si>
  <si>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</si>
  <si>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</si>
  <si>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</si>
  <si>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</si>
  <si>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</si>
  <si>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</si>
  <si>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</si>
  <si>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</si>
  <si>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</si>
  <si>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</si>
  <si>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</si>
  <si>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</si>
  <si>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</si>
  <si>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</si>
  <si>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</si>
  <si>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</si>
  <si>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</si>
  <si>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</si>
  <si>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</si>
  <si>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</si>
  <si>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</si>
  <si>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</si>
  <si>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</si>
  <si>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</si>
  <si>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</si>
  <si>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</si>
  <si>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</si>
  <si>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</si>
  <si>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</si>
  <si>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</si>
  <si>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</si>
  <si>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</si>
  <si>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</si>
  <si>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</si>
  <si>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</si>
  <si>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</si>
  <si>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</si>
  <si>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</si>
  <si>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</si>
  <si>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</si>
  <si>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</si>
  <si>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</si>
  <si>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</si>
  <si>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</si>
  <si>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</si>
  <si>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</si>
  <si>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Tank-to Wheel NOx Emissions by Scenario (short tons per year), 2025-2040</t>
  </si>
  <si>
    <t>Tank-to Wheel PM2.5 Emissions by Scenario (short tons per year), 2025-2040</t>
  </si>
  <si>
    <t>Change 2025-2040</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</si>
  <si>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</si>
  <si>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</si>
  <si>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</si>
  <si>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</si>
  <si>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</si>
  <si>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</si>
  <si>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</si>
  <si>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</si>
  <si>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</si>
  <si>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</si>
  <si>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</si>
  <si>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</si>
  <si>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</si>
  <si>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</si>
  <si>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</si>
  <si>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</si>
  <si>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</si>
  <si>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</si>
  <si>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</si>
  <si>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</si>
  <si>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</si>
  <si>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</si>
  <si>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</si>
  <si>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</si>
  <si>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</si>
  <si>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</si>
  <si>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</si>
  <si>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</si>
  <si>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</si>
  <si>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</si>
  <si>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</si>
  <si>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</si>
  <si>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</si>
  <si>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</si>
  <si>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</si>
  <si>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</si>
  <si>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</si>
  <si>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</si>
  <si>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</si>
  <si>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</si>
  <si>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</si>
  <si>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</si>
  <si>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</si>
  <si>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</si>
  <si>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</si>
  <si>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</si>
  <si>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</si>
  <si>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</si>
  <si>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</si>
  <si>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</si>
  <si>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</si>
  <si>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</si>
  <si>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</si>
  <si>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</si>
  <si>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</si>
  <si>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</si>
  <si>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</si>
  <si>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</si>
  <si>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</si>
  <si>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</si>
  <si>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</si>
  <si>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</si>
  <si>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</si>
  <si>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</si>
  <si>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</si>
  <si>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</si>
  <si>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</si>
  <si>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</si>
  <si>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</si>
  <si>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</si>
  <si>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</si>
  <si>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</si>
  <si>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</si>
  <si>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</si>
  <si>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</si>
  <si>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</si>
  <si>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</si>
  <si>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</si>
  <si>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</si>
  <si>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</si>
  <si>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</si>
  <si>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</si>
  <si>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</si>
  <si>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</si>
  <si>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</si>
  <si>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</si>
  <si>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</si>
  <si>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</si>
  <si>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</si>
  <si>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</si>
  <si>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</si>
  <si>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</si>
  <si>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</si>
  <si>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</si>
  <si>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</si>
  <si>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</si>
  <si>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</si>
  <si>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</si>
  <si>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</si>
  <si>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</si>
  <si>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</si>
  <si>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</si>
  <si>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</si>
  <si>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</si>
  <si>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</si>
  <si>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</si>
  <si>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</si>
  <si>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</si>
  <si>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</si>
  <si>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</si>
  <si>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</si>
  <si>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</si>
  <si>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</si>
  <si>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</si>
  <si>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</si>
  <si>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</si>
  <si>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</si>
  <si>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</si>
  <si>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</si>
  <si>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</si>
  <si>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</si>
  <si>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</si>
  <si>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</si>
  <si>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</si>
  <si>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</si>
  <si>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</si>
  <si>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</si>
  <si>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</si>
  <si>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</si>
  <si>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</si>
  <si>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</si>
  <si>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</si>
  <si>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</si>
  <si>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</si>
  <si>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</si>
  <si>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</si>
  <si>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</si>
  <si>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</si>
  <si>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</si>
  <si>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</si>
  <si>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</si>
  <si>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</si>
  <si>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</si>
  <si>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</si>
  <si>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set at 20% below regulatory</t>
  </si>
  <si>
    <t>requirement to reflect use of</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</si>
  <si>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</si>
  <si>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</si>
  <si>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</si>
  <si>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</si>
  <si>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</si>
  <si>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</si>
  <si>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</si>
  <si>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</si>
  <si>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</si>
  <si>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</si>
  <si>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</si>
  <si>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</si>
  <si>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</si>
  <si>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</si>
  <si>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</si>
  <si>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</si>
  <si>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</si>
  <si>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</si>
  <si>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</si>
  <si>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</si>
  <si>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</si>
  <si>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</si>
  <si>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</si>
  <si>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</si>
  <si>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</si>
  <si>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</si>
  <si>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</si>
  <si>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</si>
  <si>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</si>
  <si>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</si>
  <si>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</si>
  <si>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</si>
  <si>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</si>
  <si>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</si>
  <si>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</si>
  <si>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</si>
  <si>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</si>
  <si>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</si>
  <si>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</si>
  <si>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</si>
  <si>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</si>
  <si>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</si>
  <si>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</si>
  <si>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</si>
  <si>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</si>
  <si>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</si>
  <si>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</si>
  <si>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</si>
  <si>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</si>
  <si>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</si>
  <si>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</si>
  <si>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</si>
  <si>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</si>
  <si>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</si>
  <si>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</si>
  <si>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</si>
  <si>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</si>
  <si>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</si>
  <si>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</si>
  <si>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</si>
  <si>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</si>
  <si>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</si>
  <si>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</si>
  <si>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</si>
  <si>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</si>
  <si>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</si>
  <si>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</si>
  <si>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</si>
  <si>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</si>
  <si>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</si>
  <si>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</si>
  <si>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</si>
  <si>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</si>
  <si>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</si>
  <si>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</si>
  <si>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</si>
  <si>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</si>
  <si>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</si>
  <si>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</si>
  <si>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</si>
  <si>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</si>
  <si>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</si>
  <si>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</si>
  <si>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</si>
  <si>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</si>
  <si>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</si>
  <si>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</si>
  <si>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</si>
  <si>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</si>
  <si>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</si>
  <si>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</si>
  <si>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</si>
  <si>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</si>
  <si>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Business as Usual scenario, based on Federal rule reductions</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</si>
  <si>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</si>
  <si>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</si>
  <si>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</si>
  <si>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</si>
  <si>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</si>
  <si>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</si>
  <si>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</si>
  <si>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</si>
  <si>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</si>
  <si>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</si>
  <si>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</si>
  <si>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</si>
  <si>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</si>
  <si>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</si>
  <si>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</si>
  <si>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</si>
  <si>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</si>
  <si>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</si>
  <si>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</si>
  <si>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</si>
  <si>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</si>
  <si>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MOVES AVFT ZEV inputs?</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</si>
  <si>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</si>
  <si>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</si>
  <si>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</si>
  <si>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</si>
  <si>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</si>
  <si>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</si>
  <si>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</si>
  <si>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</si>
  <si>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</si>
  <si>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</si>
  <si>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</si>
  <si>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</si>
  <si>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</si>
  <si>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</si>
  <si>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</si>
  <si>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</si>
  <si>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</si>
  <si>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</si>
  <si>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</si>
  <si>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Assumes all 2025+ ZEVs are still in fleet in 2040</t>
  </si>
  <si>
    <t>RFC mix: MD, PA, DC, DE</t>
  </si>
  <si>
    <t>SERC mix: NC, IL</t>
  </si>
  <si>
    <t>WECC mix: CO, WA, OR, NV</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</si>
  <si>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</si>
  <si>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</si>
  <si>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</si>
  <si>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</si>
  <si>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</si>
  <si>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</si>
  <si>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</si>
  <si>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</si>
  <si>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</si>
  <si>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</si>
  <si>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</si>
  <si>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</si>
  <si>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</si>
  <si>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</si>
  <si>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</si>
  <si>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</si>
  <si>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</si>
  <si>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</si>
  <si>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CARB BAU</t>
  </si>
  <si>
    <t>EPA BAU</t>
  </si>
  <si>
    <t>ZEV VMT</t>
  </si>
  <si>
    <t>reductions from EPA Rule baseline (reductions from BAU scenario):</t>
  </si>
  <si>
    <t>% Reduction From CARB Baseline</t>
  </si>
  <si>
    <t>grams/mmBtu</t>
  </si>
  <si>
    <t>WTW PM2.5</t>
  </si>
  <si>
    <t>WTW NOx</t>
  </si>
  <si>
    <t>GREET gasoline refining emission factors</t>
  </si>
  <si>
    <t>eGRID emissions rates</t>
  </si>
  <si>
    <t xml:space="preserve">     NOx (eGRID)</t>
  </si>
  <si>
    <t xml:space="preserve">     CH4 (eGRID)</t>
  </si>
  <si>
    <t xml:space="preserve">     N2O (eGRID)</t>
  </si>
  <si>
    <t xml:space="preserve">     CO2 (eGRID)</t>
  </si>
  <si>
    <t>SO2 (eGRID)</t>
  </si>
  <si>
    <t>GREET 2021, Petroleum worksheet</t>
  </si>
  <si>
    <t>values from GREET2021, Petroleum worksheet, cells AN131-AS143</t>
  </si>
  <si>
    <t>Total emissions: grams/mmBtu of fuel throughput</t>
  </si>
  <si>
    <t>Gasoline Blendstock Refining: Feed Inputs</t>
  </si>
  <si>
    <t>Gasoline Blendstock Refininig: Intermediate Product Combustion</t>
  </si>
  <si>
    <t>Gasoline Blendstock Transportation</t>
  </si>
  <si>
    <t>Gasoline Blendstock Distribution</t>
  </si>
  <si>
    <t>Gasoline Distribution</t>
  </si>
  <si>
    <t xml:space="preserve">     CH4: combustion</t>
  </si>
  <si>
    <t xml:space="preserve">     CO2</t>
  </si>
  <si>
    <t xml:space="preserve">     VOC from bulk terminal</t>
  </si>
  <si>
    <t xml:space="preserve">     VOC from ref. Station</t>
  </si>
  <si>
    <t>Refining Subtotal</t>
  </si>
  <si>
    <t>Fugitives: Gasoline Blendstock Refining: Non-Combustion Emissions</t>
  </si>
  <si>
    <t>Storage and Transport Total</t>
  </si>
  <si>
    <t>Petroleum Product Storage</t>
  </si>
  <si>
    <t>refining</t>
  </si>
  <si>
    <t>refining fugitives</t>
  </si>
  <si>
    <t>storage and transport</t>
  </si>
  <si>
    <t>petroleum product storage</t>
  </si>
  <si>
    <t>(see 2040)</t>
  </si>
  <si>
    <t>WTW VOC</t>
  </si>
  <si>
    <t>WTW SO2</t>
  </si>
  <si>
    <t>Detailed Petroleum sector estimates, 2040</t>
  </si>
  <si>
    <t>MY2027</t>
  </si>
  <si>
    <t>MY2026 benefit</t>
  </si>
  <si>
    <t>MY2027 benefit</t>
  </si>
  <si>
    <t>tons/year</t>
  </si>
  <si>
    <t>displaced gasoline energy</t>
  </si>
  <si>
    <t>mmBtu</t>
  </si>
  <si>
    <t>GREET</t>
  </si>
  <si>
    <t>Total output emission rates</t>
  </si>
  <si>
    <t>(gm/mmBtu)</t>
  </si>
  <si>
    <t>Annual NOX</t>
  </si>
  <si>
    <t>eGRID rates in gm/mmBtu if all fossil</t>
  </si>
  <si>
    <t>NPCC (RI) Trans. Mix g/mmBtu if all fossil (GREET or eGRID)</t>
  </si>
  <si>
    <t>ME</t>
  </si>
  <si>
    <t>eGRID (ME)</t>
  </si>
  <si>
    <t>ME renewable energy projections</t>
  </si>
  <si>
    <t>Maine renewable energy fractions</t>
  </si>
  <si>
    <t>(80% by 2030; legislation establishes a goal of 100% by 2050)</t>
  </si>
  <si>
    <t>https://www.maine.gov/energy/initiatives/renewable-energy/renewable-portfolio-standards</t>
  </si>
  <si>
    <t>from "Output formatting 23 ME.xlsx"</t>
  </si>
  <si>
    <t>stateID</t>
  </si>
  <si>
    <t>fuelTypeID</t>
  </si>
  <si>
    <t>Yes</t>
  </si>
  <si>
    <t>State County-scale VMT by fueltype:</t>
  </si>
  <si>
    <t>Total VMT</t>
  </si>
  <si>
    <t>ZEV fraction</t>
  </si>
  <si>
    <t>State MOVES output ZEV VMT fraction by year (interpolated):</t>
  </si>
  <si>
    <t>2020 ZEV population estimate calculated from MOVES input ZEV fractions:</t>
  </si>
  <si>
    <t>2021 ZEV population estimate calculated from MOVES input ZEV fractions:</t>
  </si>
  <si>
    <t>2020 BAU count from "Electrical Vehicle Data.xlsx"; 2021 BAU count assumed 20% higher</t>
  </si>
  <si>
    <t>Cases</t>
  </si>
  <si>
    <t>Maine_Vehicles_3_instate</t>
  </si>
  <si>
    <t>Maine_Vehicles_7_instate</t>
  </si>
  <si>
    <t>Maine_EGU_3_instate</t>
  </si>
  <si>
    <t>Maine_EGU_7_instate</t>
  </si>
  <si>
    <t>Maine_REF_3_instate</t>
  </si>
  <si>
    <t>Maine_REF_7_instate</t>
  </si>
  <si>
    <t>Maine_STR_3_instate</t>
  </si>
  <si>
    <t>Maine_STR_7_instate</t>
  </si>
  <si>
    <t>Maine_TRN_3_instate</t>
  </si>
  <si>
    <t>Maine_TRN_7_instate</t>
  </si>
  <si>
    <t>Acute Bronchitis</t>
  </si>
  <si>
    <t>Acute Myocardial Infarction, Nonfatal (high)</t>
  </si>
  <si>
    <t>Acute Myocardial Infarction, Nonfatal (low)</t>
  </si>
  <si>
    <t>Asthma Exacerbation, Cough</t>
  </si>
  <si>
    <t>Asthma Exacerbation, Shortness of Breath</t>
  </si>
  <si>
    <t>Asthma Exacerbation, Wheeze</t>
  </si>
  <si>
    <t>Emergency Room Visits, Asthma</t>
  </si>
  <si>
    <t>HA, All Cardiovascular (less Myocardial Infarctions)</t>
  </si>
  <si>
    <t>HA, All Respiratory</t>
  </si>
  <si>
    <t>HA, Asthma</t>
  </si>
  <si>
    <t>HA, Chronic Lung Disease</t>
  </si>
  <si>
    <t>Lower Respiratory Symptoms</t>
  </si>
  <si>
    <t>Minor Restricted Activity Days</t>
  </si>
  <si>
    <t>Mortality, All Cause (low)</t>
  </si>
  <si>
    <t>Mortality, All Cause (high)</t>
  </si>
  <si>
    <t>Infant Mortality</t>
  </si>
  <si>
    <t>Upper Respiratory Symptoms</t>
  </si>
  <si>
    <t>Work Loss Days</t>
  </si>
  <si>
    <t>Maine_Vehicles_3_outstate</t>
  </si>
  <si>
    <t>Maine_Vehicles_7_outstate</t>
  </si>
  <si>
    <t>Maine_EGU_3_outstate</t>
  </si>
  <si>
    <t>Maine_EGU_7_outstate</t>
  </si>
  <si>
    <t>Maine_REF_3_outstate</t>
  </si>
  <si>
    <t>Maine_REF_7_outstate</t>
  </si>
  <si>
    <t>Maine_STR_3_outstate</t>
  </si>
  <si>
    <t>Maine_STR_7_outstate</t>
  </si>
  <si>
    <t>Maine_TRN_3_outstate</t>
  </si>
  <si>
    <t>Maine_TRN_7_outstate</t>
  </si>
  <si>
    <t>Costs</t>
  </si>
  <si>
    <t>low_end_cost</t>
  </si>
  <si>
    <t>high_end_cost</t>
  </si>
  <si>
    <t>avg_cost</t>
  </si>
  <si>
    <t>$ Acute Bronchitis</t>
  </si>
  <si>
    <t>$ Acute Myocardial Infarction, Nonfatal (high)</t>
  </si>
  <si>
    <t>$ Acute Myocardial Infarction, Nonfatal (low)</t>
  </si>
  <si>
    <t>$ Asthma Exacerbation</t>
  </si>
  <si>
    <t>$ Emergency Room Visits, Asthma</t>
  </si>
  <si>
    <t>$ CVD Hosp. Adm.</t>
  </si>
  <si>
    <t>$ Resp. Hosp. Adm.</t>
  </si>
  <si>
    <t>$ Lower Respiratory Symptoms</t>
  </si>
  <si>
    <t>$ Minor Restricted Activity Days</t>
  </si>
  <si>
    <t>$ Mortality, All Cause (low)</t>
  </si>
  <si>
    <t>$ Mortality, All Cause (high)</t>
  </si>
  <si>
    <t>$ Infant Mortality</t>
  </si>
  <si>
    <t>$ Upper Respiratory Symptoms</t>
  </si>
  <si>
    <t>$ Work Loss Days</t>
  </si>
  <si>
    <t>Net cost summary</t>
  </si>
  <si>
    <t>In-state benefit</t>
  </si>
  <si>
    <t>Out-of-state benefit</t>
  </si>
  <si>
    <t>In-state burden</t>
  </si>
  <si>
    <t>Out-of-state burden</t>
  </si>
  <si>
    <t>Net benefit/burden</t>
  </si>
  <si>
    <t>(units:  Million $)</t>
  </si>
  <si>
    <t>(3% discount rate)</t>
  </si>
  <si>
    <t>2027 Implementation</t>
  </si>
  <si>
    <t>Total LDV Population</t>
  </si>
  <si>
    <t>BAU ZEVs</t>
  </si>
  <si>
    <t>ACC II ZEVs</t>
  </si>
  <si>
    <t>BAU ZEV Sales</t>
  </si>
  <si>
    <t>ACC II ZEV Sales</t>
  </si>
  <si>
    <t>N/A</t>
  </si>
  <si>
    <t>compliance flexibilities, 2026-2030</t>
  </si>
  <si>
    <t>Detailed COBRA modeling results (Vehicles = light duty vehicles, EGU = electric generation, REF = petroleum refining, STR = petroleum storage, TRN = petroleum transport)</t>
  </si>
  <si>
    <t>For final report:</t>
  </si>
  <si>
    <t>In-state vehicle</t>
  </si>
  <si>
    <t>Out-of-state vehicle</t>
  </si>
  <si>
    <t>In-state upstream</t>
  </si>
  <si>
    <t>Out-of-state upstream</t>
  </si>
  <si>
    <t>Net</t>
  </si>
  <si>
    <t>LDV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</si>
</sst>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s>
  <fonts count="5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b/>
      <sz val="11"/>
      <color theme="0" tint="-0.14999847407452621"/>
      <name val="Calibri"/>
      <family val="2"/>
      <scheme val="minor"/>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
      <sz val="10"/>
      <color rgb="FF000000"/>
      <name val="Segoe UI"/>
      <family val="2"/>
    </font>
    <font>
      <sz val="11"/>
      <color rgb="FF000000"/>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8"/>
        <bgColor indexed="64"/>
      </patternFill>
    </fill>
    <fill>
      <patternFill patternType="solid">
        <fgColor rgb="FFF2F2F2"/>
        <bgColor indexed="64"/>
      </patternFill>
    </fill>
    <fill>
      <patternFill patternType="solid">
        <fgColor rgb="FFE6E6E6"/>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09">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0" borderId="0" xfId="43" applyFont="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164" fontId="0" fillId="0" borderId="0" xfId="43" applyNumberFormat="1" applyFont="1" applyAlignment="1">
      <alignment horizontal="center"/>
    </xf>
    <xf numFmtId="164" fontId="0" fillId="0" borderId="0" xfId="42" applyNumberFormat="1" applyFont="1" applyAlignment="1">
      <alignment horizontal="center"/>
    </xf>
    <xf numFmtId="164" fontId="0" fillId="0" borderId="0" xfId="43" applyNumberFormat="1" applyFont="1" applyAlignment="1"/>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2" fontId="0" fillId="0" borderId="0" xfId="0" applyNumberFormat="1"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43" fillId="0" borderId="0" xfId="0" applyFont="1"/>
    <xf numFmtId="0" fontId="35" fillId="0" borderId="0" xfId="0" applyFont="1"/>
    <xf numFmtId="1" fontId="35" fillId="0" borderId="0" xfId="0" applyNumberFormat="1" applyFont="1"/>
    <xf numFmtId="9" fontId="35" fillId="0" borderId="0" xfId="42"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0" fontId="21" fillId="33" borderId="0" xfId="0" applyFont="1" applyFill="1"/>
    <xf numFmtId="1" fontId="44" fillId="0" borderId="0" xfId="0" applyNumberFormat="1" applyFont="1"/>
    <xf numFmtId="0" fontId="44"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4" fillId="0" borderId="13" xfId="0" applyNumberFormat="1" applyFont="1" applyBorder="1"/>
    <xf numFmtId="167" fontId="14" fillId="0" borderId="0" xfId="0" applyNumberFormat="1" applyFont="1"/>
    <xf numFmtId="0" fontId="46" fillId="0" borderId="0" xfId="0" applyFont="1"/>
    <xf numFmtId="10" fontId="46"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7"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6" fillId="0" borderId="24" xfId="0" applyNumberFormat="1" applyFont="1" applyBorder="1"/>
    <xf numFmtId="166" fontId="46" fillId="0" borderId="0" xfId="0" applyNumberFormat="1" applyFont="1"/>
    <xf numFmtId="1" fontId="46" fillId="0" borderId="0" xfId="0" applyNumberFormat="1" applyFont="1"/>
    <xf numFmtId="0" fontId="48" fillId="0" borderId="0" xfId="0" applyFont="1"/>
    <xf numFmtId="3" fontId="49" fillId="40" borderId="10" xfId="0" applyNumberFormat="1" applyFont="1" applyFill="1" applyBorder="1" applyAlignment="1">
      <alignment horizontal="left" wrapText="1"/>
    </xf>
    <xf numFmtId="0" fontId="0" fillId="40" borderId="10" xfId="0" applyFill="1" applyBorder="1"/>
    <xf numFmtId="9" fontId="26" fillId="0" borderId="10" xfId="42" applyFont="1" applyFill="1" applyBorder="1"/>
    <xf numFmtId="0" fontId="50" fillId="0" borderId="24" xfId="0" applyFont="1" applyBorder="1"/>
    <xf numFmtId="0" fontId="50" fillId="0" borderId="0" xfId="0" applyFont="1"/>
    <xf numFmtId="166" fontId="44" fillId="0" borderId="24" xfId="0" applyNumberFormat="1" applyFont="1" applyBorder="1"/>
    <xf numFmtId="166" fontId="44"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172" fontId="0" fillId="0" borderId="0" xfId="0" applyNumberFormat="1"/>
    <xf numFmtId="164" fontId="0" fillId="0" borderId="0" xfId="42" applyNumberFormat="1" applyFont="1"/>
    <xf numFmtId="2" fontId="0" fillId="0" borderId="0" xfId="0" applyNumberFormat="1"/>
    <xf numFmtId="166" fontId="0" fillId="33" borderId="0" xfId="0" applyNumberFormat="1" applyFill="1"/>
    <xf numFmtId="1" fontId="0" fillId="33" borderId="0" xfId="0" applyNumberFormat="1" applyFill="1"/>
    <xf numFmtId="0" fontId="0" fillId="0" borderId="0" xfId="0" applyAlignment="1">
      <alignment wrapText="1"/>
    </xf>
    <xf numFmtId="1" fontId="21" fillId="0" borderId="0" xfId="0" applyNumberFormat="1" applyFont="1" applyAlignment="1">
      <alignment horizontal="right"/>
    </xf>
    <xf numFmtId="168" fontId="0" fillId="0" borderId="0" xfId="0" applyNumberFormat="1"/>
    <xf numFmtId="0" fontId="17" fillId="0" borderId="0" xfId="0" applyFont="1"/>
    <xf numFmtId="9" fontId="0" fillId="0" borderId="0" xfId="0" applyNumberFormat="1"/>
    <xf numFmtId="0" fontId="0" fillId="0" borderId="0" xfId="42" applyNumberFormat="1" applyFont="1"/>
    <xf numFmtId="1" fontId="21" fillId="33" borderId="0" xfId="0" applyNumberFormat="1" applyFont="1" applyFill="1"/>
    <xf numFmtId="0" fontId="51" fillId="41" borderId="37" xfId="0" applyFont="1" applyFill="1" applyBorder="1" applyAlignment="1">
      <alignment vertical="center" wrapText="1"/>
    </xf>
    <xf numFmtId="0" fontId="51" fillId="41" borderId="38" xfId="0" applyFont="1" applyFill="1" applyBorder="1" applyAlignment="1">
      <alignment vertical="center" wrapText="1"/>
    </xf>
    <xf numFmtId="0" fontId="51" fillId="42" borderId="37" xfId="0" applyFont="1" applyFill="1" applyBorder="1" applyAlignment="1">
      <alignment vertical="center" wrapText="1"/>
    </xf>
    <xf numFmtId="164" fontId="0" fillId="0" borderId="0" xfId="43" applyNumberFormat="1" applyFont="1" applyAlignment="1">
      <alignment horizontal="right" vertical="center"/>
    </xf>
    <xf numFmtId="0" fontId="52" fillId="42" borderId="39" xfId="0" applyFont="1" applyFill="1" applyBorder="1" applyAlignment="1">
      <alignment horizontal="center" vertical="center"/>
    </xf>
    <xf numFmtId="0" fontId="52" fillId="42" borderId="40" xfId="0" applyFont="1" applyFill="1" applyBorder="1" applyAlignment="1">
      <alignment horizontal="center" vertical="center"/>
    </xf>
    <xf numFmtId="164" fontId="0" fillId="0" borderId="0" xfId="43" applyNumberFormat="1" applyFont="1" applyFill="1" applyAlignment="1">
      <alignment horizontal="right" vertical="center"/>
    </xf>
    <xf numFmtId="164" fontId="0" fillId="0" borderId="0" xfId="0" applyNumberFormat="1" applyAlignment="1">
      <alignment horizontal="right" vertical="center"/>
    </xf>
    <xf numFmtId="0" fontId="0" fillId="0" borderId="0" xfId="0" applyAlignment="1">
      <alignment horizontal="center"/>
    </xf>
    <xf numFmtId="2" fontId="0" fillId="0" borderId="0" xfId="0" applyNumberFormat="1" applyAlignment="1">
      <alignment horizontal="center"/>
    </xf>
    <xf numFmtId="0" fontId="21" fillId="0" borderId="0" xfId="0" applyFont="1" applyAlignment="1">
      <alignment horizontal="center"/>
    </xf>
    <xf numFmtId="0" fontId="0" fillId="0" borderId="0" xfId="0" applyAlignment="1">
      <alignment horizontal="center" wrapText="1"/>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2025-2040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accent1"/>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Tables!$C$4:$C$19</c:f>
              <c:numCache>
                <c:formatCode>_(* #,##0_);_(* \(#,##0\);_(* "-"??_);_(@_)</c:formatCode>
                <c:ptCount val="16"/>
                <c:pt idx="0">
                  <c:v>2178.6011454247887</c:v>
                </c:pt>
                <c:pt idx="1">
                  <c:v>2000.6132606712381</c:v>
                </c:pt>
                <c:pt idx="2">
                  <c:v>1823.4162152143651</c:v>
                </c:pt>
                <c:pt idx="3">
                  <c:v>1645.8652409392571</c:v>
                </c:pt>
                <c:pt idx="4">
                  <c:v>1467.7145479113071</c:v>
                </c:pt>
                <c:pt idx="5">
                  <c:v>1288.3543149091211</c:v>
                </c:pt>
                <c:pt idx="6">
                  <c:v>1188.9866570242252</c:v>
                </c:pt>
                <c:pt idx="7">
                  <c:v>1089.1822269243191</c:v>
                </c:pt>
                <c:pt idx="8">
                  <c:v>989.12515469917616</c:v>
                </c:pt>
                <c:pt idx="9">
                  <c:v>888.8366837966696</c:v>
                </c:pt>
                <c:pt idx="10">
                  <c:v>785.31299341851309</c:v>
                </c:pt>
                <c:pt idx="11">
                  <c:v>768.32575439444327</c:v>
                </c:pt>
                <c:pt idx="12">
                  <c:v>750.78925725021531</c:v>
                </c:pt>
                <c:pt idx="13">
                  <c:v>732.63070940308523</c:v>
                </c:pt>
                <c:pt idx="14">
                  <c:v>714.01527339836559</c:v>
                </c:pt>
                <c:pt idx="15">
                  <c:v>694.62161399797731</c:v>
                </c:pt>
              </c:numCache>
            </c:numRef>
          </c:val>
          <c:smooth val="0"/>
          <c:extLst>
            <c:ext xmlns:c16="http://schemas.microsoft.com/office/drawing/2014/chart" uri="{C3380CC4-5D6E-409C-BE32-E72D297353CC}">
              <c16:uniqueId val="{00000000-5178-AE4C-AF24-CADB5EDCD6E6}"/>
            </c:ext>
          </c:extLst>
        </c:ser>
        <c:ser>
          <c:idx val="1"/>
          <c:order val="1"/>
          <c:tx>
            <c:strRef>
              <c:f>Tables!$D$3</c:f>
              <c:strCache>
                <c:ptCount val="1"/>
                <c:pt idx="0">
                  <c:v>ACC II: 2026</c:v>
                </c:pt>
              </c:strCache>
            </c:strRef>
          </c:tx>
          <c:spPr>
            <a:ln w="28575" cap="rnd">
              <a:solidFill>
                <a:schemeClr val="accent2"/>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Tables!$D$4:$D$19</c:f>
              <c:numCache>
                <c:formatCode>_(* #,##0_);_(* \(#,##0\);_(* "-"??_);_(@_)</c:formatCode>
                <c:ptCount val="16"/>
                <c:pt idx="0">
                  <c:v>2178.6011454247887</c:v>
                </c:pt>
                <c:pt idx="1">
                  <c:v>1986.4710816431923</c:v>
                </c:pt>
                <c:pt idx="2">
                  <c:v>1790.5519223542506</c:v>
                </c:pt>
                <c:pt idx="3">
                  <c:v>1593.446145060502</c:v>
                </c:pt>
                <c:pt idx="4">
                  <c:v>1393.6278079590697</c:v>
                </c:pt>
                <c:pt idx="5">
                  <c:v>1194.0693837265769</c:v>
                </c:pt>
                <c:pt idx="6">
                  <c:v>1069.7501163020727</c:v>
                </c:pt>
                <c:pt idx="7">
                  <c:v>946.1576415582208</c:v>
                </c:pt>
                <c:pt idx="8">
                  <c:v>825.42238481049151</c:v>
                </c:pt>
                <c:pt idx="9">
                  <c:v>708.39230044861142</c:v>
                </c:pt>
                <c:pt idx="10">
                  <c:v>594.04757640350851</c:v>
                </c:pt>
                <c:pt idx="11">
                  <c:v>548.82362484613327</c:v>
                </c:pt>
                <c:pt idx="12">
                  <c:v>505.17331149045333</c:v>
                </c:pt>
                <c:pt idx="13">
                  <c:v>463.14900385352263</c:v>
                </c:pt>
                <c:pt idx="14">
                  <c:v>422.96464165425846</c:v>
                </c:pt>
                <c:pt idx="15">
                  <c:v>385.56177801971074</c:v>
                </c:pt>
              </c:numCache>
            </c:numRef>
          </c:val>
          <c:smooth val="0"/>
          <c:extLst>
            <c:ext xmlns:c16="http://schemas.microsoft.com/office/drawing/2014/chart" uri="{C3380CC4-5D6E-409C-BE32-E72D297353CC}">
              <c16:uniqueId val="{00000001-5178-AE4C-AF24-CADB5EDCD6E6}"/>
            </c:ext>
          </c:extLst>
        </c:ser>
        <c:ser>
          <c:idx val="2"/>
          <c:order val="2"/>
          <c:tx>
            <c:strRef>
              <c:f>Tables!$E$3</c:f>
              <c:strCache>
                <c:ptCount val="1"/>
                <c:pt idx="0">
                  <c:v>ACC II: 2027</c:v>
                </c:pt>
              </c:strCache>
            </c:strRef>
          </c:tx>
          <c:spPr>
            <a:ln w="28575" cap="rnd">
              <a:solidFill>
                <a:schemeClr val="accent3"/>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Tables!$E$4:$E$19</c:f>
              <c:numCache>
                <c:formatCode>_(* #,##0_);_(* \(#,##0\);_(* "-"??_);_(@_)</c:formatCode>
                <c:ptCount val="16"/>
                <c:pt idx="0">
                  <c:v>2178.6011454247887</c:v>
                </c:pt>
                <c:pt idx="1">
                  <c:v>2000.6132606712381</c:v>
                </c:pt>
                <c:pt idx="2">
                  <c:v>1792.9333252874042</c:v>
                </c:pt>
                <c:pt idx="3">
                  <c:v>1597.1326535227722</c:v>
                </c:pt>
                <c:pt idx="4">
                  <c:v>1398.6776358022773</c:v>
                </c:pt>
                <c:pt idx="5">
                  <c:v>1200.2633722301762</c:v>
                </c:pt>
                <c:pt idx="6">
                  <c:v>1077.2487410263047</c:v>
                </c:pt>
                <c:pt idx="7">
                  <c:v>954.72168651103698</c:v>
                </c:pt>
                <c:pt idx="8">
                  <c:v>834.69246959890154</c:v>
                </c:pt>
                <c:pt idx="9">
                  <c:v>717.98814331345557</c:v>
                </c:pt>
                <c:pt idx="10">
                  <c:v>603.53244717259918</c:v>
                </c:pt>
                <c:pt idx="11">
                  <c:v>558.9020906576676</c:v>
                </c:pt>
                <c:pt idx="12">
                  <c:v>515.54249644583399</c:v>
                </c:pt>
                <c:pt idx="13">
                  <c:v>473.5376185459433</c:v>
                </c:pt>
                <c:pt idx="14">
                  <c:v>433.00629343904882</c:v>
                </c:pt>
                <c:pt idx="15">
                  <c:v>394.8720262074259</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3"/>
                <c:order val="3"/>
                <c:tx>
                  <c:strRef>
                    <c:extLst>
                      <c:ex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Tables!$B$4:$B$19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Tables!$F$4:$F$19</c15:sqref>
                        </c15:formulaRef>
                      </c:ext>
                    </c:extLst>
                    <c:numCache>
                      <c:formatCode>_(* #,##0_);_(* \(#,##0\);_(* "-"??_);_(@_)</c:formatCode>
                      <c:ptCount val="16"/>
                    </c:numCache>
                  </c:numRef>
                </c:val>
                <c:smooth val="0"/>
                <c:extLs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2025-2040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accent1"/>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Tables!$I$4:$I$19</c:f>
              <c:numCache>
                <c:formatCode>_(* #,##0_);_(* \(#,##0\);_(* "-"??_);_(@_)</c:formatCode>
                <c:ptCount val="16"/>
                <c:pt idx="0">
                  <c:v>163.83301061513663</c:v>
                </c:pt>
                <c:pt idx="1">
                  <c:v>161.41343796564902</c:v>
                </c:pt>
                <c:pt idx="2">
                  <c:v>158.98592603025472</c:v>
                </c:pt>
                <c:pt idx="3">
                  <c:v>156.40454628899394</c:v>
                </c:pt>
                <c:pt idx="4">
                  <c:v>153.66085485594405</c:v>
                </c:pt>
                <c:pt idx="5">
                  <c:v>150.06243172577521</c:v>
                </c:pt>
                <c:pt idx="6">
                  <c:v>146.22795707240789</c:v>
                </c:pt>
                <c:pt idx="7">
                  <c:v>141.62883851879653</c:v>
                </c:pt>
                <c:pt idx="8">
                  <c:v>136.94807005469124</c:v>
                </c:pt>
                <c:pt idx="9">
                  <c:v>132.2128229226453</c:v>
                </c:pt>
                <c:pt idx="10">
                  <c:v>126.50103271872534</c:v>
                </c:pt>
                <c:pt idx="11">
                  <c:v>122.69160952795468</c:v>
                </c:pt>
                <c:pt idx="12">
                  <c:v>118.9117432402209</c:v>
                </c:pt>
                <c:pt idx="13">
                  <c:v>115.09451681615501</c:v>
                </c:pt>
                <c:pt idx="14">
                  <c:v>111.34883615362956</c:v>
                </c:pt>
                <c:pt idx="15">
                  <c:v>107.57878869696262</c:v>
                </c:pt>
              </c:numCache>
            </c:numRef>
          </c:val>
          <c:smooth val="0"/>
          <c:extLst>
            <c:ext xmlns:c16="http://schemas.microsoft.com/office/drawing/2014/chart" uri="{C3380CC4-5D6E-409C-BE32-E72D297353CC}">
              <c16:uniqueId val="{00000000-D568-DD49-828B-538C3CF90F6A}"/>
            </c:ext>
          </c:extLst>
        </c:ser>
        <c:ser>
          <c:idx val="1"/>
          <c:order val="1"/>
          <c:tx>
            <c:strRef>
              <c:f>Tables!$J$3</c:f>
              <c:strCache>
                <c:ptCount val="1"/>
                <c:pt idx="0">
                  <c:v>ACC II: 2026</c:v>
                </c:pt>
              </c:strCache>
            </c:strRef>
          </c:tx>
          <c:spPr>
            <a:ln w="28575" cap="rnd">
              <a:solidFill>
                <a:schemeClr val="accent2"/>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Tables!$J$4:$J$19</c:f>
              <c:numCache>
                <c:formatCode>_(* #,##0_);_(* \(#,##0\);_(* "-"??_);_(@_)</c:formatCode>
                <c:ptCount val="16"/>
                <c:pt idx="0">
                  <c:v>163.83301061513663</c:v>
                </c:pt>
                <c:pt idx="1">
                  <c:v>160.59322166067412</c:v>
                </c:pt>
                <c:pt idx="2">
                  <c:v>156.98079273393887</c:v>
                </c:pt>
                <c:pt idx="3">
                  <c:v>153.00332935726098</c:v>
                </c:pt>
                <c:pt idx="4">
                  <c:v>148.64392071321041</c:v>
                </c:pt>
                <c:pt idx="5">
                  <c:v>143.28457682798131</c:v>
                </c:pt>
                <c:pt idx="6">
                  <c:v>137.59195448687262</c:v>
                </c:pt>
                <c:pt idx="7">
                  <c:v>131.17712774174274</c:v>
                </c:pt>
                <c:pt idx="8">
                  <c:v>124.75557330844393</c:v>
                </c:pt>
                <c:pt idx="9">
                  <c:v>118.38910445202505</c:v>
                </c:pt>
                <c:pt idx="10">
                  <c:v>111.27752700694708</c:v>
                </c:pt>
                <c:pt idx="11">
                  <c:v>106.11340858206569</c:v>
                </c:pt>
                <c:pt idx="12">
                  <c:v>101.33942150828128</c:v>
                </c:pt>
                <c:pt idx="13">
                  <c:v>96.761317808964478</c:v>
                </c:pt>
                <c:pt idx="14">
                  <c:v>92.563138389040589</c:v>
                </c:pt>
                <c:pt idx="15">
                  <c:v>88.585167086294334</c:v>
                </c:pt>
              </c:numCache>
            </c:numRef>
          </c:val>
          <c:smooth val="0"/>
          <c:extLst>
            <c:ext xmlns:c16="http://schemas.microsoft.com/office/drawing/2014/chart" uri="{C3380CC4-5D6E-409C-BE32-E72D297353CC}">
              <c16:uniqueId val="{00000001-D568-DD49-828B-538C3CF90F6A}"/>
            </c:ext>
          </c:extLst>
        </c:ser>
        <c:ser>
          <c:idx val="2"/>
          <c:order val="2"/>
          <c:tx>
            <c:strRef>
              <c:f>Tables!$K$3</c:f>
              <c:strCache>
                <c:ptCount val="1"/>
                <c:pt idx="0">
                  <c:v>ACC II: 2027</c:v>
                </c:pt>
              </c:strCache>
            </c:strRef>
          </c:tx>
          <c:spPr>
            <a:ln w="28575" cap="rnd">
              <a:solidFill>
                <a:schemeClr val="accent3"/>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Tables!$K$4:$K$19</c:f>
              <c:numCache>
                <c:formatCode>_(* #,##0_);_(* \(#,##0\);_(* "-"??_);_(@_)</c:formatCode>
                <c:ptCount val="16"/>
                <c:pt idx="0">
                  <c:v>163.83301061513663</c:v>
                </c:pt>
                <c:pt idx="1">
                  <c:v>161.41343796564902</c:v>
                </c:pt>
                <c:pt idx="2">
                  <c:v>157.12608812591751</c:v>
                </c:pt>
                <c:pt idx="3">
                  <c:v>153.24252873280633</c:v>
                </c:pt>
                <c:pt idx="4">
                  <c:v>148.98588006704145</c:v>
                </c:pt>
                <c:pt idx="5">
                  <c:v>143.72984368864982</c:v>
                </c:pt>
                <c:pt idx="6">
                  <c:v>138.1350610053461</c:v>
                </c:pt>
                <c:pt idx="7">
                  <c:v>131.8029566556977</c:v>
                </c:pt>
                <c:pt idx="8">
                  <c:v>125.44600437871222</c:v>
                </c:pt>
                <c:pt idx="9">
                  <c:v>119.12423528730324</c:v>
                </c:pt>
                <c:pt idx="10">
                  <c:v>112.03246214672409</c:v>
                </c:pt>
                <c:pt idx="11">
                  <c:v>106.87459860693565</c:v>
                </c:pt>
                <c:pt idx="12">
                  <c:v>102.08127340055279</c:v>
                </c:pt>
                <c:pt idx="13">
                  <c:v>97.468069089823288</c:v>
                </c:pt>
                <c:pt idx="14">
                  <c:v>93.211271101743876</c:v>
                </c:pt>
                <c:pt idx="15">
                  <c:v>89.157338913860144</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accent1"/>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Tables!$P$4:$P$19</c:f>
              <c:numCache>
                <c:formatCode>_(* #,##0.00_);_(* \(#,##0.00\);_(* "-"??_);_(@_)</c:formatCode>
                <c:ptCount val="16"/>
                <c:pt idx="0">
                  <c:v>4.6704643331853521</c:v>
                </c:pt>
                <c:pt idx="1">
                  <c:v>4.5580983329784841</c:v>
                </c:pt>
                <c:pt idx="2">
                  <c:v>4.414623709615042</c:v>
                </c:pt>
                <c:pt idx="3">
                  <c:v>4.242529964882066</c:v>
                </c:pt>
                <c:pt idx="4">
                  <c:v>4.0529246706779833</c:v>
                </c:pt>
                <c:pt idx="5">
                  <c:v>3.8668580377144566</c:v>
                </c:pt>
                <c:pt idx="6">
                  <c:v>3.7297645293386248</c:v>
                </c:pt>
                <c:pt idx="7">
                  <c:v>3.5942051697519712</c:v>
                </c:pt>
                <c:pt idx="8">
                  <c:v>3.463902378814455</c:v>
                </c:pt>
                <c:pt idx="9">
                  <c:v>3.3392174668257333</c:v>
                </c:pt>
                <c:pt idx="10">
                  <c:v>3.2225356708608079</c:v>
                </c:pt>
                <c:pt idx="11">
                  <c:v>3.1380215253120043</c:v>
                </c:pt>
                <c:pt idx="12">
                  <c:v>3.0615199258890766</c:v>
                </c:pt>
                <c:pt idx="13">
                  <c:v>2.9924640764684582</c:v>
                </c:pt>
                <c:pt idx="14">
                  <c:v>2.9302854196255326</c:v>
                </c:pt>
                <c:pt idx="15">
                  <c:v>2.8755618883332859</c:v>
                </c:pt>
              </c:numCache>
            </c:numRef>
          </c:val>
          <c:smooth val="0"/>
          <c:extLst>
            <c:ext xmlns:c16="http://schemas.microsoft.com/office/drawing/2014/chart" uri="{C3380CC4-5D6E-409C-BE32-E72D297353CC}">
              <c16:uniqueId val="{00000000-3B28-B245-9833-BFD16B1C4670}"/>
            </c:ext>
          </c:extLst>
        </c:ser>
        <c:ser>
          <c:idx val="4"/>
          <c:order val="1"/>
          <c:tx>
            <c:strRef>
              <c:f>Tables!$Q$3</c:f>
              <c:strCache>
                <c:ptCount val="1"/>
                <c:pt idx="0">
                  <c:v>ACC II: 2026</c:v>
                </c:pt>
              </c:strCache>
            </c:strRef>
          </c:tx>
          <c:spPr>
            <a:ln w="28575" cap="rnd">
              <a:solidFill>
                <a:schemeClr val="accent5"/>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Tables!$Q$4:$Q$19</c:f>
              <c:numCache>
                <c:formatCode>_(* #,##0.00_);_(* \(#,##0.00\);_(* "-"??_);_(@_)</c:formatCode>
                <c:ptCount val="16"/>
                <c:pt idx="0">
                  <c:v>4.6704643331853521</c:v>
                </c:pt>
                <c:pt idx="1">
                  <c:v>4.469505284956286</c:v>
                </c:pt>
                <c:pt idx="2">
                  <c:v>4.1933890130085532</c:v>
                </c:pt>
                <c:pt idx="3">
                  <c:v>3.8653409253893729</c:v>
                </c:pt>
                <c:pt idx="4">
                  <c:v>3.5031987135274756</c:v>
                </c:pt>
                <c:pt idx="5">
                  <c:v>3.1286067330894407</c:v>
                </c:pt>
                <c:pt idx="6">
                  <c:v>2.7816072238506071</c:v>
                </c:pt>
                <c:pt idx="7">
                  <c:v>2.4324296178473275</c:v>
                </c:pt>
                <c:pt idx="8">
                  <c:v>2.0947040951744391</c:v>
                </c:pt>
                <c:pt idx="9">
                  <c:v>1.7561502321972757</c:v>
                </c:pt>
                <c:pt idx="10">
                  <c:v>1.4324805464930874</c:v>
                </c:pt>
                <c:pt idx="11">
                  <c:v>1.1538802106048651</c:v>
                </c:pt>
                <c:pt idx="12">
                  <c:v>0.92025110374806096</c:v>
                </c:pt>
                <c:pt idx="13">
                  <c:v>0.72319169890671653</c:v>
                </c:pt>
                <c:pt idx="14">
                  <c:v>0.55951104775615734</c:v>
                </c:pt>
                <c:pt idx="15">
                  <c:v>0.42655233403003573</c:v>
                </c:pt>
              </c:numCache>
            </c:numRef>
          </c:val>
          <c:smooth val="0"/>
          <c:extLst>
            <c:ext xmlns:c16="http://schemas.microsoft.com/office/drawing/2014/chart" uri="{C3380CC4-5D6E-409C-BE32-E72D297353CC}">
              <c16:uniqueId val="{00000005-3B28-B245-9833-BFD16B1C4670}"/>
            </c:ext>
          </c:extLst>
        </c:ser>
        <c:ser>
          <c:idx val="2"/>
          <c:order val="2"/>
          <c:tx>
            <c:strRef>
              <c:f>Tables!$R$3</c:f>
              <c:strCache>
                <c:ptCount val="1"/>
                <c:pt idx="0">
                  <c:v>ACC II: 2027</c:v>
                </c:pt>
              </c:strCache>
            </c:strRef>
          </c:tx>
          <c:spPr>
            <a:ln w="28575" cap="rnd">
              <a:solidFill>
                <a:schemeClr val="accent3"/>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Tables!$R$4:$R$19</c:f>
              <c:numCache>
                <c:formatCode>_(* #,##0.00_);_(* \(#,##0.00\);_(* "-"??_);_(@_)</c:formatCode>
                <c:ptCount val="16"/>
                <c:pt idx="0">
                  <c:v>4.6704643331853521</c:v>
                </c:pt>
                <c:pt idx="1">
                  <c:v>4.5580983329784841</c:v>
                </c:pt>
                <c:pt idx="2">
                  <c:v>4.2068868180984493</c:v>
                </c:pt>
                <c:pt idx="3">
                  <c:v>3.8900252493224499</c:v>
                </c:pt>
                <c:pt idx="4">
                  <c:v>3.5394948081502511</c:v>
                </c:pt>
                <c:pt idx="5">
                  <c:v>3.1765382431455556</c:v>
                </c:pt>
                <c:pt idx="6">
                  <c:v>2.8413208713421283</c:v>
                </c:pt>
                <c:pt idx="7">
                  <c:v>2.5026656590012455</c:v>
                </c:pt>
                <c:pt idx="8">
                  <c:v>2.173411202736931</c:v>
                </c:pt>
                <c:pt idx="9">
                  <c:v>1.8419161477996395</c:v>
                </c:pt>
                <c:pt idx="10">
                  <c:v>1.5231411693716825</c:v>
                </c:pt>
                <c:pt idx="11">
                  <c:v>1.2470406120018884</c:v>
                </c:pt>
                <c:pt idx="12">
                  <c:v>1.012752277689533</c:v>
                </c:pt>
                <c:pt idx="13">
                  <c:v>0.81272107713355257</c:v>
                </c:pt>
                <c:pt idx="14">
                  <c:v>0.64318179510327866</c:v>
                </c:pt>
                <c:pt idx="15">
                  <c:v>0.5019355770821684</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3"/>
                <c:tx>
                  <c:strRef>
                    <c:extLst>
                      <c:ex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Tables!$O$4:$O$19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Tables!$S$4:$S$19</c15:sqref>
                        </c15:formulaRef>
                      </c:ext>
                    </c:extLst>
                    <c:numCache>
                      <c:formatCode>_(* #,##0_);_(* \(#,##0\);_(* "-"??_);_(@_)</c:formatCode>
                      <c:ptCount val="16"/>
                    </c:numCache>
                  </c:numRef>
                </c:val>
                <c:smooth val="0"/>
                <c:extLs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Tables!$AC$3</c:f>
              <c:strCache>
                <c:ptCount val="1"/>
                <c:pt idx="0">
                  <c:v>Cars</c:v>
                </c:pt>
              </c:strCache>
            </c:strRef>
          </c:tx>
          <c:spPr>
            <a:solidFill>
              <a:schemeClr val="accent1"/>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Tables!$AC$4:$AC$19</c:f>
              <c:numCache>
                <c:formatCode>_(* #,##0_);_(* \(#,##0\);_(* "-"??_);_(@_)</c:formatCode>
                <c:ptCount val="16"/>
                <c:pt idx="0">
                  <c:v>459068.60438575386</c:v>
                </c:pt>
                <c:pt idx="1">
                  <c:v>462740</c:v>
                </c:pt>
                <c:pt idx="2">
                  <c:v>466410</c:v>
                </c:pt>
                <c:pt idx="3">
                  <c:v>470080</c:v>
                </c:pt>
                <c:pt idx="4">
                  <c:v>473750</c:v>
                </c:pt>
                <c:pt idx="5">
                  <c:v>477419.17055809998</c:v>
                </c:pt>
                <c:pt idx="6">
                  <c:v>482140</c:v>
                </c:pt>
                <c:pt idx="7">
                  <c:v>486860</c:v>
                </c:pt>
                <c:pt idx="8">
                  <c:v>491580</c:v>
                </c:pt>
                <c:pt idx="9">
                  <c:v>496300</c:v>
                </c:pt>
                <c:pt idx="10">
                  <c:v>501017.30992085004</c:v>
                </c:pt>
                <c:pt idx="11">
                  <c:v>506980</c:v>
                </c:pt>
                <c:pt idx="12">
                  <c:v>512930</c:v>
                </c:pt>
                <c:pt idx="13">
                  <c:v>518890</c:v>
                </c:pt>
                <c:pt idx="14">
                  <c:v>524850</c:v>
                </c:pt>
                <c:pt idx="15">
                  <c:v>530810.46752018004</c:v>
                </c:pt>
              </c:numCache>
            </c:numRef>
          </c:val>
          <c:extLst>
            <c:ext xmlns:c16="http://schemas.microsoft.com/office/drawing/2014/chart" uri="{C3380CC4-5D6E-409C-BE32-E72D297353CC}">
              <c16:uniqueId val="{00000000-44D3-2346-B5D1-753A784F00A2}"/>
            </c:ext>
          </c:extLst>
        </c:ser>
        <c:ser>
          <c:idx val="4"/>
          <c:order val="1"/>
          <c:tx>
            <c:strRef>
              <c:f>Tables!$AD$3</c:f>
              <c:strCache>
                <c:ptCount val="1"/>
                <c:pt idx="0">
                  <c:v>Light Trucks</c:v>
                </c:pt>
              </c:strCache>
            </c:strRef>
          </c:tx>
          <c:spPr>
            <a:solidFill>
              <a:schemeClr val="accent5"/>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Tables!$AD$4:$AD$19</c:f>
              <c:numCache>
                <c:formatCode>_(* #,##0_);_(* \(#,##0\);_(* "-"??_);_(@_)</c:formatCode>
                <c:ptCount val="16"/>
                <c:pt idx="0">
                  <c:v>680571.07784049539</c:v>
                </c:pt>
                <c:pt idx="1">
                  <c:v>683570</c:v>
                </c:pt>
                <c:pt idx="2">
                  <c:v>686560</c:v>
                </c:pt>
                <c:pt idx="3">
                  <c:v>689560</c:v>
                </c:pt>
                <c:pt idx="4">
                  <c:v>692560</c:v>
                </c:pt>
                <c:pt idx="5">
                  <c:v>695554.42525018007</c:v>
                </c:pt>
                <c:pt idx="6">
                  <c:v>693880</c:v>
                </c:pt>
                <c:pt idx="7">
                  <c:v>692210</c:v>
                </c:pt>
                <c:pt idx="8">
                  <c:v>690530</c:v>
                </c:pt>
                <c:pt idx="9">
                  <c:v>688860</c:v>
                </c:pt>
                <c:pt idx="10">
                  <c:v>687185.46180404758</c:v>
                </c:pt>
                <c:pt idx="11">
                  <c:v>684010</c:v>
                </c:pt>
                <c:pt idx="12">
                  <c:v>680840</c:v>
                </c:pt>
                <c:pt idx="13">
                  <c:v>677670</c:v>
                </c:pt>
                <c:pt idx="14">
                  <c:v>674500</c:v>
                </c:pt>
                <c:pt idx="15">
                  <c:v>671325.97351000505</c:v>
                </c:pt>
              </c:numCache>
            </c:numRef>
          </c:val>
          <c:extLst>
            <c:ext xmlns:c16="http://schemas.microsoft.com/office/drawing/2014/chart" uri="{C3380CC4-5D6E-409C-BE32-E72D297353CC}">
              <c16:uniqueId val="{00000001-44D3-2346-B5D1-753A784F00A2}"/>
            </c:ext>
          </c:extLst>
        </c:ser>
        <c:ser>
          <c:idx val="2"/>
          <c:order val="2"/>
          <c:tx>
            <c:strRef>
              <c:f>Tables!$AE$3</c:f>
              <c:strCache>
                <c:ptCount val="1"/>
                <c:pt idx="0">
                  <c:v>Class 2b-3</c:v>
                </c:pt>
              </c:strCache>
            </c:strRef>
          </c:tx>
          <c:spPr>
            <a:solidFill>
              <a:schemeClr val="accent3"/>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Tables!$AE$4:$AE$19</c:f>
              <c:numCache>
                <c:formatCode>_(* #,##0_);_(* \(#,##0\);_(* "-"??_);_(@_)</c:formatCode>
                <c:ptCount val="16"/>
                <c:pt idx="0">
                  <c:v>59953.681453076926</c:v>
                </c:pt>
                <c:pt idx="1">
                  <c:v>59620</c:v>
                </c:pt>
                <c:pt idx="2">
                  <c:v>59290</c:v>
                </c:pt>
                <c:pt idx="3">
                  <c:v>58950</c:v>
                </c:pt>
                <c:pt idx="4">
                  <c:v>58620</c:v>
                </c:pt>
                <c:pt idx="5">
                  <c:v>58282.669680000006</c:v>
                </c:pt>
                <c:pt idx="6">
                  <c:v>58930</c:v>
                </c:pt>
                <c:pt idx="7">
                  <c:v>59570</c:v>
                </c:pt>
                <c:pt idx="8">
                  <c:v>60210</c:v>
                </c:pt>
                <c:pt idx="9">
                  <c:v>60850</c:v>
                </c:pt>
                <c:pt idx="10">
                  <c:v>61497.208774849329</c:v>
                </c:pt>
                <c:pt idx="11">
                  <c:v>62120</c:v>
                </c:pt>
                <c:pt idx="12">
                  <c:v>62750</c:v>
                </c:pt>
                <c:pt idx="13">
                  <c:v>63380</c:v>
                </c:pt>
                <c:pt idx="14">
                  <c:v>64000</c:v>
                </c:pt>
                <c:pt idx="15">
                  <c:v>64628.690430000002</c:v>
                </c:pt>
              </c:numCache>
            </c:numRef>
          </c:val>
          <c:extLst>
            <c:ext xmlns:c16="http://schemas.microsoft.com/office/drawing/2014/chart" uri="{C3380CC4-5D6E-409C-BE32-E72D297353CC}">
              <c16:uniqueId val="{00000002-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1"/>
                <c:order val="3"/>
                <c:tx>
                  <c:strRef>
                    <c:extLst>
                      <c:ext uri="{02D57815-91ED-43cb-92C2-25804820EDAC}">
                        <c15:formulaRef>
                          <c15:sqref>Tables!#REF!</c15:sqref>
                        </c15:formulaRef>
                      </c:ext>
                    </c:extLst>
                    <c:strCache>
                      <c:ptCount val="1"/>
                      <c:pt idx="0">
                        <c:v>#REF!</c:v>
                      </c:pt>
                    </c:strCache>
                  </c:strRef>
                </c:tx>
                <c:spPr>
                  <a:solidFill>
                    <a:schemeClr val="accent2"/>
                  </a:solidFill>
                  <a:ln>
                    <a:noFill/>
                  </a:ln>
                  <a:effectLst/>
                </c:spPr>
                <c:cat>
                  <c:numRef>
                    <c:extLst>
                      <c:ex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4D3-2346-B5D1-753A784F00A2}"/>
                  </c:ext>
                </c:extLst>
              </c15:ser>
            </c15:filteredAreaSeries>
            <c15:filteredAreaSeries>
              <c15:ser>
                <c:idx val="3"/>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4D3-2346-B5D1-753A784F00A2}"/>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2024-2040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Cars</c:v>
          </c:tx>
          <c:spPr>
            <a:solidFill>
              <a:schemeClr val="accent1"/>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Tables!$W$4:$W$19</c:f>
              <c:numCache>
                <c:formatCode>0</c:formatCode>
                <c:ptCount val="16"/>
                <c:pt idx="0">
                  <c:v>5580069143.8030767</c:v>
                </c:pt>
                <c:pt idx="1">
                  <c:v>5606492918.0284615</c:v>
                </c:pt>
                <c:pt idx="2">
                  <c:v>5632916692.2538462</c:v>
                </c:pt>
                <c:pt idx="3">
                  <c:v>5659340466.4792299</c:v>
                </c:pt>
                <c:pt idx="4">
                  <c:v>5685764240.7046146</c:v>
                </c:pt>
                <c:pt idx="5">
                  <c:v>5712188014.9299994</c:v>
                </c:pt>
                <c:pt idx="6">
                  <c:v>5727671280.9634924</c:v>
                </c:pt>
                <c:pt idx="7">
                  <c:v>5743154546.9969854</c:v>
                </c:pt>
                <c:pt idx="8">
                  <c:v>5758637813.0304785</c:v>
                </c:pt>
                <c:pt idx="9">
                  <c:v>5774121079.0639715</c:v>
                </c:pt>
                <c:pt idx="10">
                  <c:v>5789604345.0974646</c:v>
                </c:pt>
                <c:pt idx="11">
                  <c:v>5829185158.5132713</c:v>
                </c:pt>
                <c:pt idx="12">
                  <c:v>5868765971.9290791</c:v>
                </c:pt>
                <c:pt idx="13">
                  <c:v>5908346785.3448858</c:v>
                </c:pt>
                <c:pt idx="14">
                  <c:v>5947927598.7606936</c:v>
                </c:pt>
                <c:pt idx="15">
                  <c:v>5987508412.1765003</c:v>
                </c:pt>
              </c:numCache>
            </c:numRef>
          </c:val>
          <c:extLst>
            <c:ext xmlns:c16="http://schemas.microsoft.com/office/drawing/2014/chart" uri="{C3380CC4-5D6E-409C-BE32-E72D297353CC}">
              <c16:uniqueId val="{00000000-40A3-45B6-97D8-9017D28DBEDB}"/>
            </c:ext>
          </c:extLst>
        </c:ser>
        <c:ser>
          <c:idx val="1"/>
          <c:order val="1"/>
          <c:tx>
            <c:v>Light Trucks</c:v>
          </c:tx>
          <c:spPr>
            <a:solidFill>
              <a:schemeClr val="accent2"/>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Tables!$X$4:$X$19</c:f>
              <c:numCache>
                <c:formatCode>0</c:formatCode>
                <c:ptCount val="16"/>
                <c:pt idx="0">
                  <c:v>7963861949.471139</c:v>
                </c:pt>
                <c:pt idx="1">
                  <c:v>8002595910.1550312</c:v>
                </c:pt>
                <c:pt idx="2">
                  <c:v>8041329870.8389235</c:v>
                </c:pt>
                <c:pt idx="3">
                  <c:v>8080063831.5228157</c:v>
                </c:pt>
                <c:pt idx="4">
                  <c:v>8118797792.206708</c:v>
                </c:pt>
                <c:pt idx="5">
                  <c:v>8157531752.8906002</c:v>
                </c:pt>
                <c:pt idx="6">
                  <c:v>8191019257.2566757</c:v>
                </c:pt>
                <c:pt idx="7">
                  <c:v>8224506761.6227512</c:v>
                </c:pt>
                <c:pt idx="8">
                  <c:v>8257994265.9888258</c:v>
                </c:pt>
                <c:pt idx="9">
                  <c:v>8291481770.3549013</c:v>
                </c:pt>
                <c:pt idx="10">
                  <c:v>8324969274.7209768</c:v>
                </c:pt>
                <c:pt idx="11">
                  <c:v>8361132190.6023674</c:v>
                </c:pt>
                <c:pt idx="12">
                  <c:v>8397295106.483758</c:v>
                </c:pt>
                <c:pt idx="13">
                  <c:v>8433458022.3651485</c:v>
                </c:pt>
                <c:pt idx="14">
                  <c:v>8469620938.2465391</c:v>
                </c:pt>
                <c:pt idx="15">
                  <c:v>8505783854.1279297</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Tables!$Y$4:$Y$19</c:f>
              <c:numCache>
                <c:formatCode>0</c:formatCode>
                <c:ptCount val="16"/>
                <c:pt idx="0">
                  <c:v>657906622.76923072</c:v>
                </c:pt>
                <c:pt idx="1">
                  <c:v>656631328.61538458</c:v>
                </c:pt>
                <c:pt idx="2">
                  <c:v>655356034.46153843</c:v>
                </c:pt>
                <c:pt idx="3">
                  <c:v>654080740.30769229</c:v>
                </c:pt>
                <c:pt idx="4">
                  <c:v>652805446.15384614</c:v>
                </c:pt>
                <c:pt idx="5">
                  <c:v>651530152</c:v>
                </c:pt>
                <c:pt idx="6">
                  <c:v>657738294.89338398</c:v>
                </c:pt>
                <c:pt idx="7">
                  <c:v>663946437.78676796</c:v>
                </c:pt>
                <c:pt idx="8">
                  <c:v>670154580.68015182</c:v>
                </c:pt>
                <c:pt idx="9">
                  <c:v>676362723.5735358</c:v>
                </c:pt>
                <c:pt idx="10">
                  <c:v>682570866.46691978</c:v>
                </c:pt>
                <c:pt idx="11">
                  <c:v>688894555.17353582</c:v>
                </c:pt>
                <c:pt idx="12">
                  <c:v>695218243.88015187</c:v>
                </c:pt>
                <c:pt idx="13">
                  <c:v>701541932.58676791</c:v>
                </c:pt>
                <c:pt idx="14">
                  <c:v>707865621.29338396</c:v>
                </c:pt>
                <c:pt idx="15">
                  <c:v>714189310</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Tables!#REF!</c15:sqref>
                        </c15:formulaRef>
                      </c:ext>
                    </c:extLst>
                    <c:strCache>
                      <c:ptCount val="1"/>
                      <c:pt idx="0">
                        <c:v>#REF!</c:v>
                      </c:pt>
                    </c:strCache>
                  </c:strRef>
                </c:tx>
                <c:spPr>
                  <a:solidFill>
                    <a:schemeClr val="accent4"/>
                  </a:solidFill>
                  <a:ln>
                    <a:noFill/>
                  </a:ln>
                  <a:effectLst/>
                </c:spPr>
                <c:cat>
                  <c:numRef>
                    <c:extLst>
                      <c:ex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0A3-45B6-97D8-9017D28DBEDB}"/>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5"/>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40A3-45B6-97D8-9017D28DBEDB}"/>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accent1"/>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Tables!$AI$4:$AI$19</c:f>
              <c:numCache>
                <c:formatCode>_(* #,##0_);_(* \(#,##0\);_(* "-"??_);_(@_)</c:formatCode>
                <c:ptCount val="16"/>
                <c:pt idx="0">
                  <c:v>28054.610976535398</c:v>
                </c:pt>
                <c:pt idx="1">
                  <c:v>39152.252816562817</c:v>
                </c:pt>
                <c:pt idx="2">
                  <c:v>50273.255984160496</c:v>
                </c:pt>
                <c:pt idx="3">
                  <c:v>61417.541664358141</c:v>
                </c:pt>
                <c:pt idx="4">
                  <c:v>72585.031042185467</c:v>
                </c:pt>
                <c:pt idx="5">
                  <c:v>83775.645302672172</c:v>
                </c:pt>
                <c:pt idx="6">
                  <c:v>95030.312779989079</c:v>
                </c:pt>
                <c:pt idx="7">
                  <c:v>106349.90775744568</c:v>
                </c:pt>
                <c:pt idx="8">
                  <c:v>117735.30451835143</c:v>
                </c:pt>
                <c:pt idx="9">
                  <c:v>129187.37734601583</c:v>
                </c:pt>
                <c:pt idx="10">
                  <c:v>140707.00052374837</c:v>
                </c:pt>
                <c:pt idx="11">
                  <c:v>152257.04212291012</c:v>
                </c:pt>
                <c:pt idx="12">
                  <c:v>163837.5021435011</c:v>
                </c:pt>
                <c:pt idx="13">
                  <c:v>175448.38058552131</c:v>
                </c:pt>
                <c:pt idx="14">
                  <c:v>187089.67744897076</c:v>
                </c:pt>
                <c:pt idx="15">
                  <c:v>198761.39273384941</c:v>
                </c:pt>
              </c:numCache>
            </c:numRef>
          </c:val>
          <c:smooth val="1"/>
          <c:extLst>
            <c:ext xmlns:c16="http://schemas.microsoft.com/office/drawing/2014/chart" uri="{C3380CC4-5D6E-409C-BE32-E72D297353CC}">
              <c16:uniqueId val="{00000000-C0BD-4D74-AA6E-8CDBAEAF3B2B}"/>
            </c:ext>
          </c:extLst>
        </c:ser>
        <c:ser>
          <c:idx val="1"/>
          <c:order val="1"/>
          <c:tx>
            <c:strRef>
              <c:f>Tables!$AJ$3</c:f>
              <c:strCache>
                <c:ptCount val="1"/>
                <c:pt idx="0">
                  <c:v>ACC II: 2026</c:v>
                </c:pt>
              </c:strCache>
            </c:strRef>
          </c:tx>
          <c:spPr>
            <a:ln w="28575" cap="rnd">
              <a:solidFill>
                <a:schemeClr val="accent2"/>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Tables!$AJ$4:$AJ$19</c:f>
              <c:numCache>
                <c:formatCode>_(* #,##0_);_(* \(#,##0\);_(* "-"??_);_(@_)</c:formatCode>
                <c:ptCount val="16"/>
                <c:pt idx="0">
                  <c:v>28054.610976535398</c:v>
                </c:pt>
                <c:pt idx="1">
                  <c:v>46120.539553324212</c:v>
                </c:pt>
                <c:pt idx="2">
                  <c:v>68362.545888519569</c:v>
                </c:pt>
                <c:pt idx="3">
                  <c:v>94797.828199686075</c:v>
                </c:pt>
                <c:pt idx="4">
                  <c:v>125443.49672488665</c:v>
                </c:pt>
                <c:pt idx="5">
                  <c:v>160837.06740921672</c:v>
                </c:pt>
                <c:pt idx="6">
                  <c:v>210566.9934717798</c:v>
                </c:pt>
                <c:pt idx="7">
                  <c:v>264532.50441081706</c:v>
                </c:pt>
                <c:pt idx="8">
                  <c:v>322783.37155963719</c:v>
                </c:pt>
                <c:pt idx="9">
                  <c:v>385370.28119919845</c:v>
                </c:pt>
                <c:pt idx="10">
                  <c:v>452344.83455810853</c:v>
                </c:pt>
                <c:pt idx="11">
                  <c:v>519496.23920439783</c:v>
                </c:pt>
                <c:pt idx="12">
                  <c:v>586824.49513806636</c:v>
                </c:pt>
                <c:pt idx="13">
                  <c:v>654329.6023591141</c:v>
                </c:pt>
                <c:pt idx="14">
                  <c:v>722011.560867541</c:v>
                </c:pt>
                <c:pt idx="15">
                  <c:v>789870.37066334719</c:v>
                </c:pt>
              </c:numCache>
            </c:numRef>
          </c:val>
          <c:smooth val="1"/>
          <c:extLst>
            <c:ext xmlns:c16="http://schemas.microsoft.com/office/drawing/2014/chart" uri="{C3380CC4-5D6E-409C-BE32-E72D297353CC}">
              <c16:uniqueId val="{00000001-C0BD-4D74-AA6E-8CDBAEAF3B2B}"/>
            </c:ext>
          </c:extLst>
        </c:ser>
        <c:ser>
          <c:idx val="2"/>
          <c:order val="2"/>
          <c:tx>
            <c:strRef>
              <c:f>Tables!$AK$3</c:f>
              <c:strCache>
                <c:ptCount val="1"/>
                <c:pt idx="0">
                  <c:v>ACC II: 2027</c:v>
                </c:pt>
              </c:strCache>
            </c:strRef>
          </c:tx>
          <c:spPr>
            <a:ln w="28575" cap="rnd">
              <a:solidFill>
                <a:schemeClr val="accent3"/>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Tables!$AK$4:$AK$19</c:f>
              <c:numCache>
                <c:formatCode>_(* #,##0_);_(* \(#,##0\);_(* "-"??_);_(@_)</c:formatCode>
                <c:ptCount val="16"/>
                <c:pt idx="0">
                  <c:v>28054.610976535398</c:v>
                </c:pt>
                <c:pt idx="1">
                  <c:v>39152.252816562817</c:v>
                </c:pt>
                <c:pt idx="2">
                  <c:v>61394.259151758175</c:v>
                </c:pt>
                <c:pt idx="3">
                  <c:v>87829.541462924681</c:v>
                </c:pt>
                <c:pt idx="4">
                  <c:v>118475.20998812525</c:v>
                </c:pt>
                <c:pt idx="5">
                  <c:v>153868.78067245532</c:v>
                </c:pt>
                <c:pt idx="6">
                  <c:v>203598.70673501841</c:v>
                </c:pt>
                <c:pt idx="7">
                  <c:v>257564.21767405566</c:v>
                </c:pt>
                <c:pt idx="8">
                  <c:v>315815.0848228758</c:v>
                </c:pt>
                <c:pt idx="9">
                  <c:v>378401.99446243705</c:v>
                </c:pt>
                <c:pt idx="10">
                  <c:v>445376.54782134714</c:v>
                </c:pt>
                <c:pt idx="11">
                  <c:v>512527.95246763644</c:v>
                </c:pt>
                <c:pt idx="12">
                  <c:v>579856.2084013049</c:v>
                </c:pt>
                <c:pt idx="13">
                  <c:v>647361.31562235265</c:v>
                </c:pt>
                <c:pt idx="14">
                  <c:v>715043.27413077955</c:v>
                </c:pt>
                <c:pt idx="15">
                  <c:v>782902.08392658574</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tickLblSkip val="5"/>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accent1"/>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Tables!$AO$4:$AO$19</c:f>
              <c:numCache>
                <c:formatCode>_(* #,##0_);_(* \(#,##0\);_(* "-"??_);_(@_)</c:formatCode>
                <c:ptCount val="16"/>
                <c:pt idx="0">
                  <c:v>332135075.3837564</c:v>
                </c:pt>
                <c:pt idx="1">
                  <c:v>463157133.65562332</c:v>
                </c:pt>
                <c:pt idx="2">
                  <c:v>594258475.52351713</c:v>
                </c:pt>
                <c:pt idx="3">
                  <c:v>725438799.78967798</c:v>
                </c:pt>
                <c:pt idx="4">
                  <c:v>856692600.6026696</c:v>
                </c:pt>
                <c:pt idx="5">
                  <c:v>988037272.77026927</c:v>
                </c:pt>
                <c:pt idx="6">
                  <c:v>1121666942.9742353</c:v>
                </c:pt>
                <c:pt idx="7">
                  <c:v>1256273117.429971</c:v>
                </c:pt>
                <c:pt idx="8">
                  <c:v>1391874315.6157649</c:v>
                </c:pt>
                <c:pt idx="9">
                  <c:v>1528459538.2863257</c:v>
                </c:pt>
                <c:pt idx="10">
                  <c:v>1666049331.4156342</c:v>
                </c:pt>
                <c:pt idx="11">
                  <c:v>1807873844.8077683</c:v>
                </c:pt>
                <c:pt idx="12">
                  <c:v>1950799536.0485277</c:v>
                </c:pt>
                <c:pt idx="13">
                  <c:v>2094806756.0134251</c:v>
                </c:pt>
                <c:pt idx="14">
                  <c:v>2239924689.2457023</c:v>
                </c:pt>
                <c:pt idx="15">
                  <c:v>2386125212.1744456</c:v>
                </c:pt>
              </c:numCache>
            </c:numRef>
          </c:val>
          <c:smooth val="1"/>
          <c:extLst>
            <c:ext xmlns:c16="http://schemas.microsoft.com/office/drawing/2014/chart" uri="{C3380CC4-5D6E-409C-BE32-E72D297353CC}">
              <c16:uniqueId val="{00000000-7561-47BD-97C9-557EBE5271A2}"/>
            </c:ext>
          </c:extLst>
        </c:ser>
        <c:ser>
          <c:idx val="1"/>
          <c:order val="1"/>
          <c:tx>
            <c:strRef>
              <c:f>Tables!$AP$3</c:f>
              <c:strCache>
                <c:ptCount val="1"/>
                <c:pt idx="0">
                  <c:v>ACC II: 2026</c:v>
                </c:pt>
              </c:strCache>
            </c:strRef>
          </c:tx>
          <c:spPr>
            <a:ln w="28575" cap="rnd">
              <a:solidFill>
                <a:schemeClr val="accent2"/>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Tables!$AP$4:$AP$19</c:f>
              <c:numCache>
                <c:formatCode>_(* #,##0_);_(* \(#,##0\);_(* "-"??_);_(@_)</c:formatCode>
                <c:ptCount val="16"/>
                <c:pt idx="0">
                  <c:v>332135075.3837564</c:v>
                </c:pt>
                <c:pt idx="1">
                  <c:v>545589470.98778296</c:v>
                </c:pt>
                <c:pt idx="2">
                  <c:v>808084169.35274243</c:v>
                </c:pt>
                <c:pt idx="3">
                  <c:v>1119713046.9283667</c:v>
                </c:pt>
                <c:pt idx="4">
                  <c:v>1480560301.4136271</c:v>
                </c:pt>
                <c:pt idx="5">
                  <c:v>1896888014.0431654</c:v>
                </c:pt>
                <c:pt idx="6">
                  <c:v>2485375760.1069551</c:v>
                </c:pt>
                <c:pt idx="7">
                  <c:v>3124827101.2672153</c:v>
                </c:pt>
                <c:pt idx="8">
                  <c:v>3815965705.6111884</c:v>
                </c:pt>
                <c:pt idx="9">
                  <c:v>4559446086.542634</c:v>
                </c:pt>
                <c:pt idx="10">
                  <c:v>5356015026.8263006</c:v>
                </c:pt>
                <c:pt idx="11">
                  <c:v>6168408700.436142</c:v>
                </c:pt>
                <c:pt idx="12">
                  <c:v>6987270544.7777786</c:v>
                </c:pt>
                <c:pt idx="13">
                  <c:v>7812520509.4914684</c:v>
                </c:pt>
                <c:pt idx="14">
                  <c:v>8644258428.1494694</c:v>
                </c:pt>
                <c:pt idx="15">
                  <c:v>9482372707.6270123</c:v>
                </c:pt>
              </c:numCache>
            </c:numRef>
          </c:val>
          <c:smooth val="1"/>
          <c:extLst>
            <c:ext xmlns:c16="http://schemas.microsoft.com/office/drawing/2014/chart" uri="{C3380CC4-5D6E-409C-BE32-E72D297353CC}">
              <c16:uniqueId val="{00000001-7561-47BD-97C9-557EBE5271A2}"/>
            </c:ext>
          </c:extLst>
        </c:ser>
        <c:ser>
          <c:idx val="2"/>
          <c:order val="2"/>
          <c:tx>
            <c:strRef>
              <c:f>Tables!$AQ$3</c:f>
              <c:strCache>
                <c:ptCount val="1"/>
                <c:pt idx="0">
                  <c:v>ACC II: 2027</c:v>
                </c:pt>
              </c:strCache>
            </c:strRef>
          </c:tx>
          <c:spPr>
            <a:ln w="28575" cap="rnd">
              <a:solidFill>
                <a:schemeClr val="accent3"/>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Tables!$AQ$4:$AQ$19</c:f>
              <c:numCache>
                <c:formatCode>_(* #,##0_);_(* \(#,##0\);_(* "-"??_);_(@_)</c:formatCode>
                <c:ptCount val="16"/>
                <c:pt idx="0">
                  <c:v>332135075.3837564</c:v>
                </c:pt>
                <c:pt idx="1">
                  <c:v>463157133.65562332</c:v>
                </c:pt>
                <c:pt idx="2">
                  <c:v>725715057.34409797</c:v>
                </c:pt>
                <c:pt idx="3">
                  <c:v>1037406503.391798</c:v>
                </c:pt>
                <c:pt idx="4">
                  <c:v>1398316351.1039317</c:v>
                </c:pt>
                <c:pt idx="5">
                  <c:v>1814705095.6258082</c:v>
                </c:pt>
                <c:pt idx="6">
                  <c:v>2403127300.0825562</c:v>
                </c:pt>
                <c:pt idx="7">
                  <c:v>3042513242.360043</c:v>
                </c:pt>
                <c:pt idx="8">
                  <c:v>3733586173.215004</c:v>
                </c:pt>
                <c:pt idx="9">
                  <c:v>4477001930.2549028</c:v>
                </c:pt>
                <c:pt idx="10">
                  <c:v>5273506626.990612</c:v>
                </c:pt>
                <c:pt idx="11">
                  <c:v>6085668466.1661091</c:v>
                </c:pt>
                <c:pt idx="12">
                  <c:v>6904299733.1181812</c:v>
                </c:pt>
                <c:pt idx="13">
                  <c:v>7729321028.9075413</c:v>
                </c:pt>
                <c:pt idx="14">
                  <c:v>8560830856.3227301</c:v>
                </c:pt>
                <c:pt idx="15">
                  <c:v>9398718611.4288025</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3"/>
                <c:order val="3"/>
                <c:tx>
                  <c:strRef>
                    <c:extLst>
                      <c:ex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Tables!$AN$4:$AN$19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Tables!$AR$4:$AR$19</c15:sqref>
                        </c15:formulaRef>
                      </c:ext>
                    </c:extLst>
                    <c:numCache>
                      <c:formatCode>_(* #,##0_);_(* \(#,##0\);_(* "-"??_);_(@_)</c:formatCode>
                      <c:ptCount val="16"/>
                    </c:numCache>
                  </c:numRef>
                </c:val>
                <c:smooth val="1"/>
                <c:extLs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35</xdr:row>
      <xdr:rowOff>171450</xdr:rowOff>
    </xdr:from>
    <xdr:to>
      <xdr:col>7</xdr:col>
      <xdr:colOff>218395</xdr:colOff>
      <xdr:row>53</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23</xdr:row>
      <xdr:rowOff>28575</xdr:rowOff>
    </xdr:from>
    <xdr:to>
      <xdr:col>6</xdr:col>
      <xdr:colOff>628650</xdr:colOff>
      <xdr:row>42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22</xdr:row>
      <xdr:rowOff>152400</xdr:rowOff>
    </xdr:from>
    <xdr:to>
      <xdr:col>12</xdr:col>
      <xdr:colOff>571500</xdr:colOff>
      <xdr:row>43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23</xdr:row>
      <xdr:rowOff>25400</xdr:rowOff>
    </xdr:from>
    <xdr:to>
      <xdr:col>19</xdr:col>
      <xdr:colOff>609600</xdr:colOff>
      <xdr:row>43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21</xdr:row>
      <xdr:rowOff>142875</xdr:rowOff>
    </xdr:from>
    <xdr:to>
      <xdr:col>32</xdr:col>
      <xdr:colOff>12700</xdr:colOff>
      <xdr:row>42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21</xdr:row>
      <xdr:rowOff>190499</xdr:rowOff>
    </xdr:from>
    <xdr:to>
      <xdr:col>25</xdr:col>
      <xdr:colOff>809625</xdr:colOff>
      <xdr:row>42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21</xdr:row>
      <xdr:rowOff>104775</xdr:rowOff>
    </xdr:from>
    <xdr:to>
      <xdr:col>38</xdr:col>
      <xdr:colOff>219075</xdr:colOff>
      <xdr:row>42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21</xdr:row>
      <xdr:rowOff>171450</xdr:rowOff>
    </xdr:from>
    <xdr:to>
      <xdr:col>43</xdr:col>
      <xdr:colOff>419099</xdr:colOff>
      <xdr:row>42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38</xdr:row>
      <xdr:rowOff>57150</xdr:rowOff>
    </xdr:from>
    <xdr:to>
      <xdr:col>16</xdr:col>
      <xdr:colOff>333691</xdr:colOff>
      <xdr:row>57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22</xdr:row>
      <xdr:rowOff>152400</xdr:rowOff>
    </xdr:from>
    <xdr:to>
      <xdr:col>10</xdr:col>
      <xdr:colOff>342369</xdr:colOff>
      <xdr:row>31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32</xdr:row>
      <xdr:rowOff>28575</xdr:rowOff>
    </xdr:from>
    <xdr:to>
      <xdr:col>9</xdr:col>
      <xdr:colOff>752001</xdr:colOff>
      <xdr:row>37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62</xdr:row>
      <xdr:rowOff>152400</xdr:rowOff>
    </xdr:from>
    <xdr:to>
      <xdr:col>10</xdr:col>
      <xdr:colOff>523344</xdr:colOff>
      <xdr:row>71</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72</xdr:row>
      <xdr:rowOff>28575</xdr:rowOff>
    </xdr:from>
    <xdr:to>
      <xdr:col>10</xdr:col>
      <xdr:colOff>85251</xdr:colOff>
      <xdr:row>77</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2/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V875">
            <v>1.1525216005103397E-3</v>
          </cell>
          <cell r="CW875">
            <v>0.42338739877550041</v>
          </cell>
          <cell r="CX875">
            <v>0.18220635648586389</v>
          </cell>
          <cell r="CY875">
            <v>0.33250596730454346</v>
          </cell>
          <cell r="CZ875">
            <v>1.5735294807847386E-3</v>
          </cell>
          <cell r="DA875">
            <v>5.9174226352797121E-2</v>
          </cell>
          <cell r="DD875">
            <v>1.1525216005103397E-3</v>
          </cell>
          <cell r="DE875">
            <v>0.42338739877550041</v>
          </cell>
          <cell r="DF875">
            <v>0.18220635648586389</v>
          </cell>
          <cell r="DG875">
            <v>0.33250596730454346</v>
          </cell>
          <cell r="DH875">
            <v>1.5735294807847386E-3</v>
          </cell>
          <cell r="DI875">
            <v>5.9174226352797121E-2</v>
          </cell>
        </row>
        <row r="900">
          <cell r="D900">
            <v>1.94096776665011E-3</v>
          </cell>
          <cell r="E900">
            <v>0.41502767356791553</v>
          </cell>
          <cell r="F900">
            <v>0.16953420629385921</v>
          </cell>
          <cell r="G900">
            <v>0.33917126787407992</v>
          </cell>
          <cell r="H900">
            <v>5.8132981751973381E-3</v>
          </cell>
          <cell r="I900">
            <v>6.8512586322297842E-2</v>
          </cell>
          <cell r="L900">
            <v>1.94096776665011E-3</v>
          </cell>
          <cell r="M900">
            <v>0.41502767356791553</v>
          </cell>
          <cell r="N900">
            <v>0.16953420629385921</v>
          </cell>
          <cell r="O900">
            <v>0.33917126787407992</v>
          </cell>
          <cell r="P900">
            <v>5.8132981751973381E-3</v>
          </cell>
          <cell r="Q900">
            <v>6.8512586322297842E-2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workbookViewId="0">
      <selection activeCell="B14" sqref="B14"/>
    </sheetView>
  </sheetViews>
  <sheetFormatPr baseColWidth="10" defaultColWidth="8.83203125" defaultRowHeight="15"/>
  <cols>
    <col min="1" max="1" width="30.1640625" customWidth="1"/>
    <col min="2" max="2" width="52.33203125" customWidth="1"/>
  </cols>
  <sheetData>
    <row r="1" spans="1:2" ht="17" thickBot="1">
      <c r="A1" s="47" t="s">
        <v>84</v>
      </c>
      <c r="B1" s="48" t="s">
        <v>85</v>
      </c>
    </row>
    <row r="2" spans="1:2" ht="32">
      <c r="A2" s="64" t="s">
        <v>86</v>
      </c>
      <c r="B2" s="49" t="s">
        <v>87</v>
      </c>
    </row>
    <row r="3" spans="1:2" ht="32">
      <c r="A3" s="64" t="s">
        <v>186</v>
      </c>
      <c r="B3" s="49" t="s">
        <v>194</v>
      </c>
    </row>
    <row r="4" spans="1:2" ht="48">
      <c r="A4" s="64" t="s">
        <v>185</v>
      </c>
      <c r="B4" s="49" t="s">
        <v>604</v>
      </c>
    </row>
    <row r="5" spans="1:2" ht="16">
      <c r="A5" s="64" t="s">
        <v>187</v>
      </c>
      <c r="B5" s="49" t="s">
        <v>195</v>
      </c>
    </row>
    <row r="6" spans="1:2" ht="16">
      <c r="A6" s="64" t="s">
        <v>188</v>
      </c>
      <c r="B6" s="49" t="s">
        <v>88</v>
      </c>
    </row>
    <row r="7" spans="1:2" ht="16">
      <c r="A7" s="64" t="s">
        <v>176</v>
      </c>
      <c r="B7" s="49" t="s">
        <v>196</v>
      </c>
    </row>
    <row r="8" spans="1:2" ht="16">
      <c r="A8" s="64" t="s">
        <v>177</v>
      </c>
      <c r="B8" s="49" t="s">
        <v>197</v>
      </c>
    </row>
    <row r="9" spans="1:2" ht="32">
      <c r="A9" s="64" t="s">
        <v>178</v>
      </c>
      <c r="B9" s="49" t="s">
        <v>390</v>
      </c>
    </row>
    <row r="10" spans="1:2" ht="16">
      <c r="A10" s="64" t="s">
        <v>189</v>
      </c>
      <c r="B10" s="49" t="s">
        <v>198</v>
      </c>
    </row>
    <row r="11" spans="1:2" ht="16">
      <c r="A11" s="64" t="s">
        <v>190</v>
      </c>
      <c r="B11" s="49" t="s">
        <v>199</v>
      </c>
    </row>
    <row r="12" spans="1:2" ht="16">
      <c r="A12" s="64" t="s">
        <v>294</v>
      </c>
      <c r="B12" s="49" t="s">
        <v>295</v>
      </c>
    </row>
    <row r="13" spans="1:2" ht="16">
      <c r="A13" s="64" t="s">
        <v>296</v>
      </c>
      <c r="B13" s="49" t="s">
        <v>297</v>
      </c>
    </row>
    <row r="14" spans="1:2" ht="16">
      <c r="A14" s="64" t="s">
        <v>369</v>
      </c>
      <c r="B14" s="49" t="s">
        <v>200</v>
      </c>
    </row>
    <row r="15" spans="1:2" ht="16">
      <c r="A15" s="64" t="s">
        <v>191</v>
      </c>
      <c r="B15" s="49" t="s">
        <v>201</v>
      </c>
    </row>
    <row r="16" spans="1:2" ht="48">
      <c r="A16" s="64" t="s">
        <v>89</v>
      </c>
      <c r="B16" s="49" t="s">
        <v>202</v>
      </c>
    </row>
    <row r="17" spans="1:2" ht="16">
      <c r="A17" s="64" t="s">
        <v>192</v>
      </c>
      <c r="B17" s="49" t="s">
        <v>90</v>
      </c>
    </row>
    <row r="18" spans="1:2" ht="16">
      <c r="A18" s="64" t="s">
        <v>193</v>
      </c>
      <c r="B18" s="49" t="s">
        <v>91</v>
      </c>
    </row>
    <row r="19" spans="1:2" ht="32">
      <c r="A19" s="64" t="s">
        <v>92</v>
      </c>
      <c r="B19" s="49" t="s">
        <v>203</v>
      </c>
    </row>
    <row r="20" spans="1:2" ht="32">
      <c r="A20" s="64" t="s">
        <v>93</v>
      </c>
      <c r="B20" s="49" t="s">
        <v>204</v>
      </c>
    </row>
    <row r="21" spans="1:2" ht="32">
      <c r="A21" s="64" t="s">
        <v>299</v>
      </c>
      <c r="B21" s="49" t="s">
        <v>300</v>
      </c>
    </row>
    <row r="22" spans="1:2" ht="17" thickBot="1">
      <c r="A22" s="65" t="s">
        <v>298</v>
      </c>
      <c r="B22" s="50" t="s">
        <v>439</v>
      </c>
    </row>
  </sheetData>
  <sheetProtection algorithmName="SHA-512" hashValue="DolW1HoRdHQ30FGEL2w3wf9qy9hZ2UG2APSSCVob2LWa4Wr1EAa4JjDe4pdboJcdXLY7MMqGloBbFRQIsQ9HEw==" saltValue="zcAlYoNY+6JEmrAou/cucQ==" spinCount="100000" sheet="1" objects="1" scenarios="1"/>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7" location="'County Scale Output 2017-2040'!A1" display="County Scale Output 2017-2040" xr:uid="{6CA4E01D-E031-42F9-9B81-DF25998F8801}"/>
    <hyperlink ref="A18" location="'Default Output 2017-2040'!A1" display="Default Output 2017-2040" xr:uid="{F441BCFA-6A73-46FB-8358-00E21E77D5F8}"/>
    <hyperlink ref="A19" location="'Output Interpolation'!A1" display="Output interpolation" xr:uid="{BBFD16E5-1107-4F17-A8A0-77F8249AAACD}"/>
    <hyperlink ref="A20" location="'GREET factors'!A1" display="GREET factors" xr:uid="{16B5BF23-9B0B-429E-A968-90AE96F29672}"/>
    <hyperlink ref="A22" location="'Regional GREET factors'!A1" display="Regional GREET factors" xr:uid="{792A8141-797D-45D4-8E77-D84B58EA0F06}"/>
    <hyperlink ref="A21"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sheetPr codeName="Sheet10"/>
  <dimension ref="A1:AB493"/>
  <sheetViews>
    <sheetView topLeftCell="A31" workbookViewId="0">
      <selection activeCell="J26" sqref="J26"/>
    </sheetView>
  </sheetViews>
  <sheetFormatPr baseColWidth="10" defaultColWidth="8.83203125" defaultRowHeight="15"/>
  <cols>
    <col min="3" max="3" width="11" customWidth="1"/>
    <col min="6" max="6" width="11" customWidth="1"/>
    <col min="18" max="18" width="11.1640625" customWidth="1"/>
    <col min="19" max="20" width="12" bestFit="1" customWidth="1"/>
  </cols>
  <sheetData>
    <row r="1" spans="1:28">
      <c r="A1" s="2" t="s">
        <v>146</v>
      </c>
      <c r="P1" s="6"/>
    </row>
    <row r="2" spans="1:28">
      <c r="A2" s="29" t="s">
        <v>451</v>
      </c>
      <c r="F2" s="6"/>
      <c r="R2" s="6"/>
    </row>
    <row r="3" spans="1:28">
      <c r="A3" t="s">
        <v>452</v>
      </c>
      <c r="F3" s="6"/>
      <c r="R3" s="6"/>
    </row>
    <row r="4" spans="1:28">
      <c r="A4" s="29" t="s">
        <v>307</v>
      </c>
    </row>
    <row r="5" spans="1:28">
      <c r="A5" s="29"/>
    </row>
    <row r="6" spans="1:28">
      <c r="A6" s="70" t="s">
        <v>466</v>
      </c>
      <c r="D6" s="6"/>
      <c r="E6" s="6"/>
      <c r="K6" s="33" t="s">
        <v>463</v>
      </c>
      <c r="L6" s="33" t="s">
        <v>464</v>
      </c>
      <c r="O6" s="70" t="s">
        <v>377</v>
      </c>
      <c r="T6" s="6"/>
      <c r="X6" s="145" t="s">
        <v>218</v>
      </c>
    </row>
    <row r="7" spans="1:28">
      <c r="A7" s="70" t="s">
        <v>149</v>
      </c>
      <c r="D7" s="6"/>
      <c r="K7" s="33" t="s">
        <v>465</v>
      </c>
      <c r="L7" s="33" t="s">
        <v>465</v>
      </c>
      <c r="O7" s="138"/>
      <c r="P7" s="292" t="s">
        <v>209</v>
      </c>
      <c r="Q7" s="292"/>
      <c r="R7" s="292"/>
      <c r="S7" s="292"/>
      <c r="T7" s="292" t="s">
        <v>209</v>
      </c>
      <c r="U7" s="292"/>
      <c r="V7" s="292"/>
      <c r="W7" s="292"/>
      <c r="X7" s="292" t="s">
        <v>209</v>
      </c>
      <c r="Y7" s="292"/>
      <c r="Z7" s="292"/>
      <c r="AA7" s="292"/>
    </row>
    <row r="8" spans="1:28">
      <c r="A8" s="19" t="s">
        <v>0</v>
      </c>
      <c r="B8" t="s">
        <v>1</v>
      </c>
      <c r="C8" t="s">
        <v>2</v>
      </c>
      <c r="D8" s="29" t="s">
        <v>3</v>
      </c>
      <c r="E8" t="s">
        <v>22</v>
      </c>
      <c r="F8" t="s">
        <v>24</v>
      </c>
      <c r="G8" t="s">
        <v>115</v>
      </c>
      <c r="H8" t="s">
        <v>116</v>
      </c>
      <c r="I8" t="s">
        <v>117</v>
      </c>
      <c r="K8" s="33" t="s">
        <v>141</v>
      </c>
      <c r="L8" s="33" t="s">
        <v>141</v>
      </c>
      <c r="M8" s="33" t="s">
        <v>249</v>
      </c>
      <c r="O8" s="138"/>
      <c r="P8" s="292" t="s">
        <v>467</v>
      </c>
      <c r="Q8" s="292"/>
      <c r="R8" s="292"/>
      <c r="S8" s="292"/>
      <c r="T8" s="292" t="s">
        <v>210</v>
      </c>
      <c r="U8" s="292"/>
      <c r="V8" s="292"/>
      <c r="W8" s="292"/>
      <c r="X8" s="292" t="s">
        <v>220</v>
      </c>
      <c r="Y8" s="292"/>
      <c r="Z8" s="292"/>
      <c r="AA8" s="292"/>
    </row>
    <row r="9" spans="1:28">
      <c r="A9">
        <v>2025</v>
      </c>
      <c r="B9" s="33" t="s">
        <v>109</v>
      </c>
      <c r="C9">
        <v>0</v>
      </c>
      <c r="D9">
        <v>0</v>
      </c>
      <c r="E9" s="3">
        <v>0</v>
      </c>
      <c r="F9">
        <v>0</v>
      </c>
      <c r="G9">
        <v>0</v>
      </c>
      <c r="H9">
        <v>0</v>
      </c>
      <c r="I9">
        <v>0</v>
      </c>
      <c r="K9" s="261">
        <f>'CARB ZEV counts'!N24</f>
        <v>5.2787319162739099E-2</v>
      </c>
      <c r="L9" s="60">
        <f>'Fleet ZEV fractions'!AA17</f>
        <v>2.4617088553578286E-2</v>
      </c>
      <c r="M9" s="16">
        <f>K9/L9</f>
        <v>2.1443364046828375</v>
      </c>
      <c r="O9" s="139" t="s">
        <v>211</v>
      </c>
      <c r="P9" s="139" t="s">
        <v>42</v>
      </c>
      <c r="Q9" s="139" t="s">
        <v>212</v>
      </c>
      <c r="R9" s="139" t="s">
        <v>213</v>
      </c>
      <c r="S9" s="139" t="s">
        <v>3</v>
      </c>
      <c r="T9" s="139" t="s">
        <v>42</v>
      </c>
      <c r="U9" s="139" t="s">
        <v>212</v>
      </c>
      <c r="V9" s="139" t="s">
        <v>213</v>
      </c>
      <c r="W9" s="139" t="s">
        <v>3</v>
      </c>
      <c r="X9" s="139" t="s">
        <v>42</v>
      </c>
      <c r="Y9" s="139" t="s">
        <v>212</v>
      </c>
      <c r="Z9" s="139" t="s">
        <v>213</v>
      </c>
      <c r="AA9" s="139" t="s">
        <v>3</v>
      </c>
      <c r="AB9" s="6"/>
    </row>
    <row r="10" spans="1:28">
      <c r="A10">
        <v>2026</v>
      </c>
      <c r="B10" s="33" t="s">
        <v>109</v>
      </c>
      <c r="C10" s="144">
        <f>P10*M10</f>
        <v>7.0689219681073414E-3</v>
      </c>
      <c r="D10" s="144">
        <f>S10*M10</f>
        <v>1.5501637019653949E-2</v>
      </c>
      <c r="E10" s="3">
        <v>0</v>
      </c>
      <c r="F10" s="144">
        <f>Q10*M10</f>
        <v>5.081462332457494E-3</v>
      </c>
      <c r="G10" s="144">
        <f>R10*M10</f>
        <v>3.8291406465124503E-3</v>
      </c>
      <c r="H10" s="60">
        <f>'CARB ZEV counts'!Q65*M10</f>
        <v>1.8371110971998585E-2</v>
      </c>
      <c r="I10" s="60">
        <f>H10</f>
        <v>1.8371110971998585E-2</v>
      </c>
      <c r="J10" s="60"/>
      <c r="K10" s="261">
        <f>'CARB ZEV counts'!N25</f>
        <v>6.4089332068279783E-2</v>
      </c>
      <c r="L10" s="60">
        <f>'Fleet ZEV fractions'!AA18</f>
        <v>3.4155135658701381E-2</v>
      </c>
      <c r="M10" s="16">
        <f t="shared" ref="M10:M24" si="0">K10/L10</f>
        <v>1.8764186068150588</v>
      </c>
      <c r="O10" s="140">
        <v>2026</v>
      </c>
      <c r="P10" s="141">
        <v>3.7672414579739133E-3</v>
      </c>
      <c r="Q10" s="141">
        <v>2.70806434875559E-3</v>
      </c>
      <c r="R10" s="141">
        <v>2.0406643979148376E-3</v>
      </c>
      <c r="S10" s="141">
        <v>8.2612893324297554E-3</v>
      </c>
      <c r="T10" s="142">
        <v>138.58699611663516</v>
      </c>
      <c r="U10" s="142">
        <v>9.3266082916718709</v>
      </c>
      <c r="V10" s="142">
        <v>155.29487333222642</v>
      </c>
      <c r="W10" s="143">
        <v>375933.00810797774</v>
      </c>
      <c r="X10" s="142">
        <v>138.0649054393285</v>
      </c>
      <c r="Y10" s="142">
        <v>9.301351236262386</v>
      </c>
      <c r="Z10" s="142">
        <v>154.97796861303866</v>
      </c>
      <c r="AA10" s="143">
        <v>372827.31675838708</v>
      </c>
    </row>
    <row r="11" spans="1:28">
      <c r="A11">
        <v>2027</v>
      </c>
      <c r="B11" s="33" t="s">
        <v>109</v>
      </c>
      <c r="C11" s="144">
        <f t="shared" ref="C11:C24" si="1">P11*M11</f>
        <v>1.8023472965688767E-2</v>
      </c>
      <c r="D11" s="144">
        <f t="shared" ref="D11:D24" si="2">S11*M11</f>
        <v>3.9762531881209907E-2</v>
      </c>
      <c r="E11" s="3">
        <v>0</v>
      </c>
      <c r="F11" s="144">
        <f t="shared" ref="F11:F24" si="3">Q11*M11</f>
        <v>1.2612017594150189E-2</v>
      </c>
      <c r="G11" s="144">
        <f t="shared" ref="G11:G24" si="4">R11*M11</f>
        <v>1.0371926951025855E-2</v>
      </c>
      <c r="H11" s="60">
        <f>'CARB ZEV counts'!Q66*M11</f>
        <v>4.1775254173695535E-2</v>
      </c>
      <c r="I11" s="60">
        <f t="shared" ref="I11:I24" si="5">H11</f>
        <v>4.1775254173695535E-2</v>
      </c>
      <c r="J11" s="60"/>
      <c r="K11" s="261">
        <f>'CARB ZEV counts'!N26</f>
        <v>7.5580722040675494E-2</v>
      </c>
      <c r="L11" s="60">
        <f>'Fleet ZEV fractions'!AA19</f>
        <v>4.3603141778209308E-2</v>
      </c>
      <c r="M11" s="16">
        <f t="shared" si="0"/>
        <v>1.733377893389485</v>
      </c>
      <c r="O11" s="140">
        <v>2027</v>
      </c>
      <c r="P11" s="141">
        <v>1.0397890174106972E-2</v>
      </c>
      <c r="Q11" s="141">
        <v>7.27597694781279E-3</v>
      </c>
      <c r="R11" s="141">
        <v>5.9836501841755707E-3</v>
      </c>
      <c r="S11" s="141">
        <v>2.2939332521114242E-2</v>
      </c>
      <c r="T11" s="142">
        <v>127.2310138997864</v>
      </c>
      <c r="U11" s="142">
        <v>9.1921289818706047</v>
      </c>
      <c r="V11" s="142">
        <v>148.68337936527007</v>
      </c>
      <c r="W11" s="143">
        <v>366639.39819194184</v>
      </c>
      <c r="X11" s="142">
        <v>125.90807979051615</v>
      </c>
      <c r="Y11" s="142">
        <v>9.1252472632971919</v>
      </c>
      <c r="Z11" s="142">
        <v>147.79371003494722</v>
      </c>
      <c r="AA11" s="143">
        <v>358228.93512147566</v>
      </c>
    </row>
    <row r="12" spans="1:28">
      <c r="A12">
        <v>2028</v>
      </c>
      <c r="B12" s="33" t="s">
        <v>109</v>
      </c>
      <c r="C12" s="144">
        <f t="shared" si="1"/>
        <v>3.1848959790195613E-2</v>
      </c>
      <c r="D12" s="144">
        <f t="shared" si="2"/>
        <v>7.0112929382620232E-2</v>
      </c>
      <c r="E12" s="3">
        <v>0</v>
      </c>
      <c r="F12" s="144">
        <f t="shared" si="3"/>
        <v>2.1746279199892454E-2</v>
      </c>
      <c r="G12" s="144">
        <f t="shared" si="4"/>
        <v>1.8974065140386145E-2</v>
      </c>
      <c r="H12" s="60">
        <f>'CARB ZEV counts'!Q67*M12</f>
        <v>7.0126421838302019E-2</v>
      </c>
      <c r="I12" s="60">
        <f t="shared" si="5"/>
        <v>7.0126421838302019E-2</v>
      </c>
      <c r="J12" s="60"/>
      <c r="K12" s="261">
        <f>'CARB ZEV counts'!N27</f>
        <v>8.6179522162499828E-2</v>
      </c>
      <c r="L12" s="60">
        <f>'Fleet ZEV fractions'!AA20</f>
        <v>5.2962591886787827E-2</v>
      </c>
      <c r="M12" s="16">
        <f t="shared" si="0"/>
        <v>1.6271772036141301</v>
      </c>
      <c r="O12" s="140">
        <v>2028</v>
      </c>
      <c r="P12" s="141">
        <v>1.9573135439370559E-2</v>
      </c>
      <c r="Q12" s="141">
        <v>1.3364419776525693E-2</v>
      </c>
      <c r="R12" s="141">
        <v>1.1660724534637512E-2</v>
      </c>
      <c r="S12" s="141">
        <v>4.3088687099900436E-2</v>
      </c>
      <c r="T12" s="142">
        <v>117.29796929239372</v>
      </c>
      <c r="U12" s="142">
        <v>9.0508622063165092</v>
      </c>
      <c r="V12" s="142">
        <v>142.11047615146714</v>
      </c>
      <c r="W12" s="143">
        <v>357800.83030336339</v>
      </c>
      <c r="X12" s="142">
        <v>115.00208025267057</v>
      </c>
      <c r="Y12" s="142">
        <v>8.9299026844518039</v>
      </c>
      <c r="Z12" s="142">
        <v>140.45336503557871</v>
      </c>
      <c r="AA12" s="143">
        <v>342383.6622823372</v>
      </c>
    </row>
    <row r="13" spans="1:28">
      <c r="A13">
        <v>2029</v>
      </c>
      <c r="B13" s="33" t="s">
        <v>109</v>
      </c>
      <c r="C13" s="144">
        <f t="shared" si="1"/>
        <v>5.047762186296359E-2</v>
      </c>
      <c r="D13" s="144">
        <f t="shared" si="2"/>
        <v>0.1060952939757298</v>
      </c>
      <c r="E13" s="3">
        <v>0</v>
      </c>
      <c r="F13" s="144">
        <f t="shared" si="3"/>
        <v>3.2649396278817931E-2</v>
      </c>
      <c r="G13" s="144">
        <f t="shared" si="4"/>
        <v>3.1057304603431382E-2</v>
      </c>
      <c r="H13" s="60">
        <f>'CARB ZEV counts'!Q68*M13</f>
        <v>0.1048429323563711</v>
      </c>
      <c r="I13" s="60">
        <f t="shared" si="5"/>
        <v>0.1048429323563711</v>
      </c>
      <c r="J13" s="60"/>
      <c r="K13" s="261">
        <f>'CARB ZEV counts'!N28</f>
        <v>9.7753266410346082E-2</v>
      </c>
      <c r="L13" s="60">
        <f>'Fleet ZEV fractions'!AA21</f>
        <v>6.2234937005780575E-2</v>
      </c>
      <c r="M13" s="16">
        <f t="shared" si="0"/>
        <v>1.5707136716675145</v>
      </c>
      <c r="O13" s="140">
        <v>2029</v>
      </c>
      <c r="P13" s="141">
        <v>3.2136743171895299E-2</v>
      </c>
      <c r="Q13" s="141">
        <v>2.0786345002113849E-2</v>
      </c>
      <c r="R13" s="141">
        <v>1.9772734626076094E-2</v>
      </c>
      <c r="S13" s="141">
        <v>6.754591615866945E-2</v>
      </c>
      <c r="T13" s="142">
        <v>108.59988762342687</v>
      </c>
      <c r="U13" s="142">
        <v>8.9075889628798972</v>
      </c>
      <c r="V13" s="142">
        <v>134.88655988598353</v>
      </c>
      <c r="W13" s="143">
        <v>349626.35703916679</v>
      </c>
      <c r="X13" s="142">
        <v>105.10984092637611</v>
      </c>
      <c r="Y13" s="142">
        <v>8.7224327455604538</v>
      </c>
      <c r="Z13" s="142">
        <v>132.21948373273366</v>
      </c>
      <c r="AA13" s="143">
        <v>326010.52443973819</v>
      </c>
    </row>
    <row r="14" spans="1:28">
      <c r="A14">
        <v>2030</v>
      </c>
      <c r="B14" s="33" t="s">
        <v>109</v>
      </c>
      <c r="C14" s="144">
        <f t="shared" si="1"/>
        <v>7.3182454617847018E-2</v>
      </c>
      <c r="D14" s="144">
        <f t="shared" si="2"/>
        <v>0.14793458305991308</v>
      </c>
      <c r="E14" s="3">
        <v>0</v>
      </c>
      <c r="F14" s="144">
        <f t="shared" si="3"/>
        <v>4.5166900335053793E-2</v>
      </c>
      <c r="G14" s="144">
        <f t="shared" si="4"/>
        <v>4.5400326127459416E-2</v>
      </c>
      <c r="H14" s="60">
        <f>'CARB ZEV counts'!Q69*M14</f>
        <v>0.14413044196485114</v>
      </c>
      <c r="I14" s="60">
        <f t="shared" si="5"/>
        <v>0.14413044196485114</v>
      </c>
      <c r="J14" s="60"/>
      <c r="K14" s="261">
        <f>'CARB ZEV counts'!N29</f>
        <v>0.10770155714763756</v>
      </c>
      <c r="L14" s="60">
        <f>'Fleet ZEV fractions'!AA22</f>
        <v>7.1421595168085189E-2</v>
      </c>
      <c r="M14" s="16">
        <f t="shared" si="0"/>
        <v>1.5079690798584138</v>
      </c>
      <c r="O14" s="140">
        <v>2030</v>
      </c>
      <c r="P14" s="141">
        <v>4.8530474261924694E-2</v>
      </c>
      <c r="Q14" s="141">
        <v>2.9952139561969404E-2</v>
      </c>
      <c r="R14" s="141">
        <v>3.010693437541978E-2</v>
      </c>
      <c r="S14" s="141">
        <v>9.8101867628348827E-2</v>
      </c>
      <c r="T14" s="142">
        <v>100.91098466269662</v>
      </c>
      <c r="U14" s="142">
        <v>8.76716694609512</v>
      </c>
      <c r="V14" s="142">
        <v>128.84832001074483</v>
      </c>
      <c r="W14" s="143">
        <v>342056.57430707337</v>
      </c>
      <c r="X14" s="142">
        <v>96.013726718778145</v>
      </c>
      <c r="Y14" s="142">
        <v>8.5045715381625939</v>
      </c>
      <c r="Z14" s="142">
        <v>124.96909209579825</v>
      </c>
      <c r="AA14" s="143">
        <v>308500.18553299439</v>
      </c>
    </row>
    <row r="15" spans="1:28">
      <c r="A15">
        <v>2031</v>
      </c>
      <c r="B15" s="33" t="s">
        <v>109</v>
      </c>
      <c r="C15" s="144">
        <f t="shared" si="1"/>
        <v>0.10028417057309605</v>
      </c>
      <c r="D15" s="144">
        <f t="shared" si="2"/>
        <v>0.19630291638147884</v>
      </c>
      <c r="E15" s="3">
        <v>0</v>
      </c>
      <c r="F15" s="144">
        <f t="shared" si="3"/>
        <v>5.9058491675835705E-2</v>
      </c>
      <c r="G15" s="144">
        <f t="shared" si="4"/>
        <v>6.1912244816531035E-2</v>
      </c>
      <c r="H15" s="60">
        <f>'CARB ZEV counts'!Q70*M15</f>
        <v>0.18677499722555821</v>
      </c>
      <c r="I15" s="60">
        <f t="shared" si="5"/>
        <v>0.18677499722555821</v>
      </c>
      <c r="J15" s="60"/>
      <c r="K15" s="261">
        <f>'CARB ZEV counts'!N30</f>
        <v>0.11722582033992886</v>
      </c>
      <c r="L15" s="60">
        <f>'Fleet ZEV fractions'!AA23</f>
        <v>8.0806753932510106E-2</v>
      </c>
      <c r="M15" s="16">
        <f t="shared" si="0"/>
        <v>1.4506933472149617</v>
      </c>
      <c r="O15" s="140">
        <v>2031</v>
      </c>
      <c r="P15" s="141">
        <v>6.9128441765877957E-2</v>
      </c>
      <c r="Q15" s="141">
        <v>4.0710527686099951E-2</v>
      </c>
      <c r="R15" s="141">
        <v>4.2677692660126998E-2</v>
      </c>
      <c r="S15" s="141">
        <v>0.13531661722881738</v>
      </c>
      <c r="T15" s="142">
        <v>94.063543289881423</v>
      </c>
      <c r="U15" s="142">
        <v>8.6360770195287326</v>
      </c>
      <c r="V15" s="142">
        <v>123.47073682804725</v>
      </c>
      <c r="W15" s="143">
        <v>335060.89929365198</v>
      </c>
      <c r="X15" s="142">
        <v>87.561077115274713</v>
      </c>
      <c r="Y15" s="142">
        <v>8.2844977669259166</v>
      </c>
      <c r="Z15" s="142">
        <v>118.20129066918042</v>
      </c>
      <c r="AA15" s="143">
        <v>289721.59183558956</v>
      </c>
    </row>
    <row r="16" spans="1:28">
      <c r="A16">
        <v>2032</v>
      </c>
      <c r="B16" s="33" t="s">
        <v>109</v>
      </c>
      <c r="C16" s="144">
        <f t="shared" si="1"/>
        <v>0.13131373413058481</v>
      </c>
      <c r="D16" s="144">
        <f t="shared" si="2"/>
        <v>0.24830652134887571</v>
      </c>
      <c r="E16" s="3">
        <v>0</v>
      </c>
      <c r="F16" s="144">
        <f t="shared" si="3"/>
        <v>7.3796487257548629E-2</v>
      </c>
      <c r="G16" s="144">
        <f t="shared" si="4"/>
        <v>7.9754681335552177E-2</v>
      </c>
      <c r="H16" s="60">
        <f>'CARB ZEV counts'!Q71*M16</f>
        <v>0.23055153399626654</v>
      </c>
      <c r="I16" s="60">
        <f t="shared" si="5"/>
        <v>0.23055153399626654</v>
      </c>
      <c r="J16" s="60"/>
      <c r="K16" s="261">
        <f>'CARB ZEV counts'!N31</f>
        <v>0.12629478463698698</v>
      </c>
      <c r="L16" s="60">
        <f>'Fleet ZEV fractions'!AA24</f>
        <v>9.0198490964339476E-2</v>
      </c>
      <c r="M16" s="16">
        <f t="shared" si="0"/>
        <v>1.400187334474569</v>
      </c>
      <c r="O16" s="140">
        <v>2032</v>
      </c>
      <c r="P16" s="141">
        <v>9.3782975247280964E-2</v>
      </c>
      <c r="Q16" s="141">
        <v>5.2704724175527073E-2</v>
      </c>
      <c r="R16" s="141">
        <v>5.696000768745757E-2</v>
      </c>
      <c r="S16" s="141">
        <v>0.17733807129604884</v>
      </c>
      <c r="T16" s="142">
        <v>88.062560663912663</v>
      </c>
      <c r="U16" s="142">
        <v>8.5101922523093041</v>
      </c>
      <c r="V16" s="142">
        <v>119.26235962096919</v>
      </c>
      <c r="W16" s="143">
        <v>328668.19127430569</v>
      </c>
      <c r="X16" s="142">
        <v>79.803791716956766</v>
      </c>
      <c r="Y16" s="142">
        <v>8.0616649169706349</v>
      </c>
      <c r="Z16" s="142">
        <v>112.46917470013446</v>
      </c>
      <c r="AA16" s="143">
        <v>270382.80813735945</v>
      </c>
    </row>
    <row r="17" spans="1:27">
      <c r="A17">
        <v>2033</v>
      </c>
      <c r="B17" s="33" t="s">
        <v>109</v>
      </c>
      <c r="C17" s="144">
        <f t="shared" si="1"/>
        <v>0.16550258489631858</v>
      </c>
      <c r="D17" s="144">
        <f t="shared" si="2"/>
        <v>0.30184299793706254</v>
      </c>
      <c r="E17" s="3">
        <v>0</v>
      </c>
      <c r="F17" s="144">
        <f t="shared" si="3"/>
        <v>8.903007352625078E-2</v>
      </c>
      <c r="G17" s="144">
        <f t="shared" si="4"/>
        <v>9.8550314925997543E-2</v>
      </c>
      <c r="H17" s="60">
        <f>'CARB ZEV counts'!Q72*M17</f>
        <v>0.27418558340490334</v>
      </c>
      <c r="I17" s="60">
        <f t="shared" si="5"/>
        <v>0.27418558340490334</v>
      </c>
      <c r="J17" s="60"/>
      <c r="K17" s="261">
        <f>'CARB ZEV counts'!N32</f>
        <v>0.13432326202068065</v>
      </c>
      <c r="L17" s="60">
        <f>'Fleet ZEV fractions'!AA25</f>
        <v>9.9597495009625628E-2</v>
      </c>
      <c r="M17" s="16">
        <f t="shared" si="0"/>
        <v>1.3486610482291641</v>
      </c>
      <c r="O17" s="140">
        <v>2033</v>
      </c>
      <c r="P17" s="141">
        <v>0.12271621925585297</v>
      </c>
      <c r="Q17" s="141">
        <v>6.6013676040507119E-2</v>
      </c>
      <c r="R17" s="141">
        <v>7.3072707968690365E-2</v>
      </c>
      <c r="S17" s="141">
        <v>0.22380938363526715</v>
      </c>
      <c r="T17" s="142">
        <v>82.775819125419829</v>
      </c>
      <c r="U17" s="142">
        <v>8.3889579432495651</v>
      </c>
      <c r="V17" s="142">
        <v>115.50678783402272</v>
      </c>
      <c r="W17" s="143">
        <v>322835.29823803843</v>
      </c>
      <c r="X17" s="142">
        <v>72.617883556541983</v>
      </c>
      <c r="Y17" s="142">
        <v>7.8351719912664493</v>
      </c>
      <c r="Z17" s="142">
        <v>107.0663940582257</v>
      </c>
      <c r="AA17" s="143">
        <v>250581.72912367541</v>
      </c>
    </row>
    <row r="18" spans="1:27">
      <c r="A18">
        <v>2034</v>
      </c>
      <c r="B18" s="33" t="s">
        <v>109</v>
      </c>
      <c r="C18" s="144">
        <f t="shared" si="1"/>
        <v>0.20301185430071281</v>
      </c>
      <c r="D18" s="144">
        <f t="shared" si="2"/>
        <v>0.35956329542332155</v>
      </c>
      <c r="E18" s="3">
        <v>0</v>
      </c>
      <c r="F18" s="144">
        <f t="shared" si="3"/>
        <v>0.10455656391746655</v>
      </c>
      <c r="G18" s="144">
        <f t="shared" si="4"/>
        <v>0.11900840383267065</v>
      </c>
      <c r="H18" s="60">
        <f>'CARB ZEV counts'!Q73*M18</f>
        <v>0.31818302123021441</v>
      </c>
      <c r="I18" s="60">
        <f t="shared" si="5"/>
        <v>0.31818302123021441</v>
      </c>
      <c r="J18" s="60"/>
      <c r="K18" s="261">
        <f>'CARB ZEV counts'!N33</f>
        <v>0.1418395665517862</v>
      </c>
      <c r="L18" s="60">
        <f>'Fleet ZEV fractions'!AA26</f>
        <v>0.10900444773415378</v>
      </c>
      <c r="M18" s="16">
        <f t="shared" si="0"/>
        <v>1.3012273306288618</v>
      </c>
      <c r="O18" s="140">
        <v>2034</v>
      </c>
      <c r="P18" s="141">
        <v>0.1560156703768284</v>
      </c>
      <c r="Q18" s="141">
        <v>8.0352265477651841E-2</v>
      </c>
      <c r="R18" s="141">
        <v>9.1458579935571938E-2</v>
      </c>
      <c r="S18" s="141">
        <v>0.27632627055992631</v>
      </c>
      <c r="T18" s="142">
        <v>78.098066082154574</v>
      </c>
      <c r="U18" s="142">
        <v>8.2652907062989662</v>
      </c>
      <c r="V18" s="142">
        <v>111.49052960513755</v>
      </c>
      <c r="W18" s="143">
        <v>317456.57391545404</v>
      </c>
      <c r="X18" s="142">
        <v>65.913543947213384</v>
      </c>
      <c r="Y18" s="142">
        <v>7.601155873216463</v>
      </c>
      <c r="Z18" s="142">
        <v>101.29376409118683</v>
      </c>
      <c r="AA18" s="143">
        <v>229734.98278066504</v>
      </c>
    </row>
    <row r="19" spans="1:27">
      <c r="A19">
        <v>2035</v>
      </c>
      <c r="B19" s="33" t="s">
        <v>109</v>
      </c>
      <c r="C19" s="144">
        <f t="shared" si="1"/>
        <v>0.24355310381713541</v>
      </c>
      <c r="D19" s="144">
        <f t="shared" si="2"/>
        <v>0.41838502551488616</v>
      </c>
      <c r="E19" s="3">
        <v>0</v>
      </c>
      <c r="F19" s="144">
        <f t="shared" si="3"/>
        <v>0.12034293621639965</v>
      </c>
      <c r="G19" s="144">
        <f t="shared" si="4"/>
        <v>0.13991501818252003</v>
      </c>
      <c r="H19" s="60">
        <f>'CARB ZEV counts'!Q74*M19</f>
        <v>0.36113775236749002</v>
      </c>
      <c r="I19" s="60">
        <f t="shared" si="5"/>
        <v>0.36113775236749002</v>
      </c>
      <c r="J19" s="60"/>
      <c r="K19" s="261">
        <f>'CARB ZEV counts'!N34</f>
        <v>0.14881949851245854</v>
      </c>
      <c r="L19" s="60">
        <f>'Fleet ZEV fractions'!AA27</f>
        <v>0.11842002381418952</v>
      </c>
      <c r="M19" s="16">
        <f t="shared" si="0"/>
        <v>1.2567089054632199</v>
      </c>
      <c r="O19" s="140">
        <v>2035</v>
      </c>
      <c r="P19" s="141">
        <v>0.19380232188882462</v>
      </c>
      <c r="Q19" s="141">
        <v>9.5760391044608317E-2</v>
      </c>
      <c r="R19" s="141">
        <v>0.11133446860627416</v>
      </c>
      <c r="S19" s="141">
        <v>0.33292119097434936</v>
      </c>
      <c r="T19" s="142">
        <v>73.905374443095312</v>
      </c>
      <c r="U19" s="142">
        <v>8.1412756679400111</v>
      </c>
      <c r="V19" s="142">
        <v>107.91461244327141</v>
      </c>
      <c r="W19" s="143">
        <v>312566.38375459169</v>
      </c>
      <c r="X19" s="142">
        <v>59.582341275960445</v>
      </c>
      <c r="Y19" s="142">
        <v>7.3616639263761208</v>
      </c>
      <c r="Z19" s="142">
        <v>95.89999641204777</v>
      </c>
      <c r="AA19" s="143">
        <v>208506.41101646749</v>
      </c>
    </row>
    <row r="20" spans="1:27">
      <c r="A20">
        <v>2036</v>
      </c>
      <c r="B20" s="33" t="s">
        <v>109</v>
      </c>
      <c r="C20" s="144">
        <f t="shared" si="1"/>
        <v>0.28568888689838445</v>
      </c>
      <c r="D20" s="144">
        <f t="shared" si="2"/>
        <v>0.47269713077044129</v>
      </c>
      <c r="E20" s="3">
        <v>0</v>
      </c>
      <c r="F20" s="144">
        <f t="shared" si="3"/>
        <v>0.13512090198891499</v>
      </c>
      <c r="G20" s="144">
        <f t="shared" si="4"/>
        <v>0.16196874237489736</v>
      </c>
      <c r="H20" s="60">
        <f>'CARB ZEV counts'!Q75*M20</f>
        <v>0.40000683484953492</v>
      </c>
      <c r="I20" s="60">
        <f t="shared" si="5"/>
        <v>0.40000683484953492</v>
      </c>
      <c r="J20" s="60"/>
      <c r="K20" s="261">
        <f>'CARB ZEV counts'!N35</f>
        <v>0.15564313994187848</v>
      </c>
      <c r="L20" s="60">
        <f>'Fleet ZEV fractions'!AA28</f>
        <v>0.12784079239052668</v>
      </c>
      <c r="M20" s="16">
        <f t="shared" si="0"/>
        <v>1.2174763393707815</v>
      </c>
      <c r="O20" s="140">
        <v>2036</v>
      </c>
      <c r="P20" s="141">
        <v>0.23465662342648463</v>
      </c>
      <c r="Q20" s="141">
        <v>0.11098441720744112</v>
      </c>
      <c r="R20" s="141">
        <v>0.13303646004209524</v>
      </c>
      <c r="S20" s="141">
        <v>0.38825980882284872</v>
      </c>
      <c r="T20" s="142">
        <v>70.20411193179271</v>
      </c>
      <c r="U20" s="142">
        <v>8.0340673204013182</v>
      </c>
      <c r="V20" s="142">
        <v>104.72146075683742</v>
      </c>
      <c r="W20" s="143">
        <v>308274.68971425877</v>
      </c>
      <c r="X20" s="142">
        <v>53.730252075223248</v>
      </c>
      <c r="Y20" s="142">
        <v>7.14241104104123</v>
      </c>
      <c r="Z20" s="142">
        <v>90.789688327310571</v>
      </c>
      <c r="AA20" s="143">
        <v>188584.01762087765</v>
      </c>
    </row>
    <row r="21" spans="1:27">
      <c r="A21">
        <v>2037</v>
      </c>
      <c r="B21" s="33" t="s">
        <v>109</v>
      </c>
      <c r="C21" s="144">
        <f t="shared" si="1"/>
        <v>0.32714366033863695</v>
      </c>
      <c r="D21" s="144">
        <f t="shared" si="2"/>
        <v>0.51913493423943546</v>
      </c>
      <c r="E21" s="3">
        <v>0</v>
      </c>
      <c r="F21" s="144">
        <f t="shared" si="3"/>
        <v>0.14777616787974165</v>
      </c>
      <c r="G21" s="144">
        <f t="shared" si="4"/>
        <v>0.18267413816148109</v>
      </c>
      <c r="H21" s="60">
        <f>'CARB ZEV counts'!Q76*M21</f>
        <v>0.43296103632328037</v>
      </c>
      <c r="I21" s="60">
        <f t="shared" si="5"/>
        <v>0.43296103632328037</v>
      </c>
      <c r="J21" s="60"/>
      <c r="K21" s="261">
        <f>'CARB ZEV counts'!N36</f>
        <v>0.16148796043984739</v>
      </c>
      <c r="L21" s="60">
        <f>'Fleet ZEV fractions'!AA29</f>
        <v>0.1372430583971036</v>
      </c>
      <c r="M21" s="16">
        <f t="shared" si="0"/>
        <v>1.176656672664586</v>
      </c>
      <c r="O21" s="140">
        <v>2037</v>
      </c>
      <c r="P21" s="141">
        <v>0.2780281350870234</v>
      </c>
      <c r="Q21" s="141">
        <v>0.12558987792513565</v>
      </c>
      <c r="R21" s="141">
        <v>0.15524846151410354</v>
      </c>
      <c r="S21" s="141">
        <v>0.44119490952601637</v>
      </c>
      <c r="T21" s="142">
        <v>66.924428734333446</v>
      </c>
      <c r="U21" s="142">
        <v>7.9324012340853294</v>
      </c>
      <c r="V21" s="142">
        <v>102.25130817074364</v>
      </c>
      <c r="W21" s="143">
        <v>304516.57151557988</v>
      </c>
      <c r="X21" s="142">
        <v>48.317554621562316</v>
      </c>
      <c r="Y21" s="142">
        <v>6.9361719314433579</v>
      </c>
      <c r="Z21" s="142">
        <v>86.376949889431202</v>
      </c>
      <c r="AA21" s="143">
        <v>170165.41029659094</v>
      </c>
    </row>
    <row r="22" spans="1:27">
      <c r="A22">
        <v>2038</v>
      </c>
      <c r="B22" s="33" t="s">
        <v>109</v>
      </c>
      <c r="C22" s="144">
        <f t="shared" si="1"/>
        <v>0.36782747718714143</v>
      </c>
      <c r="D22" s="144">
        <f t="shared" si="2"/>
        <v>0.55892391354574855</v>
      </c>
      <c r="E22" s="3">
        <v>0</v>
      </c>
      <c r="F22" s="144">
        <f t="shared" si="3"/>
        <v>0.15928820515815598</v>
      </c>
      <c r="G22" s="144">
        <f t="shared" si="4"/>
        <v>0.20429257778849996</v>
      </c>
      <c r="H22" s="60">
        <f>'CARB ZEV counts'!Q77*M22</f>
        <v>0.46125715929993349</v>
      </c>
      <c r="I22" s="60">
        <f t="shared" si="5"/>
        <v>0.46125715929993349</v>
      </c>
      <c r="J22" s="60"/>
      <c r="K22" s="261">
        <f>'CARB ZEV counts'!N37</f>
        <v>0.16676140134679324</v>
      </c>
      <c r="L22" s="60">
        <f>'Fleet ZEV fractions'!AA30</f>
        <v>0.14662695110853136</v>
      </c>
      <c r="M22" s="16">
        <f t="shared" si="0"/>
        <v>1.1373175264577289</v>
      </c>
      <c r="O22" s="140">
        <v>2038</v>
      </c>
      <c r="P22" s="141">
        <v>0.32341669641966309</v>
      </c>
      <c r="Q22" s="141">
        <v>0.14005605422636236</v>
      </c>
      <c r="R22" s="141">
        <v>0.17962668563174822</v>
      </c>
      <c r="S22" s="141">
        <v>0.49144051730791849</v>
      </c>
      <c r="T22" s="142">
        <v>63.996308907900726</v>
      </c>
      <c r="U22" s="142">
        <v>7.8480716468633585</v>
      </c>
      <c r="V22" s="142">
        <v>99.239791765198476</v>
      </c>
      <c r="W22" s="143">
        <v>301209.32241688453</v>
      </c>
      <c r="X22" s="142">
        <v>43.298834097855213</v>
      </c>
      <c r="Y22" s="142">
        <v>6.7489016987178871</v>
      </c>
      <c r="Z22" s="142">
        <v>81.413676887631013</v>
      </c>
      <c r="AA22" s="143">
        <v>153182.8571903632</v>
      </c>
    </row>
    <row r="23" spans="1:27">
      <c r="A23">
        <v>2039</v>
      </c>
      <c r="B23" s="33" t="s">
        <v>109</v>
      </c>
      <c r="C23" s="144">
        <f t="shared" si="1"/>
        <v>0.40762521837781934</v>
      </c>
      <c r="D23" s="144">
        <f t="shared" si="2"/>
        <v>0.59221998532401177</v>
      </c>
      <c r="E23" s="3">
        <v>0</v>
      </c>
      <c r="F23" s="144">
        <f t="shared" si="3"/>
        <v>0.16871031986962207</v>
      </c>
      <c r="G23" s="144">
        <f t="shared" si="4"/>
        <v>0.22681801392204359</v>
      </c>
      <c r="H23" s="60">
        <f>'CARB ZEV counts'!Q78*M23</f>
        <v>0.48518378261866352</v>
      </c>
      <c r="I23" s="60">
        <f t="shared" si="5"/>
        <v>0.48518378261866352</v>
      </c>
      <c r="J23" s="60"/>
      <c r="K23" s="261">
        <f>'CARB ZEV counts'!N38</f>
        <v>0.17149228521211091</v>
      </c>
      <c r="L23" s="60">
        <f>'Fleet ZEV fractions'!AA31</f>
        <v>0.15599259859792344</v>
      </c>
      <c r="M23" s="16">
        <f t="shared" si="0"/>
        <v>1.0993616796790371</v>
      </c>
      <c r="O23" s="140">
        <v>2039</v>
      </c>
      <c r="P23" s="141">
        <v>0.37078354277077141</v>
      </c>
      <c r="Q23" s="141">
        <v>0.15346207075261864</v>
      </c>
      <c r="R23" s="141">
        <v>0.20631791894753326</v>
      </c>
      <c r="S23" s="141">
        <v>0.5386944044628813</v>
      </c>
      <c r="T23" s="142">
        <v>61.306533545291607</v>
      </c>
      <c r="U23" s="142">
        <v>7.7650888204016635</v>
      </c>
      <c r="V23" s="142">
        <v>95.839327942750785</v>
      </c>
      <c r="W23" s="143">
        <v>298422.51952566614</v>
      </c>
      <c r="X23" s="142">
        <v>38.575079842373242</v>
      </c>
      <c r="Y23" s="142">
        <v>6.5734422104448154</v>
      </c>
      <c r="Z23" s="142">
        <v>76.065957248272269</v>
      </c>
      <c r="AA23" s="143">
        <v>137663.97809147486</v>
      </c>
    </row>
    <row r="24" spans="1:27">
      <c r="A24">
        <v>2040</v>
      </c>
      <c r="B24" s="33" t="s">
        <v>109</v>
      </c>
      <c r="C24" s="144">
        <f t="shared" si="1"/>
        <v>0.4449326507412229</v>
      </c>
      <c r="D24" s="144">
        <f t="shared" si="2"/>
        <v>0.61925387976364876</v>
      </c>
      <c r="E24" s="3">
        <v>0</v>
      </c>
      <c r="F24" s="144">
        <f t="shared" si="3"/>
        <v>0.1765554515042104</v>
      </c>
      <c r="G24" s="144">
        <f t="shared" si="4"/>
        <v>0.25084586549097221</v>
      </c>
      <c r="H24" s="60">
        <f>'CARB ZEV counts'!Q79*M24</f>
        <v>0.50485550025885639</v>
      </c>
      <c r="I24" s="60">
        <f t="shared" si="5"/>
        <v>0.50485550025885639</v>
      </c>
      <c r="J24" s="60"/>
      <c r="K24" s="261">
        <f>'CARB ZEV counts'!N39</f>
        <v>0.17568933934234149</v>
      </c>
      <c r="L24" s="60">
        <f>'Fleet ZEV fractions'!AA32</f>
        <v>0.16534012775082207</v>
      </c>
      <c r="M24" s="16">
        <f t="shared" si="0"/>
        <v>1.0625934655567482</v>
      </c>
      <c r="O24" s="140">
        <v>2040</v>
      </c>
      <c r="P24" s="141">
        <v>0.41872330779683409</v>
      </c>
      <c r="Q24" s="141">
        <v>0.16615522043673003</v>
      </c>
      <c r="R24" s="141">
        <v>0.23606945988468031</v>
      </c>
      <c r="S24" s="141">
        <v>0.58277591556540331</v>
      </c>
      <c r="T24" s="142">
        <v>58.961173387528028</v>
      </c>
      <c r="U24" s="142">
        <v>7.6908781700882267</v>
      </c>
      <c r="V24" s="142">
        <v>91.9687426155308</v>
      </c>
      <c r="W24" s="143">
        <v>296042.90847056225</v>
      </c>
      <c r="X24" s="142">
        <v>34.272755835119625</v>
      </c>
      <c r="Y24" s="142">
        <v>6.4129986123851825</v>
      </c>
      <c r="Z24" s="142">
        <v>70.257731220009262</v>
      </c>
      <c r="AA24" s="143">
        <v>123516.23143998545</v>
      </c>
    </row>
    <row r="26" spans="1:27">
      <c r="A26" s="2" t="s">
        <v>150</v>
      </c>
      <c r="O26" s="164"/>
    </row>
    <row r="27" spans="1:27">
      <c r="A27" t="s">
        <v>0</v>
      </c>
      <c r="B27" t="s">
        <v>1</v>
      </c>
      <c r="C27" t="s">
        <v>2</v>
      </c>
      <c r="D27" t="s">
        <v>3</v>
      </c>
      <c r="E27" t="s">
        <v>22</v>
      </c>
      <c r="F27" t="s">
        <v>24</v>
      </c>
      <c r="G27" t="s">
        <v>115</v>
      </c>
      <c r="H27" t="s">
        <v>116</v>
      </c>
      <c r="I27" t="s">
        <v>117</v>
      </c>
      <c r="O27" t="s">
        <v>406</v>
      </c>
    </row>
    <row r="28" spans="1:27">
      <c r="A28">
        <v>2025</v>
      </c>
      <c r="B28" t="s">
        <v>109</v>
      </c>
      <c r="C28">
        <v>0</v>
      </c>
      <c r="D28">
        <v>0</v>
      </c>
      <c r="E28" s="3">
        <v>0</v>
      </c>
      <c r="F28">
        <v>0</v>
      </c>
      <c r="G28">
        <v>0</v>
      </c>
      <c r="H28">
        <v>0</v>
      </c>
      <c r="I28">
        <v>0</v>
      </c>
      <c r="O28" t="s">
        <v>0</v>
      </c>
      <c r="P28" t="s">
        <v>403</v>
      </c>
      <c r="Q28" t="s">
        <v>404</v>
      </c>
      <c r="R28" t="s">
        <v>405</v>
      </c>
      <c r="S28" t="s">
        <v>49</v>
      </c>
      <c r="T28" t="s">
        <v>407</v>
      </c>
      <c r="U28" t="s">
        <v>408</v>
      </c>
      <c r="X28" t="s">
        <v>409</v>
      </c>
    </row>
    <row r="29" spans="1:27">
      <c r="A29">
        <v>2026</v>
      </c>
      <c r="B29" t="s">
        <v>109</v>
      </c>
      <c r="C29">
        <v>0</v>
      </c>
      <c r="D29">
        <v>0</v>
      </c>
      <c r="E29" s="3">
        <v>0</v>
      </c>
      <c r="F29">
        <v>0</v>
      </c>
      <c r="G29">
        <v>0</v>
      </c>
      <c r="H29">
        <v>0</v>
      </c>
      <c r="I29">
        <v>0</v>
      </c>
      <c r="O29">
        <v>2026</v>
      </c>
      <c r="P29">
        <v>1996</v>
      </c>
      <c r="Q29">
        <v>1</v>
      </c>
      <c r="R29">
        <v>39202800000</v>
      </c>
      <c r="X29">
        <v>2025</v>
      </c>
      <c r="Y29">
        <v>0</v>
      </c>
    </row>
    <row r="30" spans="1:27">
      <c r="A30">
        <v>2027</v>
      </c>
      <c r="B30" t="s">
        <v>109</v>
      </c>
      <c r="C30" s="60">
        <f t="shared" ref="C30:I30" si="6">C11*(1-$Y31)</f>
        <v>1.6717461253560946E-2</v>
      </c>
      <c r="D30" s="60">
        <f t="shared" si="6"/>
        <v>3.6881270736946782E-2</v>
      </c>
      <c r="E30" s="3">
        <f t="shared" si="6"/>
        <v>0</v>
      </c>
      <c r="F30" s="60">
        <f t="shared" si="6"/>
        <v>1.1698129204111327E-2</v>
      </c>
      <c r="G30" s="60">
        <f t="shared" si="6"/>
        <v>9.6203593646255452E-3</v>
      </c>
      <c r="H30" s="60">
        <f t="shared" si="6"/>
        <v>3.8748147725796912E-2</v>
      </c>
      <c r="I30" s="60">
        <f t="shared" si="6"/>
        <v>3.8748147725796912E-2</v>
      </c>
      <c r="J30" s="60"/>
      <c r="K30" s="60"/>
      <c r="L30" s="60"/>
      <c r="O30">
        <v>2026</v>
      </c>
      <c r="P30">
        <v>1997</v>
      </c>
      <c r="Q30">
        <v>1</v>
      </c>
      <c r="R30">
        <v>7270920000</v>
      </c>
      <c r="X30">
        <v>2026</v>
      </c>
      <c r="Y30">
        <f>U59</f>
        <v>7.453940728279905E-2</v>
      </c>
    </row>
    <row r="31" spans="1:27">
      <c r="A31">
        <v>2028</v>
      </c>
      <c r="B31" t="s">
        <v>109</v>
      </c>
      <c r="C31" s="60">
        <f t="shared" ref="C31:C43" si="7">C12*(1-$Y32)</f>
        <v>2.9609099338336095E-2</v>
      </c>
      <c r="D31" s="60">
        <f t="shared" ref="D31:D43" si="8">D12*(1-$Y32)</f>
        <v>6.5182056326712937E-2</v>
      </c>
      <c r="E31" s="3">
        <f t="shared" ref="E31:E43" si="9">E12*(1-$Y32)</f>
        <v>0</v>
      </c>
      <c r="F31" s="60">
        <f t="shared" ref="F31:F43" si="10">F12*(1-$Y32)</f>
        <v>2.0216915883922278E-2</v>
      </c>
      <c r="G31" s="60">
        <f t="shared" ref="G31:G43" si="11">G12*(1-$Y32)</f>
        <v>1.7639664946504766E-2</v>
      </c>
      <c r="H31" s="60">
        <f t="shared" ref="H31:H43" si="12">H12*(1-$Y32)</f>
        <v>6.5194599890560298E-2</v>
      </c>
      <c r="I31" s="60">
        <f t="shared" ref="I31:I43" si="13">I12*(1-$Y32)</f>
        <v>6.5194599890560298E-2</v>
      </c>
      <c r="J31" s="60"/>
      <c r="K31" s="60"/>
      <c r="L31" s="60"/>
      <c r="O31">
        <v>2026</v>
      </c>
      <c r="P31">
        <v>1998</v>
      </c>
      <c r="Q31">
        <v>1</v>
      </c>
      <c r="R31">
        <v>8408160000</v>
      </c>
      <c r="X31">
        <v>2027</v>
      </c>
      <c r="Y31">
        <f>U90</f>
        <v>7.2461712268998862E-2</v>
      </c>
    </row>
    <row r="32" spans="1:27">
      <c r="A32">
        <v>2029</v>
      </c>
      <c r="B32" t="s">
        <v>109</v>
      </c>
      <c r="C32" s="60">
        <f t="shared" si="7"/>
        <v>4.7037015615383614E-2</v>
      </c>
      <c r="D32" s="60">
        <f t="shared" si="8"/>
        <v>9.8863730407170294E-2</v>
      </c>
      <c r="E32" s="3">
        <f t="shared" si="9"/>
        <v>0</v>
      </c>
      <c r="F32" s="60">
        <f t="shared" si="10"/>
        <v>3.0423980090995562E-2</v>
      </c>
      <c r="G32" s="60">
        <f t="shared" si="11"/>
        <v>2.894040700984719E-2</v>
      </c>
      <c r="H32" s="60">
        <f t="shared" si="12"/>
        <v>9.7696731034541295E-2</v>
      </c>
      <c r="I32" s="60">
        <f t="shared" si="13"/>
        <v>9.7696731034541295E-2</v>
      </c>
      <c r="J32" s="60"/>
      <c r="K32" s="60"/>
      <c r="L32" s="60"/>
      <c r="O32">
        <v>2026</v>
      </c>
      <c r="P32">
        <v>1999</v>
      </c>
      <c r="Q32">
        <v>1</v>
      </c>
      <c r="R32">
        <v>10960200000</v>
      </c>
      <c r="X32">
        <v>2028</v>
      </c>
      <c r="Y32">
        <f>U121</f>
        <v>7.03275857866177E-2</v>
      </c>
    </row>
    <row r="33" spans="1:25">
      <c r="A33">
        <v>2030</v>
      </c>
      <c r="B33" t="s">
        <v>109</v>
      </c>
      <c r="C33" s="60">
        <f t="shared" si="7"/>
        <v>6.8374779871916383E-2</v>
      </c>
      <c r="D33" s="60">
        <f t="shared" si="8"/>
        <v>0.13821611484590107</v>
      </c>
      <c r="E33" s="3">
        <f t="shared" si="9"/>
        <v>0</v>
      </c>
      <c r="F33" s="60">
        <f t="shared" si="10"/>
        <v>4.2199689584516219E-2</v>
      </c>
      <c r="G33" s="60">
        <f t="shared" si="11"/>
        <v>4.241778061815954E-2</v>
      </c>
      <c r="H33" s="60">
        <f t="shared" si="12"/>
        <v>0.13466188437720703</v>
      </c>
      <c r="I33" s="60">
        <f t="shared" si="13"/>
        <v>0.13466188437720703</v>
      </c>
      <c r="J33" s="60"/>
      <c r="K33" s="60"/>
      <c r="L33" s="60"/>
      <c r="O33">
        <v>2026</v>
      </c>
      <c r="P33">
        <v>2000</v>
      </c>
      <c r="Q33">
        <v>1</v>
      </c>
      <c r="R33">
        <v>13445900000</v>
      </c>
      <c r="X33">
        <v>2029</v>
      </c>
      <c r="Y33">
        <f>U152</f>
        <v>6.8161021074259795E-2</v>
      </c>
    </row>
    <row r="34" spans="1:25">
      <c r="A34">
        <v>2031</v>
      </c>
      <c r="B34" t="s">
        <v>109</v>
      </c>
      <c r="C34" s="60">
        <f t="shared" si="7"/>
        <v>9.3977434765816617E-2</v>
      </c>
      <c r="D34" s="60">
        <f t="shared" si="8"/>
        <v>0.18395769155944108</v>
      </c>
      <c r="E34" s="3">
        <f t="shared" si="9"/>
        <v>0</v>
      </c>
      <c r="F34" s="60">
        <f t="shared" si="10"/>
        <v>5.5344383037878524E-2</v>
      </c>
      <c r="G34" s="60">
        <f t="shared" si="11"/>
        <v>5.8018667504557739E-2</v>
      </c>
      <c r="H34" s="60">
        <f t="shared" si="12"/>
        <v>0.17502897034838166</v>
      </c>
      <c r="I34" s="60">
        <f t="shared" si="13"/>
        <v>0.17502897034838166</v>
      </c>
      <c r="J34" s="60"/>
      <c r="K34" s="60"/>
      <c r="L34" s="60"/>
      <c r="O34">
        <v>2026</v>
      </c>
      <c r="P34">
        <v>2001</v>
      </c>
      <c r="Q34">
        <v>1</v>
      </c>
      <c r="R34">
        <v>14970300000</v>
      </c>
      <c r="X34">
        <v>2030</v>
      </c>
      <c r="Y34">
        <f>U183</f>
        <v>6.5694363096126474E-2</v>
      </c>
    </row>
    <row r="35" spans="1:25">
      <c r="A35">
        <v>2032</v>
      </c>
      <c r="B35" t="s">
        <v>109</v>
      </c>
      <c r="C35" s="60">
        <f t="shared" si="7"/>
        <v>0.12345091306987055</v>
      </c>
      <c r="D35" s="60">
        <f t="shared" si="8"/>
        <v>0.23343839077212217</v>
      </c>
      <c r="E35" s="3">
        <f t="shared" si="9"/>
        <v>0</v>
      </c>
      <c r="F35" s="60">
        <f t="shared" si="10"/>
        <v>6.9377691477677222E-2</v>
      </c>
      <c r="G35" s="60">
        <f t="shared" si="11"/>
        <v>7.4979120026236898E-2</v>
      </c>
      <c r="H35" s="60">
        <f t="shared" si="12"/>
        <v>0.21674653888979048</v>
      </c>
      <c r="I35" s="60">
        <f t="shared" si="13"/>
        <v>0.21674653888979048</v>
      </c>
      <c r="J35" s="60"/>
      <c r="K35" s="60"/>
      <c r="L35" s="60"/>
      <c r="O35">
        <v>2026</v>
      </c>
      <c r="P35">
        <v>2002</v>
      </c>
      <c r="Q35">
        <v>1</v>
      </c>
      <c r="R35">
        <v>18529700000</v>
      </c>
      <c r="X35">
        <v>2031</v>
      </c>
      <c r="Y35">
        <f>U214</f>
        <v>6.2888647044076776E-2</v>
      </c>
    </row>
    <row r="36" spans="1:25">
      <c r="A36">
        <v>2033</v>
      </c>
      <c r="B36" t="s">
        <v>109</v>
      </c>
      <c r="C36" s="60">
        <f t="shared" si="7"/>
        <v>0.15613058101554647</v>
      </c>
      <c r="D36" s="60">
        <f t="shared" si="8"/>
        <v>0.2847503721643459</v>
      </c>
      <c r="E36" s="3">
        <f t="shared" si="9"/>
        <v>0</v>
      </c>
      <c r="F36" s="60">
        <f t="shared" si="10"/>
        <v>8.3988519673081866E-2</v>
      </c>
      <c r="G36" s="60">
        <f t="shared" si="11"/>
        <v>9.2969653243182293E-2</v>
      </c>
      <c r="H36" s="60">
        <f t="shared" si="12"/>
        <v>0.25865912891881587</v>
      </c>
      <c r="I36" s="60">
        <f t="shared" si="13"/>
        <v>0.25865912891881587</v>
      </c>
      <c r="J36" s="60"/>
      <c r="K36" s="60"/>
      <c r="L36" s="60"/>
      <c r="O36">
        <v>2026</v>
      </c>
      <c r="P36">
        <v>2003</v>
      </c>
      <c r="Q36">
        <v>1</v>
      </c>
      <c r="R36">
        <v>21602800000</v>
      </c>
      <c r="X36">
        <v>2032</v>
      </c>
      <c r="Y36">
        <f>U245</f>
        <v>5.9878131657539198E-2</v>
      </c>
    </row>
    <row r="37" spans="1:25">
      <c r="A37">
        <v>2034</v>
      </c>
      <c r="B37" t="s">
        <v>109</v>
      </c>
      <c r="C37" s="60">
        <f t="shared" si="7"/>
        <v>0.19221589702332467</v>
      </c>
      <c r="D37" s="60">
        <f t="shared" si="8"/>
        <v>0.34044209686435917</v>
      </c>
      <c r="E37" s="3">
        <f t="shared" si="9"/>
        <v>0</v>
      </c>
      <c r="F37" s="60">
        <f t="shared" si="10"/>
        <v>9.8996355618243576E-2</v>
      </c>
      <c r="G37" s="60">
        <f t="shared" si="11"/>
        <v>0.11267966185918701</v>
      </c>
      <c r="H37" s="60">
        <f t="shared" si="12"/>
        <v>0.30126238220928603</v>
      </c>
      <c r="I37" s="60">
        <f t="shared" si="13"/>
        <v>0.30126238220928603</v>
      </c>
      <c r="J37" s="60"/>
      <c r="K37" s="60"/>
      <c r="L37" s="60"/>
      <c r="O37">
        <v>2026</v>
      </c>
      <c r="P37">
        <v>2004</v>
      </c>
      <c r="Q37">
        <v>1</v>
      </c>
      <c r="R37">
        <v>25842500000</v>
      </c>
      <c r="X37">
        <v>2033</v>
      </c>
      <c r="Y37">
        <f>U276</f>
        <v>5.662753779128795E-2</v>
      </c>
    </row>
    <row r="38" spans="1:25">
      <c r="A38">
        <v>2035</v>
      </c>
      <c r="B38" t="s">
        <v>109</v>
      </c>
      <c r="C38" s="60">
        <f t="shared" si="7"/>
        <v>0.23147528153661714</v>
      </c>
      <c r="D38" s="60">
        <f t="shared" si="8"/>
        <v>0.39763727110813912</v>
      </c>
      <c r="E38" s="3">
        <f t="shared" si="9"/>
        <v>0</v>
      </c>
      <c r="F38" s="60">
        <f t="shared" si="10"/>
        <v>0.11437511821877429</v>
      </c>
      <c r="G38" s="60">
        <f t="shared" si="11"/>
        <v>0.1329766187226111</v>
      </c>
      <c r="H38" s="60">
        <f t="shared" si="12"/>
        <v>0.34322889584495009</v>
      </c>
      <c r="I38" s="60">
        <f t="shared" si="13"/>
        <v>0.34322889584495009</v>
      </c>
      <c r="J38" s="60"/>
      <c r="K38" s="60"/>
      <c r="L38" s="60"/>
      <c r="O38">
        <v>2026</v>
      </c>
      <c r="P38">
        <v>2005</v>
      </c>
      <c r="Q38">
        <v>1</v>
      </c>
      <c r="R38">
        <v>29935400000</v>
      </c>
      <c r="X38">
        <v>2034</v>
      </c>
      <c r="Y38">
        <f>U307</f>
        <v>5.3178950138530023E-2</v>
      </c>
    </row>
    <row r="39" spans="1:25">
      <c r="A39">
        <v>2036</v>
      </c>
      <c r="B39" t="s">
        <v>109</v>
      </c>
      <c r="C39" s="60">
        <f t="shared" si="7"/>
        <v>0.27257144842402575</v>
      </c>
      <c r="D39" s="60">
        <f t="shared" si="8"/>
        <v>0.45099318702518593</v>
      </c>
      <c r="E39" s="3">
        <f t="shared" si="9"/>
        <v>0</v>
      </c>
      <c r="F39" s="60">
        <f t="shared" si="10"/>
        <v>0.12891681005631603</v>
      </c>
      <c r="G39" s="60">
        <f t="shared" si="11"/>
        <v>0.15453192872793298</v>
      </c>
      <c r="H39" s="60">
        <f t="shared" si="12"/>
        <v>0.38164047449710009</v>
      </c>
      <c r="I39" s="60">
        <f t="shared" si="13"/>
        <v>0.38164047449710009</v>
      </c>
      <c r="J39" s="60"/>
      <c r="K39" s="60"/>
      <c r="L39" s="60"/>
      <c r="O39">
        <v>2026</v>
      </c>
      <c r="P39">
        <v>2006</v>
      </c>
      <c r="Q39">
        <v>1</v>
      </c>
      <c r="R39">
        <v>33294400000</v>
      </c>
      <c r="X39">
        <v>2035</v>
      </c>
      <c r="Y39">
        <f>U338</f>
        <v>4.9590097975456431E-2</v>
      </c>
    </row>
    <row r="40" spans="1:25">
      <c r="A40">
        <v>2037</v>
      </c>
      <c r="B40" t="s">
        <v>109</v>
      </c>
      <c r="C40" s="60">
        <f t="shared" si="7"/>
        <v>0.31333261435569626</v>
      </c>
      <c r="D40" s="60">
        <f t="shared" si="8"/>
        <v>0.49721857969137528</v>
      </c>
      <c r="E40" s="3">
        <f t="shared" si="9"/>
        <v>0</v>
      </c>
      <c r="F40" s="60">
        <f t="shared" si="10"/>
        <v>0.14153749142898228</v>
      </c>
      <c r="G40" s="60">
        <f t="shared" si="11"/>
        <v>0.17496217174455367</v>
      </c>
      <c r="H40" s="60">
        <f t="shared" si="12"/>
        <v>0.41468269103823724</v>
      </c>
      <c r="I40" s="60">
        <f t="shared" si="13"/>
        <v>0.41468269103823724</v>
      </c>
      <c r="J40" s="60"/>
      <c r="K40" s="60"/>
      <c r="L40" s="60"/>
      <c r="O40">
        <v>2026</v>
      </c>
      <c r="P40">
        <v>2007</v>
      </c>
      <c r="Q40">
        <v>1</v>
      </c>
      <c r="R40">
        <v>39019700000</v>
      </c>
      <c r="X40">
        <v>2036</v>
      </c>
      <c r="Y40">
        <f>U369</f>
        <v>4.5915116323808527E-2</v>
      </c>
    </row>
    <row r="41" spans="1:25">
      <c r="A41">
        <v>2038</v>
      </c>
      <c r="B41" t="s">
        <v>109</v>
      </c>
      <c r="C41" s="60">
        <f t="shared" si="7"/>
        <v>0.35364759834902276</v>
      </c>
      <c r="D41" s="60">
        <f t="shared" si="8"/>
        <v>0.53737719975912857</v>
      </c>
      <c r="E41" s="3">
        <f t="shared" si="9"/>
        <v>0</v>
      </c>
      <c r="F41" s="60">
        <f t="shared" si="10"/>
        <v>0.15314758872907155</v>
      </c>
      <c r="G41" s="60">
        <f t="shared" si="11"/>
        <v>0.19641702693862689</v>
      </c>
      <c r="H41" s="60">
        <f t="shared" si="12"/>
        <v>0.44347553329932837</v>
      </c>
      <c r="I41" s="60">
        <f t="shared" si="13"/>
        <v>0.44347553329932837</v>
      </c>
      <c r="J41" s="60"/>
      <c r="K41" s="60"/>
      <c r="L41" s="60"/>
      <c r="O41">
        <v>2026</v>
      </c>
      <c r="P41">
        <v>2008</v>
      </c>
      <c r="Q41">
        <v>1</v>
      </c>
      <c r="R41">
        <v>41678900000</v>
      </c>
      <c r="X41">
        <v>2037</v>
      </c>
      <c r="Y41">
        <f>U400</f>
        <v>4.2217067476241044E-2</v>
      </c>
    </row>
    <row r="42" spans="1:25">
      <c r="A42">
        <v>2039</v>
      </c>
      <c r="B42" t="s">
        <v>109</v>
      </c>
      <c r="C42" s="60">
        <f t="shared" si="7"/>
        <v>0.39356158114356671</v>
      </c>
      <c r="D42" s="60">
        <f t="shared" si="8"/>
        <v>0.57178757177114969</v>
      </c>
      <c r="E42" s="3">
        <f t="shared" si="9"/>
        <v>0</v>
      </c>
      <c r="F42" s="60">
        <f t="shared" si="10"/>
        <v>0.16288957907796206</v>
      </c>
      <c r="G42" s="60">
        <f t="shared" si="11"/>
        <v>0.21899247683018327</v>
      </c>
      <c r="H42" s="60">
        <f t="shared" si="12"/>
        <v>0.46844426699731434</v>
      </c>
      <c r="I42" s="60">
        <f t="shared" si="13"/>
        <v>0.46844426699731434</v>
      </c>
      <c r="J42" s="60"/>
      <c r="K42" s="60"/>
      <c r="L42" s="60"/>
      <c r="O42">
        <v>2026</v>
      </c>
      <c r="P42">
        <v>2009</v>
      </c>
      <c r="Q42">
        <v>1</v>
      </c>
      <c r="R42">
        <v>32694800000</v>
      </c>
      <c r="X42">
        <v>2038</v>
      </c>
      <c r="Y42">
        <f>U431</f>
        <v>3.8550352318851601E-2</v>
      </c>
    </row>
    <row r="43" spans="1:25">
      <c r="A43">
        <v>2040</v>
      </c>
      <c r="B43" t="s">
        <v>109</v>
      </c>
      <c r="C43" s="60">
        <f t="shared" si="7"/>
        <v>0.43152931286619051</v>
      </c>
      <c r="D43" s="60">
        <f t="shared" si="8"/>
        <v>0.60059921603629673</v>
      </c>
      <c r="E43" s="3">
        <f t="shared" si="9"/>
        <v>0</v>
      </c>
      <c r="F43" s="60">
        <f t="shared" si="10"/>
        <v>0.17123682099631771</v>
      </c>
      <c r="G43" s="60">
        <f t="shared" si="11"/>
        <v>0.2432892793781542</v>
      </c>
      <c r="H43" s="60">
        <f t="shared" si="12"/>
        <v>0.48964702131993143</v>
      </c>
      <c r="I43" s="60">
        <f t="shared" si="13"/>
        <v>0.48964702131993143</v>
      </c>
      <c r="J43" s="60"/>
      <c r="K43" s="60"/>
      <c r="L43" s="60"/>
      <c r="O43">
        <v>2026</v>
      </c>
      <c r="P43">
        <v>2010</v>
      </c>
      <c r="Q43">
        <v>1</v>
      </c>
      <c r="R43">
        <v>45413900000</v>
      </c>
      <c r="X43">
        <v>2039</v>
      </c>
      <c r="Y43">
        <f>U462</f>
        <v>3.4501391474796743E-2</v>
      </c>
    </row>
    <row r="44" spans="1:25">
      <c r="O44">
        <v>2026</v>
      </c>
      <c r="P44">
        <v>2011</v>
      </c>
      <c r="Q44">
        <v>1</v>
      </c>
      <c r="R44">
        <v>56994300000</v>
      </c>
      <c r="X44">
        <v>2040</v>
      </c>
      <c r="Y44">
        <f>U493</f>
        <v>3.0124419623292407E-2</v>
      </c>
    </row>
    <row r="45" spans="1:25">
      <c r="A45" s="2"/>
      <c r="D45" t="s">
        <v>279</v>
      </c>
      <c r="O45">
        <v>2026</v>
      </c>
      <c r="P45">
        <v>2012</v>
      </c>
      <c r="Q45">
        <v>1</v>
      </c>
      <c r="R45">
        <v>73285900000</v>
      </c>
    </row>
    <row r="46" spans="1:25">
      <c r="A46" t="s">
        <v>0</v>
      </c>
      <c r="B46" t="s">
        <v>278</v>
      </c>
      <c r="D46" t="s">
        <v>2</v>
      </c>
      <c r="E46" t="s">
        <v>3</v>
      </c>
      <c r="F46" t="s">
        <v>24</v>
      </c>
      <c r="G46" t="s">
        <v>115</v>
      </c>
      <c r="O46">
        <v>2026</v>
      </c>
      <c r="P46">
        <v>2013</v>
      </c>
      <c r="Q46">
        <v>1</v>
      </c>
      <c r="R46">
        <v>91025400000</v>
      </c>
    </row>
    <row r="47" spans="1:25">
      <c r="A47">
        <v>2026</v>
      </c>
      <c r="B47" s="16"/>
      <c r="C47" s="16">
        <f>'CARB ZEV counts'!Q65</f>
        <v>9.7905184404352141E-3</v>
      </c>
      <c r="D47" s="16">
        <f t="shared" ref="D47:E61" si="14">C10/$C47</f>
        <v>0.72201712413026309</v>
      </c>
      <c r="E47" s="16">
        <f t="shared" si="14"/>
        <v>1.5833315788091056</v>
      </c>
      <c r="F47" s="16">
        <f t="shared" ref="F47:G61" si="15">F10/$C47</f>
        <v>0.5190187183010514</v>
      </c>
      <c r="G47" s="16">
        <f t="shared" si="15"/>
        <v>0.39110703583356254</v>
      </c>
      <c r="H47" s="16"/>
      <c r="I47" s="16"/>
      <c r="J47" s="16"/>
      <c r="K47" s="16"/>
      <c r="L47" s="16"/>
      <c r="O47">
        <v>2026</v>
      </c>
      <c r="P47">
        <v>2014</v>
      </c>
      <c r="Q47">
        <v>1</v>
      </c>
      <c r="R47">
        <v>122686000000</v>
      </c>
    </row>
    <row r="48" spans="1:25">
      <c r="A48">
        <v>2027</v>
      </c>
      <c r="B48" s="16"/>
      <c r="C48" s="16">
        <f>'CARB ZEV counts'!Q66</f>
        <v>2.410048860840569E-2</v>
      </c>
      <c r="D48" s="16">
        <f t="shared" si="14"/>
        <v>0.74784678678267957</v>
      </c>
      <c r="E48" s="16">
        <f t="shared" si="14"/>
        <v>1.6498641387437125</v>
      </c>
      <c r="F48" s="16">
        <f t="shared" si="15"/>
        <v>0.52330962243443524</v>
      </c>
      <c r="G48" s="16">
        <f t="shared" si="15"/>
        <v>0.43036168766339322</v>
      </c>
      <c r="H48" s="16"/>
      <c r="I48" s="16"/>
      <c r="J48" s="16"/>
      <c r="K48" s="16"/>
      <c r="L48" s="16"/>
      <c r="O48">
        <v>2026</v>
      </c>
      <c r="P48">
        <v>2015</v>
      </c>
      <c r="Q48">
        <v>1</v>
      </c>
      <c r="R48">
        <v>140891000000</v>
      </c>
    </row>
    <row r="49" spans="1:21">
      <c r="A49">
        <v>2028</v>
      </c>
      <c r="B49" s="16"/>
      <c r="C49" s="16">
        <f>'CARB ZEV counts'!Q67</f>
        <v>4.3096979039863592E-2</v>
      </c>
      <c r="D49" s="16">
        <f t="shared" si="14"/>
        <v>0.73900678190775615</v>
      </c>
      <c r="E49" s="16">
        <f t="shared" si="14"/>
        <v>1.6268641316545085</v>
      </c>
      <c r="F49" s="16">
        <f t="shared" si="15"/>
        <v>0.50458940938244667</v>
      </c>
      <c r="G49" s="16">
        <f t="shared" si="15"/>
        <v>0.44026438889917607</v>
      </c>
      <c r="H49" s="16"/>
      <c r="I49" s="16"/>
      <c r="J49" s="16"/>
      <c r="K49" s="16"/>
      <c r="L49" s="16"/>
      <c r="O49">
        <v>2026</v>
      </c>
      <c r="P49">
        <v>2016</v>
      </c>
      <c r="Q49">
        <v>1</v>
      </c>
      <c r="R49">
        <v>152958000000</v>
      </c>
    </row>
    <row r="50" spans="1:21">
      <c r="A50">
        <v>2029</v>
      </c>
      <c r="B50" s="16"/>
      <c r="C50" s="16">
        <f>'CARB ZEV counts'!Q68</f>
        <v>6.67485960347355E-2</v>
      </c>
      <c r="D50" s="16">
        <f t="shared" si="14"/>
        <v>0.75623496015849367</v>
      </c>
      <c r="E50" s="16">
        <f t="shared" si="14"/>
        <v>1.5894760381254844</v>
      </c>
      <c r="F50" s="16">
        <f t="shared" si="15"/>
        <v>0.48913982043648402</v>
      </c>
      <c r="G50" s="16">
        <f t="shared" si="15"/>
        <v>0.46528775807163614</v>
      </c>
      <c r="H50" s="16"/>
      <c r="I50" s="16"/>
      <c r="J50" s="16"/>
      <c r="K50" s="16"/>
      <c r="L50" s="16"/>
      <c r="O50">
        <v>2026</v>
      </c>
      <c r="P50">
        <v>2017</v>
      </c>
      <c r="Q50">
        <v>1</v>
      </c>
      <c r="R50">
        <v>161362000000</v>
      </c>
    </row>
    <row r="51" spans="1:21">
      <c r="A51">
        <v>2030</v>
      </c>
      <c r="B51" s="16"/>
      <c r="C51" s="16">
        <f>'CARB ZEV counts'!Q69</f>
        <v>9.5579175919431866E-2</v>
      </c>
      <c r="D51" s="16">
        <f t="shared" si="14"/>
        <v>0.76567363041020475</v>
      </c>
      <c r="E51" s="16">
        <f t="shared" si="14"/>
        <v>1.5477700203715297</v>
      </c>
      <c r="F51" s="16">
        <f t="shared" si="15"/>
        <v>0.47256005192100708</v>
      </c>
      <c r="G51" s="16">
        <f t="shared" si="15"/>
        <v>0.47500227628797997</v>
      </c>
      <c r="H51" s="16"/>
      <c r="I51" s="16"/>
      <c r="J51" s="16"/>
      <c r="K51" s="16"/>
      <c r="L51" s="16"/>
      <c r="O51">
        <v>2026</v>
      </c>
      <c r="P51">
        <v>2018</v>
      </c>
      <c r="Q51">
        <v>1</v>
      </c>
      <c r="R51">
        <v>160430000000</v>
      </c>
    </row>
    <row r="52" spans="1:21">
      <c r="A52">
        <v>2031</v>
      </c>
      <c r="B52" s="16"/>
      <c r="C52" s="16">
        <f>'CARB ZEV counts'!Q70</f>
        <v>0.12874877904701809</v>
      </c>
      <c r="D52" s="16">
        <f t="shared" si="14"/>
        <v>0.77891356574708193</v>
      </c>
      <c r="E52" s="16">
        <f t="shared" si="14"/>
        <v>1.5246973045840728</v>
      </c>
      <c r="F52" s="16">
        <f t="shared" si="15"/>
        <v>0.45871108147959977</v>
      </c>
      <c r="G52" s="16">
        <f t="shared" si="15"/>
        <v>0.48087636461329974</v>
      </c>
      <c r="H52" s="16"/>
      <c r="I52" s="16"/>
      <c r="J52" s="16"/>
      <c r="K52" s="16"/>
      <c r="L52" s="16"/>
      <c r="O52">
        <v>2026</v>
      </c>
      <c r="P52">
        <v>2019</v>
      </c>
      <c r="Q52">
        <v>1</v>
      </c>
      <c r="R52">
        <v>170830000000</v>
      </c>
    </row>
    <row r="53" spans="1:21">
      <c r="A53">
        <v>2032</v>
      </c>
      <c r="B53" s="16"/>
      <c r="C53" s="16">
        <f>'CARB ZEV counts'!Q71</f>
        <v>0.16465763424633659</v>
      </c>
      <c r="D53" s="16">
        <f t="shared" si="14"/>
        <v>0.79749557153318784</v>
      </c>
      <c r="E53" s="16">
        <f t="shared" si="14"/>
        <v>1.5080170590656972</v>
      </c>
      <c r="F53" s="16">
        <f t="shared" si="15"/>
        <v>0.44818138919174044</v>
      </c>
      <c r="G53" s="16">
        <f t="shared" si="15"/>
        <v>0.4843667389040397</v>
      </c>
      <c r="H53" s="16"/>
      <c r="I53" s="16"/>
      <c r="J53" s="16"/>
      <c r="K53" s="16"/>
      <c r="L53" s="16"/>
      <c r="O53">
        <v>2026</v>
      </c>
      <c r="P53">
        <v>2020</v>
      </c>
      <c r="Q53">
        <v>1</v>
      </c>
      <c r="R53">
        <v>179506000000</v>
      </c>
    </row>
    <row r="54" spans="1:21">
      <c r="A54">
        <v>2033</v>
      </c>
      <c r="B54" s="16"/>
      <c r="C54" s="16">
        <f>'CARB ZEV counts'!Q72</f>
        <v>0.20330207042378659</v>
      </c>
      <c r="D54" s="16">
        <f t="shared" si="14"/>
        <v>0.81407230409078302</v>
      </c>
      <c r="E54" s="16">
        <f t="shared" si="14"/>
        <v>1.4847020362747203</v>
      </c>
      <c r="F54" s="16">
        <f t="shared" si="15"/>
        <v>0.43792015172627652</v>
      </c>
      <c r="G54" s="16">
        <f t="shared" si="15"/>
        <v>0.48474821097772269</v>
      </c>
      <c r="H54" s="16"/>
      <c r="I54" s="16"/>
      <c r="J54" s="16"/>
      <c r="K54" s="16"/>
      <c r="L54" s="16"/>
      <c r="O54">
        <v>2026</v>
      </c>
      <c r="P54">
        <v>2021</v>
      </c>
      <c r="Q54">
        <v>1</v>
      </c>
      <c r="R54">
        <v>187633000000</v>
      </c>
    </row>
    <row r="55" spans="1:21">
      <c r="A55">
        <v>2034</v>
      </c>
      <c r="B55" s="16"/>
      <c r="C55" s="16">
        <f>'CARB ZEV counts'!Q73</f>
        <v>0.24452531371012765</v>
      </c>
      <c r="D55" s="16">
        <f t="shared" si="14"/>
        <v>0.83022837685170325</v>
      </c>
      <c r="E55" s="16">
        <f t="shared" si="14"/>
        <v>1.4704542853569982</v>
      </c>
      <c r="F55" s="16">
        <f t="shared" si="15"/>
        <v>0.42758993877179136</v>
      </c>
      <c r="G55" s="16">
        <f t="shared" si="15"/>
        <v>0.48669154954545557</v>
      </c>
      <c r="H55" s="16"/>
      <c r="I55" s="16"/>
      <c r="J55" s="16"/>
      <c r="K55" s="16"/>
      <c r="L55" s="16"/>
      <c r="O55">
        <v>2026</v>
      </c>
      <c r="P55">
        <v>2022</v>
      </c>
      <c r="Q55">
        <v>1</v>
      </c>
      <c r="R55">
        <v>191348000000</v>
      </c>
    </row>
    <row r="56" spans="1:21">
      <c r="A56">
        <v>2035</v>
      </c>
      <c r="B56" s="16"/>
      <c r="C56" s="16">
        <f>'CARB ZEV counts'!Q74</f>
        <v>0.28736786283405502</v>
      </c>
      <c r="D56" s="16">
        <f t="shared" si="14"/>
        <v>0.84753076219166124</v>
      </c>
      <c r="E56" s="16">
        <f t="shared" si="14"/>
        <v>1.4559214151113655</v>
      </c>
      <c r="F56" s="16">
        <f t="shared" si="15"/>
        <v>0.41877659884986346</v>
      </c>
      <c r="G56" s="16">
        <f t="shared" si="15"/>
        <v>0.48688470868893263</v>
      </c>
      <c r="H56" s="16"/>
      <c r="I56" s="16"/>
      <c r="J56" s="16"/>
      <c r="K56" s="16"/>
      <c r="L56" s="16"/>
      <c r="O56">
        <v>2026</v>
      </c>
      <c r="P56">
        <v>2023</v>
      </c>
      <c r="Q56">
        <v>1</v>
      </c>
      <c r="R56">
        <v>199005000000</v>
      </c>
    </row>
    <row r="57" spans="1:21">
      <c r="A57">
        <v>2036</v>
      </c>
      <c r="B57" s="16"/>
      <c r="C57" s="16">
        <f>'CARB ZEV counts'!Q75</f>
        <v>0.32855409334383223</v>
      </c>
      <c r="D57" s="16">
        <f t="shared" si="14"/>
        <v>0.86953379271829889</v>
      </c>
      <c r="E57" s="16">
        <f t="shared" si="14"/>
        <v>1.4387193474280144</v>
      </c>
      <c r="F57" s="16">
        <f t="shared" si="15"/>
        <v>0.41125922557753924</v>
      </c>
      <c r="G57" s="16">
        <f t="shared" si="15"/>
        <v>0.49297435538383899</v>
      </c>
      <c r="H57" s="16"/>
      <c r="I57" s="16"/>
      <c r="J57" s="16"/>
      <c r="K57" s="16"/>
      <c r="L57" s="16"/>
      <c r="O57">
        <v>2026</v>
      </c>
      <c r="P57">
        <v>2024</v>
      </c>
      <c r="Q57">
        <v>1</v>
      </c>
      <c r="R57">
        <v>205203000000</v>
      </c>
    </row>
    <row r="58" spans="1:21">
      <c r="A58">
        <v>2037</v>
      </c>
      <c r="B58" s="16"/>
      <c r="C58" s="16">
        <f>'CARB ZEV counts'!Q76</f>
        <v>0.36795868020093137</v>
      </c>
      <c r="D58" s="16">
        <f t="shared" si="14"/>
        <v>0.88907716529473757</v>
      </c>
      <c r="E58" s="16">
        <f t="shared" si="14"/>
        <v>1.4108511693648624</v>
      </c>
      <c r="F58" s="16">
        <f t="shared" si="15"/>
        <v>0.40161076727160089</v>
      </c>
      <c r="G58" s="16">
        <f t="shared" si="15"/>
        <v>0.49645285732008859</v>
      </c>
      <c r="H58" s="16"/>
      <c r="I58" s="16"/>
      <c r="J58" s="16"/>
      <c r="K58" s="16"/>
      <c r="L58" s="16"/>
      <c r="O58">
        <v>2026</v>
      </c>
      <c r="P58">
        <v>2025</v>
      </c>
      <c r="Q58">
        <v>1</v>
      </c>
      <c r="R58">
        <v>210577000000</v>
      </c>
    </row>
    <row r="59" spans="1:21">
      <c r="A59">
        <v>2038</v>
      </c>
      <c r="B59" s="16"/>
      <c r="C59" s="16">
        <f>'CARB ZEV counts'!Q77</f>
        <v>0.4055658587593895</v>
      </c>
      <c r="D59" s="16">
        <f t="shared" si="14"/>
        <v>0.90694882037731595</v>
      </c>
      <c r="E59" s="16">
        <f t="shared" si="14"/>
        <v>1.3781335422450882</v>
      </c>
      <c r="F59" s="16">
        <f t="shared" si="15"/>
        <v>0.3927554593609347</v>
      </c>
      <c r="G59" s="16">
        <f t="shared" si="15"/>
        <v>0.50372232616774792</v>
      </c>
      <c r="H59" s="16"/>
      <c r="I59" s="16"/>
      <c r="J59" s="16"/>
      <c r="K59" s="16"/>
      <c r="L59" s="16"/>
      <c r="O59">
        <v>2026</v>
      </c>
      <c r="P59">
        <v>2026</v>
      </c>
      <c r="Q59">
        <v>1</v>
      </c>
      <c r="R59">
        <v>216339000000</v>
      </c>
      <c r="S59">
        <f>SUM(R29:R59)</f>
        <v>2902343980000</v>
      </c>
      <c r="T59">
        <f>R59</f>
        <v>216339000000</v>
      </c>
      <c r="U59">
        <f>T59/S59</f>
        <v>7.453940728279905E-2</v>
      </c>
    </row>
    <row r="60" spans="1:21">
      <c r="A60">
        <v>2039</v>
      </c>
      <c r="B60" s="16"/>
      <c r="C60" s="16">
        <f>'CARB ZEV counts'!Q78</f>
        <v>0.44133226724831343</v>
      </c>
      <c r="D60" s="16">
        <f t="shared" si="14"/>
        <v>0.92362432712963416</v>
      </c>
      <c r="E60" s="16">
        <f t="shared" si="14"/>
        <v>1.3418914257425054</v>
      </c>
      <c r="F60" s="16">
        <f t="shared" si="15"/>
        <v>0.38227506210122186</v>
      </c>
      <c r="G60" s="16">
        <f t="shared" si="15"/>
        <v>0.51393933948279735</v>
      </c>
      <c r="H60" s="16"/>
      <c r="I60" s="16"/>
      <c r="J60" s="16"/>
      <c r="K60" s="16"/>
      <c r="L60" s="16"/>
      <c r="O60">
        <v>2027</v>
      </c>
      <c r="P60">
        <v>1997</v>
      </c>
      <c r="Q60">
        <v>1</v>
      </c>
      <c r="R60">
        <v>39543600000</v>
      </c>
    </row>
    <row r="61" spans="1:21">
      <c r="A61">
        <v>2040</v>
      </c>
      <c r="B61" s="16"/>
      <c r="C61" s="16">
        <f>'CARB ZEV counts'!Q79</f>
        <v>0.47511632305618995</v>
      </c>
      <c r="D61" s="16">
        <f t="shared" si="14"/>
        <v>0.93647098436692233</v>
      </c>
      <c r="E61" s="16">
        <f t="shared" si="14"/>
        <v>1.303373194548006</v>
      </c>
      <c r="F61" s="16">
        <f t="shared" si="15"/>
        <v>0.37160468486646786</v>
      </c>
      <c r="G61" s="16">
        <f t="shared" si="15"/>
        <v>0.52796726468458077</v>
      </c>
      <c r="H61" s="16"/>
      <c r="I61" s="16"/>
      <c r="J61" s="16"/>
      <c r="K61" s="16"/>
      <c r="L61" s="16"/>
      <c r="O61">
        <v>2027</v>
      </c>
      <c r="P61">
        <v>1998</v>
      </c>
      <c r="Q61">
        <v>1</v>
      </c>
      <c r="R61">
        <v>7335800000</v>
      </c>
    </row>
    <row r="62" spans="1:21">
      <c r="O62">
        <v>2027</v>
      </c>
      <c r="P62">
        <v>1999</v>
      </c>
      <c r="Q62">
        <v>1</v>
      </c>
      <c r="R62">
        <v>9563350000</v>
      </c>
    </row>
    <row r="63" spans="1:21">
      <c r="O63">
        <v>2027</v>
      </c>
      <c r="P63">
        <v>2000</v>
      </c>
      <c r="Q63">
        <v>1</v>
      </c>
      <c r="R63">
        <v>11698200000</v>
      </c>
    </row>
    <row r="64" spans="1:21">
      <c r="O64">
        <v>2027</v>
      </c>
      <c r="P64">
        <v>2001</v>
      </c>
      <c r="Q64">
        <v>1</v>
      </c>
      <c r="R64">
        <v>13000700000</v>
      </c>
    </row>
    <row r="65" spans="15:18">
      <c r="O65">
        <v>2027</v>
      </c>
      <c r="P65">
        <v>2002</v>
      </c>
      <c r="Q65">
        <v>1</v>
      </c>
      <c r="R65">
        <v>15976000000</v>
      </c>
    </row>
    <row r="66" spans="15:18">
      <c r="O66">
        <v>2027</v>
      </c>
      <c r="P66">
        <v>2003</v>
      </c>
      <c r="Q66">
        <v>1</v>
      </c>
      <c r="R66">
        <v>18486000000</v>
      </c>
    </row>
    <row r="67" spans="15:18">
      <c r="O67">
        <v>2027</v>
      </c>
      <c r="P67">
        <v>2004</v>
      </c>
      <c r="Q67">
        <v>1</v>
      </c>
      <c r="R67">
        <v>22044200000</v>
      </c>
    </row>
    <row r="68" spans="15:18">
      <c r="O68">
        <v>2027</v>
      </c>
      <c r="P68">
        <v>2005</v>
      </c>
      <c r="Q68">
        <v>1</v>
      </c>
      <c r="R68">
        <v>25388900000</v>
      </c>
    </row>
    <row r="69" spans="15:18">
      <c r="O69">
        <v>2027</v>
      </c>
      <c r="P69">
        <v>2006</v>
      </c>
      <c r="Q69">
        <v>1</v>
      </c>
      <c r="R69">
        <v>28149400000</v>
      </c>
    </row>
    <row r="70" spans="15:18">
      <c r="O70">
        <v>2027</v>
      </c>
      <c r="P70">
        <v>2007</v>
      </c>
      <c r="Q70">
        <v>1</v>
      </c>
      <c r="R70">
        <v>32926300000</v>
      </c>
    </row>
    <row r="71" spans="15:18">
      <c r="O71">
        <v>2027</v>
      </c>
      <c r="P71">
        <v>2008</v>
      </c>
      <c r="Q71">
        <v>1</v>
      </c>
      <c r="R71">
        <v>35240100000</v>
      </c>
    </row>
    <row r="72" spans="15:18">
      <c r="O72">
        <v>2027</v>
      </c>
      <c r="P72">
        <v>2009</v>
      </c>
      <c r="Q72">
        <v>1</v>
      </c>
      <c r="R72">
        <v>27613300000</v>
      </c>
    </row>
    <row r="73" spans="15:18">
      <c r="O73">
        <v>2027</v>
      </c>
      <c r="P73">
        <v>2010</v>
      </c>
      <c r="Q73">
        <v>1</v>
      </c>
      <c r="R73">
        <v>38654800000</v>
      </c>
    </row>
    <row r="74" spans="15:18">
      <c r="O74">
        <v>2027</v>
      </c>
      <c r="P74">
        <v>2011</v>
      </c>
      <c r="Q74">
        <v>1</v>
      </c>
      <c r="R74">
        <v>49010300000</v>
      </c>
    </row>
    <row r="75" spans="15:18">
      <c r="O75">
        <v>2027</v>
      </c>
      <c r="P75">
        <v>2012</v>
      </c>
      <c r="Q75">
        <v>1</v>
      </c>
      <c r="R75">
        <v>63449400000</v>
      </c>
    </row>
    <row r="76" spans="15:18">
      <c r="O76">
        <v>2027</v>
      </c>
      <c r="P76">
        <v>2013</v>
      </c>
      <c r="Q76">
        <v>1</v>
      </c>
      <c r="R76">
        <v>80125000000</v>
      </c>
    </row>
    <row r="77" spans="15:18">
      <c r="O77">
        <v>2027</v>
      </c>
      <c r="P77">
        <v>2014</v>
      </c>
      <c r="Q77">
        <v>1</v>
      </c>
      <c r="R77">
        <v>110948000000</v>
      </c>
    </row>
    <row r="78" spans="15:18">
      <c r="O78">
        <v>2027</v>
      </c>
      <c r="P78">
        <v>2015</v>
      </c>
      <c r="Q78">
        <v>1</v>
      </c>
      <c r="R78">
        <v>129672000000</v>
      </c>
    </row>
    <row r="79" spans="15:18">
      <c r="O79">
        <v>2027</v>
      </c>
      <c r="P79">
        <v>2016</v>
      </c>
      <c r="Q79">
        <v>1</v>
      </c>
      <c r="R79">
        <v>141515000000</v>
      </c>
    </row>
    <row r="80" spans="15:18">
      <c r="O80">
        <v>2027</v>
      </c>
      <c r="P80">
        <v>2017</v>
      </c>
      <c r="Q80">
        <v>1</v>
      </c>
      <c r="R80">
        <v>150124000000</v>
      </c>
    </row>
    <row r="81" spans="15:21">
      <c r="O81">
        <v>2027</v>
      </c>
      <c r="P81">
        <v>2018</v>
      </c>
      <c r="Q81">
        <v>1</v>
      </c>
      <c r="R81">
        <v>150558000000</v>
      </c>
    </row>
    <row r="82" spans="15:21">
      <c r="O82">
        <v>2027</v>
      </c>
      <c r="P82">
        <v>2019</v>
      </c>
      <c r="Q82">
        <v>1</v>
      </c>
      <c r="R82">
        <v>161384000000</v>
      </c>
    </row>
    <row r="83" spans="15:21">
      <c r="O83">
        <v>2027</v>
      </c>
      <c r="P83">
        <v>2020</v>
      </c>
      <c r="Q83">
        <v>1</v>
      </c>
      <c r="R83">
        <v>170719000000</v>
      </c>
    </row>
    <row r="84" spans="15:21">
      <c r="O84">
        <v>2027</v>
      </c>
      <c r="P84">
        <v>2021</v>
      </c>
      <c r="Q84">
        <v>1</v>
      </c>
      <c r="R84">
        <v>179595000000</v>
      </c>
    </row>
    <row r="85" spans="15:21">
      <c r="O85">
        <v>2027</v>
      </c>
      <c r="P85">
        <v>2022</v>
      </c>
      <c r="Q85">
        <v>1</v>
      </c>
      <c r="R85">
        <v>184270000000</v>
      </c>
    </row>
    <row r="86" spans="15:21">
      <c r="O86">
        <v>2027</v>
      </c>
      <c r="P86">
        <v>2023</v>
      </c>
      <c r="Q86">
        <v>1</v>
      </c>
      <c r="R86">
        <v>192753000000</v>
      </c>
    </row>
    <row r="87" spans="15:21">
      <c r="O87">
        <v>2027</v>
      </c>
      <c r="P87">
        <v>2024</v>
      </c>
      <c r="Q87">
        <v>1</v>
      </c>
      <c r="R87">
        <v>199974000000</v>
      </c>
    </row>
    <row r="88" spans="15:21">
      <c r="O88">
        <v>2027</v>
      </c>
      <c r="P88">
        <v>2025</v>
      </c>
      <c r="Q88">
        <v>1</v>
      </c>
      <c r="R88">
        <v>205704000000</v>
      </c>
    </row>
    <row r="89" spans="15:21">
      <c r="O89">
        <v>2027</v>
      </c>
      <c r="P89">
        <v>2026</v>
      </c>
      <c r="Q89">
        <v>1</v>
      </c>
      <c r="R89">
        <v>211863000000</v>
      </c>
    </row>
    <row r="90" spans="15:21">
      <c r="O90">
        <v>2027</v>
      </c>
      <c r="P90">
        <v>2027</v>
      </c>
      <c r="Q90">
        <v>1</v>
      </c>
      <c r="R90">
        <v>216508000000</v>
      </c>
      <c r="S90">
        <f>SUM(R60:R90)</f>
        <v>2923792350000</v>
      </c>
      <c r="T90">
        <f>R89</f>
        <v>211863000000</v>
      </c>
      <c r="U90">
        <f>T90/S90</f>
        <v>7.2461712268998862E-2</v>
      </c>
    </row>
    <row r="91" spans="15:21">
      <c r="O91">
        <v>2028</v>
      </c>
      <c r="P91">
        <v>1998</v>
      </c>
      <c r="Q91">
        <v>1</v>
      </c>
      <c r="R91">
        <v>39886000000</v>
      </c>
    </row>
    <row r="92" spans="15:21">
      <c r="O92">
        <v>2028</v>
      </c>
      <c r="P92">
        <v>1999</v>
      </c>
      <c r="Q92">
        <v>1</v>
      </c>
      <c r="R92">
        <v>8349210000</v>
      </c>
    </row>
    <row r="93" spans="15:21">
      <c r="O93">
        <v>2028</v>
      </c>
      <c r="P93">
        <v>2000</v>
      </c>
      <c r="Q93">
        <v>1</v>
      </c>
      <c r="R93">
        <v>10194200000</v>
      </c>
    </row>
    <row r="94" spans="15:21">
      <c r="O94">
        <v>2028</v>
      </c>
      <c r="P94">
        <v>2001</v>
      </c>
      <c r="Q94">
        <v>1</v>
      </c>
      <c r="R94">
        <v>11316200000</v>
      </c>
    </row>
    <row r="95" spans="15:21">
      <c r="O95">
        <v>2028</v>
      </c>
      <c r="P95">
        <v>2002</v>
      </c>
      <c r="Q95">
        <v>1</v>
      </c>
      <c r="R95">
        <v>13875100000</v>
      </c>
    </row>
    <row r="96" spans="15:21">
      <c r="O96">
        <v>2028</v>
      </c>
      <c r="P96">
        <v>2003</v>
      </c>
      <c r="Q96">
        <v>1</v>
      </c>
      <c r="R96">
        <v>15917700000</v>
      </c>
    </row>
    <row r="97" spans="15:18">
      <c r="O97">
        <v>2028</v>
      </c>
      <c r="P97">
        <v>2004</v>
      </c>
      <c r="Q97">
        <v>1</v>
      </c>
      <c r="R97">
        <v>18877600000</v>
      </c>
    </row>
    <row r="98" spans="15:18">
      <c r="O98">
        <v>2028</v>
      </c>
      <c r="P98">
        <v>2005</v>
      </c>
      <c r="Q98">
        <v>1</v>
      </c>
      <c r="R98">
        <v>21601700000</v>
      </c>
    </row>
    <row r="99" spans="15:18">
      <c r="O99">
        <v>2028</v>
      </c>
      <c r="P99">
        <v>2006</v>
      </c>
      <c r="Q99">
        <v>1</v>
      </c>
      <c r="R99">
        <v>23826500000</v>
      </c>
    </row>
    <row r="100" spans="15:18">
      <c r="O100">
        <v>2028</v>
      </c>
      <c r="P100">
        <v>2007</v>
      </c>
      <c r="Q100">
        <v>1</v>
      </c>
      <c r="R100">
        <v>27782300000</v>
      </c>
    </row>
    <row r="101" spans="15:18">
      <c r="O101">
        <v>2028</v>
      </c>
      <c r="P101">
        <v>2008</v>
      </c>
      <c r="Q101">
        <v>1</v>
      </c>
      <c r="R101">
        <v>29728200000</v>
      </c>
    </row>
    <row r="102" spans="15:18">
      <c r="O102">
        <v>2028</v>
      </c>
      <c r="P102">
        <v>2009</v>
      </c>
      <c r="Q102">
        <v>1</v>
      </c>
      <c r="R102">
        <v>23228900000</v>
      </c>
    </row>
    <row r="103" spans="15:18">
      <c r="O103">
        <v>2028</v>
      </c>
      <c r="P103">
        <v>2010</v>
      </c>
      <c r="Q103">
        <v>1</v>
      </c>
      <c r="R103">
        <v>32708800000</v>
      </c>
    </row>
    <row r="104" spans="15:18">
      <c r="O104">
        <v>2028</v>
      </c>
      <c r="P104">
        <v>2011</v>
      </c>
      <c r="Q104">
        <v>1</v>
      </c>
      <c r="R104">
        <v>41821600000</v>
      </c>
    </row>
    <row r="105" spans="15:18">
      <c r="O105">
        <v>2028</v>
      </c>
      <c r="P105">
        <v>2012</v>
      </c>
      <c r="Q105">
        <v>1</v>
      </c>
      <c r="R105">
        <v>54360300000</v>
      </c>
    </row>
    <row r="106" spans="15:18">
      <c r="O106">
        <v>2028</v>
      </c>
      <c r="P106">
        <v>2013</v>
      </c>
      <c r="Q106">
        <v>1</v>
      </c>
      <c r="R106">
        <v>69343300000</v>
      </c>
    </row>
    <row r="107" spans="15:18">
      <c r="O107">
        <v>2028</v>
      </c>
      <c r="P107">
        <v>2014</v>
      </c>
      <c r="Q107">
        <v>1</v>
      </c>
      <c r="R107">
        <v>97900400000</v>
      </c>
    </row>
    <row r="108" spans="15:18">
      <c r="O108">
        <v>2028</v>
      </c>
      <c r="P108">
        <v>2015</v>
      </c>
      <c r="Q108">
        <v>1</v>
      </c>
      <c r="R108">
        <v>117287000000</v>
      </c>
    </row>
    <row r="109" spans="15:18">
      <c r="O109">
        <v>2028</v>
      </c>
      <c r="P109">
        <v>2016</v>
      </c>
      <c r="Q109">
        <v>1</v>
      </c>
      <c r="R109">
        <v>130162000000</v>
      </c>
    </row>
    <row r="110" spans="15:18">
      <c r="O110">
        <v>2028</v>
      </c>
      <c r="P110">
        <v>2017</v>
      </c>
      <c r="Q110">
        <v>1</v>
      </c>
      <c r="R110">
        <v>138820000000</v>
      </c>
    </row>
    <row r="111" spans="15:18">
      <c r="O111">
        <v>2028</v>
      </c>
      <c r="P111">
        <v>2018</v>
      </c>
      <c r="Q111">
        <v>1</v>
      </c>
      <c r="R111">
        <v>140419000000</v>
      </c>
    </row>
    <row r="112" spans="15:18">
      <c r="O112">
        <v>2028</v>
      </c>
      <c r="P112">
        <v>2019</v>
      </c>
      <c r="Q112">
        <v>1</v>
      </c>
      <c r="R112">
        <v>151522000000</v>
      </c>
    </row>
    <row r="113" spans="15:21">
      <c r="O113">
        <v>2028</v>
      </c>
      <c r="P113">
        <v>2020</v>
      </c>
      <c r="Q113">
        <v>1</v>
      </c>
      <c r="R113">
        <v>161378000000</v>
      </c>
    </row>
    <row r="114" spans="15:21">
      <c r="O114">
        <v>2028</v>
      </c>
      <c r="P114">
        <v>2021</v>
      </c>
      <c r="Q114">
        <v>1</v>
      </c>
      <c r="R114">
        <v>170909000000</v>
      </c>
    </row>
    <row r="115" spans="15:21">
      <c r="O115">
        <v>2028</v>
      </c>
      <c r="P115">
        <v>2022</v>
      </c>
      <c r="Q115">
        <v>1</v>
      </c>
      <c r="R115">
        <v>176498000000</v>
      </c>
    </row>
    <row r="116" spans="15:21">
      <c r="O116">
        <v>2028</v>
      </c>
      <c r="P116">
        <v>2023</v>
      </c>
      <c r="Q116">
        <v>1</v>
      </c>
      <c r="R116">
        <v>185762000000</v>
      </c>
    </row>
    <row r="117" spans="15:21">
      <c r="O117">
        <v>2028</v>
      </c>
      <c r="P117">
        <v>2024</v>
      </c>
      <c r="Q117">
        <v>1</v>
      </c>
      <c r="R117">
        <v>193840000000</v>
      </c>
    </row>
    <row r="118" spans="15:21">
      <c r="O118">
        <v>2028</v>
      </c>
      <c r="P118">
        <v>2025</v>
      </c>
      <c r="Q118">
        <v>1</v>
      </c>
      <c r="R118">
        <v>200619000000</v>
      </c>
    </row>
    <row r="119" spans="15:21">
      <c r="O119">
        <v>2028</v>
      </c>
      <c r="P119">
        <v>2026</v>
      </c>
      <c r="Q119">
        <v>1</v>
      </c>
      <c r="R119">
        <v>207121000000</v>
      </c>
    </row>
    <row r="120" spans="15:21">
      <c r="O120">
        <v>2028</v>
      </c>
      <c r="P120">
        <v>2027</v>
      </c>
      <c r="Q120">
        <v>1</v>
      </c>
      <c r="R120">
        <v>212191000000</v>
      </c>
    </row>
    <row r="121" spans="15:21">
      <c r="O121">
        <v>2028</v>
      </c>
      <c r="P121">
        <v>2028</v>
      </c>
      <c r="Q121">
        <v>1</v>
      </c>
      <c r="R121">
        <v>217843000000</v>
      </c>
      <c r="S121">
        <f>SUM(R91:R121)</f>
        <v>2945089010000</v>
      </c>
      <c r="T121">
        <f>R119</f>
        <v>207121000000</v>
      </c>
      <c r="U121">
        <f>T121/S121</f>
        <v>7.03275857866177E-2</v>
      </c>
    </row>
    <row r="122" spans="15:21">
      <c r="O122">
        <v>2029</v>
      </c>
      <c r="P122">
        <v>1999</v>
      </c>
      <c r="Q122">
        <v>1</v>
      </c>
      <c r="R122">
        <v>40158800000</v>
      </c>
    </row>
    <row r="123" spans="15:21">
      <c r="O123">
        <v>2029</v>
      </c>
      <c r="P123">
        <v>2000</v>
      </c>
      <c r="Q123">
        <v>1</v>
      </c>
      <c r="R123">
        <v>8892150000</v>
      </c>
    </row>
    <row r="124" spans="15:21">
      <c r="O124">
        <v>2029</v>
      </c>
      <c r="P124">
        <v>2001</v>
      </c>
      <c r="Q124">
        <v>1</v>
      </c>
      <c r="R124">
        <v>9867760000</v>
      </c>
    </row>
    <row r="125" spans="15:21">
      <c r="O125">
        <v>2029</v>
      </c>
      <c r="P125">
        <v>2002</v>
      </c>
      <c r="Q125">
        <v>1</v>
      </c>
      <c r="R125">
        <v>12080500000</v>
      </c>
    </row>
    <row r="126" spans="15:21">
      <c r="O126">
        <v>2029</v>
      </c>
      <c r="P126">
        <v>2003</v>
      </c>
      <c r="Q126">
        <v>1</v>
      </c>
      <c r="R126">
        <v>13808100000</v>
      </c>
    </row>
    <row r="127" spans="15:21">
      <c r="O127">
        <v>2029</v>
      </c>
      <c r="P127">
        <v>2004</v>
      </c>
      <c r="Q127">
        <v>1</v>
      </c>
      <c r="R127">
        <v>16268800000</v>
      </c>
    </row>
    <row r="128" spans="15:21">
      <c r="O128">
        <v>2029</v>
      </c>
      <c r="P128">
        <v>2005</v>
      </c>
      <c r="Q128">
        <v>1</v>
      </c>
      <c r="R128">
        <v>18448900000</v>
      </c>
    </row>
    <row r="129" spans="15:18">
      <c r="O129">
        <v>2029</v>
      </c>
      <c r="P129">
        <v>2006</v>
      </c>
      <c r="Q129">
        <v>1</v>
      </c>
      <c r="R129">
        <v>20225300000</v>
      </c>
    </row>
    <row r="130" spans="15:18">
      <c r="O130">
        <v>2029</v>
      </c>
      <c r="P130">
        <v>2007</v>
      </c>
      <c r="Q130">
        <v>1</v>
      </c>
      <c r="R130">
        <v>23457600000</v>
      </c>
    </row>
    <row r="131" spans="15:18">
      <c r="O131">
        <v>2029</v>
      </c>
      <c r="P131">
        <v>2008</v>
      </c>
      <c r="Q131">
        <v>1</v>
      </c>
      <c r="R131">
        <v>25064100000</v>
      </c>
    </row>
    <row r="132" spans="15:18">
      <c r="O132">
        <v>2029</v>
      </c>
      <c r="P132">
        <v>2009</v>
      </c>
      <c r="Q132">
        <v>1</v>
      </c>
      <c r="R132">
        <v>19473500000</v>
      </c>
    </row>
    <row r="133" spans="15:18">
      <c r="O133">
        <v>2029</v>
      </c>
      <c r="P133">
        <v>2010</v>
      </c>
      <c r="Q133">
        <v>1</v>
      </c>
      <c r="R133">
        <v>27550700000</v>
      </c>
    </row>
    <row r="134" spans="15:18">
      <c r="O134">
        <v>2029</v>
      </c>
      <c r="P134">
        <v>2011</v>
      </c>
      <c r="Q134">
        <v>1</v>
      </c>
      <c r="R134">
        <v>35463900000</v>
      </c>
    </row>
    <row r="135" spans="15:18">
      <c r="O135">
        <v>2029</v>
      </c>
      <c r="P135">
        <v>2012</v>
      </c>
      <c r="Q135">
        <v>1</v>
      </c>
      <c r="R135">
        <v>46140700000</v>
      </c>
    </row>
    <row r="136" spans="15:18">
      <c r="O136">
        <v>2029</v>
      </c>
      <c r="P136">
        <v>2013</v>
      </c>
      <c r="Q136">
        <v>1</v>
      </c>
      <c r="R136">
        <v>59311900000</v>
      </c>
    </row>
    <row r="137" spans="15:18">
      <c r="O137">
        <v>2029</v>
      </c>
      <c r="P137">
        <v>2014</v>
      </c>
      <c r="Q137">
        <v>1</v>
      </c>
      <c r="R137">
        <v>84849300000</v>
      </c>
    </row>
    <row r="138" spans="15:18">
      <c r="O138">
        <v>2029</v>
      </c>
      <c r="P138">
        <v>2015</v>
      </c>
      <c r="Q138">
        <v>1</v>
      </c>
      <c r="R138">
        <v>103525000000</v>
      </c>
    </row>
    <row r="139" spans="15:18">
      <c r="O139">
        <v>2029</v>
      </c>
      <c r="P139">
        <v>2016</v>
      </c>
      <c r="Q139">
        <v>1</v>
      </c>
      <c r="R139">
        <v>117639000000</v>
      </c>
    </row>
    <row r="140" spans="15:18">
      <c r="O140">
        <v>2029</v>
      </c>
      <c r="P140">
        <v>2017</v>
      </c>
      <c r="Q140">
        <v>1</v>
      </c>
      <c r="R140">
        <v>127486000000</v>
      </c>
    </row>
    <row r="141" spans="15:18">
      <c r="O141">
        <v>2029</v>
      </c>
      <c r="P141">
        <v>2018</v>
      </c>
      <c r="Q141">
        <v>1</v>
      </c>
      <c r="R141">
        <v>130047000000</v>
      </c>
    </row>
    <row r="142" spans="15:18">
      <c r="O142">
        <v>2029</v>
      </c>
      <c r="P142">
        <v>2019</v>
      </c>
      <c r="Q142">
        <v>1</v>
      </c>
      <c r="R142">
        <v>141214000000</v>
      </c>
    </row>
    <row r="143" spans="15:18">
      <c r="O143">
        <v>2029</v>
      </c>
      <c r="P143">
        <v>2020</v>
      </c>
      <c r="Q143">
        <v>1</v>
      </c>
      <c r="R143">
        <v>151423000000</v>
      </c>
    </row>
    <row r="144" spans="15:18">
      <c r="O144">
        <v>2029</v>
      </c>
      <c r="P144">
        <v>2021</v>
      </c>
      <c r="Q144">
        <v>1</v>
      </c>
      <c r="R144">
        <v>161451000000</v>
      </c>
    </row>
    <row r="145" spans="15:21">
      <c r="O145">
        <v>2029</v>
      </c>
      <c r="P145">
        <v>2022</v>
      </c>
      <c r="Q145">
        <v>1</v>
      </c>
      <c r="R145">
        <v>167858000000</v>
      </c>
    </row>
    <row r="146" spans="15:21">
      <c r="O146">
        <v>2029</v>
      </c>
      <c r="P146">
        <v>2023</v>
      </c>
      <c r="Q146">
        <v>1</v>
      </c>
      <c r="R146">
        <v>177820000000</v>
      </c>
    </row>
    <row r="147" spans="15:21">
      <c r="O147">
        <v>2029</v>
      </c>
      <c r="P147">
        <v>2024</v>
      </c>
      <c r="Q147">
        <v>1</v>
      </c>
      <c r="R147">
        <v>186694000000</v>
      </c>
    </row>
    <row r="148" spans="15:21">
      <c r="O148">
        <v>2029</v>
      </c>
      <c r="P148">
        <v>2025</v>
      </c>
      <c r="Q148">
        <v>1</v>
      </c>
      <c r="R148">
        <v>194339000000</v>
      </c>
    </row>
    <row r="149" spans="15:21">
      <c r="O149">
        <v>2029</v>
      </c>
      <c r="P149">
        <v>2026</v>
      </c>
      <c r="Q149">
        <v>1</v>
      </c>
      <c r="R149">
        <v>201862000000</v>
      </c>
    </row>
    <row r="150" spans="15:21">
      <c r="O150">
        <v>2029</v>
      </c>
      <c r="P150">
        <v>2027</v>
      </c>
      <c r="Q150">
        <v>1</v>
      </c>
      <c r="R150">
        <v>207298000000</v>
      </c>
    </row>
    <row r="151" spans="15:21">
      <c r="O151">
        <v>2029</v>
      </c>
      <c r="P151">
        <v>2028</v>
      </c>
      <c r="Q151">
        <v>1</v>
      </c>
      <c r="R151">
        <v>213348000000</v>
      </c>
    </row>
    <row r="152" spans="15:21">
      <c r="O152">
        <v>2029</v>
      </c>
      <c r="P152">
        <v>2029</v>
      </c>
      <c r="Q152">
        <v>1</v>
      </c>
      <c r="R152">
        <v>218480000000</v>
      </c>
      <c r="S152">
        <f>SUM(R122:R152)</f>
        <v>2961546010000</v>
      </c>
      <c r="T152">
        <f>R149</f>
        <v>201862000000</v>
      </c>
      <c r="U152">
        <f>T152/S152</f>
        <v>6.8161021074259795E-2</v>
      </c>
    </row>
    <row r="153" spans="15:21">
      <c r="O153">
        <v>2030</v>
      </c>
      <c r="P153">
        <v>2000</v>
      </c>
      <c r="Q153">
        <v>1</v>
      </c>
      <c r="R153">
        <v>40424900000</v>
      </c>
    </row>
    <row r="154" spans="15:21">
      <c r="O154">
        <v>2030</v>
      </c>
      <c r="P154">
        <v>2001</v>
      </c>
      <c r="Q154">
        <v>1</v>
      </c>
      <c r="R154">
        <v>8600540000</v>
      </c>
    </row>
    <row r="155" spans="15:21">
      <c r="O155">
        <v>2030</v>
      </c>
      <c r="P155">
        <v>2002</v>
      </c>
      <c r="Q155">
        <v>1</v>
      </c>
      <c r="R155">
        <v>10522900000</v>
      </c>
    </row>
    <row r="156" spans="15:21">
      <c r="O156">
        <v>2030</v>
      </c>
      <c r="P156">
        <v>2003</v>
      </c>
      <c r="Q156">
        <v>1</v>
      </c>
      <c r="R156">
        <v>11994000000</v>
      </c>
    </row>
    <row r="157" spans="15:21">
      <c r="O157">
        <v>2030</v>
      </c>
      <c r="P157">
        <v>2004</v>
      </c>
      <c r="Q157">
        <v>1</v>
      </c>
      <c r="R157">
        <v>14109600000</v>
      </c>
    </row>
    <row r="158" spans="15:21">
      <c r="O158">
        <v>2030</v>
      </c>
      <c r="P158">
        <v>2005</v>
      </c>
      <c r="Q158">
        <v>1</v>
      </c>
      <c r="R158">
        <v>15839400000</v>
      </c>
    </row>
    <row r="159" spans="15:21">
      <c r="O159">
        <v>2030</v>
      </c>
      <c r="P159">
        <v>2006</v>
      </c>
      <c r="Q159">
        <v>1</v>
      </c>
      <c r="R159">
        <v>17217400000</v>
      </c>
    </row>
    <row r="160" spans="15:21">
      <c r="O160">
        <v>2030</v>
      </c>
      <c r="P160">
        <v>2007</v>
      </c>
      <c r="Q160">
        <v>1</v>
      </c>
      <c r="R160">
        <v>19847000000</v>
      </c>
    </row>
    <row r="161" spans="15:18">
      <c r="O161">
        <v>2030</v>
      </c>
      <c r="P161">
        <v>2008</v>
      </c>
      <c r="Q161">
        <v>1</v>
      </c>
      <c r="R161">
        <v>21134800000</v>
      </c>
    </row>
    <row r="162" spans="15:18">
      <c r="O162">
        <v>2030</v>
      </c>
      <c r="P162">
        <v>2009</v>
      </c>
      <c r="Q162">
        <v>1</v>
      </c>
      <c r="R162">
        <v>16304100000</v>
      </c>
    </row>
    <row r="163" spans="15:18">
      <c r="O163">
        <v>2030</v>
      </c>
      <c r="P163">
        <v>2010</v>
      </c>
      <c r="Q163">
        <v>1</v>
      </c>
      <c r="R163">
        <v>23127900000</v>
      </c>
    </row>
    <row r="164" spans="15:18">
      <c r="O164">
        <v>2030</v>
      </c>
      <c r="P164">
        <v>2011</v>
      </c>
      <c r="Q164">
        <v>1</v>
      </c>
      <c r="R164">
        <v>29938800000</v>
      </c>
    </row>
    <row r="165" spans="15:18">
      <c r="O165">
        <v>2030</v>
      </c>
      <c r="P165">
        <v>2012</v>
      </c>
      <c r="Q165">
        <v>1</v>
      </c>
      <c r="R165">
        <v>38892000000</v>
      </c>
    </row>
    <row r="166" spans="15:18">
      <c r="O166">
        <v>2030</v>
      </c>
      <c r="P166">
        <v>2013</v>
      </c>
      <c r="Q166">
        <v>1</v>
      </c>
      <c r="R166">
        <v>50263400000</v>
      </c>
    </row>
    <row r="167" spans="15:18">
      <c r="O167">
        <v>2030</v>
      </c>
      <c r="P167">
        <v>2014</v>
      </c>
      <c r="Q167">
        <v>1</v>
      </c>
      <c r="R167">
        <v>72747200000</v>
      </c>
    </row>
    <row r="168" spans="15:18">
      <c r="O168">
        <v>2030</v>
      </c>
      <c r="P168">
        <v>2015</v>
      </c>
      <c r="Q168">
        <v>1</v>
      </c>
      <c r="R168">
        <v>89771900000</v>
      </c>
    </row>
    <row r="169" spans="15:18">
      <c r="O169">
        <v>2030</v>
      </c>
      <c r="P169">
        <v>2016</v>
      </c>
      <c r="Q169">
        <v>1</v>
      </c>
      <c r="R169">
        <v>103926000000</v>
      </c>
    </row>
    <row r="170" spans="15:18">
      <c r="O170">
        <v>2030</v>
      </c>
      <c r="P170">
        <v>2017</v>
      </c>
      <c r="Q170">
        <v>1</v>
      </c>
      <c r="R170">
        <v>115185000000</v>
      </c>
    </row>
    <row r="171" spans="15:18">
      <c r="O171">
        <v>2030</v>
      </c>
      <c r="P171">
        <v>2018</v>
      </c>
      <c r="Q171">
        <v>1</v>
      </c>
      <c r="R171">
        <v>119687000000</v>
      </c>
    </row>
    <row r="172" spans="15:18">
      <c r="O172">
        <v>2030</v>
      </c>
      <c r="P172">
        <v>2019</v>
      </c>
      <c r="Q172">
        <v>1</v>
      </c>
      <c r="R172">
        <v>130772000000</v>
      </c>
    </row>
    <row r="173" spans="15:18">
      <c r="O173">
        <v>2030</v>
      </c>
      <c r="P173">
        <v>2020</v>
      </c>
      <c r="Q173">
        <v>1</v>
      </c>
      <c r="R173">
        <v>141138000000</v>
      </c>
    </row>
    <row r="174" spans="15:18">
      <c r="O174">
        <v>2030</v>
      </c>
      <c r="P174">
        <v>2021</v>
      </c>
      <c r="Q174">
        <v>1</v>
      </c>
      <c r="R174">
        <v>151514000000</v>
      </c>
    </row>
    <row r="175" spans="15:18">
      <c r="O175">
        <v>2030</v>
      </c>
      <c r="P175">
        <v>2022</v>
      </c>
      <c r="Q175">
        <v>1</v>
      </c>
      <c r="R175">
        <v>158612000000</v>
      </c>
    </row>
    <row r="176" spans="15:18">
      <c r="O176">
        <v>2030</v>
      </c>
      <c r="P176">
        <v>2023</v>
      </c>
      <c r="Q176">
        <v>1</v>
      </c>
      <c r="R176">
        <v>169182000000</v>
      </c>
    </row>
    <row r="177" spans="15:21">
      <c r="O177">
        <v>2030</v>
      </c>
      <c r="P177">
        <v>2024</v>
      </c>
      <c r="Q177">
        <v>1</v>
      </c>
      <c r="R177">
        <v>178795000000</v>
      </c>
    </row>
    <row r="178" spans="15:21">
      <c r="O178">
        <v>2030</v>
      </c>
      <c r="P178">
        <v>2025</v>
      </c>
      <c r="Q178">
        <v>1</v>
      </c>
      <c r="R178">
        <v>187268000000</v>
      </c>
    </row>
    <row r="179" spans="15:21">
      <c r="O179">
        <v>2030</v>
      </c>
      <c r="P179">
        <v>2026</v>
      </c>
      <c r="Q179">
        <v>1</v>
      </c>
      <c r="R179">
        <v>195647000000</v>
      </c>
    </row>
    <row r="180" spans="15:21">
      <c r="O180">
        <v>2030</v>
      </c>
      <c r="P180">
        <v>2027</v>
      </c>
      <c r="Q180">
        <v>1</v>
      </c>
      <c r="R180">
        <v>202153000000</v>
      </c>
    </row>
    <row r="181" spans="15:21">
      <c r="O181">
        <v>2030</v>
      </c>
      <c r="P181">
        <v>2028</v>
      </c>
      <c r="Q181">
        <v>1</v>
      </c>
      <c r="R181">
        <v>208549000000</v>
      </c>
    </row>
    <row r="182" spans="15:21">
      <c r="O182">
        <v>2030</v>
      </c>
      <c r="P182">
        <v>2029</v>
      </c>
      <c r="Q182">
        <v>1</v>
      </c>
      <c r="R182">
        <v>214095000000</v>
      </c>
    </row>
    <row r="183" spans="15:21">
      <c r="O183">
        <v>2030</v>
      </c>
      <c r="P183">
        <v>2030</v>
      </c>
      <c r="Q183">
        <v>1</v>
      </c>
      <c r="R183">
        <v>220881000000</v>
      </c>
      <c r="S183">
        <f>SUM(R153:R183)</f>
        <v>2978139840000</v>
      </c>
      <c r="T183">
        <f>R179</f>
        <v>195647000000</v>
      </c>
      <c r="U183">
        <f>T183/S183</f>
        <v>6.5694363096126474E-2</v>
      </c>
    </row>
    <row r="184" spans="15:21">
      <c r="O184">
        <v>2031</v>
      </c>
      <c r="P184">
        <v>2001</v>
      </c>
      <c r="Q184">
        <v>1</v>
      </c>
      <c r="R184">
        <v>40681100000</v>
      </c>
    </row>
    <row r="185" spans="15:21">
      <c r="O185">
        <v>2031</v>
      </c>
      <c r="P185">
        <v>2002</v>
      </c>
      <c r="Q185">
        <v>1</v>
      </c>
      <c r="R185">
        <v>9185510000</v>
      </c>
    </row>
    <row r="186" spans="15:21">
      <c r="O186">
        <v>2031</v>
      </c>
      <c r="P186">
        <v>2003</v>
      </c>
      <c r="Q186">
        <v>1</v>
      </c>
      <c r="R186">
        <v>10449800000</v>
      </c>
    </row>
    <row r="187" spans="15:21">
      <c r="O187">
        <v>2031</v>
      </c>
      <c r="P187">
        <v>2004</v>
      </c>
      <c r="Q187">
        <v>1</v>
      </c>
      <c r="R187">
        <v>12281800000</v>
      </c>
    </row>
    <row r="188" spans="15:21">
      <c r="O188">
        <v>2031</v>
      </c>
      <c r="P188">
        <v>2005</v>
      </c>
      <c r="Q188">
        <v>1</v>
      </c>
      <c r="R188">
        <v>13713800000</v>
      </c>
    </row>
    <row r="189" spans="15:21">
      <c r="O189">
        <v>2031</v>
      </c>
      <c r="P189">
        <v>2006</v>
      </c>
      <c r="Q189">
        <v>1</v>
      </c>
      <c r="R189">
        <v>14761800000</v>
      </c>
    </row>
    <row r="190" spans="15:21">
      <c r="O190">
        <v>2031</v>
      </c>
      <c r="P190">
        <v>2007</v>
      </c>
      <c r="Q190">
        <v>1</v>
      </c>
      <c r="R190">
        <v>16866000000</v>
      </c>
    </row>
    <row r="191" spans="15:21">
      <c r="O191">
        <v>2031</v>
      </c>
      <c r="P191">
        <v>2008</v>
      </c>
      <c r="Q191">
        <v>1</v>
      </c>
      <c r="R191">
        <v>17883400000</v>
      </c>
    </row>
    <row r="192" spans="15:21">
      <c r="O192">
        <v>2031</v>
      </c>
      <c r="P192">
        <v>2009</v>
      </c>
      <c r="Q192">
        <v>1</v>
      </c>
      <c r="R192">
        <v>13660500000</v>
      </c>
    </row>
    <row r="193" spans="15:18">
      <c r="O193">
        <v>2031</v>
      </c>
      <c r="P193">
        <v>2010</v>
      </c>
      <c r="Q193">
        <v>1</v>
      </c>
      <c r="R193">
        <v>19409300000</v>
      </c>
    </row>
    <row r="194" spans="15:18">
      <c r="O194">
        <v>2031</v>
      </c>
      <c r="P194">
        <v>2011</v>
      </c>
      <c r="Q194">
        <v>1</v>
      </c>
      <c r="R194">
        <v>25218100000</v>
      </c>
    </row>
    <row r="195" spans="15:18">
      <c r="O195">
        <v>2031</v>
      </c>
      <c r="P195">
        <v>2012</v>
      </c>
      <c r="Q195">
        <v>1</v>
      </c>
      <c r="R195">
        <v>32634000000</v>
      </c>
    </row>
    <row r="196" spans="15:18">
      <c r="O196">
        <v>2031</v>
      </c>
      <c r="P196">
        <v>2013</v>
      </c>
      <c r="Q196">
        <v>1</v>
      </c>
      <c r="R196">
        <v>42300600000</v>
      </c>
    </row>
    <row r="197" spans="15:18">
      <c r="O197">
        <v>2031</v>
      </c>
      <c r="P197">
        <v>2014</v>
      </c>
      <c r="Q197">
        <v>1</v>
      </c>
      <c r="R197">
        <v>61840600000</v>
      </c>
    </row>
    <row r="198" spans="15:18">
      <c r="O198">
        <v>2031</v>
      </c>
      <c r="P198">
        <v>2015</v>
      </c>
      <c r="Q198">
        <v>1</v>
      </c>
      <c r="R198">
        <v>77045900000</v>
      </c>
    </row>
    <row r="199" spans="15:18">
      <c r="O199">
        <v>2031</v>
      </c>
      <c r="P199">
        <v>2016</v>
      </c>
      <c r="Q199">
        <v>1</v>
      </c>
      <c r="R199">
        <v>90200300000</v>
      </c>
    </row>
    <row r="200" spans="15:18">
      <c r="O200">
        <v>2031</v>
      </c>
      <c r="P200">
        <v>2017</v>
      </c>
      <c r="Q200">
        <v>1</v>
      </c>
      <c r="R200">
        <v>101832000000</v>
      </c>
    </row>
    <row r="201" spans="15:18">
      <c r="O201">
        <v>2031</v>
      </c>
      <c r="P201">
        <v>2018</v>
      </c>
      <c r="Q201">
        <v>1</v>
      </c>
      <c r="R201">
        <v>108044000000</v>
      </c>
    </row>
    <row r="202" spans="15:18">
      <c r="O202">
        <v>2031</v>
      </c>
      <c r="P202">
        <v>2019</v>
      </c>
      <c r="Q202">
        <v>1</v>
      </c>
      <c r="R202">
        <v>120238000000</v>
      </c>
    </row>
    <row r="203" spans="15:18">
      <c r="O203">
        <v>2031</v>
      </c>
      <c r="P203">
        <v>2020</v>
      </c>
      <c r="Q203">
        <v>1</v>
      </c>
      <c r="R203">
        <v>130588000000</v>
      </c>
    </row>
    <row r="204" spans="15:18">
      <c r="O204">
        <v>2031</v>
      </c>
      <c r="P204">
        <v>2021</v>
      </c>
      <c r="Q204">
        <v>1</v>
      </c>
      <c r="R204">
        <v>141084000000</v>
      </c>
    </row>
    <row r="205" spans="15:18">
      <c r="O205">
        <v>2031</v>
      </c>
      <c r="P205">
        <v>2022</v>
      </c>
      <c r="Q205">
        <v>1</v>
      </c>
      <c r="R205">
        <v>148703000000</v>
      </c>
    </row>
    <row r="206" spans="15:18">
      <c r="O206">
        <v>2031</v>
      </c>
      <c r="P206">
        <v>2023</v>
      </c>
      <c r="Q206">
        <v>1</v>
      </c>
      <c r="R206">
        <v>159701000000</v>
      </c>
    </row>
    <row r="207" spans="15:18">
      <c r="O207">
        <v>2031</v>
      </c>
      <c r="P207">
        <v>2024</v>
      </c>
      <c r="Q207">
        <v>1</v>
      </c>
      <c r="R207">
        <v>169922000000</v>
      </c>
    </row>
    <row r="208" spans="15:18">
      <c r="O208">
        <v>2031</v>
      </c>
      <c r="P208">
        <v>2025</v>
      </c>
      <c r="Q208">
        <v>1</v>
      </c>
      <c r="R208">
        <v>179132000000</v>
      </c>
    </row>
    <row r="209" spans="15:21">
      <c r="O209">
        <v>2031</v>
      </c>
      <c r="P209">
        <v>2026</v>
      </c>
      <c r="Q209">
        <v>1</v>
      </c>
      <c r="R209">
        <v>188286000000</v>
      </c>
    </row>
    <row r="210" spans="15:21">
      <c r="O210">
        <v>2031</v>
      </c>
      <c r="P210">
        <v>2027</v>
      </c>
      <c r="Q210">
        <v>1</v>
      </c>
      <c r="R210">
        <v>195667000000</v>
      </c>
    </row>
    <row r="211" spans="15:21">
      <c r="O211">
        <v>2031</v>
      </c>
      <c r="P211">
        <v>2028</v>
      </c>
      <c r="Q211">
        <v>1</v>
      </c>
      <c r="R211">
        <v>203081000000</v>
      </c>
    </row>
    <row r="212" spans="15:21">
      <c r="O212">
        <v>2031</v>
      </c>
      <c r="P212">
        <v>2029</v>
      </c>
      <c r="Q212">
        <v>1</v>
      </c>
      <c r="R212">
        <v>208976000000</v>
      </c>
    </row>
    <row r="213" spans="15:21">
      <c r="O213">
        <v>2031</v>
      </c>
      <c r="P213">
        <v>2030</v>
      </c>
      <c r="Q213">
        <v>1</v>
      </c>
      <c r="R213">
        <v>216131000000</v>
      </c>
    </row>
    <row r="214" spans="15:21">
      <c r="O214">
        <v>2031</v>
      </c>
      <c r="P214">
        <v>2031</v>
      </c>
      <c r="Q214">
        <v>1</v>
      </c>
      <c r="R214">
        <v>224441000000</v>
      </c>
      <c r="S214">
        <f>SUM(R184:R214)</f>
        <v>2993958510000</v>
      </c>
      <c r="T214">
        <f>R209</f>
        <v>188286000000</v>
      </c>
      <c r="U214">
        <f>T214/S214</f>
        <v>6.2888647044076776E-2</v>
      </c>
    </row>
    <row r="215" spans="15:21">
      <c r="O215">
        <v>2032</v>
      </c>
      <c r="P215">
        <v>2002</v>
      </c>
      <c r="Q215">
        <v>1</v>
      </c>
      <c r="R215">
        <v>40926400000</v>
      </c>
    </row>
    <row r="216" spans="15:21">
      <c r="O216">
        <v>2032</v>
      </c>
      <c r="P216">
        <v>2003</v>
      </c>
      <c r="Q216">
        <v>1</v>
      </c>
      <c r="R216">
        <v>9108730000</v>
      </c>
    </row>
    <row r="217" spans="15:21">
      <c r="O217">
        <v>2032</v>
      </c>
      <c r="P217">
        <v>2004</v>
      </c>
      <c r="Q217">
        <v>1</v>
      </c>
      <c r="R217">
        <v>10705200000</v>
      </c>
    </row>
    <row r="218" spans="15:21">
      <c r="O218">
        <v>2032</v>
      </c>
      <c r="P218">
        <v>2005</v>
      </c>
      <c r="Q218">
        <v>1</v>
      </c>
      <c r="R218">
        <v>11902100000</v>
      </c>
    </row>
    <row r="219" spans="15:21">
      <c r="O219">
        <v>2032</v>
      </c>
      <c r="P219">
        <v>2006</v>
      </c>
      <c r="Q219">
        <v>1</v>
      </c>
      <c r="R219">
        <v>12748100000</v>
      </c>
    </row>
    <row r="220" spans="15:21">
      <c r="O220">
        <v>2032</v>
      </c>
      <c r="P220">
        <v>2007</v>
      </c>
      <c r="Q220">
        <v>1</v>
      </c>
      <c r="R220">
        <v>14423100000</v>
      </c>
    </row>
    <row r="221" spans="15:21">
      <c r="O221">
        <v>2032</v>
      </c>
      <c r="P221">
        <v>2008</v>
      </c>
      <c r="Q221">
        <v>1</v>
      </c>
      <c r="R221">
        <v>15190700000</v>
      </c>
    </row>
    <row r="222" spans="15:21">
      <c r="O222">
        <v>2032</v>
      </c>
      <c r="P222">
        <v>2009</v>
      </c>
      <c r="Q222">
        <v>1</v>
      </c>
      <c r="R222">
        <v>11477400000</v>
      </c>
    </row>
    <row r="223" spans="15:21">
      <c r="O223">
        <v>2032</v>
      </c>
      <c r="P223">
        <v>2010</v>
      </c>
      <c r="Q223">
        <v>1</v>
      </c>
      <c r="R223">
        <v>16305700000</v>
      </c>
    </row>
    <row r="224" spans="15:21">
      <c r="O224">
        <v>2032</v>
      </c>
      <c r="P224">
        <v>2011</v>
      </c>
      <c r="Q224">
        <v>1</v>
      </c>
      <c r="R224">
        <v>21241700000</v>
      </c>
    </row>
    <row r="225" spans="15:18">
      <c r="O225">
        <v>2032</v>
      </c>
      <c r="P225">
        <v>2012</v>
      </c>
      <c r="Q225">
        <v>1</v>
      </c>
      <c r="R225">
        <v>27313400000</v>
      </c>
    </row>
    <row r="226" spans="15:18">
      <c r="O226">
        <v>2032</v>
      </c>
      <c r="P226">
        <v>2013</v>
      </c>
      <c r="Q226">
        <v>1</v>
      </c>
      <c r="R226">
        <v>35456600000</v>
      </c>
    </row>
    <row r="227" spans="15:18">
      <c r="O227">
        <v>2032</v>
      </c>
      <c r="P227">
        <v>2014</v>
      </c>
      <c r="Q227">
        <v>1</v>
      </c>
      <c r="R227">
        <v>52265600000</v>
      </c>
    </row>
    <row r="228" spans="15:18">
      <c r="O228">
        <v>2032</v>
      </c>
      <c r="P228">
        <v>2015</v>
      </c>
      <c r="Q228">
        <v>1</v>
      </c>
      <c r="R228">
        <v>65610900000</v>
      </c>
    </row>
    <row r="229" spans="15:18">
      <c r="O229">
        <v>2032</v>
      </c>
      <c r="P229">
        <v>2016</v>
      </c>
      <c r="Q229">
        <v>1</v>
      </c>
      <c r="R229">
        <v>77548000000</v>
      </c>
    </row>
    <row r="230" spans="15:18">
      <c r="O230">
        <v>2032</v>
      </c>
      <c r="P230">
        <v>2017</v>
      </c>
      <c r="Q230">
        <v>1</v>
      </c>
      <c r="R230">
        <v>88504900000</v>
      </c>
    </row>
    <row r="231" spans="15:18">
      <c r="O231">
        <v>2032</v>
      </c>
      <c r="P231">
        <v>2018</v>
      </c>
      <c r="Q231">
        <v>1</v>
      </c>
      <c r="R231">
        <v>95168700000</v>
      </c>
    </row>
    <row r="232" spans="15:18">
      <c r="O232">
        <v>2032</v>
      </c>
      <c r="P232">
        <v>2019</v>
      </c>
      <c r="Q232">
        <v>1</v>
      </c>
      <c r="R232">
        <v>108544000000</v>
      </c>
    </row>
    <row r="233" spans="15:18">
      <c r="O233">
        <v>2032</v>
      </c>
      <c r="P233">
        <v>2020</v>
      </c>
      <c r="Q233">
        <v>1</v>
      </c>
      <c r="R233">
        <v>120085000000</v>
      </c>
    </row>
    <row r="234" spans="15:18">
      <c r="O234">
        <v>2032</v>
      </c>
      <c r="P234">
        <v>2021</v>
      </c>
      <c r="Q234">
        <v>1</v>
      </c>
      <c r="R234">
        <v>130555000000</v>
      </c>
    </row>
    <row r="235" spans="15:18">
      <c r="O235">
        <v>2032</v>
      </c>
      <c r="P235">
        <v>2022</v>
      </c>
      <c r="Q235">
        <v>1</v>
      </c>
      <c r="R235">
        <v>138502000000</v>
      </c>
    </row>
    <row r="236" spans="15:18">
      <c r="O236">
        <v>2032</v>
      </c>
      <c r="P236">
        <v>2023</v>
      </c>
      <c r="Q236">
        <v>1</v>
      </c>
      <c r="R236">
        <v>149778000000</v>
      </c>
    </row>
    <row r="237" spans="15:18">
      <c r="O237">
        <v>2032</v>
      </c>
      <c r="P237">
        <v>2024</v>
      </c>
      <c r="Q237">
        <v>1</v>
      </c>
      <c r="R237">
        <v>160467000000</v>
      </c>
    </row>
    <row r="238" spans="15:18">
      <c r="O238">
        <v>2032</v>
      </c>
      <c r="P238">
        <v>2025</v>
      </c>
      <c r="Q238">
        <v>1</v>
      </c>
      <c r="R238">
        <v>170320000000</v>
      </c>
    </row>
    <row r="239" spans="15:18">
      <c r="O239">
        <v>2032</v>
      </c>
      <c r="P239">
        <v>2026</v>
      </c>
      <c r="Q239">
        <v>1</v>
      </c>
      <c r="R239">
        <v>180189000000</v>
      </c>
    </row>
    <row r="240" spans="15:18">
      <c r="O240">
        <v>2032</v>
      </c>
      <c r="P240">
        <v>2027</v>
      </c>
      <c r="Q240">
        <v>1</v>
      </c>
      <c r="R240">
        <v>188407000000</v>
      </c>
    </row>
    <row r="241" spans="15:21">
      <c r="O241">
        <v>2032</v>
      </c>
      <c r="P241">
        <v>2028</v>
      </c>
      <c r="Q241">
        <v>1</v>
      </c>
      <c r="R241">
        <v>196672000000</v>
      </c>
    </row>
    <row r="242" spans="15:21">
      <c r="O242">
        <v>2032</v>
      </c>
      <c r="P242">
        <v>2029</v>
      </c>
      <c r="Q242">
        <v>1</v>
      </c>
      <c r="R242">
        <v>203610000000</v>
      </c>
    </row>
    <row r="243" spans="15:21">
      <c r="O243">
        <v>2032</v>
      </c>
      <c r="P243">
        <v>2030</v>
      </c>
      <c r="Q243">
        <v>1</v>
      </c>
      <c r="R243">
        <v>211080000000</v>
      </c>
    </row>
    <row r="244" spans="15:21">
      <c r="O244">
        <v>2032</v>
      </c>
      <c r="P244">
        <v>2031</v>
      </c>
      <c r="Q244">
        <v>1</v>
      </c>
      <c r="R244">
        <v>219734000000</v>
      </c>
    </row>
    <row r="245" spans="15:21">
      <c r="O245">
        <v>2032</v>
      </c>
      <c r="P245">
        <v>2032</v>
      </c>
      <c r="Q245">
        <v>1</v>
      </c>
      <c r="R245">
        <v>225422000000</v>
      </c>
      <c r="S245">
        <f>SUM(R215:R245)</f>
        <v>3009262230000</v>
      </c>
      <c r="T245">
        <f>R239</f>
        <v>180189000000</v>
      </c>
      <c r="U245">
        <f>T245/S245</f>
        <v>5.9878131657539198E-2</v>
      </c>
    </row>
    <row r="246" spans="15:21">
      <c r="O246">
        <v>2033</v>
      </c>
      <c r="P246">
        <v>2003</v>
      </c>
      <c r="Q246">
        <v>1</v>
      </c>
      <c r="R246">
        <v>41167100000</v>
      </c>
    </row>
    <row r="247" spans="15:21">
      <c r="O247">
        <v>2033</v>
      </c>
      <c r="P247">
        <v>2004</v>
      </c>
      <c r="Q247">
        <v>1</v>
      </c>
      <c r="R247">
        <v>9340440000</v>
      </c>
    </row>
    <row r="248" spans="15:21">
      <c r="O248">
        <v>2033</v>
      </c>
      <c r="P248">
        <v>2005</v>
      </c>
      <c r="Q248">
        <v>1</v>
      </c>
      <c r="R248">
        <v>10352400000</v>
      </c>
    </row>
    <row r="249" spans="15:21">
      <c r="O249">
        <v>2033</v>
      </c>
      <c r="P249">
        <v>2006</v>
      </c>
      <c r="Q249">
        <v>1</v>
      </c>
      <c r="R249">
        <v>11043300000</v>
      </c>
    </row>
    <row r="250" spans="15:21">
      <c r="O250">
        <v>2033</v>
      </c>
      <c r="P250">
        <v>2007</v>
      </c>
      <c r="Q250">
        <v>1</v>
      </c>
      <c r="R250">
        <v>12428100000</v>
      </c>
    </row>
    <row r="251" spans="15:21">
      <c r="O251">
        <v>2033</v>
      </c>
      <c r="P251">
        <v>2008</v>
      </c>
      <c r="Q251">
        <v>1</v>
      </c>
      <c r="R251">
        <v>12989700000</v>
      </c>
    </row>
    <row r="252" spans="15:21">
      <c r="O252">
        <v>2033</v>
      </c>
      <c r="P252">
        <v>2009</v>
      </c>
      <c r="Q252">
        <v>1</v>
      </c>
      <c r="R252">
        <v>9680760000</v>
      </c>
    </row>
    <row r="253" spans="15:21">
      <c r="O253">
        <v>2033</v>
      </c>
      <c r="P253">
        <v>2010</v>
      </c>
      <c r="Q253">
        <v>1</v>
      </c>
      <c r="R253">
        <v>13741600000</v>
      </c>
    </row>
    <row r="254" spans="15:21">
      <c r="O254">
        <v>2033</v>
      </c>
      <c r="P254">
        <v>2011</v>
      </c>
      <c r="Q254">
        <v>1</v>
      </c>
      <c r="R254">
        <v>17917200000</v>
      </c>
    </row>
    <row r="255" spans="15:21">
      <c r="O255">
        <v>2033</v>
      </c>
      <c r="P255">
        <v>2012</v>
      </c>
      <c r="Q255">
        <v>1</v>
      </c>
      <c r="R255">
        <v>22855400000</v>
      </c>
    </row>
    <row r="256" spans="15:21">
      <c r="O256">
        <v>2033</v>
      </c>
      <c r="P256">
        <v>2013</v>
      </c>
      <c r="Q256">
        <v>1</v>
      </c>
      <c r="R256">
        <v>29642000000</v>
      </c>
    </row>
    <row r="257" spans="15:18">
      <c r="O257">
        <v>2033</v>
      </c>
      <c r="P257">
        <v>2014</v>
      </c>
      <c r="Q257">
        <v>1</v>
      </c>
      <c r="R257">
        <v>44010700000</v>
      </c>
    </row>
    <row r="258" spans="15:18">
      <c r="O258">
        <v>2033</v>
      </c>
      <c r="P258">
        <v>2015</v>
      </c>
      <c r="Q258">
        <v>1</v>
      </c>
      <c r="R258">
        <v>55560100000</v>
      </c>
    </row>
    <row r="259" spans="15:18">
      <c r="O259">
        <v>2033</v>
      </c>
      <c r="P259">
        <v>2016</v>
      </c>
      <c r="Q259">
        <v>1</v>
      </c>
      <c r="R259">
        <v>66166400000</v>
      </c>
    </row>
    <row r="260" spans="15:18">
      <c r="O260">
        <v>2033</v>
      </c>
      <c r="P260">
        <v>2017</v>
      </c>
      <c r="Q260">
        <v>1</v>
      </c>
      <c r="R260">
        <v>76215500000</v>
      </c>
    </row>
    <row r="261" spans="15:18">
      <c r="O261">
        <v>2033</v>
      </c>
      <c r="P261">
        <v>2018</v>
      </c>
      <c r="Q261">
        <v>1</v>
      </c>
      <c r="R261">
        <v>82365500000</v>
      </c>
    </row>
    <row r="262" spans="15:18">
      <c r="O262">
        <v>2033</v>
      </c>
      <c r="P262">
        <v>2019</v>
      </c>
      <c r="Q262">
        <v>1</v>
      </c>
      <c r="R262">
        <v>95579100000</v>
      </c>
    </row>
    <row r="263" spans="15:18">
      <c r="O263">
        <v>2033</v>
      </c>
      <c r="P263">
        <v>2020</v>
      </c>
      <c r="Q263">
        <v>1</v>
      </c>
      <c r="R263">
        <v>108358000000</v>
      </c>
    </row>
    <row r="264" spans="15:18">
      <c r="O264">
        <v>2033</v>
      </c>
      <c r="P264">
        <v>2021</v>
      </c>
      <c r="Q264">
        <v>1</v>
      </c>
      <c r="R264">
        <v>120004000000</v>
      </c>
    </row>
    <row r="265" spans="15:18">
      <c r="O265">
        <v>2033</v>
      </c>
      <c r="P265">
        <v>2022</v>
      </c>
      <c r="Q265">
        <v>1</v>
      </c>
      <c r="R265">
        <v>128118000000</v>
      </c>
    </row>
    <row r="266" spans="15:18">
      <c r="O266">
        <v>2033</v>
      </c>
      <c r="P266">
        <v>2023</v>
      </c>
      <c r="Q266">
        <v>1</v>
      </c>
      <c r="R266">
        <v>139460000000</v>
      </c>
    </row>
    <row r="267" spans="15:18">
      <c r="O267">
        <v>2033</v>
      </c>
      <c r="P267">
        <v>2024</v>
      </c>
      <c r="Q267">
        <v>1</v>
      </c>
      <c r="R267">
        <v>150450000000</v>
      </c>
    </row>
    <row r="268" spans="15:18">
      <c r="O268">
        <v>2033</v>
      </c>
      <c r="P268">
        <v>2025</v>
      </c>
      <c r="Q268">
        <v>1</v>
      </c>
      <c r="R268">
        <v>160790000000</v>
      </c>
    </row>
    <row r="269" spans="15:18">
      <c r="O269">
        <v>2033</v>
      </c>
      <c r="P269">
        <v>2026</v>
      </c>
      <c r="Q269">
        <v>1</v>
      </c>
      <c r="R269">
        <v>171258000000</v>
      </c>
    </row>
    <row r="270" spans="15:18">
      <c r="O270">
        <v>2033</v>
      </c>
      <c r="P270">
        <v>2027</v>
      </c>
      <c r="Q270">
        <v>1</v>
      </c>
      <c r="R270">
        <v>180242000000</v>
      </c>
    </row>
    <row r="271" spans="15:18">
      <c r="O271">
        <v>2033</v>
      </c>
      <c r="P271">
        <v>2028</v>
      </c>
      <c r="Q271">
        <v>1</v>
      </c>
      <c r="R271">
        <v>189301000000</v>
      </c>
    </row>
    <row r="272" spans="15:18">
      <c r="O272">
        <v>2033</v>
      </c>
      <c r="P272">
        <v>2029</v>
      </c>
      <c r="Q272">
        <v>1</v>
      </c>
      <c r="R272">
        <v>197104000000</v>
      </c>
    </row>
    <row r="273" spans="15:21">
      <c r="O273">
        <v>2033</v>
      </c>
      <c r="P273">
        <v>2030</v>
      </c>
      <c r="Q273">
        <v>1</v>
      </c>
      <c r="R273">
        <v>205568000000</v>
      </c>
    </row>
    <row r="274" spans="15:21">
      <c r="O274">
        <v>2033</v>
      </c>
      <c r="P274">
        <v>2031</v>
      </c>
      <c r="Q274">
        <v>1</v>
      </c>
      <c r="R274">
        <v>214502000000</v>
      </c>
    </row>
    <row r="275" spans="15:21">
      <c r="O275">
        <v>2033</v>
      </c>
      <c r="P275">
        <v>2032</v>
      </c>
      <c r="Q275">
        <v>1</v>
      </c>
      <c r="R275">
        <v>220593000000</v>
      </c>
    </row>
    <row r="276" spans="15:21">
      <c r="O276">
        <v>2033</v>
      </c>
      <c r="P276">
        <v>2033</v>
      </c>
      <c r="Q276">
        <v>1</v>
      </c>
      <c r="R276">
        <v>227485000000</v>
      </c>
      <c r="S276">
        <f>SUM(R246:R276)</f>
        <v>3024288300000</v>
      </c>
      <c r="T276">
        <f>R269</f>
        <v>171258000000</v>
      </c>
      <c r="U276">
        <f>T276/S276</f>
        <v>5.662753779128795E-2</v>
      </c>
    </row>
    <row r="277" spans="15:21">
      <c r="O277">
        <v>2034</v>
      </c>
      <c r="P277">
        <v>2004</v>
      </c>
      <c r="Q277">
        <v>1</v>
      </c>
      <c r="R277">
        <v>41398200000</v>
      </c>
    </row>
    <row r="278" spans="15:21">
      <c r="O278">
        <v>2034</v>
      </c>
      <c r="P278">
        <v>2005</v>
      </c>
      <c r="Q278">
        <v>1</v>
      </c>
      <c r="R278">
        <v>9006540000</v>
      </c>
    </row>
    <row r="279" spans="15:21">
      <c r="O279">
        <v>2034</v>
      </c>
      <c r="P279">
        <v>2006</v>
      </c>
      <c r="Q279">
        <v>1</v>
      </c>
      <c r="R279">
        <v>9579920000</v>
      </c>
    </row>
    <row r="280" spans="15:21">
      <c r="O280">
        <v>2034</v>
      </c>
      <c r="P280">
        <v>2007</v>
      </c>
      <c r="Q280">
        <v>1</v>
      </c>
      <c r="R280">
        <v>10734600000</v>
      </c>
    </row>
    <row r="281" spans="15:21">
      <c r="O281">
        <v>2034</v>
      </c>
      <c r="P281">
        <v>2008</v>
      </c>
      <c r="Q281">
        <v>1</v>
      </c>
      <c r="R281">
        <v>11183700000</v>
      </c>
    </row>
    <row r="282" spans="15:21">
      <c r="O282">
        <v>2034</v>
      </c>
      <c r="P282">
        <v>2009</v>
      </c>
      <c r="Q282">
        <v>1</v>
      </c>
      <c r="R282">
        <v>8213060000</v>
      </c>
    </row>
    <row r="283" spans="15:21">
      <c r="O283">
        <v>2034</v>
      </c>
      <c r="P283">
        <v>2010</v>
      </c>
      <c r="Q283">
        <v>1</v>
      </c>
      <c r="R283">
        <v>11620000000</v>
      </c>
    </row>
    <row r="284" spans="15:21">
      <c r="O284">
        <v>2034</v>
      </c>
      <c r="P284">
        <v>2011</v>
      </c>
      <c r="Q284">
        <v>1</v>
      </c>
      <c r="R284">
        <v>15154600000</v>
      </c>
    </row>
    <row r="285" spans="15:21">
      <c r="O285">
        <v>2034</v>
      </c>
      <c r="P285">
        <v>2012</v>
      </c>
      <c r="Q285">
        <v>1</v>
      </c>
      <c r="R285">
        <v>19135300000</v>
      </c>
    </row>
    <row r="286" spans="15:21">
      <c r="O286">
        <v>2034</v>
      </c>
      <c r="P286">
        <v>2013</v>
      </c>
      <c r="Q286">
        <v>1</v>
      </c>
      <c r="R286">
        <v>24762100000</v>
      </c>
    </row>
    <row r="287" spans="15:21">
      <c r="O287">
        <v>2034</v>
      </c>
      <c r="P287">
        <v>2014</v>
      </c>
      <c r="Q287">
        <v>1</v>
      </c>
      <c r="R287">
        <v>36956500000</v>
      </c>
    </row>
    <row r="288" spans="15:21">
      <c r="O288">
        <v>2034</v>
      </c>
      <c r="P288">
        <v>2015</v>
      </c>
      <c r="Q288">
        <v>1</v>
      </c>
      <c r="R288">
        <v>46860100000</v>
      </c>
    </row>
    <row r="289" spans="15:18">
      <c r="O289">
        <v>2034</v>
      </c>
      <c r="P289">
        <v>2016</v>
      </c>
      <c r="Q289">
        <v>1</v>
      </c>
      <c r="R289">
        <v>56124100000</v>
      </c>
    </row>
    <row r="290" spans="15:18">
      <c r="O290">
        <v>2034</v>
      </c>
      <c r="P290">
        <v>2017</v>
      </c>
      <c r="Q290">
        <v>1</v>
      </c>
      <c r="R290">
        <v>65122000000</v>
      </c>
    </row>
    <row r="291" spans="15:18">
      <c r="O291">
        <v>2034</v>
      </c>
      <c r="P291">
        <v>2018</v>
      </c>
      <c r="Q291">
        <v>1</v>
      </c>
      <c r="R291">
        <v>70533800000</v>
      </c>
    </row>
    <row r="292" spans="15:18">
      <c r="O292">
        <v>2034</v>
      </c>
      <c r="P292">
        <v>2019</v>
      </c>
      <c r="Q292">
        <v>1</v>
      </c>
      <c r="R292">
        <v>82665700000</v>
      </c>
    </row>
    <row r="293" spans="15:18">
      <c r="O293">
        <v>2034</v>
      </c>
      <c r="P293">
        <v>2020</v>
      </c>
      <c r="Q293">
        <v>1</v>
      </c>
      <c r="R293">
        <v>95339400000</v>
      </c>
    </row>
    <row r="294" spans="15:18">
      <c r="O294">
        <v>2034</v>
      </c>
      <c r="P294">
        <v>2021</v>
      </c>
      <c r="Q294">
        <v>1</v>
      </c>
      <c r="R294">
        <v>108214000000</v>
      </c>
    </row>
    <row r="295" spans="15:18">
      <c r="O295">
        <v>2034</v>
      </c>
      <c r="P295">
        <v>2022</v>
      </c>
      <c r="Q295">
        <v>1</v>
      </c>
      <c r="R295">
        <v>117701000000</v>
      </c>
    </row>
    <row r="296" spans="15:18">
      <c r="O296">
        <v>2034</v>
      </c>
      <c r="P296">
        <v>2023</v>
      </c>
      <c r="Q296">
        <v>1</v>
      </c>
      <c r="R296">
        <v>128949000000</v>
      </c>
    </row>
    <row r="297" spans="15:18">
      <c r="O297">
        <v>2034</v>
      </c>
      <c r="P297">
        <v>2024</v>
      </c>
      <c r="Q297">
        <v>1</v>
      </c>
      <c r="R297">
        <v>140032000000</v>
      </c>
    </row>
    <row r="298" spans="15:18">
      <c r="O298">
        <v>2034</v>
      </c>
      <c r="P298">
        <v>2025</v>
      </c>
      <c r="Q298">
        <v>1</v>
      </c>
      <c r="R298">
        <v>150698000000</v>
      </c>
    </row>
    <row r="299" spans="15:18">
      <c r="O299">
        <v>2034</v>
      </c>
      <c r="P299">
        <v>2026</v>
      </c>
      <c r="Q299">
        <v>1</v>
      </c>
      <c r="R299">
        <v>161614000000</v>
      </c>
    </row>
    <row r="300" spans="15:18">
      <c r="O300">
        <v>2034</v>
      </c>
      <c r="P300">
        <v>2027</v>
      </c>
      <c r="Q300">
        <v>1</v>
      </c>
      <c r="R300">
        <v>171262000000</v>
      </c>
    </row>
    <row r="301" spans="15:18">
      <c r="O301">
        <v>2034</v>
      </c>
      <c r="P301">
        <v>2028</v>
      </c>
      <c r="Q301">
        <v>1</v>
      </c>
      <c r="R301">
        <v>181047000000</v>
      </c>
    </row>
    <row r="302" spans="15:18">
      <c r="O302">
        <v>2034</v>
      </c>
      <c r="P302">
        <v>2029</v>
      </c>
      <c r="Q302">
        <v>1</v>
      </c>
      <c r="R302">
        <v>189666000000</v>
      </c>
    </row>
    <row r="303" spans="15:18">
      <c r="O303">
        <v>2034</v>
      </c>
      <c r="P303">
        <v>2030</v>
      </c>
      <c r="Q303">
        <v>1</v>
      </c>
      <c r="R303">
        <v>198944000000</v>
      </c>
    </row>
    <row r="304" spans="15:18">
      <c r="O304">
        <v>2034</v>
      </c>
      <c r="P304">
        <v>2031</v>
      </c>
      <c r="Q304">
        <v>1</v>
      </c>
      <c r="R304">
        <v>208845000000</v>
      </c>
    </row>
    <row r="305" spans="15:21">
      <c r="O305">
        <v>2034</v>
      </c>
      <c r="P305">
        <v>2032</v>
      </c>
      <c r="Q305">
        <v>1</v>
      </c>
      <c r="R305">
        <v>215281000000</v>
      </c>
    </row>
    <row r="306" spans="15:21">
      <c r="O306">
        <v>2034</v>
      </c>
      <c r="P306">
        <v>2033</v>
      </c>
      <c r="Q306">
        <v>1</v>
      </c>
      <c r="R306">
        <v>222550000000</v>
      </c>
    </row>
    <row r="307" spans="15:21">
      <c r="O307">
        <v>2034</v>
      </c>
      <c r="P307">
        <v>2034</v>
      </c>
      <c r="Q307">
        <v>1</v>
      </c>
      <c r="R307">
        <v>229867000000</v>
      </c>
      <c r="S307">
        <f>SUM(R277:R307)</f>
        <v>3039059620000</v>
      </c>
      <c r="T307">
        <f>R299</f>
        <v>161614000000</v>
      </c>
      <c r="U307">
        <f>T307/S307</f>
        <v>5.3178950138530023E-2</v>
      </c>
    </row>
    <row r="308" spans="15:21">
      <c r="O308">
        <v>2035</v>
      </c>
      <c r="P308">
        <v>2005</v>
      </c>
      <c r="Q308">
        <v>1</v>
      </c>
      <c r="R308">
        <v>41613600000</v>
      </c>
    </row>
    <row r="309" spans="15:21">
      <c r="O309">
        <v>2035</v>
      </c>
      <c r="P309">
        <v>2006</v>
      </c>
      <c r="Q309">
        <v>1</v>
      </c>
      <c r="R309">
        <v>8316550000</v>
      </c>
    </row>
    <row r="310" spans="15:21">
      <c r="O310">
        <v>2035</v>
      </c>
      <c r="P310">
        <v>2007</v>
      </c>
      <c r="Q310">
        <v>1</v>
      </c>
      <c r="R310">
        <v>9289520000</v>
      </c>
    </row>
    <row r="311" spans="15:21">
      <c r="O311">
        <v>2035</v>
      </c>
      <c r="P311">
        <v>2008</v>
      </c>
      <c r="Q311">
        <v>1</v>
      </c>
      <c r="R311">
        <v>9654510000</v>
      </c>
    </row>
    <row r="312" spans="15:21">
      <c r="O312">
        <v>2035</v>
      </c>
      <c r="P312">
        <v>2009</v>
      </c>
      <c r="Q312">
        <v>1</v>
      </c>
      <c r="R312">
        <v>7015880000</v>
      </c>
    </row>
    <row r="313" spans="15:21">
      <c r="O313">
        <v>2035</v>
      </c>
      <c r="P313">
        <v>2010</v>
      </c>
      <c r="Q313">
        <v>1</v>
      </c>
      <c r="R313">
        <v>9887100000</v>
      </c>
    </row>
    <row r="314" spans="15:21">
      <c r="O314">
        <v>2035</v>
      </c>
      <c r="P314">
        <v>2011</v>
      </c>
      <c r="Q314">
        <v>1</v>
      </c>
      <c r="R314">
        <v>12866400000</v>
      </c>
    </row>
    <row r="315" spans="15:21">
      <c r="O315">
        <v>2035</v>
      </c>
      <c r="P315">
        <v>2012</v>
      </c>
      <c r="Q315">
        <v>1</v>
      </c>
      <c r="R315">
        <v>16064400000</v>
      </c>
    </row>
    <row r="316" spans="15:21">
      <c r="O316">
        <v>2035</v>
      </c>
      <c r="P316">
        <v>2013</v>
      </c>
      <c r="Q316">
        <v>1</v>
      </c>
      <c r="R316">
        <v>20702100000</v>
      </c>
    </row>
    <row r="317" spans="15:21">
      <c r="O317">
        <v>2035</v>
      </c>
      <c r="P317">
        <v>2014</v>
      </c>
      <c r="Q317">
        <v>1</v>
      </c>
      <c r="R317">
        <v>31025000000</v>
      </c>
    </row>
    <row r="318" spans="15:21">
      <c r="O318">
        <v>2035</v>
      </c>
      <c r="P318">
        <v>2015</v>
      </c>
      <c r="Q318">
        <v>1</v>
      </c>
      <c r="R318">
        <v>39425900000</v>
      </c>
    </row>
    <row r="319" spans="15:21">
      <c r="O319">
        <v>2035</v>
      </c>
      <c r="P319">
        <v>2016</v>
      </c>
      <c r="Q319">
        <v>1</v>
      </c>
      <c r="R319">
        <v>47430400000</v>
      </c>
    </row>
    <row r="320" spans="15:21">
      <c r="O320">
        <v>2035</v>
      </c>
      <c r="P320">
        <v>2017</v>
      </c>
      <c r="Q320">
        <v>1</v>
      </c>
      <c r="R320">
        <v>55335100000</v>
      </c>
    </row>
    <row r="321" spans="15:18">
      <c r="O321">
        <v>2035</v>
      </c>
      <c r="P321">
        <v>2018</v>
      </c>
      <c r="Q321">
        <v>1</v>
      </c>
      <c r="R321">
        <v>59901000000</v>
      </c>
    </row>
    <row r="322" spans="15:18">
      <c r="O322">
        <v>2035</v>
      </c>
      <c r="P322">
        <v>2019</v>
      </c>
      <c r="Q322">
        <v>1</v>
      </c>
      <c r="R322">
        <v>70751800000</v>
      </c>
    </row>
    <row r="323" spans="15:18">
      <c r="O323">
        <v>2035</v>
      </c>
      <c r="P323">
        <v>2020</v>
      </c>
      <c r="Q323">
        <v>1</v>
      </c>
      <c r="R323">
        <v>82389300000</v>
      </c>
    </row>
    <row r="324" spans="15:18">
      <c r="O324">
        <v>2035</v>
      </c>
      <c r="P324">
        <v>2021</v>
      </c>
      <c r="Q324">
        <v>1</v>
      </c>
      <c r="R324">
        <v>95144500000</v>
      </c>
    </row>
    <row r="325" spans="15:18">
      <c r="O325">
        <v>2035</v>
      </c>
      <c r="P325">
        <v>2022</v>
      </c>
      <c r="Q325">
        <v>1</v>
      </c>
      <c r="R325">
        <v>106058000000</v>
      </c>
    </row>
    <row r="326" spans="15:18">
      <c r="O326">
        <v>2035</v>
      </c>
      <c r="P326">
        <v>2023</v>
      </c>
      <c r="Q326">
        <v>1</v>
      </c>
      <c r="R326">
        <v>118392000000</v>
      </c>
    </row>
    <row r="327" spans="15:18">
      <c r="O327">
        <v>2035</v>
      </c>
      <c r="P327">
        <v>2024</v>
      </c>
      <c r="Q327">
        <v>1</v>
      </c>
      <c r="R327">
        <v>129402000000</v>
      </c>
    </row>
    <row r="328" spans="15:18">
      <c r="O328">
        <v>2035</v>
      </c>
      <c r="P328">
        <v>2025</v>
      </c>
      <c r="Q328">
        <v>1</v>
      </c>
      <c r="R328">
        <v>140180000000</v>
      </c>
    </row>
    <row r="329" spans="15:18">
      <c r="O329">
        <v>2035</v>
      </c>
      <c r="P329">
        <v>2026</v>
      </c>
      <c r="Q329">
        <v>1</v>
      </c>
      <c r="R329">
        <v>151371000000</v>
      </c>
    </row>
    <row r="330" spans="15:18">
      <c r="O330">
        <v>2035</v>
      </c>
      <c r="P330">
        <v>2027</v>
      </c>
      <c r="Q330">
        <v>1</v>
      </c>
      <c r="R330">
        <v>161528000000</v>
      </c>
    </row>
    <row r="331" spans="15:18">
      <c r="O331">
        <v>2035</v>
      </c>
      <c r="P331">
        <v>2028</v>
      </c>
      <c r="Q331">
        <v>1</v>
      </c>
      <c r="R331">
        <v>171925000000</v>
      </c>
    </row>
    <row r="332" spans="15:18">
      <c r="O332">
        <v>2035</v>
      </c>
      <c r="P332">
        <v>2029</v>
      </c>
      <c r="Q332">
        <v>1</v>
      </c>
      <c r="R332">
        <v>181288000000</v>
      </c>
    </row>
    <row r="333" spans="15:18">
      <c r="O333">
        <v>2035</v>
      </c>
      <c r="P333">
        <v>2030</v>
      </c>
      <c r="Q333">
        <v>1</v>
      </c>
      <c r="R333">
        <v>191318000000</v>
      </c>
    </row>
    <row r="334" spans="15:18">
      <c r="O334">
        <v>2035</v>
      </c>
      <c r="P334">
        <v>2031</v>
      </c>
      <c r="Q334">
        <v>1</v>
      </c>
      <c r="R334">
        <v>201986000000</v>
      </c>
    </row>
    <row r="335" spans="15:18">
      <c r="O335">
        <v>2035</v>
      </c>
      <c r="P335">
        <v>2032</v>
      </c>
      <c r="Q335">
        <v>1</v>
      </c>
      <c r="R335">
        <v>209466000000</v>
      </c>
    </row>
    <row r="336" spans="15:18">
      <c r="O336">
        <v>2035</v>
      </c>
      <c r="P336">
        <v>2033</v>
      </c>
      <c r="Q336">
        <v>1</v>
      </c>
      <c r="R336">
        <v>217049000000</v>
      </c>
    </row>
    <row r="337" spans="15:21">
      <c r="O337">
        <v>2035</v>
      </c>
      <c r="P337">
        <v>2034</v>
      </c>
      <c r="Q337">
        <v>1</v>
      </c>
      <c r="R337">
        <v>224732000000</v>
      </c>
    </row>
    <row r="338" spans="15:21">
      <c r="O338">
        <v>2035</v>
      </c>
      <c r="P338">
        <v>2035</v>
      </c>
      <c r="Q338">
        <v>1</v>
      </c>
      <c r="R338">
        <v>230936000000</v>
      </c>
      <c r="S338">
        <f>SUM(R308:R338)</f>
        <v>3052444060000</v>
      </c>
      <c r="T338">
        <f>R329</f>
        <v>151371000000</v>
      </c>
      <c r="U338">
        <f>T338/S338</f>
        <v>4.9590097975456431E-2</v>
      </c>
    </row>
    <row r="339" spans="15:21">
      <c r="O339">
        <v>2036</v>
      </c>
      <c r="P339">
        <v>2006</v>
      </c>
      <c r="Q339">
        <v>1</v>
      </c>
      <c r="R339">
        <v>41906900000</v>
      </c>
    </row>
    <row r="340" spans="15:21">
      <c r="O340">
        <v>2036</v>
      </c>
      <c r="P340">
        <v>2007</v>
      </c>
      <c r="Q340">
        <v>1</v>
      </c>
      <c r="R340">
        <v>8058880000</v>
      </c>
    </row>
    <row r="341" spans="15:21">
      <c r="O341">
        <v>2036</v>
      </c>
      <c r="P341">
        <v>2008</v>
      </c>
      <c r="Q341">
        <v>1</v>
      </c>
      <c r="R341">
        <v>8363300000</v>
      </c>
    </row>
    <row r="342" spans="15:21">
      <c r="O342">
        <v>2036</v>
      </c>
      <c r="P342">
        <v>2009</v>
      </c>
      <c r="Q342">
        <v>1</v>
      </c>
      <c r="R342">
        <v>6022610000</v>
      </c>
    </row>
    <row r="343" spans="15:21">
      <c r="O343">
        <v>2036</v>
      </c>
      <c r="P343">
        <v>2010</v>
      </c>
      <c r="Q343">
        <v>1</v>
      </c>
      <c r="R343">
        <v>8486230000</v>
      </c>
    </row>
    <row r="344" spans="15:21">
      <c r="O344">
        <v>2036</v>
      </c>
      <c r="P344">
        <v>2011</v>
      </c>
      <c r="Q344">
        <v>1</v>
      </c>
      <c r="R344">
        <v>11010200000</v>
      </c>
    </row>
    <row r="345" spans="15:21">
      <c r="O345">
        <v>2036</v>
      </c>
      <c r="P345">
        <v>2012</v>
      </c>
      <c r="Q345">
        <v>1</v>
      </c>
      <c r="R345">
        <v>13559500000</v>
      </c>
    </row>
    <row r="346" spans="15:21">
      <c r="O346">
        <v>2036</v>
      </c>
      <c r="P346">
        <v>2013</v>
      </c>
      <c r="Q346">
        <v>1</v>
      </c>
      <c r="R346">
        <v>17385900000</v>
      </c>
    </row>
    <row r="347" spans="15:21">
      <c r="O347">
        <v>2036</v>
      </c>
      <c r="P347">
        <v>2014</v>
      </c>
      <c r="Q347">
        <v>1</v>
      </c>
      <c r="R347">
        <v>26117000000</v>
      </c>
    </row>
    <row r="348" spans="15:21">
      <c r="O348">
        <v>2036</v>
      </c>
      <c r="P348">
        <v>2015</v>
      </c>
      <c r="Q348">
        <v>1</v>
      </c>
      <c r="R348">
        <v>33224300000</v>
      </c>
    </row>
    <row r="349" spans="15:21">
      <c r="O349">
        <v>2036</v>
      </c>
      <c r="P349">
        <v>2016</v>
      </c>
      <c r="Q349">
        <v>1</v>
      </c>
      <c r="R349">
        <v>40060200000</v>
      </c>
    </row>
    <row r="350" spans="15:21">
      <c r="O350">
        <v>2036</v>
      </c>
      <c r="P350">
        <v>2017</v>
      </c>
      <c r="Q350">
        <v>1</v>
      </c>
      <c r="R350">
        <v>46933600000</v>
      </c>
    </row>
    <row r="351" spans="15:21">
      <c r="O351">
        <v>2036</v>
      </c>
      <c r="P351">
        <v>2018</v>
      </c>
      <c r="Q351">
        <v>1</v>
      </c>
      <c r="R351">
        <v>50659900000</v>
      </c>
    </row>
    <row r="352" spans="15:21">
      <c r="O352">
        <v>2036</v>
      </c>
      <c r="P352">
        <v>2019</v>
      </c>
      <c r="Q352">
        <v>1</v>
      </c>
      <c r="R352">
        <v>60168200000</v>
      </c>
    </row>
    <row r="353" spans="15:18">
      <c r="O353">
        <v>2036</v>
      </c>
      <c r="P353">
        <v>2020</v>
      </c>
      <c r="Q353">
        <v>1</v>
      </c>
      <c r="R353">
        <v>70590500000</v>
      </c>
    </row>
    <row r="354" spans="15:18">
      <c r="O354">
        <v>2036</v>
      </c>
      <c r="P354">
        <v>2021</v>
      </c>
      <c r="Q354">
        <v>1</v>
      </c>
      <c r="R354">
        <v>82320700000</v>
      </c>
    </row>
    <row r="355" spans="15:18">
      <c r="O355">
        <v>2036</v>
      </c>
      <c r="P355">
        <v>2022</v>
      </c>
      <c r="Q355">
        <v>1</v>
      </c>
      <c r="R355">
        <v>93358400000</v>
      </c>
    </row>
    <row r="356" spans="15:18">
      <c r="O356">
        <v>2036</v>
      </c>
      <c r="P356">
        <v>2023</v>
      </c>
      <c r="Q356">
        <v>1</v>
      </c>
      <c r="R356">
        <v>106818000000</v>
      </c>
    </row>
    <row r="357" spans="15:18">
      <c r="O357">
        <v>2036</v>
      </c>
      <c r="P357">
        <v>2024</v>
      </c>
      <c r="Q357">
        <v>1</v>
      </c>
      <c r="R357">
        <v>118983000000</v>
      </c>
    </row>
    <row r="358" spans="15:18">
      <c r="O358">
        <v>2036</v>
      </c>
      <c r="P358">
        <v>2025</v>
      </c>
      <c r="Q358">
        <v>1</v>
      </c>
      <c r="R358">
        <v>129731000000</v>
      </c>
    </row>
    <row r="359" spans="15:18">
      <c r="O359">
        <v>2036</v>
      </c>
      <c r="P359">
        <v>2026</v>
      </c>
      <c r="Q359">
        <v>1</v>
      </c>
      <c r="R359">
        <v>141008000000</v>
      </c>
    </row>
    <row r="360" spans="15:18">
      <c r="O360">
        <v>2036</v>
      </c>
      <c r="P360">
        <v>2027</v>
      </c>
      <c r="Q360">
        <v>1</v>
      </c>
      <c r="R360">
        <v>151529000000</v>
      </c>
    </row>
    <row r="361" spans="15:18">
      <c r="O361">
        <v>2036</v>
      </c>
      <c r="P361">
        <v>2028</v>
      </c>
      <c r="Q361">
        <v>1</v>
      </c>
      <c r="R361">
        <v>162406000000</v>
      </c>
    </row>
    <row r="362" spans="15:18">
      <c r="O362">
        <v>2036</v>
      </c>
      <c r="P362">
        <v>2029</v>
      </c>
      <c r="Q362">
        <v>1</v>
      </c>
      <c r="R362">
        <v>172426000000</v>
      </c>
    </row>
    <row r="363" spans="15:18">
      <c r="O363">
        <v>2036</v>
      </c>
      <c r="P363">
        <v>2030</v>
      </c>
      <c r="Q363">
        <v>1</v>
      </c>
      <c r="R363">
        <v>183154000000</v>
      </c>
    </row>
    <row r="364" spans="15:18">
      <c r="O364">
        <v>2036</v>
      </c>
      <c r="P364">
        <v>2031</v>
      </c>
      <c r="Q364">
        <v>1</v>
      </c>
      <c r="R364">
        <v>194549000000</v>
      </c>
    </row>
    <row r="365" spans="15:18">
      <c r="O365">
        <v>2036</v>
      </c>
      <c r="P365">
        <v>2032</v>
      </c>
      <c r="Q365">
        <v>1</v>
      </c>
      <c r="R365">
        <v>202906000000</v>
      </c>
    </row>
    <row r="366" spans="15:18">
      <c r="O366">
        <v>2036</v>
      </c>
      <c r="P366">
        <v>2033</v>
      </c>
      <c r="Q366">
        <v>1</v>
      </c>
      <c r="R366">
        <v>211519000000</v>
      </c>
    </row>
    <row r="367" spans="15:18">
      <c r="O367">
        <v>2036</v>
      </c>
      <c r="P367">
        <v>2034</v>
      </c>
      <c r="Q367">
        <v>1</v>
      </c>
      <c r="R367">
        <v>219523000000</v>
      </c>
    </row>
    <row r="368" spans="15:18">
      <c r="O368">
        <v>2036</v>
      </c>
      <c r="P368">
        <v>2035</v>
      </c>
      <c r="Q368">
        <v>1</v>
      </c>
      <c r="R368">
        <v>226134000000</v>
      </c>
    </row>
    <row r="369" spans="15:21">
      <c r="O369">
        <v>2036</v>
      </c>
      <c r="P369">
        <v>2036</v>
      </c>
      <c r="Q369">
        <v>1</v>
      </c>
      <c r="R369">
        <v>232146000000</v>
      </c>
      <c r="S369">
        <f>SUM(R339:R369)</f>
        <v>3071058320000</v>
      </c>
      <c r="T369">
        <f>R359</f>
        <v>141008000000</v>
      </c>
      <c r="U369">
        <f>T369/S369</f>
        <v>4.5915116323808527E-2</v>
      </c>
    </row>
    <row r="370" spans="15:21">
      <c r="O370">
        <v>2037</v>
      </c>
      <c r="P370">
        <v>2007</v>
      </c>
      <c r="Q370">
        <v>1</v>
      </c>
      <c r="R370">
        <v>42225000000</v>
      </c>
    </row>
    <row r="371" spans="15:21">
      <c r="O371">
        <v>2037</v>
      </c>
      <c r="P371">
        <v>2008</v>
      </c>
      <c r="Q371">
        <v>1</v>
      </c>
      <c r="R371">
        <v>7253820000</v>
      </c>
    </row>
    <row r="372" spans="15:21">
      <c r="O372">
        <v>2037</v>
      </c>
      <c r="P372">
        <v>2009</v>
      </c>
      <c r="Q372">
        <v>1</v>
      </c>
      <c r="R372">
        <v>5185200000</v>
      </c>
    </row>
    <row r="373" spans="15:21">
      <c r="O373">
        <v>2037</v>
      </c>
      <c r="P373">
        <v>2010</v>
      </c>
      <c r="Q373">
        <v>1</v>
      </c>
      <c r="R373">
        <v>7308540000</v>
      </c>
    </row>
    <row r="374" spans="15:21">
      <c r="O374">
        <v>2037</v>
      </c>
      <c r="P374">
        <v>2011</v>
      </c>
      <c r="Q374">
        <v>1</v>
      </c>
      <c r="R374">
        <v>9493970000</v>
      </c>
    </row>
    <row r="375" spans="15:21">
      <c r="O375">
        <v>2037</v>
      </c>
      <c r="P375">
        <v>2012</v>
      </c>
      <c r="Q375">
        <v>1</v>
      </c>
      <c r="R375">
        <v>11522900000</v>
      </c>
    </row>
    <row r="376" spans="15:21">
      <c r="O376">
        <v>2037</v>
      </c>
      <c r="P376">
        <v>2013</v>
      </c>
      <c r="Q376">
        <v>1</v>
      </c>
      <c r="R376">
        <v>14663200000</v>
      </c>
    </row>
    <row r="377" spans="15:21">
      <c r="O377">
        <v>2037</v>
      </c>
      <c r="P377">
        <v>2014</v>
      </c>
      <c r="Q377">
        <v>1</v>
      </c>
      <c r="R377">
        <v>22063700000</v>
      </c>
    </row>
    <row r="378" spans="15:21">
      <c r="O378">
        <v>2037</v>
      </c>
      <c r="P378">
        <v>2015</v>
      </c>
      <c r="Q378">
        <v>1</v>
      </c>
      <c r="R378">
        <v>28042800000</v>
      </c>
    </row>
    <row r="379" spans="15:21">
      <c r="O379">
        <v>2037</v>
      </c>
      <c r="P379">
        <v>2016</v>
      </c>
      <c r="Q379">
        <v>1</v>
      </c>
      <c r="R379">
        <v>33851200000</v>
      </c>
    </row>
    <row r="380" spans="15:21">
      <c r="O380">
        <v>2037</v>
      </c>
      <c r="P380">
        <v>2017</v>
      </c>
      <c r="Q380">
        <v>1</v>
      </c>
      <c r="R380">
        <v>39739900000</v>
      </c>
    </row>
    <row r="381" spans="15:21">
      <c r="O381">
        <v>2037</v>
      </c>
      <c r="P381">
        <v>2018</v>
      </c>
      <c r="Q381">
        <v>1</v>
      </c>
      <c r="R381">
        <v>42707100000</v>
      </c>
    </row>
    <row r="382" spans="15:21">
      <c r="O382">
        <v>2037</v>
      </c>
      <c r="P382">
        <v>2019</v>
      </c>
      <c r="Q382">
        <v>1</v>
      </c>
      <c r="R382">
        <v>50897000000</v>
      </c>
    </row>
    <row r="383" spans="15:21">
      <c r="O383">
        <v>2037</v>
      </c>
      <c r="P383">
        <v>2020</v>
      </c>
      <c r="Q383">
        <v>1</v>
      </c>
      <c r="R383">
        <v>60023900000</v>
      </c>
    </row>
    <row r="384" spans="15:21">
      <c r="O384">
        <v>2037</v>
      </c>
      <c r="P384">
        <v>2021</v>
      </c>
      <c r="Q384">
        <v>1</v>
      </c>
      <c r="R384">
        <v>70534400000</v>
      </c>
    </row>
    <row r="385" spans="15:21">
      <c r="O385">
        <v>2037</v>
      </c>
      <c r="P385">
        <v>2022</v>
      </c>
      <c r="Q385">
        <v>1</v>
      </c>
      <c r="R385">
        <v>80769300000</v>
      </c>
    </row>
    <row r="386" spans="15:21">
      <c r="O386">
        <v>2037</v>
      </c>
      <c r="P386">
        <v>2023</v>
      </c>
      <c r="Q386">
        <v>1</v>
      </c>
      <c r="R386">
        <v>94014300000</v>
      </c>
    </row>
    <row r="387" spans="15:21">
      <c r="O387">
        <v>2037</v>
      </c>
      <c r="P387">
        <v>2024</v>
      </c>
      <c r="Q387">
        <v>1</v>
      </c>
      <c r="R387">
        <v>107358000000</v>
      </c>
    </row>
    <row r="388" spans="15:21">
      <c r="O388">
        <v>2037</v>
      </c>
      <c r="P388">
        <v>2025</v>
      </c>
      <c r="Q388">
        <v>1</v>
      </c>
      <c r="R388">
        <v>119312000000</v>
      </c>
    </row>
    <row r="389" spans="15:21">
      <c r="O389">
        <v>2037</v>
      </c>
      <c r="P389">
        <v>2026</v>
      </c>
      <c r="Q389">
        <v>1</v>
      </c>
      <c r="R389">
        <v>130518000000</v>
      </c>
    </row>
    <row r="390" spans="15:21">
      <c r="O390">
        <v>2037</v>
      </c>
      <c r="P390">
        <v>2027</v>
      </c>
      <c r="Q390">
        <v>1</v>
      </c>
      <c r="R390">
        <v>141200000000</v>
      </c>
    </row>
    <row r="391" spans="15:21">
      <c r="O391">
        <v>2037</v>
      </c>
      <c r="P391">
        <v>2028</v>
      </c>
      <c r="Q391">
        <v>1</v>
      </c>
      <c r="R391">
        <v>152397000000</v>
      </c>
    </row>
    <row r="392" spans="15:21">
      <c r="O392">
        <v>2037</v>
      </c>
      <c r="P392">
        <v>2029</v>
      </c>
      <c r="Q392">
        <v>1</v>
      </c>
      <c r="R392">
        <v>162931000000</v>
      </c>
    </row>
    <row r="393" spans="15:21">
      <c r="O393">
        <v>2037</v>
      </c>
      <c r="P393">
        <v>2030</v>
      </c>
      <c r="Q393">
        <v>1</v>
      </c>
      <c r="R393">
        <v>174252000000</v>
      </c>
    </row>
    <row r="394" spans="15:21">
      <c r="O394">
        <v>2037</v>
      </c>
      <c r="P394">
        <v>2031</v>
      </c>
      <c r="Q394">
        <v>1</v>
      </c>
      <c r="R394">
        <v>186302000000</v>
      </c>
    </row>
    <row r="395" spans="15:21">
      <c r="O395">
        <v>2037</v>
      </c>
      <c r="P395">
        <v>2032</v>
      </c>
      <c r="Q395">
        <v>1</v>
      </c>
      <c r="R395">
        <v>195491000000</v>
      </c>
    </row>
    <row r="396" spans="15:21">
      <c r="O396">
        <v>2037</v>
      </c>
      <c r="P396">
        <v>2033</v>
      </c>
      <c r="Q396">
        <v>1</v>
      </c>
      <c r="R396">
        <v>204953000000</v>
      </c>
    </row>
    <row r="397" spans="15:21">
      <c r="O397">
        <v>2037</v>
      </c>
      <c r="P397">
        <v>2034</v>
      </c>
      <c r="Q397">
        <v>1</v>
      </c>
      <c r="R397">
        <v>213991000000</v>
      </c>
    </row>
    <row r="398" spans="15:21">
      <c r="O398">
        <v>2037</v>
      </c>
      <c r="P398">
        <v>2035</v>
      </c>
      <c r="Q398">
        <v>1</v>
      </c>
      <c r="R398">
        <v>220954000000</v>
      </c>
    </row>
    <row r="399" spans="15:21">
      <c r="O399">
        <v>2037</v>
      </c>
      <c r="P399">
        <v>2036</v>
      </c>
      <c r="Q399">
        <v>1</v>
      </c>
      <c r="R399">
        <v>227383000000</v>
      </c>
    </row>
    <row r="400" spans="15:21">
      <c r="O400">
        <v>2037</v>
      </c>
      <c r="P400">
        <v>2037</v>
      </c>
      <c r="Q400">
        <v>1</v>
      </c>
      <c r="R400">
        <v>234255000000</v>
      </c>
      <c r="S400">
        <f>SUM(R370:R400)</f>
        <v>3091593230000</v>
      </c>
      <c r="T400">
        <f>R389</f>
        <v>130518000000</v>
      </c>
      <c r="U400">
        <f>T400/S400</f>
        <v>4.2217067476241044E-2</v>
      </c>
    </row>
    <row r="401" spans="15:18">
      <c r="O401">
        <v>2038</v>
      </c>
      <c r="P401">
        <v>2008</v>
      </c>
      <c r="Q401">
        <v>1</v>
      </c>
      <c r="R401">
        <v>42565800000</v>
      </c>
    </row>
    <row r="402" spans="15:18">
      <c r="O402">
        <v>2038</v>
      </c>
      <c r="P402">
        <v>2009</v>
      </c>
      <c r="Q402">
        <v>1</v>
      </c>
      <c r="R402">
        <v>4476490000</v>
      </c>
    </row>
    <row r="403" spans="15:18">
      <c r="O403">
        <v>2038</v>
      </c>
      <c r="P403">
        <v>2010</v>
      </c>
      <c r="Q403">
        <v>1</v>
      </c>
      <c r="R403">
        <v>6315320000</v>
      </c>
    </row>
    <row r="404" spans="15:18">
      <c r="O404">
        <v>2038</v>
      </c>
      <c r="P404">
        <v>2011</v>
      </c>
      <c r="Q404">
        <v>1</v>
      </c>
      <c r="R404">
        <v>8216950000</v>
      </c>
    </row>
    <row r="405" spans="15:18">
      <c r="O405">
        <v>2038</v>
      </c>
      <c r="P405">
        <v>2012</v>
      </c>
      <c r="Q405">
        <v>1</v>
      </c>
      <c r="R405">
        <v>9872020000</v>
      </c>
    </row>
    <row r="406" spans="15:18">
      <c r="O406">
        <v>2038</v>
      </c>
      <c r="P406">
        <v>2013</v>
      </c>
      <c r="Q406">
        <v>1</v>
      </c>
      <c r="R406">
        <v>12457800000</v>
      </c>
    </row>
    <row r="407" spans="15:18">
      <c r="O407">
        <v>2038</v>
      </c>
      <c r="P407">
        <v>2014</v>
      </c>
      <c r="Q407">
        <v>1</v>
      </c>
      <c r="R407">
        <v>18731200000</v>
      </c>
    </row>
    <row r="408" spans="15:18">
      <c r="O408">
        <v>2038</v>
      </c>
      <c r="P408">
        <v>2015</v>
      </c>
      <c r="Q408">
        <v>1</v>
      </c>
      <c r="R408">
        <v>23769800000</v>
      </c>
    </row>
    <row r="409" spans="15:18">
      <c r="O409">
        <v>2038</v>
      </c>
      <c r="P409">
        <v>2016</v>
      </c>
      <c r="Q409">
        <v>1</v>
      </c>
      <c r="R409">
        <v>28667600000</v>
      </c>
    </row>
    <row r="410" spans="15:18">
      <c r="O410">
        <v>2038</v>
      </c>
      <c r="P410">
        <v>2017</v>
      </c>
      <c r="Q410">
        <v>1</v>
      </c>
      <c r="R410">
        <v>33685400000</v>
      </c>
    </row>
    <row r="411" spans="15:18">
      <c r="O411">
        <v>2038</v>
      </c>
      <c r="P411">
        <v>2018</v>
      </c>
      <c r="Q411">
        <v>1</v>
      </c>
      <c r="R411">
        <v>35951700000</v>
      </c>
    </row>
    <row r="412" spans="15:18">
      <c r="O412">
        <v>2038</v>
      </c>
      <c r="P412">
        <v>2019</v>
      </c>
      <c r="Q412">
        <v>1</v>
      </c>
      <c r="R412">
        <v>42932000000</v>
      </c>
    </row>
    <row r="413" spans="15:18">
      <c r="O413">
        <v>2038</v>
      </c>
      <c r="P413">
        <v>2020</v>
      </c>
      <c r="Q413">
        <v>1</v>
      </c>
      <c r="R413">
        <v>50783000000</v>
      </c>
    </row>
    <row r="414" spans="15:18">
      <c r="O414">
        <v>2038</v>
      </c>
      <c r="P414">
        <v>2021</v>
      </c>
      <c r="Q414">
        <v>1</v>
      </c>
      <c r="R414">
        <v>59991700000</v>
      </c>
    </row>
    <row r="415" spans="15:18">
      <c r="O415">
        <v>2038</v>
      </c>
      <c r="P415">
        <v>2022</v>
      </c>
      <c r="Q415">
        <v>1</v>
      </c>
      <c r="R415">
        <v>69208100000</v>
      </c>
    </row>
    <row r="416" spans="15:18">
      <c r="O416">
        <v>2038</v>
      </c>
      <c r="P416">
        <v>2023</v>
      </c>
      <c r="Q416">
        <v>1</v>
      </c>
      <c r="R416">
        <v>81325800000</v>
      </c>
    </row>
    <row r="417" spans="15:21">
      <c r="O417">
        <v>2038</v>
      </c>
      <c r="P417">
        <v>2024</v>
      </c>
      <c r="Q417">
        <v>1</v>
      </c>
      <c r="R417">
        <v>94464200000</v>
      </c>
    </row>
    <row r="418" spans="15:21">
      <c r="O418">
        <v>2038</v>
      </c>
      <c r="P418">
        <v>2025</v>
      </c>
      <c r="Q418">
        <v>1</v>
      </c>
      <c r="R418">
        <v>107640000000</v>
      </c>
    </row>
    <row r="419" spans="15:21">
      <c r="O419">
        <v>2038</v>
      </c>
      <c r="P419">
        <v>2026</v>
      </c>
      <c r="Q419">
        <v>1</v>
      </c>
      <c r="R419">
        <v>120019000000</v>
      </c>
    </row>
    <row r="420" spans="15:21">
      <c r="O420">
        <v>2038</v>
      </c>
      <c r="P420">
        <v>2027</v>
      </c>
      <c r="Q420">
        <v>1</v>
      </c>
      <c r="R420">
        <v>130693000000</v>
      </c>
    </row>
    <row r="421" spans="15:21">
      <c r="O421">
        <v>2038</v>
      </c>
      <c r="P421">
        <v>2028</v>
      </c>
      <c r="Q421">
        <v>1</v>
      </c>
      <c r="R421">
        <v>141994000000</v>
      </c>
    </row>
    <row r="422" spans="15:21">
      <c r="O422">
        <v>2038</v>
      </c>
      <c r="P422">
        <v>2029</v>
      </c>
      <c r="Q422">
        <v>1</v>
      </c>
      <c r="R422">
        <v>152870000000</v>
      </c>
    </row>
    <row r="423" spans="15:21">
      <c r="O423">
        <v>2038</v>
      </c>
      <c r="P423">
        <v>2030</v>
      </c>
      <c r="Q423">
        <v>1</v>
      </c>
      <c r="R423">
        <v>164622000000</v>
      </c>
    </row>
    <row r="424" spans="15:21">
      <c r="O424">
        <v>2038</v>
      </c>
      <c r="P424">
        <v>2031</v>
      </c>
      <c r="Q424">
        <v>1</v>
      </c>
      <c r="R424">
        <v>177200000000</v>
      </c>
    </row>
    <row r="425" spans="15:21">
      <c r="O425">
        <v>2038</v>
      </c>
      <c r="P425">
        <v>2032</v>
      </c>
      <c r="Q425">
        <v>1</v>
      </c>
      <c r="R425">
        <v>187146000000</v>
      </c>
    </row>
    <row r="426" spans="15:21">
      <c r="O426">
        <v>2038</v>
      </c>
      <c r="P426">
        <v>2033</v>
      </c>
      <c r="Q426">
        <v>1</v>
      </c>
      <c r="R426">
        <v>197390000000</v>
      </c>
    </row>
    <row r="427" spans="15:21">
      <c r="O427">
        <v>2038</v>
      </c>
      <c r="P427">
        <v>2034</v>
      </c>
      <c r="Q427">
        <v>1</v>
      </c>
      <c r="R427">
        <v>207262000000</v>
      </c>
    </row>
    <row r="428" spans="15:21">
      <c r="O428">
        <v>2038</v>
      </c>
      <c r="P428">
        <v>2035</v>
      </c>
      <c r="Q428">
        <v>1</v>
      </c>
      <c r="R428">
        <v>215290000000</v>
      </c>
    </row>
    <row r="429" spans="15:21">
      <c r="O429">
        <v>2038</v>
      </c>
      <c r="P429">
        <v>2036</v>
      </c>
      <c r="Q429">
        <v>1</v>
      </c>
      <c r="R429">
        <v>222075000000</v>
      </c>
    </row>
    <row r="430" spans="15:21">
      <c r="O430">
        <v>2038</v>
      </c>
      <c r="P430">
        <v>2037</v>
      </c>
      <c r="Q430">
        <v>1</v>
      </c>
      <c r="R430">
        <v>229343000000</v>
      </c>
    </row>
    <row r="431" spans="15:21">
      <c r="O431">
        <v>2038</v>
      </c>
      <c r="P431">
        <v>2038</v>
      </c>
      <c r="Q431">
        <v>1</v>
      </c>
      <c r="R431">
        <v>236346000000</v>
      </c>
      <c r="S431">
        <f>SUM(R401:R431)</f>
        <v>3113304880000</v>
      </c>
      <c r="T431">
        <f>R419</f>
        <v>120019000000</v>
      </c>
      <c r="U431">
        <f>T431/S431</f>
        <v>3.8550352318851601E-2</v>
      </c>
    </row>
    <row r="432" spans="15:21">
      <c r="O432">
        <v>2039</v>
      </c>
      <c r="P432">
        <v>2009</v>
      </c>
      <c r="Q432">
        <v>1</v>
      </c>
      <c r="R432">
        <v>42937800000</v>
      </c>
    </row>
    <row r="433" spans="15:18">
      <c r="O433">
        <v>2039</v>
      </c>
      <c r="P433">
        <v>2010</v>
      </c>
      <c r="Q433">
        <v>1</v>
      </c>
      <c r="R433">
        <v>5457540000</v>
      </c>
    </row>
    <row r="434" spans="15:18">
      <c r="O434">
        <v>2039</v>
      </c>
      <c r="P434">
        <v>2011</v>
      </c>
      <c r="Q434">
        <v>1</v>
      </c>
      <c r="R434">
        <v>7115270000</v>
      </c>
    </row>
    <row r="435" spans="15:18">
      <c r="O435">
        <v>2039</v>
      </c>
      <c r="P435">
        <v>2012</v>
      </c>
      <c r="Q435">
        <v>1</v>
      </c>
      <c r="R435">
        <v>8476300000</v>
      </c>
    </row>
    <row r="436" spans="15:18">
      <c r="O436">
        <v>2039</v>
      </c>
      <c r="P436">
        <v>2013</v>
      </c>
      <c r="Q436">
        <v>1</v>
      </c>
      <c r="R436">
        <v>10650000000</v>
      </c>
    </row>
    <row r="437" spans="15:18">
      <c r="O437">
        <v>2039</v>
      </c>
      <c r="P437">
        <v>2014</v>
      </c>
      <c r="Q437">
        <v>1</v>
      </c>
      <c r="R437">
        <v>15987000000</v>
      </c>
    </row>
    <row r="438" spans="15:18">
      <c r="O438">
        <v>2039</v>
      </c>
      <c r="P438">
        <v>2015</v>
      </c>
      <c r="Q438">
        <v>1</v>
      </c>
      <c r="R438">
        <v>20205500000</v>
      </c>
    </row>
    <row r="439" spans="15:18">
      <c r="O439">
        <v>2039</v>
      </c>
      <c r="P439">
        <v>2016</v>
      </c>
      <c r="Q439">
        <v>1</v>
      </c>
      <c r="R439">
        <v>24331400000</v>
      </c>
    </row>
    <row r="440" spans="15:18">
      <c r="O440">
        <v>2039</v>
      </c>
      <c r="P440">
        <v>2017</v>
      </c>
      <c r="Q440">
        <v>1</v>
      </c>
      <c r="R440">
        <v>28555600000</v>
      </c>
    </row>
    <row r="441" spans="15:18">
      <c r="O441">
        <v>2039</v>
      </c>
      <c r="P441">
        <v>2018</v>
      </c>
      <c r="Q441">
        <v>1</v>
      </c>
      <c r="R441">
        <v>30240100000</v>
      </c>
    </row>
    <row r="442" spans="15:18">
      <c r="O442">
        <v>2039</v>
      </c>
      <c r="P442">
        <v>2019</v>
      </c>
      <c r="Q442">
        <v>1</v>
      </c>
      <c r="R442">
        <v>36104000000</v>
      </c>
    </row>
    <row r="443" spans="15:18">
      <c r="O443">
        <v>2039</v>
      </c>
      <c r="P443">
        <v>2020</v>
      </c>
      <c r="Q443">
        <v>1</v>
      </c>
      <c r="R443">
        <v>42778100000</v>
      </c>
    </row>
    <row r="444" spans="15:18">
      <c r="O444">
        <v>2039</v>
      </c>
      <c r="P444">
        <v>2021</v>
      </c>
      <c r="Q444">
        <v>1</v>
      </c>
      <c r="R444">
        <v>50698500000</v>
      </c>
    </row>
    <row r="445" spans="15:18">
      <c r="O445">
        <v>2039</v>
      </c>
      <c r="P445">
        <v>2022</v>
      </c>
      <c r="Q445">
        <v>1</v>
      </c>
      <c r="R445">
        <v>58790600000</v>
      </c>
    </row>
    <row r="446" spans="15:18">
      <c r="O446">
        <v>2039</v>
      </c>
      <c r="P446">
        <v>2023</v>
      </c>
      <c r="Q446">
        <v>1</v>
      </c>
      <c r="R446">
        <v>69592700000</v>
      </c>
    </row>
    <row r="447" spans="15:18">
      <c r="O447">
        <v>2039</v>
      </c>
      <c r="P447">
        <v>2024</v>
      </c>
      <c r="Q447">
        <v>1</v>
      </c>
      <c r="R447">
        <v>81613100000</v>
      </c>
    </row>
    <row r="448" spans="15:18">
      <c r="O448">
        <v>2039</v>
      </c>
      <c r="P448">
        <v>2025</v>
      </c>
      <c r="Q448">
        <v>1</v>
      </c>
      <c r="R448">
        <v>94607200000</v>
      </c>
    </row>
    <row r="449" spans="15:21">
      <c r="O449">
        <v>2039</v>
      </c>
      <c r="P449">
        <v>2026</v>
      </c>
      <c r="Q449">
        <v>1</v>
      </c>
      <c r="R449">
        <v>108180000000</v>
      </c>
    </row>
    <row r="450" spans="15:21">
      <c r="O450">
        <v>2039</v>
      </c>
      <c r="P450">
        <v>2027</v>
      </c>
      <c r="Q450">
        <v>1</v>
      </c>
      <c r="R450">
        <v>120101000000</v>
      </c>
    </row>
    <row r="451" spans="15:21">
      <c r="O451">
        <v>2039</v>
      </c>
      <c r="P451">
        <v>2028</v>
      </c>
      <c r="Q451">
        <v>1</v>
      </c>
      <c r="R451">
        <v>131339000000</v>
      </c>
    </row>
    <row r="452" spans="15:21">
      <c r="O452">
        <v>2039</v>
      </c>
      <c r="P452">
        <v>2029</v>
      </c>
      <c r="Q452">
        <v>1</v>
      </c>
      <c r="R452">
        <v>142344000000</v>
      </c>
    </row>
    <row r="453" spans="15:21">
      <c r="O453">
        <v>2039</v>
      </c>
      <c r="P453">
        <v>2030</v>
      </c>
      <c r="Q453">
        <v>1</v>
      </c>
      <c r="R453">
        <v>154354000000</v>
      </c>
    </row>
    <row r="454" spans="15:21">
      <c r="O454">
        <v>2039</v>
      </c>
      <c r="P454">
        <v>2031</v>
      </c>
      <c r="Q454">
        <v>1</v>
      </c>
      <c r="R454">
        <v>167299000000</v>
      </c>
    </row>
    <row r="455" spans="15:21">
      <c r="O455">
        <v>2039</v>
      </c>
      <c r="P455">
        <v>2032</v>
      </c>
      <c r="Q455">
        <v>1</v>
      </c>
      <c r="R455">
        <v>177890000000</v>
      </c>
    </row>
    <row r="456" spans="15:21">
      <c r="O456">
        <v>2039</v>
      </c>
      <c r="P456">
        <v>2033</v>
      </c>
      <c r="Q456">
        <v>1</v>
      </c>
      <c r="R456">
        <v>188841000000</v>
      </c>
    </row>
    <row r="457" spans="15:21">
      <c r="O457">
        <v>2039</v>
      </c>
      <c r="P457">
        <v>2034</v>
      </c>
      <c r="Q457">
        <v>1</v>
      </c>
      <c r="R457">
        <v>199489000000</v>
      </c>
    </row>
    <row r="458" spans="15:21">
      <c r="O458">
        <v>2039</v>
      </c>
      <c r="P458">
        <v>2035</v>
      </c>
      <c r="Q458">
        <v>1</v>
      </c>
      <c r="R458">
        <v>208391000000</v>
      </c>
    </row>
    <row r="459" spans="15:21">
      <c r="O459">
        <v>2039</v>
      </c>
      <c r="P459">
        <v>2036</v>
      </c>
      <c r="Q459">
        <v>1</v>
      </c>
      <c r="R459">
        <v>216249000000</v>
      </c>
    </row>
    <row r="460" spans="15:21">
      <c r="O460">
        <v>2039</v>
      </c>
      <c r="P460">
        <v>2037</v>
      </c>
      <c r="Q460">
        <v>1</v>
      </c>
      <c r="R460">
        <v>223853000000</v>
      </c>
    </row>
    <row r="461" spans="15:21">
      <c r="O461">
        <v>2039</v>
      </c>
      <c r="P461">
        <v>2038</v>
      </c>
      <c r="Q461">
        <v>1</v>
      </c>
      <c r="R461">
        <v>231252000000</v>
      </c>
    </row>
    <row r="462" spans="15:21">
      <c r="O462">
        <v>2039</v>
      </c>
      <c r="P462">
        <v>2039</v>
      </c>
      <c r="Q462">
        <v>1</v>
      </c>
      <c r="R462">
        <v>237803000000</v>
      </c>
      <c r="S462">
        <f>SUM(R432:R462)</f>
        <v>3135525710000</v>
      </c>
      <c r="T462">
        <f>R449</f>
        <v>108180000000</v>
      </c>
      <c r="U462">
        <f>T462/S462</f>
        <v>3.4501391474796743E-2</v>
      </c>
    </row>
    <row r="463" spans="15:21">
      <c r="O463">
        <v>2040</v>
      </c>
      <c r="P463">
        <v>2010</v>
      </c>
      <c r="Q463">
        <v>1</v>
      </c>
      <c r="R463">
        <v>43299700000</v>
      </c>
    </row>
    <row r="464" spans="15:21">
      <c r="O464">
        <v>2040</v>
      </c>
      <c r="P464">
        <v>2011</v>
      </c>
      <c r="Q464">
        <v>1</v>
      </c>
      <c r="R464">
        <v>6182180000</v>
      </c>
    </row>
    <row r="465" spans="15:18">
      <c r="O465">
        <v>2040</v>
      </c>
      <c r="P465">
        <v>2012</v>
      </c>
      <c r="Q465">
        <v>1</v>
      </c>
      <c r="R465">
        <v>7312470000</v>
      </c>
    </row>
    <row r="466" spans="15:18">
      <c r="O466">
        <v>2040</v>
      </c>
      <c r="P466">
        <v>2013</v>
      </c>
      <c r="Q466">
        <v>1</v>
      </c>
      <c r="R466">
        <v>9154230000</v>
      </c>
    </row>
    <row r="467" spans="15:18">
      <c r="O467">
        <v>2040</v>
      </c>
      <c r="P467">
        <v>2014</v>
      </c>
      <c r="Q467">
        <v>1</v>
      </c>
      <c r="R467">
        <v>13776500000</v>
      </c>
    </row>
    <row r="468" spans="15:18">
      <c r="O468">
        <v>2040</v>
      </c>
      <c r="P468">
        <v>2015</v>
      </c>
      <c r="Q468">
        <v>1</v>
      </c>
      <c r="R468">
        <v>17325700000</v>
      </c>
    </row>
    <row r="469" spans="15:18">
      <c r="O469">
        <v>2040</v>
      </c>
      <c r="P469">
        <v>2016</v>
      </c>
      <c r="Q469">
        <v>1</v>
      </c>
      <c r="R469">
        <v>20781600000</v>
      </c>
    </row>
    <row r="470" spans="15:18">
      <c r="O470">
        <v>2040</v>
      </c>
      <c r="P470">
        <v>2017</v>
      </c>
      <c r="Q470">
        <v>1</v>
      </c>
      <c r="R470">
        <v>24346600000</v>
      </c>
    </row>
    <row r="471" spans="15:18">
      <c r="O471">
        <v>2040</v>
      </c>
      <c r="P471">
        <v>2018</v>
      </c>
      <c r="Q471">
        <v>1</v>
      </c>
      <c r="R471">
        <v>25518900000</v>
      </c>
    </row>
    <row r="472" spans="15:18">
      <c r="O472">
        <v>2040</v>
      </c>
      <c r="P472">
        <v>2019</v>
      </c>
      <c r="Q472">
        <v>1</v>
      </c>
      <c r="R472">
        <v>30422400000</v>
      </c>
    </row>
    <row r="473" spans="15:18">
      <c r="O473">
        <v>2040</v>
      </c>
      <c r="P473">
        <v>2020</v>
      </c>
      <c r="Q473">
        <v>1</v>
      </c>
      <c r="R473">
        <v>36021200000</v>
      </c>
    </row>
    <row r="474" spans="15:18">
      <c r="O474">
        <v>2040</v>
      </c>
      <c r="P474">
        <v>2021</v>
      </c>
      <c r="Q474">
        <v>1</v>
      </c>
      <c r="R474">
        <v>42764700000</v>
      </c>
    </row>
    <row r="475" spans="15:18">
      <c r="O475">
        <v>2040</v>
      </c>
      <c r="P475">
        <v>2022</v>
      </c>
      <c r="Q475">
        <v>1</v>
      </c>
      <c r="R475">
        <v>49736600000</v>
      </c>
    </row>
    <row r="476" spans="15:18">
      <c r="O476">
        <v>2040</v>
      </c>
      <c r="P476">
        <v>2023</v>
      </c>
      <c r="Q476">
        <v>1</v>
      </c>
      <c r="R476">
        <v>59163400000</v>
      </c>
    </row>
    <row r="477" spans="15:18">
      <c r="O477">
        <v>2040</v>
      </c>
      <c r="P477">
        <v>2024</v>
      </c>
      <c r="Q477">
        <v>1</v>
      </c>
      <c r="R477">
        <v>69884000000</v>
      </c>
    </row>
    <row r="478" spans="15:18">
      <c r="O478">
        <v>2040</v>
      </c>
      <c r="P478">
        <v>2025</v>
      </c>
      <c r="Q478">
        <v>1</v>
      </c>
      <c r="R478">
        <v>81785300000</v>
      </c>
    </row>
    <row r="479" spans="15:18">
      <c r="O479">
        <v>2040</v>
      </c>
      <c r="P479">
        <v>2026</v>
      </c>
      <c r="Q479">
        <v>1</v>
      </c>
      <c r="R479">
        <v>95130600000</v>
      </c>
    </row>
    <row r="480" spans="15:18">
      <c r="O480">
        <v>2040</v>
      </c>
      <c r="P480">
        <v>2027</v>
      </c>
      <c r="Q480">
        <v>1</v>
      </c>
      <c r="R480">
        <v>108304000000</v>
      </c>
    </row>
    <row r="481" spans="15:21">
      <c r="O481">
        <v>2040</v>
      </c>
      <c r="P481">
        <v>2028</v>
      </c>
      <c r="Q481">
        <v>1</v>
      </c>
      <c r="R481">
        <v>120759000000</v>
      </c>
    </row>
    <row r="482" spans="15:21">
      <c r="O482">
        <v>2040</v>
      </c>
      <c r="P482">
        <v>2029</v>
      </c>
      <c r="Q482">
        <v>1</v>
      </c>
      <c r="R482">
        <v>131727000000</v>
      </c>
    </row>
    <row r="483" spans="15:21">
      <c r="O483">
        <v>2040</v>
      </c>
      <c r="P483">
        <v>2030</v>
      </c>
      <c r="Q483">
        <v>1</v>
      </c>
      <c r="R483">
        <v>143779000000</v>
      </c>
    </row>
    <row r="484" spans="15:21">
      <c r="O484">
        <v>2040</v>
      </c>
      <c r="P484">
        <v>2031</v>
      </c>
      <c r="Q484">
        <v>1</v>
      </c>
      <c r="R484">
        <v>156909000000</v>
      </c>
    </row>
    <row r="485" spans="15:21">
      <c r="O485">
        <v>2040</v>
      </c>
      <c r="P485">
        <v>2032</v>
      </c>
      <c r="Q485">
        <v>1</v>
      </c>
      <c r="R485">
        <v>167982000000</v>
      </c>
    </row>
    <row r="486" spans="15:21">
      <c r="O486">
        <v>2040</v>
      </c>
      <c r="P486">
        <v>2033</v>
      </c>
      <c r="Q486">
        <v>1</v>
      </c>
      <c r="R486">
        <v>179515000000</v>
      </c>
    </row>
    <row r="487" spans="15:21">
      <c r="O487">
        <v>2040</v>
      </c>
      <c r="P487">
        <v>2034</v>
      </c>
      <c r="Q487">
        <v>1</v>
      </c>
      <c r="R487">
        <v>190850000000</v>
      </c>
    </row>
    <row r="488" spans="15:21">
      <c r="O488">
        <v>2040</v>
      </c>
      <c r="P488">
        <v>2035</v>
      </c>
      <c r="Q488">
        <v>1</v>
      </c>
      <c r="R488">
        <v>200560000000</v>
      </c>
    </row>
    <row r="489" spans="15:21">
      <c r="O489">
        <v>2040</v>
      </c>
      <c r="P489">
        <v>2036</v>
      </c>
      <c r="Q489">
        <v>1</v>
      </c>
      <c r="R489">
        <v>209291000000</v>
      </c>
    </row>
    <row r="490" spans="15:21">
      <c r="O490">
        <v>2040</v>
      </c>
      <c r="P490">
        <v>2037</v>
      </c>
      <c r="Q490">
        <v>1</v>
      </c>
      <c r="R490">
        <v>217936000000</v>
      </c>
    </row>
    <row r="491" spans="15:21">
      <c r="O491">
        <v>2040</v>
      </c>
      <c r="P491">
        <v>2038</v>
      </c>
      <c r="Q491">
        <v>1</v>
      </c>
      <c r="R491">
        <v>225668000000</v>
      </c>
    </row>
    <row r="492" spans="15:21">
      <c r="O492">
        <v>2040</v>
      </c>
      <c r="P492">
        <v>2039</v>
      </c>
      <c r="Q492">
        <v>1</v>
      </c>
      <c r="R492">
        <v>232627000000</v>
      </c>
    </row>
    <row r="493" spans="15:21">
      <c r="O493">
        <v>2040</v>
      </c>
      <c r="P493">
        <v>2040</v>
      </c>
      <c r="Q493">
        <v>1</v>
      </c>
      <c r="R493">
        <v>239410000000</v>
      </c>
      <c r="S493">
        <f>SUM(R463:R493)</f>
        <v>3157923080000</v>
      </c>
      <c r="T493">
        <f>R479</f>
        <v>95130600000</v>
      </c>
      <c r="U493">
        <f>T493/S493</f>
        <v>3.0124419623292407E-2</v>
      </c>
    </row>
  </sheetData>
  <sheetProtection algorithmName="SHA-512" hashValue="/jp/FI+FJe22qQo+NZjCxZlFXI4q1XlPGGWtkUAdjHr0dH9bTmE7fPgbDHhIN1YGyzUvpYJw5B3xlgSQwkzU1w==" saltValue="Z3AaQpT4hniIy/GWSxDf9w==" spinCount="100000" sheet="1" objects="1" scenarios="1"/>
  <mergeCells count="6">
    <mergeCell ref="P7:S7"/>
    <mergeCell ref="T7:W7"/>
    <mergeCell ref="X7:AA7"/>
    <mergeCell ref="P8:S8"/>
    <mergeCell ref="T8:W8"/>
    <mergeCell ref="X8:AA8"/>
  </mergeCells>
  <pageMargins left="0.7" right="0.7" top="0.75" bottom="0.75" header="0.3" footer="0.3"/>
  <pageSetup orientation="portrait" r:id="rId1"/>
  <ignoredErrors>
    <ignoredError sqref="S59 S90 S121 S152 S183 S214 S245 S276 S307 S338 S369 S400 S431 S462 S49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S103"/>
  <sheetViews>
    <sheetView topLeftCell="P17" zoomScaleNormal="100" workbookViewId="0">
      <selection activeCell="K32" sqref="K32:L32"/>
    </sheetView>
  </sheetViews>
  <sheetFormatPr baseColWidth="10" defaultColWidth="8.83203125" defaultRowHeight="15"/>
  <cols>
    <col min="1" max="2" width="10.83203125" customWidth="1"/>
    <col min="3" max="3" width="10.83203125" style="29" customWidth="1"/>
    <col min="4" max="6" width="10.83203125" customWidth="1"/>
    <col min="7" max="7" width="14.83203125" customWidth="1"/>
    <col min="8" max="16" width="10.83203125" customWidth="1"/>
    <col min="17" max="19" width="8.83203125" customWidth="1"/>
    <col min="20" max="20" width="9.5" customWidth="1"/>
    <col min="21" max="21" width="14.6640625" customWidth="1"/>
    <col min="22" max="23" width="9" customWidth="1"/>
    <col min="24" max="25" width="8.83203125" customWidth="1"/>
    <col min="26" max="27" width="9.5" customWidth="1"/>
    <col min="28" max="28" width="9.1640625" customWidth="1"/>
    <col min="29" max="39" width="8.83203125" customWidth="1"/>
    <col min="40" max="40" width="10.5" bestFit="1" customWidth="1"/>
    <col min="41" max="41" width="10.33203125" customWidth="1"/>
    <col min="42" max="42" width="10.5" bestFit="1" customWidth="1"/>
    <col min="43" max="44" width="10.5" customWidth="1"/>
  </cols>
  <sheetData>
    <row r="1" spans="1:45">
      <c r="A1" s="70" t="s">
        <v>154</v>
      </c>
      <c r="F1" s="6"/>
    </row>
    <row r="2" spans="1:45">
      <c r="S2" s="29" t="s">
        <v>219</v>
      </c>
      <c r="AD2" s="6"/>
      <c r="AE2" s="6"/>
      <c r="AF2" s="6"/>
    </row>
    <row r="3" spans="1:45">
      <c r="A3" t="s">
        <v>308</v>
      </c>
      <c r="S3" s="29"/>
      <c r="W3" s="6"/>
      <c r="AD3" s="6"/>
      <c r="AE3" s="6"/>
      <c r="AF3" s="6"/>
    </row>
    <row r="4" spans="1:45">
      <c r="S4" s="29"/>
      <c r="V4" s="206" t="s">
        <v>530</v>
      </c>
      <c r="AD4" s="6"/>
      <c r="AE4" s="6"/>
      <c r="AF4" s="6"/>
    </row>
    <row r="5" spans="1:45">
      <c r="A5" s="2" t="s">
        <v>118</v>
      </c>
      <c r="C5" s="30" t="s">
        <v>393</v>
      </c>
      <c r="S5" s="2" t="s">
        <v>139</v>
      </c>
      <c r="T5" s="2"/>
      <c r="U5" s="2"/>
      <c r="V5" s="211" t="s">
        <v>523</v>
      </c>
      <c r="W5" s="29" t="s">
        <v>421</v>
      </c>
      <c r="X5" s="29"/>
      <c r="Y5" s="29"/>
      <c r="Z5" s="29"/>
      <c r="AD5" s="29"/>
      <c r="AE5" s="6"/>
      <c r="AF5" s="6"/>
    </row>
    <row r="6" spans="1:45" ht="16" thickBot="1">
      <c r="A6" s="6"/>
      <c r="H6" s="6"/>
      <c r="N6" s="6"/>
      <c r="S6" s="6"/>
      <c r="T6" s="6"/>
      <c r="U6" s="6"/>
      <c r="V6" s="6"/>
      <c r="W6" s="6"/>
      <c r="X6" s="29"/>
      <c r="Y6" s="29"/>
      <c r="Z6" s="29"/>
      <c r="AB6" s="6"/>
      <c r="AD6" s="145" t="s">
        <v>216</v>
      </c>
      <c r="AE6" s="145"/>
      <c r="AF6" s="145"/>
    </row>
    <row r="7" spans="1:45">
      <c r="A7" s="70" t="s">
        <v>72</v>
      </c>
      <c r="B7" s="294" t="s">
        <v>391</v>
      </c>
      <c r="C7" s="295"/>
      <c r="D7" s="296"/>
      <c r="E7" s="294" t="s">
        <v>392</v>
      </c>
      <c r="F7" s="295"/>
      <c r="G7" s="296"/>
      <c r="H7" s="294" t="s">
        <v>119</v>
      </c>
      <c r="I7" s="295"/>
      <c r="J7" s="296"/>
      <c r="K7" s="294" t="s">
        <v>120</v>
      </c>
      <c r="L7" s="295"/>
      <c r="M7" s="296"/>
      <c r="N7" s="295" t="s">
        <v>123</v>
      </c>
      <c r="O7" s="295"/>
      <c r="P7" s="296"/>
      <c r="S7" s="70" t="s">
        <v>72</v>
      </c>
      <c r="T7" s="70" t="s">
        <v>137</v>
      </c>
      <c r="U7" s="70" t="s">
        <v>215</v>
      </c>
      <c r="V7" s="294" t="s">
        <v>391</v>
      </c>
      <c r="W7" s="295"/>
      <c r="X7" s="295"/>
      <c r="Y7" s="295"/>
      <c r="Z7" s="295"/>
      <c r="AA7" s="296"/>
      <c r="AB7" s="294" t="s">
        <v>119</v>
      </c>
      <c r="AC7" s="295"/>
      <c r="AD7" s="295"/>
      <c r="AE7" s="295"/>
      <c r="AF7" s="295"/>
      <c r="AG7" s="296"/>
      <c r="AH7" s="294" t="s">
        <v>151</v>
      </c>
      <c r="AI7" s="295"/>
      <c r="AJ7" s="295"/>
      <c r="AK7" s="295"/>
      <c r="AL7" s="295"/>
      <c r="AM7" s="296"/>
      <c r="AN7" s="294" t="s">
        <v>152</v>
      </c>
      <c r="AO7" s="295"/>
      <c r="AP7" s="295"/>
      <c r="AQ7" s="295"/>
      <c r="AR7" s="295"/>
      <c r="AS7" s="296"/>
    </row>
    <row r="8" spans="1:45">
      <c r="A8" s="70"/>
      <c r="B8" s="76" t="s">
        <v>121</v>
      </c>
      <c r="C8" s="71" t="s">
        <v>122</v>
      </c>
      <c r="D8" s="72" t="s">
        <v>49</v>
      </c>
      <c r="E8" s="76" t="s">
        <v>121</v>
      </c>
      <c r="F8" s="71" t="s">
        <v>122</v>
      </c>
      <c r="G8" s="72" t="s">
        <v>49</v>
      </c>
      <c r="H8" s="76" t="s">
        <v>124</v>
      </c>
      <c r="I8" s="71" t="s">
        <v>122</v>
      </c>
      <c r="J8" s="72" t="s">
        <v>49</v>
      </c>
      <c r="K8" s="76" t="s">
        <v>121</v>
      </c>
      <c r="L8" s="71" t="s">
        <v>122</v>
      </c>
      <c r="M8" s="72" t="s">
        <v>49</v>
      </c>
      <c r="N8" s="70" t="s">
        <v>124</v>
      </c>
      <c r="O8" s="70" t="s">
        <v>122</v>
      </c>
      <c r="P8" s="72" t="s">
        <v>49</v>
      </c>
      <c r="S8" s="70"/>
      <c r="T8" s="6"/>
      <c r="U8" s="70"/>
      <c r="V8" s="76" t="s">
        <v>121</v>
      </c>
      <c r="W8" s="71" t="s">
        <v>141</v>
      </c>
      <c r="X8" s="71" t="s">
        <v>122</v>
      </c>
      <c r="Y8" s="71" t="s">
        <v>141</v>
      </c>
      <c r="Z8" s="71" t="s">
        <v>140</v>
      </c>
      <c r="AA8" s="72" t="s">
        <v>141</v>
      </c>
      <c r="AB8" s="76" t="s">
        <v>124</v>
      </c>
      <c r="AC8" s="71" t="s">
        <v>141</v>
      </c>
      <c r="AD8" s="71" t="s">
        <v>122</v>
      </c>
      <c r="AE8" s="71" t="s">
        <v>141</v>
      </c>
      <c r="AF8" s="71" t="s">
        <v>140</v>
      </c>
      <c r="AG8" s="72" t="s">
        <v>221</v>
      </c>
      <c r="AH8" s="76" t="s">
        <v>121</v>
      </c>
      <c r="AI8" s="71" t="s">
        <v>141</v>
      </c>
      <c r="AJ8" s="71" t="s">
        <v>122</v>
      </c>
      <c r="AK8" s="71" t="s">
        <v>141</v>
      </c>
      <c r="AL8" s="71" t="s">
        <v>140</v>
      </c>
      <c r="AM8" s="72" t="s">
        <v>221</v>
      </c>
      <c r="AN8" s="76" t="s">
        <v>121</v>
      </c>
      <c r="AO8" s="71" t="s">
        <v>141</v>
      </c>
      <c r="AP8" s="71" t="s">
        <v>122</v>
      </c>
      <c r="AQ8" s="71" t="s">
        <v>141</v>
      </c>
      <c r="AR8" s="71" t="s">
        <v>140</v>
      </c>
      <c r="AS8" s="72" t="s">
        <v>221</v>
      </c>
    </row>
    <row r="9" spans="1:45">
      <c r="A9">
        <v>2017</v>
      </c>
      <c r="B9" s="124"/>
      <c r="C9" s="125"/>
      <c r="D9" s="126"/>
      <c r="E9" s="77">
        <v>6.0000000000000001E-3</v>
      </c>
      <c r="F9">
        <v>8.0000000000000002E-3</v>
      </c>
      <c r="G9" s="73"/>
      <c r="H9" s="77"/>
      <c r="J9" s="73"/>
      <c r="K9" s="77"/>
      <c r="M9" s="73"/>
      <c r="P9" s="73"/>
      <c r="S9">
        <v>2017</v>
      </c>
      <c r="T9" s="6"/>
      <c r="V9" s="77"/>
      <c r="X9" s="29"/>
      <c r="Y9" s="29"/>
      <c r="Z9" s="29"/>
      <c r="AA9" s="73"/>
      <c r="AB9" s="77"/>
      <c r="AG9" s="73"/>
      <c r="AH9" s="77"/>
      <c r="AM9" s="73"/>
      <c r="AN9" s="77"/>
      <c r="AS9" s="73"/>
    </row>
    <row r="10" spans="1:45">
      <c r="A10">
        <v>2018</v>
      </c>
      <c r="B10" s="124"/>
      <c r="C10" s="125"/>
      <c r="D10" s="126"/>
      <c r="E10" s="77">
        <v>1.4E-2</v>
      </c>
      <c r="F10">
        <v>8.0000000000000002E-3</v>
      </c>
      <c r="G10" s="73"/>
      <c r="H10" s="77"/>
      <c r="J10" s="73"/>
      <c r="K10" s="77"/>
      <c r="M10" s="73"/>
      <c r="P10" s="73"/>
      <c r="S10">
        <v>2018</v>
      </c>
      <c r="T10" s="6"/>
      <c r="V10" s="77"/>
      <c r="X10" s="29"/>
      <c r="Y10" s="29"/>
      <c r="Z10" s="29"/>
      <c r="AA10" s="73"/>
      <c r="AB10" s="77"/>
      <c r="AG10" s="73"/>
      <c r="AH10" s="77"/>
      <c r="AM10" s="73"/>
      <c r="AN10" s="77"/>
      <c r="AS10" s="73"/>
    </row>
    <row r="11" spans="1:45">
      <c r="A11">
        <v>2019</v>
      </c>
      <c r="B11" s="124"/>
      <c r="C11" s="125"/>
      <c r="D11" s="126"/>
      <c r="E11" s="77">
        <v>1.2E-2</v>
      </c>
      <c r="F11">
        <v>5.0000000000000001E-3</v>
      </c>
      <c r="G11" s="73"/>
      <c r="H11" s="77"/>
      <c r="J11" s="73"/>
      <c r="K11" s="77"/>
      <c r="M11" s="73"/>
      <c r="P11" s="73"/>
      <c r="S11">
        <v>2019</v>
      </c>
      <c r="V11" s="77"/>
      <c r="X11" s="29"/>
      <c r="Y11" s="29"/>
      <c r="Z11" s="29"/>
      <c r="AA11" s="73"/>
      <c r="AB11" s="77"/>
      <c r="AG11" s="73"/>
      <c r="AH11" s="77"/>
      <c r="AM11" s="73"/>
      <c r="AN11" s="77"/>
      <c r="AS11" s="73"/>
    </row>
    <row r="12" spans="1:45">
      <c r="A12">
        <v>2020</v>
      </c>
      <c r="B12" s="124"/>
      <c r="C12" s="125"/>
      <c r="D12" s="126"/>
      <c r="E12" s="77">
        <v>3.3000000000000002E-2</v>
      </c>
      <c r="F12">
        <v>7.0000000000000001E-3</v>
      </c>
      <c r="G12" s="73"/>
      <c r="H12" s="77"/>
      <c r="J12" s="73"/>
      <c r="K12" s="77"/>
      <c r="M12" s="73"/>
      <c r="P12" s="73"/>
      <c r="S12">
        <v>2020</v>
      </c>
      <c r="T12" s="3">
        <f>'Combined MOVES output'!AE17</f>
        <v>1106305.7686442183</v>
      </c>
      <c r="U12" s="3">
        <f>T12*U$17/T$17</f>
        <v>62501.666362706004</v>
      </c>
      <c r="V12" s="77"/>
      <c r="X12" s="29"/>
      <c r="Y12" s="29"/>
      <c r="Z12" s="206">
        <v>3681</v>
      </c>
      <c r="AA12" s="104">
        <f>Z12/T12</f>
        <v>3.3272898906701702E-3</v>
      </c>
      <c r="AB12" s="77"/>
      <c r="AG12" s="73"/>
      <c r="AH12" s="77"/>
      <c r="AM12" s="104">
        <f>AA12</f>
        <v>3.3272898906701702E-3</v>
      </c>
      <c r="AN12" s="77"/>
      <c r="AS12" s="104">
        <f>AA12</f>
        <v>3.3272898906701702E-3</v>
      </c>
    </row>
    <row r="13" spans="1:45">
      <c r="A13">
        <v>2021</v>
      </c>
      <c r="B13" s="124"/>
      <c r="C13" s="125"/>
      <c r="D13" s="222">
        <f>F86</f>
        <v>4.1200000000000001E-2</v>
      </c>
      <c r="E13" s="77"/>
      <c r="G13" s="73"/>
      <c r="H13" s="77"/>
      <c r="J13" s="73"/>
      <c r="K13" s="77"/>
      <c r="M13" s="73"/>
      <c r="P13" s="73"/>
      <c r="S13">
        <v>2021</v>
      </c>
      <c r="T13">
        <f>T12+(T17-T12)/5</f>
        <v>1112972.5513606246</v>
      </c>
      <c r="U13" s="3">
        <f t="shared" ref="U13:U16" si="0">T13*U$17/T$17</f>
        <v>62878.311808172781</v>
      </c>
      <c r="V13" s="77"/>
      <c r="X13" s="29"/>
      <c r="Y13" s="29"/>
      <c r="Z13" s="272">
        <f>Z12*1.2</f>
        <v>4417.2</v>
      </c>
      <c r="AA13" s="73"/>
      <c r="AB13" s="77"/>
      <c r="AG13" s="73"/>
      <c r="AH13" s="77"/>
      <c r="AM13" s="73"/>
      <c r="AN13" s="77"/>
      <c r="AS13" s="73"/>
    </row>
    <row r="14" spans="1:45">
      <c r="A14">
        <v>2022</v>
      </c>
      <c r="B14" s="124"/>
      <c r="C14" s="125"/>
      <c r="D14" s="126">
        <f>(D13+D15)/2</f>
        <v>5.7600000000000005E-2</v>
      </c>
      <c r="E14" s="77"/>
      <c r="G14" s="73"/>
      <c r="H14" s="77"/>
      <c r="J14" s="73"/>
      <c r="K14" s="77"/>
      <c r="M14" s="73"/>
      <c r="P14" s="73"/>
      <c r="S14">
        <v>2022</v>
      </c>
      <c r="T14" s="3">
        <f>T12+(T17-T12)/5*2</f>
        <v>1119639.3340770307</v>
      </c>
      <c r="U14" s="3">
        <f t="shared" si="0"/>
        <v>63254.957253639557</v>
      </c>
      <c r="V14" s="77"/>
      <c r="X14" s="29"/>
      <c r="Y14" s="29"/>
      <c r="Z14" s="102">
        <f>Z13+D14*U14</f>
        <v>8060.6855378096388</v>
      </c>
      <c r="AA14" s="73"/>
      <c r="AB14" s="77"/>
      <c r="AG14" s="73"/>
      <c r="AH14" s="77"/>
      <c r="AM14" s="73"/>
      <c r="AN14" s="77"/>
      <c r="AS14" s="73"/>
    </row>
    <row r="15" spans="1:45">
      <c r="A15">
        <v>2023</v>
      </c>
      <c r="B15" s="124">
        <f>E15</f>
        <v>6.7000000000000004E-2</v>
      </c>
      <c r="C15" s="42">
        <f t="shared" ref="C15:D15" si="1">F15</f>
        <v>7.0000000000000001E-3</v>
      </c>
      <c r="D15" s="42">
        <f t="shared" si="1"/>
        <v>7.400000000000001E-2</v>
      </c>
      <c r="E15" s="214">
        <f>'Federal GHG Rule'!N7</f>
        <v>6.7000000000000004E-2</v>
      </c>
      <c r="F15" s="213">
        <f>'Federal GHG Rule'!M7</f>
        <v>7.0000000000000001E-3</v>
      </c>
      <c r="G15" s="215">
        <f>E15+F15</f>
        <v>7.400000000000001E-2</v>
      </c>
      <c r="H15" s="249" t="s">
        <v>376</v>
      </c>
      <c r="I15" s="208"/>
      <c r="J15" s="73"/>
      <c r="K15" s="77"/>
      <c r="M15" s="73"/>
      <c r="P15" s="73"/>
      <c r="S15">
        <v>2023</v>
      </c>
      <c r="T15" s="3">
        <f>T12+(T17-T12)/5*3</f>
        <v>1126306.1167934369</v>
      </c>
      <c r="U15" s="3">
        <f t="shared" si="0"/>
        <v>63631.602699106348</v>
      </c>
      <c r="V15" s="77"/>
      <c r="X15" s="29"/>
      <c r="Y15" s="29"/>
      <c r="Z15" s="102">
        <f t="shared" ref="Z15:Z32" si="2">Z14+D15*U15</f>
        <v>12769.424137543509</v>
      </c>
      <c r="AA15" s="73"/>
      <c r="AB15" s="77"/>
      <c r="AG15" s="73"/>
      <c r="AH15" s="77"/>
      <c r="AM15" s="73"/>
      <c r="AN15" s="77"/>
      <c r="AS15" s="73"/>
    </row>
    <row r="16" spans="1:45">
      <c r="A16">
        <v>2024</v>
      </c>
      <c r="B16" s="124">
        <f t="shared" ref="B16:B32" si="3">E16</f>
        <v>9.5000000000000001E-2</v>
      </c>
      <c r="C16" s="42">
        <f t="shared" ref="C16:C32" si="4">F16</f>
        <v>7.0000000000000001E-3</v>
      </c>
      <c r="D16" s="42">
        <f t="shared" ref="D16:D32" si="5">G16</f>
        <v>0.10200000000000001</v>
      </c>
      <c r="E16" s="214">
        <f>'Federal GHG Rule'!N8</f>
        <v>9.5000000000000001E-2</v>
      </c>
      <c r="F16" s="213">
        <f>'Federal GHG Rule'!M8</f>
        <v>7.0000000000000001E-3</v>
      </c>
      <c r="G16" s="215">
        <f t="shared" ref="G16:G18" si="6">E16+F16</f>
        <v>0.10200000000000001</v>
      </c>
      <c r="H16" s="249" t="s">
        <v>384</v>
      </c>
      <c r="I16" s="208"/>
      <c r="J16" s="73"/>
      <c r="K16" s="77"/>
      <c r="M16" s="73"/>
      <c r="P16" s="73"/>
      <c r="S16">
        <v>2024</v>
      </c>
      <c r="T16" s="3">
        <f>T12+(T17-T12)/5*4</f>
        <v>1132972.899509843</v>
      </c>
      <c r="U16" s="3">
        <f t="shared" si="0"/>
        <v>64008.248144573125</v>
      </c>
      <c r="V16" s="210"/>
      <c r="X16" s="29"/>
      <c r="Y16" s="29"/>
      <c r="Z16" s="102">
        <f t="shared" si="2"/>
        <v>19298.265448289967</v>
      </c>
      <c r="AA16" s="73"/>
      <c r="AB16" s="77"/>
      <c r="AE16" s="46"/>
      <c r="AF16" s="46" t="s">
        <v>143</v>
      </c>
      <c r="AG16" s="73"/>
      <c r="AH16" s="77"/>
      <c r="AK16" s="46"/>
      <c r="AL16" s="46" t="s">
        <v>143</v>
      </c>
      <c r="AM16" s="73"/>
      <c r="AN16" s="77"/>
      <c r="AQ16" s="121"/>
      <c r="AR16" s="121" t="s">
        <v>153</v>
      </c>
      <c r="AS16" s="120"/>
    </row>
    <row r="17" spans="1:45">
      <c r="A17">
        <v>2025</v>
      </c>
      <c r="B17" s="124">
        <f t="shared" si="3"/>
        <v>0.129</v>
      </c>
      <c r="C17" s="42">
        <f t="shared" si="4"/>
        <v>7.0000000000000001E-3</v>
      </c>
      <c r="D17" s="42">
        <f t="shared" si="5"/>
        <v>0.13600000000000001</v>
      </c>
      <c r="E17" s="214">
        <f>'Federal GHG Rule'!N9</f>
        <v>0.129</v>
      </c>
      <c r="F17" s="213">
        <f>'Federal GHG Rule'!M9</f>
        <v>7.0000000000000001E-3</v>
      </c>
      <c r="G17" s="215">
        <f t="shared" si="6"/>
        <v>0.13600000000000001</v>
      </c>
      <c r="H17" s="250" t="s">
        <v>385</v>
      </c>
      <c r="I17" s="208"/>
      <c r="J17" s="73"/>
      <c r="K17" s="77"/>
      <c r="M17" s="73"/>
      <c r="P17" s="73"/>
      <c r="S17">
        <v>2025</v>
      </c>
      <c r="T17" s="3">
        <f>'ZEV Population'!C7</f>
        <v>1139639.6822262492</v>
      </c>
      <c r="U17" s="3">
        <f>'ZEV Population'!E5</f>
        <v>64384.893590039916</v>
      </c>
      <c r="V17" s="242">
        <f>(N18/(N18+O18))*Z17</f>
        <v>19402.254320220742</v>
      </c>
      <c r="W17" s="243">
        <f>V17/T17</f>
        <v>1.7024902364156946E-2</v>
      </c>
      <c r="X17" s="244">
        <f>Z17-V17</f>
        <v>8652.356656314656</v>
      </c>
      <c r="Y17" s="243">
        <f>X17/T17</f>
        <v>7.5921861894213414E-3</v>
      </c>
      <c r="Z17" s="102">
        <f t="shared" si="2"/>
        <v>28054.610976535398</v>
      </c>
      <c r="AA17" s="104">
        <f>Z17/T17</f>
        <v>2.4617088553578286E-2</v>
      </c>
      <c r="AB17" s="85">
        <f>V17</f>
        <v>19402.254320220742</v>
      </c>
      <c r="AC17" s="60">
        <f t="shared" ref="AC17:AC32" si="7">AB17/T17</f>
        <v>1.7024902364156946E-2</v>
      </c>
      <c r="AD17" s="3">
        <f>X17</f>
        <v>8652.356656314656</v>
      </c>
      <c r="AE17" s="60">
        <f t="shared" ref="AE17:AE32" si="8">AD17/T17</f>
        <v>7.5921861894213414E-3</v>
      </c>
      <c r="AF17" s="3">
        <f>Z17</f>
        <v>28054.610976535398</v>
      </c>
      <c r="AG17" s="60">
        <f>AA17</f>
        <v>2.4617088553578286E-2</v>
      </c>
      <c r="AH17" s="85">
        <f>V17</f>
        <v>19402.254320220742</v>
      </c>
      <c r="AI17" s="60">
        <f t="shared" ref="AI17:AI32" si="9">AH17/T17</f>
        <v>1.7024902364156946E-2</v>
      </c>
      <c r="AJ17" s="3">
        <f>X17</f>
        <v>8652.356656314656</v>
      </c>
      <c r="AK17" s="60">
        <f t="shared" ref="AK17:AK32" si="10">AJ17/T17</f>
        <v>7.5921861894213414E-3</v>
      </c>
      <c r="AL17" s="3">
        <f>Z17</f>
        <v>28054.610976535398</v>
      </c>
      <c r="AM17" s="104">
        <f>AA17</f>
        <v>2.4617088553578286E-2</v>
      </c>
      <c r="AN17" s="85">
        <f>V17</f>
        <v>19402.254320220742</v>
      </c>
      <c r="AO17" s="60">
        <f t="shared" ref="AO17:AO32" si="11">AN17/T17</f>
        <v>1.7024902364156946E-2</v>
      </c>
      <c r="AP17" s="3">
        <f>X17</f>
        <v>8652.356656314656</v>
      </c>
      <c r="AQ17" s="60">
        <f t="shared" ref="AQ17:AQ32" si="12">AP17/T17</f>
        <v>7.5921861894213414E-3</v>
      </c>
      <c r="AR17" s="3">
        <f>Z17</f>
        <v>28054.610976535398</v>
      </c>
      <c r="AS17" s="104">
        <f>AA17</f>
        <v>2.4617088553578286E-2</v>
      </c>
    </row>
    <row r="18" spans="1:45">
      <c r="A18">
        <v>2026</v>
      </c>
      <c r="B18" s="124">
        <f t="shared" si="3"/>
        <v>0.16600000000000001</v>
      </c>
      <c r="C18" s="42">
        <f t="shared" si="4"/>
        <v>6.0000000000000001E-3</v>
      </c>
      <c r="D18" s="42">
        <f t="shared" si="5"/>
        <v>0.17200000000000001</v>
      </c>
      <c r="E18" s="214">
        <f>'Federal GHG Rule'!N10</f>
        <v>0.16600000000000001</v>
      </c>
      <c r="F18" s="213">
        <f>'Federal GHG Rule'!M10</f>
        <v>6.0000000000000001E-3</v>
      </c>
      <c r="G18" s="215">
        <f t="shared" si="6"/>
        <v>0.17200000000000001</v>
      </c>
      <c r="H18" s="251">
        <f>J18-I18</f>
        <v>0.30470588235294116</v>
      </c>
      <c r="I18" s="252">
        <f>J18*T39</f>
        <v>4.5294117647058825E-2</v>
      </c>
      <c r="J18" s="73">
        <v>0.35</v>
      </c>
      <c r="K18" s="212">
        <f>H18*0.8</f>
        <v>0.24376470588235294</v>
      </c>
      <c r="L18" s="125">
        <f t="shared" ref="L18:M18" si="13">I18*0.8</f>
        <v>3.623529411764706E-2</v>
      </c>
      <c r="M18" s="176">
        <f t="shared" si="13"/>
        <v>0.27999999999999997</v>
      </c>
      <c r="N18">
        <v>7.3999999999999996E-2</v>
      </c>
      <c r="O18">
        <v>3.3000000000000002E-2</v>
      </c>
      <c r="P18" s="73">
        <f>N18+O18</f>
        <v>0.107</v>
      </c>
      <c r="S18">
        <v>2026</v>
      </c>
      <c r="T18" s="3">
        <f>'ZEV Population'!C11</f>
        <v>1146306.4649426555</v>
      </c>
      <c r="U18" s="3">
        <f>'ZEV Population'!E9</f>
        <v>64521.173488531495</v>
      </c>
      <c r="V18" s="147">
        <f>V17+E18*U18</f>
        <v>30112.76911931697</v>
      </c>
      <c r="W18" s="223">
        <f t="shared" ref="W18:W32" si="14">V18/T18</f>
        <v>2.6269387847187423E-2</v>
      </c>
      <c r="X18" s="102">
        <f>Z18-V18</f>
        <v>9039.483697245847</v>
      </c>
      <c r="Y18" s="223">
        <f t="shared" ref="Y18:Y32" si="15">X18/T18</f>
        <v>7.885747811513957E-3</v>
      </c>
      <c r="Z18" s="102">
        <f t="shared" si="2"/>
        <v>39152.252816562817</v>
      </c>
      <c r="AA18" s="104">
        <f t="shared" ref="AA18:AA32" si="16">Z18/T18</f>
        <v>3.4155135658701381E-2</v>
      </c>
      <c r="AB18" s="85">
        <f t="shared" ref="AB18:AB32" si="17">AB17+H18*U18</f>
        <v>39062.23541849092</v>
      </c>
      <c r="AC18" s="60">
        <f t="shared" si="7"/>
        <v>3.4076607445850025E-2</v>
      </c>
      <c r="AD18" s="3">
        <f t="shared" ref="AD18:AD32" si="18">AD17+I18*U18</f>
        <v>11574.786279030493</v>
      </c>
      <c r="AE18" s="60">
        <f t="shared" si="8"/>
        <v>1.0097462269489623E-2</v>
      </c>
      <c r="AF18" s="3">
        <f t="shared" ref="AF18:AF32" si="19">AF17+J18*U18</f>
        <v>50637.021697521421</v>
      </c>
      <c r="AG18" s="104">
        <f t="shared" ref="AG18:AG32" si="20">AF18/T18</f>
        <v>4.4174069715339659E-2</v>
      </c>
      <c r="AH18" s="146">
        <f t="shared" ref="AH18:AH32" si="21">AH17+K18*U18</f>
        <v>35130.239198836891</v>
      </c>
      <c r="AI18" s="60">
        <f t="shared" si="9"/>
        <v>3.0646463466115315E-2</v>
      </c>
      <c r="AJ18" s="3">
        <f t="shared" ref="AJ18:AJ32" si="22">AJ17+L18*U18</f>
        <v>10990.300354487326</v>
      </c>
      <c r="AK18" s="60">
        <f t="shared" si="10"/>
        <v>9.5875760022317603E-3</v>
      </c>
      <c r="AL18" s="102">
        <f t="shared" ref="AL18:AL32" si="23">AL17+M18*U18</f>
        <v>46120.539553324212</v>
      </c>
      <c r="AM18" s="123">
        <f t="shared" ref="AM18:AM32" si="24">AL18/T18</f>
        <v>4.0234039468347069E-2</v>
      </c>
      <c r="AN18" s="147">
        <f>V18</f>
        <v>30112.76911931697</v>
      </c>
      <c r="AO18" s="60">
        <f t="shared" si="11"/>
        <v>2.6269387847187423E-2</v>
      </c>
      <c r="AP18" s="3">
        <f>X18</f>
        <v>9039.483697245847</v>
      </c>
      <c r="AQ18" s="60">
        <f t="shared" si="12"/>
        <v>7.885747811513957E-3</v>
      </c>
      <c r="AR18" s="102">
        <f>Z18</f>
        <v>39152.252816562817</v>
      </c>
      <c r="AS18" s="123">
        <f>AA18</f>
        <v>3.4155135658701381E-2</v>
      </c>
    </row>
    <row r="19" spans="1:45">
      <c r="A19">
        <v>2027</v>
      </c>
      <c r="B19" s="124">
        <f t="shared" si="3"/>
        <v>0.16600000000000001</v>
      </c>
      <c r="C19" s="42">
        <f t="shared" si="4"/>
        <v>6.0000000000000001E-3</v>
      </c>
      <c r="D19" s="42">
        <f t="shared" si="5"/>
        <v>0.17200000000000001</v>
      </c>
      <c r="E19" s="214">
        <f>E18</f>
        <v>0.16600000000000001</v>
      </c>
      <c r="F19" s="213">
        <f>F18</f>
        <v>6.0000000000000001E-3</v>
      </c>
      <c r="G19" s="215">
        <f>G18</f>
        <v>0.17200000000000001</v>
      </c>
      <c r="H19" s="251">
        <f t="shared" ref="H19:H22" si="25">J19-I19</f>
        <v>0.38826470588235296</v>
      </c>
      <c r="I19" s="252">
        <f t="shared" ref="I19:I22" si="26">J19*T40</f>
        <v>4.1735294117647065E-2</v>
      </c>
      <c r="J19" s="73">
        <v>0.43</v>
      </c>
      <c r="K19" s="212">
        <f t="shared" ref="K19:K22" si="27">H19*0.8</f>
        <v>0.31061176470588236</v>
      </c>
      <c r="L19" s="125">
        <f t="shared" ref="L19:L22" si="28">I19*0.8</f>
        <v>3.3388235294117656E-2</v>
      </c>
      <c r="M19" s="176">
        <f t="shared" ref="M19:M22" si="29">J19*0.8</f>
        <v>0.34400000000000003</v>
      </c>
      <c r="N19">
        <v>7.6999999999999999E-2</v>
      </c>
      <c r="O19">
        <v>3.3000000000000002E-2</v>
      </c>
      <c r="P19" s="73">
        <f t="shared" ref="P19:P27" si="30">N19+O19</f>
        <v>0.11</v>
      </c>
      <c r="S19">
        <v>2027</v>
      </c>
      <c r="T19" s="3">
        <f>'ZEV Population'!C15</f>
        <v>1152973.2476590616</v>
      </c>
      <c r="U19" s="3">
        <f>'ZEV Population'!E13</f>
        <v>64656.995160451617</v>
      </c>
      <c r="V19" s="147">
        <f t="shared" ref="V19:V32" si="31">V18+E19*U19</f>
        <v>40845.830315951942</v>
      </c>
      <c r="W19" s="223">
        <f t="shared" si="14"/>
        <v>3.5426520432181099E-2</v>
      </c>
      <c r="X19" s="102">
        <f t="shared" ref="X19:X32" si="32">Z19-V19</f>
        <v>9427.4256682085543</v>
      </c>
      <c r="Y19" s="223">
        <f t="shared" si="15"/>
        <v>8.1766213460282115E-3</v>
      </c>
      <c r="Z19" s="102">
        <f t="shared" si="2"/>
        <v>50273.255984160496</v>
      </c>
      <c r="AA19" s="104">
        <f t="shared" si="16"/>
        <v>4.3603141778209308E-2</v>
      </c>
      <c r="AB19" s="85">
        <f t="shared" si="17"/>
        <v>64166.264627700381</v>
      </c>
      <c r="AC19" s="60">
        <f t="shared" si="7"/>
        <v>5.5652865110253261E-2</v>
      </c>
      <c r="AD19" s="3">
        <f t="shared" si="18"/>
        <v>14273.264988815225</v>
      </c>
      <c r="AE19" s="60">
        <f t="shared" si="8"/>
        <v>1.2379528334933129E-2</v>
      </c>
      <c r="AF19" s="3">
        <f t="shared" si="19"/>
        <v>78439.529616515618</v>
      </c>
      <c r="AG19" s="104">
        <f t="shared" si="20"/>
        <v>6.8032393445186398E-2</v>
      </c>
      <c r="AH19" s="147">
        <f t="shared" si="21"/>
        <v>55213.462566204464</v>
      </c>
      <c r="AI19" s="60">
        <f t="shared" si="9"/>
        <v>4.7887895645720387E-2</v>
      </c>
      <c r="AJ19" s="3">
        <f t="shared" si="22"/>
        <v>13149.083322315111</v>
      </c>
      <c r="AK19" s="60">
        <f t="shared" si="10"/>
        <v>1.1404499930082804E-2</v>
      </c>
      <c r="AL19" s="102">
        <f t="shared" si="23"/>
        <v>68362.545888519569</v>
      </c>
      <c r="AM19" s="123">
        <f t="shared" si="24"/>
        <v>5.9292395575803181E-2</v>
      </c>
      <c r="AN19" s="147">
        <f t="shared" ref="AN19:AN32" si="33">AN18+K19*U19</f>
        <v>50195.992486684539</v>
      </c>
      <c r="AO19" s="60">
        <f t="shared" si="11"/>
        <v>4.3536129384267964E-2</v>
      </c>
      <c r="AP19" s="3">
        <f t="shared" ref="AP19:AP32" si="34">AP18+L19*U19</f>
        <v>11198.266665073632</v>
      </c>
      <c r="AQ19" s="60">
        <f t="shared" si="12"/>
        <v>9.7125121400778586E-3</v>
      </c>
      <c r="AR19" s="102">
        <f t="shared" ref="AR19:AR32" si="35">AR18+M19*U19</f>
        <v>61394.259151758175</v>
      </c>
      <c r="AS19" s="123">
        <f t="shared" ref="AS19:AS32" si="36">AR19/T19</f>
        <v>5.324864152434583E-2</v>
      </c>
    </row>
    <row r="20" spans="1:45">
      <c r="A20">
        <v>2028</v>
      </c>
      <c r="B20" s="124">
        <f t="shared" si="3"/>
        <v>0.16600000000000001</v>
      </c>
      <c r="C20" s="42">
        <f t="shared" si="4"/>
        <v>6.0000000000000001E-3</v>
      </c>
      <c r="D20" s="42">
        <f t="shared" si="5"/>
        <v>0.17200000000000001</v>
      </c>
      <c r="E20" s="214">
        <f t="shared" ref="E20:E32" si="37">E19</f>
        <v>0.16600000000000001</v>
      </c>
      <c r="F20" s="213">
        <f t="shared" ref="F20:F32" si="38">F19</f>
        <v>6.0000000000000001E-3</v>
      </c>
      <c r="G20" s="215">
        <f t="shared" ref="G20:G32" si="39">G19</f>
        <v>0.17200000000000001</v>
      </c>
      <c r="H20" s="251">
        <f t="shared" si="25"/>
        <v>0.46920000000000001</v>
      </c>
      <c r="I20" s="252">
        <f t="shared" si="26"/>
        <v>4.0800000000000003E-2</v>
      </c>
      <c r="J20" s="73">
        <v>0.51</v>
      </c>
      <c r="K20" s="212">
        <f t="shared" si="27"/>
        <v>0.37536000000000003</v>
      </c>
      <c r="L20" s="125">
        <f t="shared" si="28"/>
        <v>3.2640000000000002E-2</v>
      </c>
      <c r="M20" s="176">
        <f t="shared" si="29"/>
        <v>0.40800000000000003</v>
      </c>
      <c r="N20">
        <v>0.08</v>
      </c>
      <c r="O20">
        <v>3.4000000000000002E-2</v>
      </c>
      <c r="P20" s="73">
        <f t="shared" si="30"/>
        <v>0.114</v>
      </c>
      <c r="S20">
        <v>2028</v>
      </c>
      <c r="T20" s="3">
        <f>'ZEV Population'!C19</f>
        <v>1159640.0303754678</v>
      </c>
      <c r="U20" s="3">
        <f>'ZEV Population'!E17</f>
        <v>64792.358605800269</v>
      </c>
      <c r="V20" s="147">
        <f t="shared" si="31"/>
        <v>51601.361844514788</v>
      </c>
      <c r="W20" s="223">
        <f t="shared" si="14"/>
        <v>4.4497741103165712E-2</v>
      </c>
      <c r="X20" s="102">
        <f t="shared" si="32"/>
        <v>9816.1798198433535</v>
      </c>
      <c r="Y20" s="223">
        <f t="shared" si="15"/>
        <v>8.4648507836221163E-3</v>
      </c>
      <c r="Z20" s="102">
        <f t="shared" si="2"/>
        <v>61417.541664358141</v>
      </c>
      <c r="AA20" s="104">
        <f t="shared" si="16"/>
        <v>5.2962591886787827E-2</v>
      </c>
      <c r="AB20" s="85">
        <f t="shared" si="17"/>
        <v>94566.839285541864</v>
      </c>
      <c r="AC20" s="60">
        <f t="shared" si="7"/>
        <v>8.1548443317296535E-2</v>
      </c>
      <c r="AD20" s="3">
        <f t="shared" si="18"/>
        <v>16916.793219931875</v>
      </c>
      <c r="AE20" s="60">
        <f t="shared" si="8"/>
        <v>1.4587969349811563E-2</v>
      </c>
      <c r="AF20" s="3">
        <f t="shared" si="19"/>
        <v>111483.63250547375</v>
      </c>
      <c r="AG20" s="104">
        <f t="shared" si="20"/>
        <v>9.6136412667108109E-2</v>
      </c>
      <c r="AH20" s="147">
        <f t="shared" si="21"/>
        <v>79533.922292477655</v>
      </c>
      <c r="AI20" s="60">
        <f t="shared" si="9"/>
        <v>6.8585009321147861E-2</v>
      </c>
      <c r="AJ20" s="3">
        <f t="shared" si="22"/>
        <v>15263.905907208433</v>
      </c>
      <c r="AK20" s="60">
        <f t="shared" si="10"/>
        <v>1.3162624182839127E-2</v>
      </c>
      <c r="AL20" s="102">
        <f t="shared" si="23"/>
        <v>94797.828199686075</v>
      </c>
      <c r="AM20" s="123">
        <f t="shared" si="24"/>
        <v>8.1747633503986977E-2</v>
      </c>
      <c r="AN20" s="147">
        <f t="shared" si="33"/>
        <v>74516.452212957724</v>
      </c>
      <c r="AO20" s="60">
        <f t="shared" si="11"/>
        <v>6.4258261409646938E-2</v>
      </c>
      <c r="AP20" s="3">
        <f t="shared" si="34"/>
        <v>13313.089249966954</v>
      </c>
      <c r="AQ20" s="60">
        <f t="shared" si="12"/>
        <v>1.1480363648412902E-2</v>
      </c>
      <c r="AR20" s="102">
        <f t="shared" si="35"/>
        <v>87829.541462924681</v>
      </c>
      <c r="AS20" s="123">
        <f t="shared" si="36"/>
        <v>7.5738625058059839E-2</v>
      </c>
    </row>
    <row r="21" spans="1:45">
      <c r="A21">
        <v>2029</v>
      </c>
      <c r="B21" s="124">
        <f t="shared" si="3"/>
        <v>0.16600000000000001</v>
      </c>
      <c r="C21" s="42">
        <f t="shared" si="4"/>
        <v>6.0000000000000001E-3</v>
      </c>
      <c r="D21" s="42">
        <f t="shared" si="5"/>
        <v>0.17200000000000001</v>
      </c>
      <c r="E21" s="214">
        <f t="shared" si="37"/>
        <v>0.16600000000000001</v>
      </c>
      <c r="F21" s="213">
        <f t="shared" si="38"/>
        <v>6.0000000000000001E-3</v>
      </c>
      <c r="G21" s="215">
        <f t="shared" si="39"/>
        <v>0.17200000000000001</v>
      </c>
      <c r="H21" s="251">
        <f t="shared" si="25"/>
        <v>0.55066666666666664</v>
      </c>
      <c r="I21" s="252">
        <f t="shared" si="26"/>
        <v>3.9333333333333331E-2</v>
      </c>
      <c r="J21" s="73">
        <v>0.59</v>
      </c>
      <c r="K21" s="212">
        <f t="shared" si="27"/>
        <v>0.44053333333333333</v>
      </c>
      <c r="L21" s="125">
        <f t="shared" si="28"/>
        <v>3.1466666666666664E-2</v>
      </c>
      <c r="M21" s="176">
        <f t="shared" si="29"/>
        <v>0.47199999999999998</v>
      </c>
      <c r="N21">
        <v>8.3000000000000004E-2</v>
      </c>
      <c r="O21">
        <v>3.4000000000000002E-2</v>
      </c>
      <c r="P21" s="73">
        <f t="shared" si="30"/>
        <v>0.11700000000000001</v>
      </c>
      <c r="S21">
        <v>2029</v>
      </c>
      <c r="T21" s="3">
        <f>'ZEV Population'!C23</f>
        <v>1166306.8130918739</v>
      </c>
      <c r="U21" s="3">
        <f>'ZEV Population'!E21</f>
        <v>64927.263824577472</v>
      </c>
      <c r="V21" s="147">
        <f t="shared" si="31"/>
        <v>62379.28763939465</v>
      </c>
      <c r="W21" s="223">
        <f t="shared" si="14"/>
        <v>5.3484457896655381E-2</v>
      </c>
      <c r="X21" s="102">
        <f t="shared" si="32"/>
        <v>10205.743402790817</v>
      </c>
      <c r="Y21" s="223">
        <f t="shared" si="15"/>
        <v>8.7504791091251866E-3</v>
      </c>
      <c r="Z21" s="102">
        <f t="shared" si="2"/>
        <v>72585.031042185467</v>
      </c>
      <c r="AA21" s="104">
        <f t="shared" si="16"/>
        <v>6.2234937005780575E-2</v>
      </c>
      <c r="AB21" s="85">
        <f t="shared" si="17"/>
        <v>130320.11923160919</v>
      </c>
      <c r="AC21" s="60">
        <f t="shared" si="7"/>
        <v>0.11173742429415393</v>
      </c>
      <c r="AD21" s="3">
        <f t="shared" si="18"/>
        <v>19470.598930365253</v>
      </c>
      <c r="AE21" s="60">
        <f t="shared" si="8"/>
        <v>1.6694234065861954E-2</v>
      </c>
      <c r="AF21" s="3">
        <f t="shared" si="19"/>
        <v>149790.71816197445</v>
      </c>
      <c r="AG21" s="104">
        <f t="shared" si="20"/>
        <v>0.12843165836001588</v>
      </c>
      <c r="AH21" s="147">
        <f t="shared" si="21"/>
        <v>108136.54624933151</v>
      </c>
      <c r="AI21" s="60">
        <f t="shared" si="9"/>
        <v>9.2717066414678681E-2</v>
      </c>
      <c r="AJ21" s="3">
        <f t="shared" si="22"/>
        <v>17306.950475555139</v>
      </c>
      <c r="AK21" s="60">
        <f t="shared" si="10"/>
        <v>1.483910604078055E-2</v>
      </c>
      <c r="AL21" s="102">
        <f t="shared" si="23"/>
        <v>125443.49672488665</v>
      </c>
      <c r="AM21" s="123">
        <f t="shared" si="24"/>
        <v>0.10755617245545923</v>
      </c>
      <c r="AN21" s="147">
        <f t="shared" si="33"/>
        <v>103119.07616981158</v>
      </c>
      <c r="AO21" s="60">
        <f t="shared" si="11"/>
        <v>8.8415050835931749E-2</v>
      </c>
      <c r="AP21" s="3">
        <f t="shared" si="34"/>
        <v>15356.133818313658</v>
      </c>
      <c r="AQ21" s="60">
        <f t="shared" si="12"/>
        <v>1.3166461557062003E-2</v>
      </c>
      <c r="AR21" s="102">
        <f t="shared" si="35"/>
        <v>118475.20998812525</v>
      </c>
      <c r="AS21" s="123">
        <f t="shared" si="36"/>
        <v>0.10158151239299376</v>
      </c>
    </row>
    <row r="22" spans="1:45">
      <c r="A22">
        <v>2030</v>
      </c>
      <c r="B22" s="124">
        <f t="shared" si="3"/>
        <v>0.16600000000000001</v>
      </c>
      <c r="C22" s="42">
        <f t="shared" si="4"/>
        <v>6.0000000000000001E-3</v>
      </c>
      <c r="D22" s="42">
        <f t="shared" si="5"/>
        <v>0.17200000000000001</v>
      </c>
      <c r="E22" s="214">
        <f t="shared" si="37"/>
        <v>0.16600000000000001</v>
      </c>
      <c r="F22" s="213">
        <f t="shared" si="38"/>
        <v>6.0000000000000001E-3</v>
      </c>
      <c r="G22" s="215">
        <f t="shared" si="39"/>
        <v>0.17200000000000001</v>
      </c>
      <c r="H22" s="251">
        <f t="shared" si="25"/>
        <v>0.64114285714285724</v>
      </c>
      <c r="I22" s="252">
        <f t="shared" si="26"/>
        <v>3.8857142857142861E-2</v>
      </c>
      <c r="J22" s="73">
        <v>0.68</v>
      </c>
      <c r="K22" s="212">
        <f t="shared" si="27"/>
        <v>0.51291428571428577</v>
      </c>
      <c r="L22" s="125">
        <f t="shared" si="28"/>
        <v>3.1085714285714289E-2</v>
      </c>
      <c r="M22" s="176">
        <f t="shared" si="29"/>
        <v>0.54400000000000004</v>
      </c>
      <c r="N22">
        <v>8.5999999999999993E-2</v>
      </c>
      <c r="O22">
        <v>3.4000000000000002E-2</v>
      </c>
      <c r="P22" s="73">
        <f t="shared" si="30"/>
        <v>0.12</v>
      </c>
      <c r="S22">
        <v>2030</v>
      </c>
      <c r="T22" s="3">
        <f>'ZEV Population'!C27</f>
        <v>1172973.5958082802</v>
      </c>
      <c r="U22" s="3">
        <f>'ZEV Population'!E25</f>
        <v>65061.710816783205</v>
      </c>
      <c r="V22" s="147">
        <f t="shared" si="31"/>
        <v>73179.531634980667</v>
      </c>
      <c r="W22" s="223">
        <f t="shared" si="14"/>
        <v>6.2388046837962834E-2</v>
      </c>
      <c r="X22" s="102">
        <f t="shared" si="32"/>
        <v>10596.113667691505</v>
      </c>
      <c r="Y22" s="223">
        <f t="shared" si="15"/>
        <v>9.0335483301223554E-3</v>
      </c>
      <c r="Z22" s="102">
        <f t="shared" si="2"/>
        <v>83775.645302672172</v>
      </c>
      <c r="AA22" s="104">
        <f t="shared" si="16"/>
        <v>7.1421595168085189E-2</v>
      </c>
      <c r="AB22" s="85">
        <f t="shared" si="17"/>
        <v>172033.97039528392</v>
      </c>
      <c r="AC22" s="60">
        <f t="shared" si="7"/>
        <v>0.146664827759177</v>
      </c>
      <c r="AD22" s="3">
        <f t="shared" si="18"/>
        <v>21998.711122103115</v>
      </c>
      <c r="AE22" s="60">
        <f t="shared" si="8"/>
        <v>1.8754651597203346E-2</v>
      </c>
      <c r="AF22" s="3">
        <f t="shared" si="19"/>
        <v>194032.68151738704</v>
      </c>
      <c r="AG22" s="104">
        <f t="shared" si="20"/>
        <v>0.16541947935638035</v>
      </c>
      <c r="AH22" s="146">
        <f t="shared" si="21"/>
        <v>141507.62718027129</v>
      </c>
      <c r="AI22" s="60">
        <f t="shared" si="9"/>
        <v>0.12064007892927914</v>
      </c>
      <c r="AJ22" s="3">
        <f t="shared" si="22"/>
        <v>19329.44022894543</v>
      </c>
      <c r="AK22" s="60">
        <f t="shared" si="10"/>
        <v>1.6479007113221315E-2</v>
      </c>
      <c r="AL22" s="102">
        <f t="shared" si="23"/>
        <v>160837.06740921672</v>
      </c>
      <c r="AM22" s="123">
        <f t="shared" si="24"/>
        <v>0.13711908604250045</v>
      </c>
      <c r="AN22" s="147">
        <f t="shared" si="33"/>
        <v>136490.15710075136</v>
      </c>
      <c r="AO22" s="60">
        <f t="shared" si="11"/>
        <v>0.11636251454296194</v>
      </c>
      <c r="AP22" s="3">
        <f t="shared" si="34"/>
        <v>17378.623571703945</v>
      </c>
      <c r="AQ22" s="60">
        <f t="shared" si="12"/>
        <v>1.4815869371491326E-2</v>
      </c>
      <c r="AR22" s="102">
        <f t="shared" si="35"/>
        <v>153868.78067245532</v>
      </c>
      <c r="AS22" s="123">
        <f t="shared" si="36"/>
        <v>0.13117838391445327</v>
      </c>
    </row>
    <row r="23" spans="1:45">
      <c r="A23">
        <v>2031</v>
      </c>
      <c r="B23" s="124">
        <f t="shared" si="3"/>
        <v>0.16600000000000001</v>
      </c>
      <c r="C23" s="42">
        <f t="shared" si="4"/>
        <v>6.0000000000000001E-3</v>
      </c>
      <c r="D23" s="42">
        <f t="shared" si="5"/>
        <v>0.17200000000000001</v>
      </c>
      <c r="E23" s="214">
        <f t="shared" si="37"/>
        <v>0.16600000000000001</v>
      </c>
      <c r="F23" s="213">
        <f t="shared" si="38"/>
        <v>6.0000000000000001E-3</v>
      </c>
      <c r="G23" s="215">
        <f t="shared" si="39"/>
        <v>0.17200000000000001</v>
      </c>
      <c r="H23" s="146">
        <v>0.72599999999999998</v>
      </c>
      <c r="I23" s="29">
        <v>3.4000000000000002E-2</v>
      </c>
      <c r="J23" s="73">
        <v>0.76</v>
      </c>
      <c r="K23" s="29">
        <f>H23</f>
        <v>0.72599999999999998</v>
      </c>
      <c r="L23" s="29">
        <f>I23</f>
        <v>3.4000000000000002E-2</v>
      </c>
      <c r="M23" s="176">
        <f>J23</f>
        <v>0.76</v>
      </c>
      <c r="N23">
        <v>8.5999999999999993E-2</v>
      </c>
      <c r="O23">
        <v>3.4000000000000002E-2</v>
      </c>
      <c r="P23" s="73">
        <f t="shared" si="30"/>
        <v>0.12</v>
      </c>
      <c r="S23">
        <v>2031</v>
      </c>
      <c r="T23" s="3">
        <f>'ZEV Population'!C31</f>
        <v>1176019.4309916038</v>
      </c>
      <c r="U23" s="3">
        <f>'ZEV Population'!E29</f>
        <v>65434.113240214589</v>
      </c>
      <c r="V23" s="147">
        <f t="shared" si="31"/>
        <v>84041.594432856291</v>
      </c>
      <c r="W23" s="223">
        <f t="shared" si="14"/>
        <v>7.1462760068508005E-2</v>
      </c>
      <c r="X23" s="102">
        <f t="shared" si="32"/>
        <v>10988.718347132788</v>
      </c>
      <c r="Y23" s="223">
        <f t="shared" si="15"/>
        <v>9.3439938640021009E-3</v>
      </c>
      <c r="Z23" s="102">
        <f t="shared" si="2"/>
        <v>95030.312779989079</v>
      </c>
      <c r="AA23" s="104">
        <f t="shared" si="16"/>
        <v>8.0806753932510106E-2</v>
      </c>
      <c r="AB23" s="85">
        <f t="shared" si="17"/>
        <v>219539.13660767971</v>
      </c>
      <c r="AC23" s="60">
        <f t="shared" si="7"/>
        <v>0.18667985478995638</v>
      </c>
      <c r="AD23" s="3">
        <f t="shared" si="18"/>
        <v>24223.47097227041</v>
      </c>
      <c r="AE23" s="60">
        <f t="shared" si="8"/>
        <v>2.0597849264995142E-2</v>
      </c>
      <c r="AF23" s="3">
        <f t="shared" si="19"/>
        <v>243762.60757995013</v>
      </c>
      <c r="AG23" s="104">
        <f t="shared" si="20"/>
        <v>0.20727770405495152</v>
      </c>
      <c r="AH23" s="146">
        <f t="shared" si="21"/>
        <v>189012.79339266708</v>
      </c>
      <c r="AI23" s="60">
        <f t="shared" si="9"/>
        <v>0.16072250883924089</v>
      </c>
      <c r="AJ23" s="3">
        <f t="shared" si="22"/>
        <v>21554.200079112725</v>
      </c>
      <c r="AK23" s="60">
        <f t="shared" si="10"/>
        <v>1.8328098593522826E-2</v>
      </c>
      <c r="AL23" s="102">
        <f t="shared" si="23"/>
        <v>210566.9934717798</v>
      </c>
      <c r="AM23" s="123">
        <f t="shared" si="24"/>
        <v>0.17905060743276371</v>
      </c>
      <c r="AN23" s="147">
        <f t="shared" si="33"/>
        <v>183995.32331314715</v>
      </c>
      <c r="AO23" s="60">
        <f t="shared" si="11"/>
        <v>0.15645602314411147</v>
      </c>
      <c r="AP23" s="3">
        <f t="shared" si="34"/>
        <v>19603.38342187124</v>
      </c>
      <c r="AQ23" s="60">
        <f t="shared" si="12"/>
        <v>1.6669268300560248E-2</v>
      </c>
      <c r="AR23" s="102">
        <f t="shared" si="35"/>
        <v>203598.70673501841</v>
      </c>
      <c r="AS23" s="123">
        <f t="shared" si="36"/>
        <v>0.17312529144467173</v>
      </c>
    </row>
    <row r="24" spans="1:45">
      <c r="A24">
        <v>2032</v>
      </c>
      <c r="B24" s="124">
        <f t="shared" si="3"/>
        <v>0.16600000000000001</v>
      </c>
      <c r="C24" s="42">
        <f t="shared" si="4"/>
        <v>6.0000000000000001E-3</v>
      </c>
      <c r="D24" s="42">
        <f t="shared" si="5"/>
        <v>0.17200000000000001</v>
      </c>
      <c r="E24" s="214">
        <f t="shared" si="37"/>
        <v>0.16600000000000001</v>
      </c>
      <c r="F24" s="213">
        <f t="shared" si="38"/>
        <v>6.0000000000000001E-3</v>
      </c>
      <c r="G24" s="215">
        <f t="shared" si="39"/>
        <v>0.17200000000000001</v>
      </c>
      <c r="H24" s="146">
        <v>0.78600000000000003</v>
      </c>
      <c r="I24" s="29">
        <v>3.4000000000000002E-2</v>
      </c>
      <c r="J24" s="73">
        <f t="shared" ref="J24:J32" si="40">SUM(H24:I24)</f>
        <v>0.82000000000000006</v>
      </c>
      <c r="K24" s="29">
        <f t="shared" ref="K24:K32" si="41">H24</f>
        <v>0.78600000000000003</v>
      </c>
      <c r="L24" s="29">
        <f t="shared" ref="L24:L32" si="42">I24</f>
        <v>3.4000000000000002E-2</v>
      </c>
      <c r="M24" s="176">
        <f t="shared" ref="M24:M32" si="43">J24</f>
        <v>0.82000000000000006</v>
      </c>
      <c r="N24">
        <v>8.5999999999999993E-2</v>
      </c>
      <c r="O24">
        <v>3.4000000000000002E-2</v>
      </c>
      <c r="P24" s="73">
        <f t="shared" si="30"/>
        <v>0.12</v>
      </c>
      <c r="S24">
        <v>2032</v>
      </c>
      <c r="T24" s="3">
        <f>'ZEV Population'!C35</f>
        <v>1179065.2661749271</v>
      </c>
      <c r="U24" s="3">
        <f>'ZEV Population'!E33</f>
        <v>65811.598706142977</v>
      </c>
      <c r="V24" s="147">
        <f t="shared" si="31"/>
        <v>94966.319818076023</v>
      </c>
      <c r="W24" s="223">
        <f t="shared" si="14"/>
        <v>8.0543734551829921E-2</v>
      </c>
      <c r="X24" s="102">
        <f t="shared" si="32"/>
        <v>11383.587939369652</v>
      </c>
      <c r="Y24" s="223">
        <f t="shared" si="15"/>
        <v>9.6547564125095461E-3</v>
      </c>
      <c r="Z24" s="102">
        <f t="shared" si="2"/>
        <v>106349.90775744568</v>
      </c>
      <c r="AA24" s="104">
        <f t="shared" si="16"/>
        <v>9.0198490964339476E-2</v>
      </c>
      <c r="AB24" s="85">
        <f t="shared" si="17"/>
        <v>271267.0531907081</v>
      </c>
      <c r="AC24" s="60">
        <f t="shared" si="7"/>
        <v>0.23006958221298557</v>
      </c>
      <c r="AD24" s="3">
        <f t="shared" si="18"/>
        <v>26461.06532827927</v>
      </c>
      <c r="AE24" s="60">
        <f t="shared" si="8"/>
        <v>2.2442409328300477E-2</v>
      </c>
      <c r="AF24" s="3">
        <f t="shared" si="19"/>
        <v>297728.11851898738</v>
      </c>
      <c r="AG24" s="104">
        <f t="shared" si="20"/>
        <v>0.25251199154128606</v>
      </c>
      <c r="AH24" s="146">
        <f t="shared" si="21"/>
        <v>240740.70997569547</v>
      </c>
      <c r="AI24" s="60">
        <f t="shared" si="9"/>
        <v>0.20417929090278109</v>
      </c>
      <c r="AJ24" s="3">
        <f t="shared" si="22"/>
        <v>23791.794435121585</v>
      </c>
      <c r="AK24" s="60">
        <f t="shared" si="10"/>
        <v>2.0178522018807238E-2</v>
      </c>
      <c r="AL24" s="102">
        <f t="shared" si="23"/>
        <v>264532.50441081706</v>
      </c>
      <c r="AM24" s="123">
        <f t="shared" si="24"/>
        <v>0.22435781292158832</v>
      </c>
      <c r="AN24" s="147">
        <f t="shared" si="33"/>
        <v>235723.23989617554</v>
      </c>
      <c r="AO24" s="60">
        <f t="shared" si="11"/>
        <v>0.19992382666050265</v>
      </c>
      <c r="AP24" s="3">
        <f t="shared" si="34"/>
        <v>21840.9777778801</v>
      </c>
      <c r="AQ24" s="60">
        <f t="shared" si="12"/>
        <v>1.8523976920069626E-2</v>
      </c>
      <c r="AR24" s="102">
        <f t="shared" si="35"/>
        <v>257564.21767405566</v>
      </c>
      <c r="AS24" s="123">
        <f t="shared" si="36"/>
        <v>0.21844780358057228</v>
      </c>
    </row>
    <row r="25" spans="1:45">
      <c r="A25">
        <v>2033</v>
      </c>
      <c r="B25" s="124">
        <f t="shared" si="3"/>
        <v>0.16600000000000001</v>
      </c>
      <c r="C25" s="42">
        <f t="shared" si="4"/>
        <v>6.0000000000000001E-3</v>
      </c>
      <c r="D25" s="42">
        <f t="shared" si="5"/>
        <v>0.17200000000000001</v>
      </c>
      <c r="E25" s="214">
        <f t="shared" si="37"/>
        <v>0.16600000000000001</v>
      </c>
      <c r="F25" s="213">
        <f t="shared" si="38"/>
        <v>6.0000000000000001E-3</v>
      </c>
      <c r="G25" s="215">
        <f t="shared" si="39"/>
        <v>0.17200000000000001</v>
      </c>
      <c r="H25" s="146">
        <v>0.81299999999999994</v>
      </c>
      <c r="I25" s="29">
        <v>6.7000000000000004E-2</v>
      </c>
      <c r="J25" s="73">
        <f t="shared" si="40"/>
        <v>0.87999999999999989</v>
      </c>
      <c r="K25" s="29">
        <f t="shared" si="41"/>
        <v>0.81299999999999994</v>
      </c>
      <c r="L25" s="29">
        <f t="shared" si="42"/>
        <v>6.7000000000000004E-2</v>
      </c>
      <c r="M25" s="176">
        <f t="shared" si="43"/>
        <v>0.87999999999999989</v>
      </c>
      <c r="N25">
        <v>8.5999999999999993E-2</v>
      </c>
      <c r="O25">
        <v>3.4000000000000002E-2</v>
      </c>
      <c r="P25" s="73">
        <f t="shared" si="30"/>
        <v>0.12</v>
      </c>
      <c r="S25">
        <v>2033</v>
      </c>
      <c r="T25" s="3">
        <f>'ZEV Population'!C39</f>
        <v>1182111.1013582507</v>
      </c>
      <c r="U25" s="3">
        <f>'ZEV Population'!E37</f>
        <v>66194.167214568341</v>
      </c>
      <c r="V25" s="147">
        <f t="shared" si="31"/>
        <v>105954.55157569436</v>
      </c>
      <c r="W25" s="223">
        <f t="shared" si="14"/>
        <v>8.9631635684625691E-2</v>
      </c>
      <c r="X25" s="102">
        <f t="shared" si="32"/>
        <v>11780.752942657069</v>
      </c>
      <c r="Y25" s="223">
        <f t="shared" si="15"/>
        <v>9.9658593249999372E-3</v>
      </c>
      <c r="Z25" s="102">
        <f t="shared" si="2"/>
        <v>117735.30451835143</v>
      </c>
      <c r="AA25" s="104">
        <f t="shared" si="16"/>
        <v>9.9597495009625628E-2</v>
      </c>
      <c r="AB25" s="85">
        <f t="shared" si="17"/>
        <v>325082.91113615216</v>
      </c>
      <c r="AC25" s="60">
        <f t="shared" si="7"/>
        <v>0.27500199495853689</v>
      </c>
      <c r="AD25" s="3">
        <f t="shared" si="18"/>
        <v>30896.074531655351</v>
      </c>
      <c r="AE25" s="60">
        <f t="shared" si="8"/>
        <v>2.6136354270047568E-2</v>
      </c>
      <c r="AF25" s="3">
        <f t="shared" si="19"/>
        <v>355978.98566780752</v>
      </c>
      <c r="AG25" s="104">
        <f t="shared" si="20"/>
        <v>0.30113834922858446</v>
      </c>
      <c r="AH25" s="146">
        <f t="shared" si="21"/>
        <v>294556.56792113953</v>
      </c>
      <c r="AI25" s="60">
        <f t="shared" si="9"/>
        <v>0.2491784127419942</v>
      </c>
      <c r="AJ25" s="3">
        <f t="shared" si="22"/>
        <v>28226.803638497666</v>
      </c>
      <c r="AK25" s="60">
        <f t="shared" si="10"/>
        <v>2.3878300107379881E-2</v>
      </c>
      <c r="AL25" s="102">
        <f t="shared" si="23"/>
        <v>322783.37155963719</v>
      </c>
      <c r="AM25" s="123">
        <f t="shared" si="24"/>
        <v>0.27305671284937405</v>
      </c>
      <c r="AN25" s="147">
        <f t="shared" si="33"/>
        <v>289539.09784161957</v>
      </c>
      <c r="AO25" s="60">
        <f t="shared" si="11"/>
        <v>0.24493391315667193</v>
      </c>
      <c r="AP25" s="3">
        <f t="shared" si="34"/>
        <v>26275.986981256181</v>
      </c>
      <c r="AQ25" s="60">
        <f t="shared" si="12"/>
        <v>2.2228018120348383E-2</v>
      </c>
      <c r="AR25" s="102">
        <f t="shared" si="35"/>
        <v>315815.0848228758</v>
      </c>
      <c r="AS25" s="123">
        <f t="shared" si="36"/>
        <v>0.26716193127702031</v>
      </c>
    </row>
    <row r="26" spans="1:45">
      <c r="A26">
        <v>2034</v>
      </c>
      <c r="B26" s="124">
        <f t="shared" si="3"/>
        <v>0.16600000000000001</v>
      </c>
      <c r="C26" s="42">
        <f t="shared" si="4"/>
        <v>6.0000000000000001E-3</v>
      </c>
      <c r="D26" s="42">
        <f t="shared" si="5"/>
        <v>0.17200000000000001</v>
      </c>
      <c r="E26" s="214">
        <f t="shared" si="37"/>
        <v>0.16600000000000001</v>
      </c>
      <c r="F26" s="213">
        <f t="shared" si="38"/>
        <v>6.0000000000000001E-3</v>
      </c>
      <c r="G26" s="215">
        <f t="shared" si="39"/>
        <v>0.17200000000000001</v>
      </c>
      <c r="H26" s="146">
        <v>0.82699999999999996</v>
      </c>
      <c r="I26" s="29">
        <v>0.113</v>
      </c>
      <c r="J26" s="73">
        <f t="shared" si="40"/>
        <v>0.94</v>
      </c>
      <c r="K26" s="29">
        <f t="shared" si="41"/>
        <v>0.82699999999999996</v>
      </c>
      <c r="L26" s="29">
        <f t="shared" si="42"/>
        <v>0.113</v>
      </c>
      <c r="M26" s="176">
        <f t="shared" si="43"/>
        <v>0.94</v>
      </c>
      <c r="N26">
        <v>8.5999999999999993E-2</v>
      </c>
      <c r="O26">
        <v>3.4000000000000002E-2</v>
      </c>
      <c r="P26" s="73">
        <f t="shared" si="30"/>
        <v>0.12</v>
      </c>
      <c r="S26">
        <v>2034</v>
      </c>
      <c r="T26" s="3">
        <f>'ZEV Population'!C43</f>
        <v>1185156.9365415741</v>
      </c>
      <c r="U26" s="3">
        <f>'ZEV Population'!E41</f>
        <v>66581.818765490694</v>
      </c>
      <c r="V26" s="147">
        <f t="shared" si="31"/>
        <v>117007.13349076582</v>
      </c>
      <c r="W26" s="223">
        <f t="shared" si="14"/>
        <v>9.8727122023355193E-2</v>
      </c>
      <c r="X26" s="102">
        <f t="shared" si="32"/>
        <v>12180.24385525001</v>
      </c>
      <c r="Y26" s="223">
        <f t="shared" si="15"/>
        <v>1.0277325710798589E-2</v>
      </c>
      <c r="Z26" s="102">
        <f t="shared" si="2"/>
        <v>129187.37734601583</v>
      </c>
      <c r="AA26" s="104">
        <f t="shared" si="16"/>
        <v>0.10900444773415378</v>
      </c>
      <c r="AB26" s="85">
        <f t="shared" si="17"/>
        <v>380146.07525521296</v>
      </c>
      <c r="AC26" s="60">
        <f t="shared" si="7"/>
        <v>0.32075589614698918</v>
      </c>
      <c r="AD26" s="3">
        <f t="shared" si="18"/>
        <v>38419.820052155803</v>
      </c>
      <c r="AE26" s="60">
        <f t="shared" si="8"/>
        <v>3.2417495833310744E-2</v>
      </c>
      <c r="AF26" s="3">
        <f t="shared" si="19"/>
        <v>418565.89530736877</v>
      </c>
      <c r="AG26" s="104">
        <f t="shared" si="20"/>
        <v>0.3531733919802999</v>
      </c>
      <c r="AH26" s="146">
        <f t="shared" si="21"/>
        <v>349619.73204020032</v>
      </c>
      <c r="AI26" s="60">
        <f t="shared" si="9"/>
        <v>0.29499868014140929</v>
      </c>
      <c r="AJ26" s="3">
        <f t="shared" si="22"/>
        <v>35750.549158998117</v>
      </c>
      <c r="AK26" s="60">
        <f t="shared" si="10"/>
        <v>3.0165244835272519E-2</v>
      </c>
      <c r="AL26" s="102">
        <f t="shared" si="23"/>
        <v>385370.28119919845</v>
      </c>
      <c r="AM26" s="123">
        <f t="shared" si="24"/>
        <v>0.32516392497668184</v>
      </c>
      <c r="AN26" s="147">
        <f t="shared" si="33"/>
        <v>344602.26196068036</v>
      </c>
      <c r="AO26" s="60">
        <f t="shared" si="11"/>
        <v>0.29076508885504215</v>
      </c>
      <c r="AP26" s="3">
        <f t="shared" si="34"/>
        <v>33799.732501756633</v>
      </c>
      <c r="AQ26" s="60">
        <f t="shared" si="12"/>
        <v>2.8519204047683495E-2</v>
      </c>
      <c r="AR26" s="102">
        <f t="shared" si="35"/>
        <v>378401.99446243705</v>
      </c>
      <c r="AS26" s="123">
        <f t="shared" si="36"/>
        <v>0.3192842929027257</v>
      </c>
    </row>
    <row r="27" spans="1:45">
      <c r="A27">
        <v>2035</v>
      </c>
      <c r="B27" s="124">
        <f t="shared" si="3"/>
        <v>0.16600000000000001</v>
      </c>
      <c r="C27" s="42">
        <f t="shared" si="4"/>
        <v>6.0000000000000001E-3</v>
      </c>
      <c r="D27" s="42">
        <f t="shared" si="5"/>
        <v>0.17200000000000001</v>
      </c>
      <c r="E27" s="214">
        <f t="shared" si="37"/>
        <v>0.16600000000000001</v>
      </c>
      <c r="F27" s="213">
        <f t="shared" si="38"/>
        <v>6.0000000000000001E-3</v>
      </c>
      <c r="G27" s="215">
        <f t="shared" si="39"/>
        <v>0.17200000000000001</v>
      </c>
      <c r="H27" s="146">
        <v>0.82699999999999996</v>
      </c>
      <c r="I27" s="29">
        <v>0.17299999999999999</v>
      </c>
      <c r="J27" s="73">
        <f t="shared" si="40"/>
        <v>1</v>
      </c>
      <c r="K27" s="29">
        <f t="shared" si="41"/>
        <v>0.82699999999999996</v>
      </c>
      <c r="L27" s="29">
        <f t="shared" si="42"/>
        <v>0.17299999999999999</v>
      </c>
      <c r="M27" s="176">
        <f t="shared" si="43"/>
        <v>1</v>
      </c>
      <c r="N27">
        <v>8.5999999999999993E-2</v>
      </c>
      <c r="O27">
        <v>3.4000000000000002E-2</v>
      </c>
      <c r="P27" s="73">
        <f t="shared" si="30"/>
        <v>0.12</v>
      </c>
      <c r="S27">
        <v>2035</v>
      </c>
      <c r="T27" s="3">
        <f>'ZEV Population'!C47</f>
        <v>1188202.7717248977</v>
      </c>
      <c r="U27" s="3">
        <f>'ZEV Population'!E45</f>
        <v>66974.553358910067</v>
      </c>
      <c r="V27" s="147">
        <f t="shared" si="31"/>
        <v>128124.9093483449</v>
      </c>
      <c r="W27" s="223">
        <f t="shared" si="14"/>
        <v>0.10783084537191218</v>
      </c>
      <c r="X27" s="102">
        <f t="shared" si="32"/>
        <v>12582.091175403475</v>
      </c>
      <c r="Y27" s="223">
        <f t="shared" si="15"/>
        <v>1.0589178442277344E-2</v>
      </c>
      <c r="Z27" s="102">
        <f t="shared" si="2"/>
        <v>140707.00052374837</v>
      </c>
      <c r="AA27" s="104">
        <f t="shared" si="16"/>
        <v>0.11842002381418952</v>
      </c>
      <c r="AB27" s="85">
        <f t="shared" si="17"/>
        <v>435534.03088303155</v>
      </c>
      <c r="AC27" s="60">
        <f t="shared" si="7"/>
        <v>0.36654857339776509</v>
      </c>
      <c r="AD27" s="3">
        <f t="shared" si="18"/>
        <v>50006.417783247241</v>
      </c>
      <c r="AE27" s="60">
        <f t="shared" si="8"/>
        <v>4.2085760926692348E-2</v>
      </c>
      <c r="AF27" s="3">
        <f t="shared" si="19"/>
        <v>485540.44866627885</v>
      </c>
      <c r="AG27" s="104">
        <f t="shared" si="20"/>
        <v>0.40863433432445745</v>
      </c>
      <c r="AH27" s="146">
        <f t="shared" si="21"/>
        <v>405007.68766801897</v>
      </c>
      <c r="AI27" s="60">
        <f t="shared" si="9"/>
        <v>0.34085738335728244</v>
      </c>
      <c r="AJ27" s="3">
        <f t="shared" si="22"/>
        <v>47337.146890089556</v>
      </c>
      <c r="AK27" s="60">
        <f t="shared" si="10"/>
        <v>3.9839283341656297E-2</v>
      </c>
      <c r="AL27" s="29">
        <f t="shared" si="23"/>
        <v>452344.83455810853</v>
      </c>
      <c r="AM27" s="123">
        <f t="shared" si="24"/>
        <v>0.3806966666989387</v>
      </c>
      <c r="AN27" s="147">
        <f t="shared" si="33"/>
        <v>399990.21758849896</v>
      </c>
      <c r="AO27" s="60">
        <f t="shared" si="11"/>
        <v>0.33663464444527313</v>
      </c>
      <c r="AP27" s="3">
        <f t="shared" si="34"/>
        <v>45386.330232848071</v>
      </c>
      <c r="AQ27" s="60">
        <f t="shared" si="12"/>
        <v>3.8197462009755587E-2</v>
      </c>
      <c r="AR27" s="102">
        <f t="shared" si="35"/>
        <v>445376.54782134714</v>
      </c>
      <c r="AS27" s="123">
        <f t="shared" si="36"/>
        <v>0.37483210645502879</v>
      </c>
    </row>
    <row r="28" spans="1:45">
      <c r="A28">
        <v>2036</v>
      </c>
      <c r="B28" s="124">
        <f t="shared" si="3"/>
        <v>0.16600000000000001</v>
      </c>
      <c r="C28" s="42">
        <f t="shared" si="4"/>
        <v>6.0000000000000001E-3</v>
      </c>
      <c r="D28" s="42">
        <f t="shared" si="5"/>
        <v>0.17200000000000001</v>
      </c>
      <c r="E28" s="214">
        <f t="shared" si="37"/>
        <v>0.16600000000000001</v>
      </c>
      <c r="F28" s="213">
        <f t="shared" si="38"/>
        <v>6.0000000000000001E-3</v>
      </c>
      <c r="G28" s="215">
        <f t="shared" si="39"/>
        <v>0.17200000000000001</v>
      </c>
      <c r="H28" s="146">
        <v>0.82699999999999996</v>
      </c>
      <c r="I28" s="29">
        <v>0.17299999999999999</v>
      </c>
      <c r="J28" s="73">
        <f t="shared" si="40"/>
        <v>1</v>
      </c>
      <c r="K28" s="29">
        <f t="shared" si="41"/>
        <v>0.82699999999999996</v>
      </c>
      <c r="L28" s="29">
        <f t="shared" si="42"/>
        <v>0.17299999999999999</v>
      </c>
      <c r="M28" s="176">
        <f t="shared" si="43"/>
        <v>1</v>
      </c>
      <c r="N28">
        <v>8.5999999999999993E-2</v>
      </c>
      <c r="O28">
        <v>3.4000000000000002E-2</v>
      </c>
      <c r="P28" s="73">
        <f t="shared" ref="P28:P32" si="44">N28+O28</f>
        <v>0.12</v>
      </c>
      <c r="S28">
        <v>2036</v>
      </c>
      <c r="T28" s="3">
        <f>T27+(T32-T27)/5</f>
        <v>1190989.5055859552</v>
      </c>
      <c r="U28" s="3">
        <f>U27+(U32-U27)/5</f>
        <v>67151.404646289287</v>
      </c>
      <c r="V28" s="147">
        <f t="shared" si="31"/>
        <v>139272.04251962891</v>
      </c>
      <c r="W28" s="223">
        <f t="shared" si="14"/>
        <v>0.11693809380050618</v>
      </c>
      <c r="X28" s="102">
        <f t="shared" si="32"/>
        <v>12984.999603281205</v>
      </c>
      <c r="Y28" s="223">
        <f t="shared" si="15"/>
        <v>1.0902698590020498E-2</v>
      </c>
      <c r="Z28" s="102">
        <f t="shared" si="2"/>
        <v>152257.04212291012</v>
      </c>
      <c r="AA28" s="104">
        <f t="shared" si="16"/>
        <v>0.12784079239052668</v>
      </c>
      <c r="AB28" s="85">
        <f t="shared" si="17"/>
        <v>491068.24252551282</v>
      </c>
      <c r="AC28" s="60">
        <f t="shared" si="7"/>
        <v>0.41231953784841457</v>
      </c>
      <c r="AD28" s="3">
        <f t="shared" si="18"/>
        <v>61623.610787055288</v>
      </c>
      <c r="AE28" s="60">
        <f t="shared" si="8"/>
        <v>5.174152290849706E-2</v>
      </c>
      <c r="AF28" s="3">
        <f t="shared" si="19"/>
        <v>552691.85331256816</v>
      </c>
      <c r="AG28" s="104">
        <f t="shared" si="20"/>
        <v>0.46406106075691167</v>
      </c>
      <c r="AH28" s="146">
        <f t="shared" si="21"/>
        <v>460541.89931050024</v>
      </c>
      <c r="AI28" s="60">
        <f t="shared" si="9"/>
        <v>0.38668846127566686</v>
      </c>
      <c r="AJ28" s="3">
        <f t="shared" si="22"/>
        <v>58954.339893897602</v>
      </c>
      <c r="AK28" s="60">
        <f t="shared" si="10"/>
        <v>4.9500301738504941E-2</v>
      </c>
      <c r="AL28" s="29">
        <f t="shared" si="23"/>
        <v>519496.23920439783</v>
      </c>
      <c r="AM28" s="123">
        <f t="shared" si="24"/>
        <v>0.43618876301417175</v>
      </c>
      <c r="AN28" s="147">
        <f t="shared" si="33"/>
        <v>455524.42923098023</v>
      </c>
      <c r="AO28" s="60">
        <f t="shared" si="11"/>
        <v>0.38247560292889959</v>
      </c>
      <c r="AP28" s="3">
        <f t="shared" si="34"/>
        <v>57003.523236656118</v>
      </c>
      <c r="AQ28" s="60">
        <f t="shared" si="12"/>
        <v>4.7862322018203625E-2</v>
      </c>
      <c r="AR28" s="102">
        <f t="shared" si="35"/>
        <v>512527.95246763644</v>
      </c>
      <c r="AS28" s="123">
        <f t="shared" si="36"/>
        <v>0.43033792494710327</v>
      </c>
    </row>
    <row r="29" spans="1:45">
      <c r="A29">
        <v>2037</v>
      </c>
      <c r="B29" s="124">
        <f t="shared" si="3"/>
        <v>0.16600000000000001</v>
      </c>
      <c r="C29" s="42">
        <f t="shared" si="4"/>
        <v>6.0000000000000001E-3</v>
      </c>
      <c r="D29" s="42">
        <f t="shared" si="5"/>
        <v>0.17200000000000001</v>
      </c>
      <c r="E29" s="214">
        <f t="shared" si="37"/>
        <v>0.16600000000000001</v>
      </c>
      <c r="F29" s="213">
        <f t="shared" si="38"/>
        <v>6.0000000000000001E-3</v>
      </c>
      <c r="G29" s="215">
        <f t="shared" si="39"/>
        <v>0.17200000000000001</v>
      </c>
      <c r="H29" s="146">
        <v>0.82699999999999996</v>
      </c>
      <c r="I29" s="29">
        <v>0.17299999999999999</v>
      </c>
      <c r="J29" s="73">
        <f t="shared" si="40"/>
        <v>1</v>
      </c>
      <c r="K29" s="29">
        <f t="shared" si="41"/>
        <v>0.82699999999999996</v>
      </c>
      <c r="L29" s="29">
        <f t="shared" si="42"/>
        <v>0.17299999999999999</v>
      </c>
      <c r="M29" s="176">
        <f t="shared" si="43"/>
        <v>1</v>
      </c>
      <c r="N29">
        <v>8.5999999999999993E-2</v>
      </c>
      <c r="O29">
        <v>3.4000000000000002E-2</v>
      </c>
      <c r="P29" s="73">
        <f t="shared" si="44"/>
        <v>0.12</v>
      </c>
      <c r="S29">
        <v>2037</v>
      </c>
      <c r="T29" s="3">
        <f>T27+(T32-T27)/5*2</f>
        <v>1193776.2394470128</v>
      </c>
      <c r="U29" s="3">
        <f>U27+(U32-U27)/5*2</f>
        <v>67328.255933668508</v>
      </c>
      <c r="V29" s="147">
        <f t="shared" si="31"/>
        <v>150448.5330046179</v>
      </c>
      <c r="W29" s="223">
        <f t="shared" si="14"/>
        <v>0.12602741454655644</v>
      </c>
      <c r="X29" s="102">
        <f t="shared" si="32"/>
        <v>13388.9691388832</v>
      </c>
      <c r="Y29" s="223">
        <f t="shared" si="15"/>
        <v>1.1215643850547158E-2</v>
      </c>
      <c r="Z29" s="102">
        <f t="shared" si="2"/>
        <v>163837.5021435011</v>
      </c>
      <c r="AA29" s="104">
        <f t="shared" si="16"/>
        <v>0.1372430583971036</v>
      </c>
      <c r="AB29" s="85">
        <f t="shared" si="17"/>
        <v>546748.71018265665</v>
      </c>
      <c r="AC29" s="60">
        <f t="shared" si="7"/>
        <v>0.45799932358841755</v>
      </c>
      <c r="AD29" s="3">
        <f t="shared" si="18"/>
        <v>73271.399063579942</v>
      </c>
      <c r="AE29" s="60">
        <f t="shared" si="8"/>
        <v>6.1377833334596357E-2</v>
      </c>
      <c r="AF29" s="3">
        <f t="shared" si="19"/>
        <v>620020.10924623662</v>
      </c>
      <c r="AG29" s="104">
        <f t="shared" si="20"/>
        <v>0.51937715692301389</v>
      </c>
      <c r="AH29" s="146">
        <f t="shared" si="21"/>
        <v>516222.36696764408</v>
      </c>
      <c r="AI29" s="60">
        <f t="shared" si="9"/>
        <v>0.43242807982739823</v>
      </c>
      <c r="AJ29" s="3">
        <f t="shared" si="22"/>
        <v>70602.128170422249</v>
      </c>
      <c r="AK29" s="60">
        <f t="shared" si="10"/>
        <v>5.9141844038650769E-2</v>
      </c>
      <c r="AL29" s="29">
        <f t="shared" si="23"/>
        <v>586824.49513806636</v>
      </c>
      <c r="AM29" s="123">
        <f t="shared" si="24"/>
        <v>0.49156992386604903</v>
      </c>
      <c r="AN29" s="147">
        <f t="shared" si="33"/>
        <v>511204.89688812406</v>
      </c>
      <c r="AO29" s="60">
        <f t="shared" si="11"/>
        <v>0.42822505591577786</v>
      </c>
      <c r="AP29" s="3">
        <f t="shared" si="34"/>
        <v>68651.311513180772</v>
      </c>
      <c r="AQ29" s="60">
        <f t="shared" si="12"/>
        <v>5.750768799434456E-2</v>
      </c>
      <c r="AR29" s="102">
        <f t="shared" si="35"/>
        <v>579856.2084013049</v>
      </c>
      <c r="AS29" s="123">
        <f t="shared" si="36"/>
        <v>0.4857327439101225</v>
      </c>
    </row>
    <row r="30" spans="1:45">
      <c r="A30">
        <v>2038</v>
      </c>
      <c r="B30" s="124">
        <f t="shared" si="3"/>
        <v>0.16600000000000001</v>
      </c>
      <c r="C30" s="42">
        <f t="shared" si="4"/>
        <v>6.0000000000000001E-3</v>
      </c>
      <c r="D30" s="42">
        <f t="shared" si="5"/>
        <v>0.17200000000000001</v>
      </c>
      <c r="E30" s="214">
        <f t="shared" si="37"/>
        <v>0.16600000000000001</v>
      </c>
      <c r="F30" s="213">
        <f t="shared" si="38"/>
        <v>6.0000000000000001E-3</v>
      </c>
      <c r="G30" s="215">
        <f t="shared" si="39"/>
        <v>0.17200000000000001</v>
      </c>
      <c r="H30" s="146">
        <v>0.82699999999999996</v>
      </c>
      <c r="I30" s="29">
        <v>0.17299999999999999</v>
      </c>
      <c r="J30" s="73">
        <f t="shared" si="40"/>
        <v>1</v>
      </c>
      <c r="K30" s="29">
        <f t="shared" si="41"/>
        <v>0.82699999999999996</v>
      </c>
      <c r="L30" s="29">
        <f t="shared" si="42"/>
        <v>0.17299999999999999</v>
      </c>
      <c r="M30" s="176">
        <f t="shared" si="43"/>
        <v>1</v>
      </c>
      <c r="N30">
        <v>8.5999999999999993E-2</v>
      </c>
      <c r="O30">
        <v>3.4000000000000002E-2</v>
      </c>
      <c r="P30" s="73">
        <f t="shared" si="44"/>
        <v>0.12</v>
      </c>
      <c r="S30">
        <v>2038</v>
      </c>
      <c r="T30" s="3">
        <f>T27+(T32-T27)/5*3</f>
        <v>1196562.9733080701</v>
      </c>
      <c r="U30" s="3">
        <f>U27+(U32-U27)/5*3</f>
        <v>67505.107221047714</v>
      </c>
      <c r="V30" s="147">
        <f t="shared" si="31"/>
        <v>161654.38080331183</v>
      </c>
      <c r="W30" s="223">
        <f t="shared" si="14"/>
        <v>0.13509893286802541</v>
      </c>
      <c r="X30" s="102">
        <f t="shared" si="32"/>
        <v>13793.999782209488</v>
      </c>
      <c r="Y30" s="223">
        <f t="shared" si="15"/>
        <v>1.1528018240505969E-2</v>
      </c>
      <c r="Z30" s="102">
        <f t="shared" si="2"/>
        <v>175448.38058552131</v>
      </c>
      <c r="AA30" s="104">
        <f t="shared" si="16"/>
        <v>0.14662695110853136</v>
      </c>
      <c r="AB30" s="85">
        <f t="shared" si="17"/>
        <v>602575.43385446316</v>
      </c>
      <c r="AC30" s="60">
        <f t="shared" si="7"/>
        <v>0.5035885676694114</v>
      </c>
      <c r="AD30" s="3">
        <f t="shared" si="18"/>
        <v>84949.782612821204</v>
      </c>
      <c r="AE30" s="60">
        <f t="shared" si="8"/>
        <v>7.0994828110020267E-2</v>
      </c>
      <c r="AF30" s="3">
        <f t="shared" si="19"/>
        <v>687525.21646728436</v>
      </c>
      <c r="AG30" s="104">
        <f t="shared" si="20"/>
        <v>0.57458339577943163</v>
      </c>
      <c r="AH30" s="146">
        <f t="shared" si="21"/>
        <v>572049.09063945059</v>
      </c>
      <c r="AI30" s="60">
        <f t="shared" si="9"/>
        <v>0.47807687802501425</v>
      </c>
      <c r="AJ30" s="3">
        <f t="shared" si="22"/>
        <v>82280.511719663511</v>
      </c>
      <c r="AK30" s="60">
        <f t="shared" si="10"/>
        <v>6.8764046318587999E-2</v>
      </c>
      <c r="AL30" s="29">
        <f t="shared" si="23"/>
        <v>654329.6023591141</v>
      </c>
      <c r="AM30" s="123">
        <f t="shared" si="24"/>
        <v>0.54684092434360221</v>
      </c>
      <c r="AN30" s="147">
        <f t="shared" si="33"/>
        <v>567031.62055993057</v>
      </c>
      <c r="AO30" s="60">
        <f t="shared" si="11"/>
        <v>0.47388364274074957</v>
      </c>
      <c r="AP30" s="3">
        <f t="shared" si="34"/>
        <v>80329.695062422019</v>
      </c>
      <c r="AQ30" s="60">
        <f t="shared" si="12"/>
        <v>6.7133696139985891E-2</v>
      </c>
      <c r="AR30" s="102">
        <f t="shared" si="35"/>
        <v>647361.31562235265</v>
      </c>
      <c r="AS30" s="123">
        <f t="shared" si="36"/>
        <v>0.54101733888073555</v>
      </c>
    </row>
    <row r="31" spans="1:45">
      <c r="A31">
        <v>2039</v>
      </c>
      <c r="B31" s="124">
        <f t="shared" si="3"/>
        <v>0.16600000000000001</v>
      </c>
      <c r="C31" s="42">
        <f t="shared" si="4"/>
        <v>6.0000000000000001E-3</v>
      </c>
      <c r="D31" s="42">
        <f t="shared" si="5"/>
        <v>0.17200000000000001</v>
      </c>
      <c r="E31" s="214">
        <f t="shared" si="37"/>
        <v>0.16600000000000001</v>
      </c>
      <c r="F31" s="213">
        <f t="shared" si="38"/>
        <v>6.0000000000000001E-3</v>
      </c>
      <c r="G31" s="215">
        <f t="shared" si="39"/>
        <v>0.17200000000000001</v>
      </c>
      <c r="H31" s="146">
        <v>0.82699999999999996</v>
      </c>
      <c r="I31" s="29">
        <v>0.17299999999999999</v>
      </c>
      <c r="J31" s="73">
        <f t="shared" si="40"/>
        <v>1</v>
      </c>
      <c r="K31" s="29">
        <f t="shared" si="41"/>
        <v>0.82699999999999996</v>
      </c>
      <c r="L31" s="29">
        <f t="shared" si="42"/>
        <v>0.17299999999999999</v>
      </c>
      <c r="M31" s="176">
        <f t="shared" si="43"/>
        <v>1</v>
      </c>
      <c r="N31">
        <v>8.5999999999999993E-2</v>
      </c>
      <c r="O31">
        <v>3.4000000000000002E-2</v>
      </c>
      <c r="P31" s="73">
        <f t="shared" si="44"/>
        <v>0.12</v>
      </c>
      <c r="S31">
        <v>2039</v>
      </c>
      <c r="T31" s="3">
        <f>T27+(T32-T27)/5*4</f>
        <v>1199349.7071691277</v>
      </c>
      <c r="U31" s="3">
        <f>U27+(U32-U27)/5*4</f>
        <v>67681.958508426935</v>
      </c>
      <c r="V31" s="147">
        <f t="shared" si="31"/>
        <v>172889.58591571069</v>
      </c>
      <c r="W31" s="223">
        <f t="shared" si="14"/>
        <v>0.14415277285870923</v>
      </c>
      <c r="X31" s="102">
        <f t="shared" si="32"/>
        <v>14200.091533260071</v>
      </c>
      <c r="Y31" s="223">
        <f t="shared" si="15"/>
        <v>1.1839825739214216E-2</v>
      </c>
      <c r="Z31" s="102">
        <f t="shared" si="2"/>
        <v>187089.67744897076</v>
      </c>
      <c r="AA31" s="104">
        <f t="shared" si="16"/>
        <v>0.15599259859792344</v>
      </c>
      <c r="AB31" s="85">
        <f t="shared" si="17"/>
        <v>658548.41354093223</v>
      </c>
      <c r="AC31" s="60">
        <f t="shared" si="7"/>
        <v>0.54908790122217976</v>
      </c>
      <c r="AD31" s="3">
        <f t="shared" si="18"/>
        <v>96658.761434779066</v>
      </c>
      <c r="AE31" s="60">
        <f t="shared" si="8"/>
        <v>8.0592641876677112E-2</v>
      </c>
      <c r="AF31" s="3">
        <f t="shared" si="19"/>
        <v>755207.17497571127</v>
      </c>
      <c r="AG31" s="104">
        <f t="shared" si="20"/>
        <v>0.6296805430988569</v>
      </c>
      <c r="AH31" s="146">
        <f t="shared" si="21"/>
        <v>628022.07032591966</v>
      </c>
      <c r="AI31" s="60">
        <f t="shared" si="9"/>
        <v>0.52363548894197409</v>
      </c>
      <c r="AJ31">
        <f t="shared" si="22"/>
        <v>93989.490541621373</v>
      </c>
      <c r="AK31" s="60">
        <f t="shared" si="10"/>
        <v>7.8367043390095509E-2</v>
      </c>
      <c r="AL31" s="29">
        <f t="shared" si="23"/>
        <v>722011.560867541</v>
      </c>
      <c r="AM31" s="123">
        <f t="shared" si="24"/>
        <v>0.60200253233206957</v>
      </c>
      <c r="AN31" s="147">
        <f t="shared" si="33"/>
        <v>623004.60024639964</v>
      </c>
      <c r="AO31" s="60">
        <f t="shared" si="11"/>
        <v>0.51945199679658227</v>
      </c>
      <c r="AP31" s="3">
        <f t="shared" si="34"/>
        <v>92038.673884379881</v>
      </c>
      <c r="AQ31" s="60">
        <f t="shared" si="12"/>
        <v>7.6740481391055146E-2</v>
      </c>
      <c r="AR31" s="102">
        <f t="shared" si="35"/>
        <v>715043.27413077955</v>
      </c>
      <c r="AS31" s="123">
        <f t="shared" si="36"/>
        <v>0.59619247818763754</v>
      </c>
    </row>
    <row r="32" spans="1:45" ht="16" thickBot="1">
      <c r="A32">
        <v>2040</v>
      </c>
      <c r="B32" s="219">
        <f t="shared" si="3"/>
        <v>0.16600000000000001</v>
      </c>
      <c r="C32" s="220">
        <f t="shared" si="4"/>
        <v>6.0000000000000001E-3</v>
      </c>
      <c r="D32" s="221">
        <f t="shared" si="5"/>
        <v>0.17200000000000001</v>
      </c>
      <c r="E32" s="216">
        <f t="shared" si="37"/>
        <v>0.16600000000000001</v>
      </c>
      <c r="F32" s="217">
        <f t="shared" si="38"/>
        <v>6.0000000000000001E-3</v>
      </c>
      <c r="G32" s="218">
        <f t="shared" si="39"/>
        <v>0.17200000000000001</v>
      </c>
      <c r="H32" s="177">
        <v>0.82699999999999996</v>
      </c>
      <c r="I32" s="80">
        <v>0.17299999999999999</v>
      </c>
      <c r="J32" s="75">
        <f t="shared" si="40"/>
        <v>1</v>
      </c>
      <c r="K32" s="177">
        <f t="shared" si="41"/>
        <v>0.82699999999999996</v>
      </c>
      <c r="L32" s="80">
        <f t="shared" si="42"/>
        <v>0.17299999999999999</v>
      </c>
      <c r="M32" s="178">
        <f t="shared" si="43"/>
        <v>1</v>
      </c>
      <c r="N32" s="78">
        <v>8.5999999999999993E-2</v>
      </c>
      <c r="O32" s="74">
        <v>3.4000000000000002E-2</v>
      </c>
      <c r="P32" s="75">
        <f t="shared" si="44"/>
        <v>0.12</v>
      </c>
      <c r="S32">
        <v>2040</v>
      </c>
      <c r="T32" s="3">
        <f>'ZEV Population'!C51</f>
        <v>1202136.4410301852</v>
      </c>
      <c r="U32" s="3">
        <f>'ZEV Population'!E49</f>
        <v>67858.809795806155</v>
      </c>
      <c r="V32" s="181">
        <f t="shared" si="31"/>
        <v>184154.14834181452</v>
      </c>
      <c r="W32" s="224">
        <f t="shared" si="14"/>
        <v>0.15318905746173156</v>
      </c>
      <c r="X32" s="103">
        <f t="shared" si="32"/>
        <v>14607.244392034889</v>
      </c>
      <c r="Y32" s="224">
        <f t="shared" si="15"/>
        <v>1.215107028909051E-2</v>
      </c>
      <c r="Z32" s="103">
        <f t="shared" si="2"/>
        <v>198761.39273384941</v>
      </c>
      <c r="AA32" s="105">
        <f t="shared" si="16"/>
        <v>0.16534012775082207</v>
      </c>
      <c r="AB32" s="179">
        <f t="shared" si="17"/>
        <v>714667.64924206387</v>
      </c>
      <c r="AC32" s="180">
        <f t="shared" si="7"/>
        <v>0.5944979495252809</v>
      </c>
      <c r="AD32" s="106">
        <f t="shared" si="18"/>
        <v>108398.33552945353</v>
      </c>
      <c r="AE32" s="180">
        <f t="shared" si="8"/>
        <v>9.0171408027994129E-2</v>
      </c>
      <c r="AF32" s="106">
        <f t="shared" si="19"/>
        <v>823065.98477151745</v>
      </c>
      <c r="AG32" s="105">
        <f t="shared" si="20"/>
        <v>0.68466935755327507</v>
      </c>
      <c r="AH32" s="177">
        <f t="shared" si="21"/>
        <v>684141.30602705129</v>
      </c>
      <c r="AI32" s="180">
        <f t="shared" si="9"/>
        <v>0.56910453978149789</v>
      </c>
      <c r="AJ32" s="106">
        <f t="shared" si="22"/>
        <v>105729.06463629584</v>
      </c>
      <c r="AK32" s="180">
        <f t="shared" si="10"/>
        <v>8.7950968814895961E-2</v>
      </c>
      <c r="AL32" s="80">
        <f t="shared" si="23"/>
        <v>789870.37066334719</v>
      </c>
      <c r="AM32" s="182">
        <f t="shared" si="24"/>
        <v>0.65705550859639383</v>
      </c>
      <c r="AN32" s="181">
        <f t="shared" si="33"/>
        <v>679123.83594753128</v>
      </c>
      <c r="AO32" s="180">
        <f t="shared" si="11"/>
        <v>0.56493074560284351</v>
      </c>
      <c r="AP32" s="106">
        <f t="shared" si="34"/>
        <v>103778.24797905434</v>
      </c>
      <c r="AQ32" s="180">
        <f t="shared" si="12"/>
        <v>8.6328177432272446E-2</v>
      </c>
      <c r="AR32" s="103">
        <f t="shared" si="35"/>
        <v>782902.08392658574</v>
      </c>
      <c r="AS32" s="182">
        <f t="shared" si="36"/>
        <v>0.65125892303511612</v>
      </c>
    </row>
    <row r="33" spans="1:45">
      <c r="A33" s="69"/>
      <c r="E33" s="69" t="s">
        <v>388</v>
      </c>
      <c r="H33" s="145" t="s">
        <v>440</v>
      </c>
      <c r="K33" s="145" t="s">
        <v>304</v>
      </c>
      <c r="N33" s="69" t="s">
        <v>125</v>
      </c>
      <c r="V33" s="245" t="s">
        <v>394</v>
      </c>
      <c r="W33" s="79"/>
      <c r="AC33" s="3"/>
      <c r="AE33" s="60"/>
      <c r="AH33" s="79"/>
      <c r="AP33" s="3"/>
    </row>
    <row r="34" spans="1:45">
      <c r="A34" s="69"/>
      <c r="E34" s="69" t="s">
        <v>389</v>
      </c>
      <c r="H34" s="69"/>
      <c r="K34" s="145" t="s">
        <v>305</v>
      </c>
      <c r="N34" s="6"/>
      <c r="V34" s="145" t="s">
        <v>441</v>
      </c>
      <c r="W34" s="79"/>
      <c r="AH34" s="79"/>
      <c r="AM34" s="60">
        <f>1-AS32</f>
        <v>0.34874107696488388</v>
      </c>
    </row>
    <row r="35" spans="1:45">
      <c r="A35" s="145"/>
      <c r="K35" s="145" t="s">
        <v>603</v>
      </c>
      <c r="V35" s="145"/>
      <c r="W35" s="79"/>
    </row>
    <row r="36" spans="1:45" ht="14.5" customHeight="1">
      <c r="E36" s="6"/>
      <c r="V36" s="145"/>
      <c r="AB36" s="29"/>
    </row>
    <row r="37" spans="1:45" ht="14.5" customHeight="1">
      <c r="V37" s="145"/>
      <c r="W37" s="237" t="s">
        <v>524</v>
      </c>
      <c r="AB37" s="29"/>
    </row>
    <row r="38" spans="1:45" ht="14.5" customHeight="1">
      <c r="I38" s="69" t="s">
        <v>375</v>
      </c>
      <c r="S38" t="s">
        <v>383</v>
      </c>
      <c r="V38" s="145"/>
      <c r="W38" s="237" t="s">
        <v>521</v>
      </c>
      <c r="X38" t="s">
        <v>0</v>
      </c>
      <c r="Y38" t="s">
        <v>31</v>
      </c>
      <c r="Z38" t="s">
        <v>522</v>
      </c>
      <c r="AA38" t="s">
        <v>75</v>
      </c>
      <c r="AB38" s="29" t="s">
        <v>525</v>
      </c>
      <c r="AC38" t="s">
        <v>465</v>
      </c>
      <c r="AD38" t="s">
        <v>526</v>
      </c>
      <c r="AF38" t="s">
        <v>527</v>
      </c>
    </row>
    <row r="39" spans="1:45" ht="14.5" customHeight="1">
      <c r="S39" s="29">
        <v>2026</v>
      </c>
      <c r="T39" s="241">
        <v>0.12941176470588237</v>
      </c>
      <c r="V39" s="145"/>
      <c r="W39" s="29">
        <f>'County Scale Output 2017-2040'!Q2</f>
        <v>23</v>
      </c>
      <c r="X39" s="29">
        <f>'County Scale Output 2017-2040'!R2</f>
        <v>2017</v>
      </c>
      <c r="Y39" s="29">
        <f>'County Scale Output 2017-2040'!S2</f>
        <v>20</v>
      </c>
      <c r="Z39" s="29">
        <f>'County Scale Output 2017-2040'!T2</f>
        <v>1</v>
      </c>
      <c r="AA39" s="29">
        <f>'County Scale Output 2017-2040'!U2</f>
        <v>5316814208</v>
      </c>
      <c r="AB39" s="29"/>
      <c r="AF39">
        <v>2020</v>
      </c>
      <c r="AG39" s="236">
        <f>AD48+3/13*(AD58-AD48)</f>
        <v>3.7505925993834685E-5</v>
      </c>
      <c r="AI39" t="s">
        <v>528</v>
      </c>
      <c r="AP39" s="3">
        <f>AG39*T12</f>
        <v>41.493022285322446</v>
      </c>
    </row>
    <row r="40" spans="1:45" ht="14.5" customHeight="1">
      <c r="S40" s="29">
        <v>2027</v>
      </c>
      <c r="T40" s="241">
        <v>9.7058823529411781E-2</v>
      </c>
      <c r="V40" s="145"/>
      <c r="W40" s="29">
        <f>'County Scale Output 2017-2040'!Q3</f>
        <v>23</v>
      </c>
      <c r="X40" s="29">
        <f>'County Scale Output 2017-2040'!R3</f>
        <v>2017</v>
      </c>
      <c r="Y40" s="29">
        <f>'County Scale Output 2017-2040'!S3</f>
        <v>20</v>
      </c>
      <c r="Z40" s="29">
        <f>'County Scale Output 2017-2040'!T3</f>
        <v>2</v>
      </c>
      <c r="AA40" s="29">
        <f>'County Scale Output 2017-2040'!U3</f>
        <v>51864742</v>
      </c>
      <c r="AB40" s="29"/>
      <c r="AF40">
        <v>2021</v>
      </c>
      <c r="AG40" s="236">
        <f>AD48+4/12*(AD58-AD48)</f>
        <v>5.4175226435538982E-5</v>
      </c>
      <c r="AI40" t="s">
        <v>529</v>
      </c>
      <c r="AP40" s="3">
        <f>AG40*T13</f>
        <v>60.295539986501375</v>
      </c>
    </row>
    <row r="41" spans="1:45" ht="14.5" customHeight="1">
      <c r="S41" s="29">
        <v>2028</v>
      </c>
      <c r="T41" s="241">
        <v>0.08</v>
      </c>
      <c r="V41" s="145"/>
      <c r="W41" s="29">
        <f>'County Scale Output 2017-2040'!Q4</f>
        <v>23</v>
      </c>
      <c r="X41" s="29">
        <f>'County Scale Output 2017-2040'!R4</f>
        <v>2017</v>
      </c>
      <c r="Y41" s="29">
        <f>'County Scale Output 2017-2040'!S4</f>
        <v>20</v>
      </c>
      <c r="Z41" s="29">
        <f>'County Scale Output 2017-2040'!T4</f>
        <v>5</v>
      </c>
      <c r="AA41" s="29">
        <f>'County Scale Output 2017-2040'!U4</f>
        <v>0</v>
      </c>
      <c r="AB41" s="29"/>
      <c r="AF41">
        <v>2022</v>
      </c>
      <c r="AG41" s="236">
        <f>AD48+5/13*(AD58-AD48)</f>
        <v>6.2509876656391137E-5</v>
      </c>
    </row>
    <row r="42" spans="1:45" ht="14.5" customHeight="1">
      <c r="A42" s="183"/>
      <c r="B42" s="184" t="s">
        <v>309</v>
      </c>
      <c r="C42" s="183"/>
      <c r="D42" s="183"/>
      <c r="E42" s="183"/>
      <c r="F42" s="183"/>
      <c r="G42" s="183"/>
      <c r="H42" s="183"/>
      <c r="S42" s="29">
        <v>2029</v>
      </c>
      <c r="T42" s="241">
        <v>6.6666666666666666E-2</v>
      </c>
      <c r="V42" s="145"/>
      <c r="W42" s="29">
        <f>'County Scale Output 2017-2040'!Q5</f>
        <v>23</v>
      </c>
      <c r="X42" s="29">
        <f>'County Scale Output 2017-2040'!R5</f>
        <v>2017</v>
      </c>
      <c r="Y42" s="29">
        <f>'County Scale Output 2017-2040'!S5</f>
        <v>20</v>
      </c>
      <c r="Z42" s="29">
        <f>'County Scale Output 2017-2040'!T5</f>
        <v>9</v>
      </c>
      <c r="AA42" s="29">
        <f>'County Scale Output 2017-2040'!U5</f>
        <v>0</v>
      </c>
      <c r="AB42" s="71"/>
      <c r="AC42" s="71"/>
      <c r="AD42" s="71"/>
      <c r="AE42" s="71"/>
      <c r="AF42" s="238">
        <v>2023</v>
      </c>
      <c r="AG42" s="239">
        <f>AD48+6/13*(AD58-AD48)</f>
        <v>7.501185198766937E-5</v>
      </c>
      <c r="AH42" s="297"/>
      <c r="AI42" s="297"/>
      <c r="AJ42" s="297"/>
      <c r="AK42" s="297"/>
      <c r="AL42" s="297"/>
      <c r="AM42" s="297"/>
      <c r="AN42" s="297"/>
      <c r="AO42" s="297"/>
      <c r="AP42" s="297"/>
      <c r="AQ42" s="297"/>
      <c r="AR42" s="297"/>
      <c r="AS42" s="297"/>
    </row>
    <row r="43" spans="1:45">
      <c r="A43" s="183"/>
      <c r="B43" s="183"/>
      <c r="C43" s="183"/>
      <c r="D43" s="183"/>
      <c r="E43" s="183"/>
      <c r="F43" s="183"/>
      <c r="G43" s="183"/>
      <c r="H43" s="183"/>
      <c r="S43" s="29">
        <v>2030</v>
      </c>
      <c r="T43" s="241">
        <v>5.7142857142857141E-2</v>
      </c>
      <c r="W43" s="29">
        <f>'County Scale Output 2017-2040'!Q6</f>
        <v>23</v>
      </c>
      <c r="X43" s="29">
        <f>'County Scale Output 2017-2040'!R6</f>
        <v>2017</v>
      </c>
      <c r="Y43" s="29">
        <f>'County Scale Output 2017-2040'!S6</f>
        <v>30</v>
      </c>
      <c r="Z43" s="29">
        <f>'County Scale Output 2017-2040'!T6</f>
        <v>1</v>
      </c>
      <c r="AA43" s="29">
        <f>'County Scale Output 2017-2040'!U6</f>
        <v>7623563584</v>
      </c>
      <c r="AD43" s="3"/>
      <c r="AE43" s="3"/>
      <c r="AF43" s="3">
        <v>2024</v>
      </c>
      <c r="AG43" s="236">
        <f>AD48+7/13*(AD58-AD48)</f>
        <v>8.7513827318947589E-5</v>
      </c>
      <c r="AH43" s="6"/>
      <c r="AI43" s="6"/>
      <c r="AJ43" s="102"/>
      <c r="AK43" s="122"/>
      <c r="AL43" s="122"/>
      <c r="AM43" s="60"/>
      <c r="AN43" s="119"/>
      <c r="AO43" s="119"/>
      <c r="AP43" s="102"/>
      <c r="AQ43" s="122"/>
      <c r="AR43" s="122"/>
      <c r="AS43" s="60"/>
    </row>
    <row r="44" spans="1:45">
      <c r="A44" s="183"/>
      <c r="B44" s="185" t="s">
        <v>310</v>
      </c>
      <c r="C44" s="183"/>
      <c r="D44" s="183"/>
      <c r="E44" s="183"/>
      <c r="F44" s="183"/>
      <c r="G44" s="183"/>
      <c r="H44" s="183"/>
      <c r="W44" s="29">
        <f>'County Scale Output 2017-2040'!Q7</f>
        <v>23</v>
      </c>
      <c r="X44" s="29">
        <f>'County Scale Output 2017-2040'!R7</f>
        <v>2017</v>
      </c>
      <c r="Y44" s="29">
        <f>'County Scale Output 2017-2040'!S7</f>
        <v>30</v>
      </c>
      <c r="Z44" s="29">
        <f>'County Scale Output 2017-2040'!T7</f>
        <v>2</v>
      </c>
      <c r="AA44" s="29">
        <f>'County Scale Output 2017-2040'!U7</f>
        <v>30426680</v>
      </c>
      <c r="AD44" s="3"/>
      <c r="AE44" s="3"/>
      <c r="AF44" s="3">
        <v>2025</v>
      </c>
      <c r="AG44" s="236">
        <f>AD48+8/13*(AD58-AD48)</f>
        <v>1.0001580265022582E-4</v>
      </c>
      <c r="AH44" s="6"/>
      <c r="AI44" s="6"/>
      <c r="AJ44" s="102"/>
      <c r="AK44" s="122"/>
      <c r="AL44" s="122"/>
      <c r="AM44" s="60"/>
      <c r="AN44" s="119"/>
      <c r="AO44" s="119"/>
      <c r="AP44" s="102"/>
      <c r="AQ44" s="122"/>
      <c r="AR44" s="122"/>
      <c r="AS44" s="60"/>
    </row>
    <row r="45" spans="1:45">
      <c r="A45" s="183"/>
      <c r="B45" s="183"/>
      <c r="C45" s="293" t="s">
        <v>311</v>
      </c>
      <c r="D45" s="293"/>
      <c r="E45" s="293"/>
      <c r="F45" s="186" t="s">
        <v>312</v>
      </c>
      <c r="G45" s="186" t="s">
        <v>313</v>
      </c>
      <c r="H45" s="187"/>
      <c r="W45" s="29">
        <f>'County Scale Output 2017-2040'!Q8</f>
        <v>23</v>
      </c>
      <c r="X45" s="29">
        <f>'County Scale Output 2017-2040'!R8</f>
        <v>2017</v>
      </c>
      <c r="Y45" s="29">
        <f>'County Scale Output 2017-2040'!S8</f>
        <v>30</v>
      </c>
      <c r="Z45" s="29">
        <f>'County Scale Output 2017-2040'!T8</f>
        <v>5</v>
      </c>
      <c r="AA45" s="29">
        <f>'County Scale Output 2017-2040'!U8</f>
        <v>0</v>
      </c>
      <c r="AD45" s="3"/>
      <c r="AE45" s="3"/>
      <c r="AF45" s="3">
        <v>2026</v>
      </c>
      <c r="AG45" s="236">
        <f>AD48+9/13*(AD58-AD48)</f>
        <v>1.1251777798150404E-4</v>
      </c>
      <c r="AH45" s="6"/>
      <c r="AI45" s="6"/>
      <c r="AJ45" s="102"/>
      <c r="AK45" s="122"/>
      <c r="AL45" s="122"/>
      <c r="AM45" s="60"/>
      <c r="AN45" s="119"/>
      <c r="AO45" s="119"/>
      <c r="AP45" s="102"/>
      <c r="AQ45" s="122"/>
      <c r="AR45" s="122"/>
      <c r="AS45" s="60"/>
    </row>
    <row r="46" spans="1:45">
      <c r="A46" s="188" t="s">
        <v>314</v>
      </c>
      <c r="B46" s="189" t="s">
        <v>315</v>
      </c>
      <c r="C46" s="189" t="s">
        <v>121</v>
      </c>
      <c r="D46" s="189" t="s">
        <v>122</v>
      </c>
      <c r="E46" s="189" t="s">
        <v>316</v>
      </c>
      <c r="F46" s="190" t="s">
        <v>317</v>
      </c>
      <c r="G46" s="191" t="s">
        <v>33</v>
      </c>
      <c r="H46" s="187"/>
      <c r="W46" s="29">
        <f>'County Scale Output 2017-2040'!Q9</f>
        <v>23</v>
      </c>
      <c r="X46" s="29">
        <f>'County Scale Output 2017-2040'!R9</f>
        <v>2017</v>
      </c>
      <c r="Y46" s="29">
        <f>'County Scale Output 2017-2040'!S9</f>
        <v>30</v>
      </c>
      <c r="Z46" s="29">
        <f>'County Scale Output 2017-2040'!T9</f>
        <v>9</v>
      </c>
      <c r="AA46" s="29">
        <f>'County Scale Output 2017-2040'!U9</f>
        <v>0</v>
      </c>
      <c r="AD46" s="3"/>
      <c r="AE46" s="3"/>
      <c r="AF46" s="3">
        <v>2027</v>
      </c>
      <c r="AG46" s="236">
        <f>AD48+10/13*(AD58-AD48)</f>
        <v>1.2501975331278227E-4</v>
      </c>
      <c r="AH46" s="6"/>
      <c r="AI46" s="6"/>
      <c r="AJ46" s="102"/>
      <c r="AK46" s="122"/>
      <c r="AL46" s="122"/>
      <c r="AM46" s="60"/>
      <c r="AN46" s="119"/>
      <c r="AO46" s="119"/>
      <c r="AP46" s="102"/>
      <c r="AQ46" s="122"/>
      <c r="AR46" s="122"/>
      <c r="AS46" s="60"/>
    </row>
    <row r="47" spans="1:45">
      <c r="A47" s="183">
        <v>1</v>
      </c>
      <c r="B47" s="190" t="s">
        <v>318</v>
      </c>
      <c r="C47" s="192">
        <v>166582</v>
      </c>
      <c r="D47" s="192">
        <v>53194</v>
      </c>
      <c r="E47" s="192">
        <v>3271</v>
      </c>
      <c r="F47" s="193">
        <v>0.13550000000000001</v>
      </c>
      <c r="G47" s="194">
        <f>SUM(C47:E47)/F47</f>
        <v>1646103.3210332103</v>
      </c>
      <c r="H47" s="183"/>
      <c r="W47" s="29">
        <f>'County Scale Output 2017-2040'!Q10</f>
        <v>23</v>
      </c>
      <c r="X47" s="29">
        <f>'County Scale Output 2017-2040'!R10</f>
        <v>2017</v>
      </c>
      <c r="Y47" s="29">
        <f>'County Scale Output 2017-2040'!S10</f>
        <v>41</v>
      </c>
      <c r="Z47" s="29">
        <f>'County Scale Output 2017-2040'!T10</f>
        <v>1</v>
      </c>
      <c r="AA47" s="29">
        <f>'County Scale Output 2017-2040'!U10</f>
        <v>350169272</v>
      </c>
      <c r="AD47" s="3"/>
      <c r="AE47" s="3"/>
      <c r="AF47" s="3">
        <v>2028</v>
      </c>
      <c r="AG47" s="236">
        <f>AD48+11/13*(AD58-AD48)</f>
        <v>1.3752172864406049E-4</v>
      </c>
      <c r="AH47" s="6"/>
      <c r="AI47" s="6"/>
      <c r="AJ47" s="102"/>
      <c r="AK47" s="122"/>
      <c r="AL47" s="122"/>
      <c r="AM47" s="60"/>
      <c r="AN47" s="119"/>
      <c r="AO47" s="119"/>
      <c r="AP47" s="102"/>
      <c r="AQ47" s="122"/>
      <c r="AR47" s="122"/>
      <c r="AS47" s="60"/>
    </row>
    <row r="48" spans="1:45">
      <c r="A48" s="183">
        <v>2</v>
      </c>
      <c r="B48" s="190" t="s">
        <v>319</v>
      </c>
      <c r="C48" s="192">
        <v>37880</v>
      </c>
      <c r="D48" s="192">
        <v>7795</v>
      </c>
      <c r="E48" s="192"/>
      <c r="F48" s="193">
        <v>3.6400000000000002E-2</v>
      </c>
      <c r="G48" s="194">
        <f t="shared" ref="G48:G97" si="45">SUM(C48:E48)/F48</f>
        <v>1254807.6923076923</v>
      </c>
      <c r="H48" s="183"/>
      <c r="W48" s="29">
        <f>'County Scale Output 2017-2040'!Q11</f>
        <v>23</v>
      </c>
      <c r="X48" s="29">
        <f>'County Scale Output 2017-2040'!R11</f>
        <v>2017</v>
      </c>
      <c r="Y48" s="29">
        <f>'County Scale Output 2017-2040'!S11</f>
        <v>41</v>
      </c>
      <c r="Z48" s="29">
        <f>'County Scale Output 2017-2040'!T11</f>
        <v>2</v>
      </c>
      <c r="AA48" s="29">
        <f>'County Scale Output 2017-2040'!U11</f>
        <v>317939704</v>
      </c>
      <c r="AB48">
        <f>SUM(AA39:AA48)</f>
        <v>13690778190</v>
      </c>
      <c r="AC48">
        <f>AA42+AA46</f>
        <v>0</v>
      </c>
      <c r="AD48" s="236">
        <f>AC48/AB48</f>
        <v>0</v>
      </c>
      <c r="AE48" s="3"/>
      <c r="AF48" s="3">
        <v>2029</v>
      </c>
      <c r="AG48" s="236">
        <f>AD48+12/13*(AD58-AD48)</f>
        <v>1.5002370397533874E-4</v>
      </c>
      <c r="AH48" s="6"/>
      <c r="AI48" s="6"/>
      <c r="AJ48" s="29"/>
      <c r="AK48" s="6"/>
      <c r="AL48" s="6"/>
      <c r="AM48" s="60"/>
      <c r="AN48" s="119"/>
      <c r="AO48" s="119"/>
      <c r="AP48" s="102"/>
      <c r="AQ48" s="122"/>
      <c r="AR48" s="122"/>
      <c r="AS48" s="60"/>
    </row>
    <row r="49" spans="1:45">
      <c r="A49" s="183">
        <v>3</v>
      </c>
      <c r="B49" s="190" t="s">
        <v>320</v>
      </c>
      <c r="C49" s="192">
        <v>28306</v>
      </c>
      <c r="D49" s="192">
        <v>6934</v>
      </c>
      <c r="E49" s="192"/>
      <c r="F49" s="193">
        <v>2.69E-2</v>
      </c>
      <c r="G49" s="194">
        <f t="shared" si="45"/>
        <v>1310037.1747211895</v>
      </c>
      <c r="H49" s="183"/>
      <c r="W49" s="29">
        <f>'County Scale Output 2017-2040'!Q12</f>
        <v>23</v>
      </c>
      <c r="X49" s="29">
        <f>'County Scale Output 2017-2040'!R12</f>
        <v>2030</v>
      </c>
      <c r="Y49" s="29">
        <f>'County Scale Output 2017-2040'!S12</f>
        <v>20</v>
      </c>
      <c r="Z49" s="29">
        <f>'County Scale Output 2017-2040'!T12</f>
        <v>1</v>
      </c>
      <c r="AA49" s="29">
        <f>'County Scale Output 2017-2040'!U12</f>
        <v>5640645760</v>
      </c>
      <c r="AD49" s="3"/>
      <c r="AE49" s="3"/>
      <c r="AF49" s="3">
        <v>2030</v>
      </c>
      <c r="AG49" s="236">
        <f>AD58</f>
        <v>1.6252567930661696E-4</v>
      </c>
      <c r="AH49" s="6"/>
      <c r="AI49" s="6"/>
      <c r="AJ49" s="29"/>
      <c r="AK49" s="6"/>
      <c r="AL49" s="6"/>
      <c r="AM49" s="60"/>
      <c r="AN49" s="119"/>
      <c r="AO49" s="119"/>
      <c r="AP49" s="102"/>
      <c r="AQ49" s="122"/>
      <c r="AR49" s="122"/>
      <c r="AS49" s="60"/>
    </row>
    <row r="50" spans="1:45">
      <c r="A50" s="183">
        <v>4</v>
      </c>
      <c r="B50" s="190" t="s">
        <v>321</v>
      </c>
      <c r="C50" s="192">
        <v>21141</v>
      </c>
      <c r="D50" s="192">
        <v>14366</v>
      </c>
      <c r="E50" s="192"/>
      <c r="F50" s="193">
        <v>4.07E-2</v>
      </c>
      <c r="G50" s="194">
        <f t="shared" si="45"/>
        <v>872407.86240786244</v>
      </c>
      <c r="H50" s="183"/>
      <c r="W50" s="29">
        <f>'County Scale Output 2017-2040'!Q13</f>
        <v>23</v>
      </c>
      <c r="X50" s="29">
        <f>'County Scale Output 2017-2040'!R13</f>
        <v>2030</v>
      </c>
      <c r="Y50" s="29">
        <f>'County Scale Output 2017-2040'!S13</f>
        <v>20</v>
      </c>
      <c r="Z50" s="29">
        <f>'County Scale Output 2017-2040'!T13</f>
        <v>2</v>
      </c>
      <c r="AA50" s="29">
        <f>'County Scale Output 2017-2040'!U13</f>
        <v>66234650</v>
      </c>
      <c r="AD50" s="3"/>
      <c r="AE50" s="3"/>
      <c r="AF50" s="3">
        <v>2031</v>
      </c>
      <c r="AG50" s="236">
        <f>AD$58+1/10*(AD$68-AD$58)</f>
        <v>1.4809394885019857E-4</v>
      </c>
      <c r="AH50" s="6"/>
      <c r="AI50" s="6"/>
      <c r="AJ50" s="29"/>
      <c r="AK50" s="6"/>
      <c r="AL50" s="6"/>
      <c r="AM50" s="60"/>
      <c r="AN50" s="119"/>
      <c r="AO50" s="119"/>
      <c r="AP50" s="102"/>
      <c r="AQ50" s="122"/>
      <c r="AR50" s="122"/>
      <c r="AS50" s="60"/>
    </row>
    <row r="51" spans="1:45">
      <c r="A51" s="183">
        <v>5</v>
      </c>
      <c r="B51" s="190" t="s">
        <v>322</v>
      </c>
      <c r="C51" s="192">
        <v>19773</v>
      </c>
      <c r="D51" s="192">
        <v>6219</v>
      </c>
      <c r="E51" s="192"/>
      <c r="F51" s="193">
        <v>5.3499999999999999E-2</v>
      </c>
      <c r="G51" s="194">
        <f t="shared" si="45"/>
        <v>485831.77570093458</v>
      </c>
      <c r="H51" s="183"/>
      <c r="W51" s="29">
        <f>'County Scale Output 2017-2040'!Q14</f>
        <v>23</v>
      </c>
      <c r="X51" s="29">
        <f>'County Scale Output 2017-2040'!R14</f>
        <v>2030</v>
      </c>
      <c r="Y51" s="29">
        <f>'County Scale Output 2017-2040'!S14</f>
        <v>20</v>
      </c>
      <c r="Z51" s="29">
        <f>'County Scale Output 2017-2040'!T14</f>
        <v>5</v>
      </c>
      <c r="AA51" s="29">
        <f>'County Scale Output 2017-2040'!U14</f>
        <v>3102041.8130000001</v>
      </c>
      <c r="AD51" s="3"/>
      <c r="AE51" s="3"/>
      <c r="AF51" s="3">
        <v>2032</v>
      </c>
      <c r="AG51" s="236">
        <f>AD$58+2/10*(AD$68-AD$58)</f>
        <v>1.3366221839378021E-4</v>
      </c>
      <c r="AH51" s="6"/>
      <c r="AI51" s="6"/>
      <c r="AJ51" s="29"/>
      <c r="AK51" s="6"/>
      <c r="AL51" s="6"/>
      <c r="AM51" s="60"/>
      <c r="AN51" s="119"/>
      <c r="AO51" s="119"/>
      <c r="AP51" s="102"/>
      <c r="AQ51" s="122"/>
      <c r="AR51" s="122"/>
      <c r="AS51" s="60"/>
    </row>
    <row r="52" spans="1:45">
      <c r="A52" s="183">
        <v>6</v>
      </c>
      <c r="B52" s="190" t="s">
        <v>323</v>
      </c>
      <c r="C52" s="192">
        <v>17143</v>
      </c>
      <c r="D52" s="192">
        <v>3637</v>
      </c>
      <c r="E52" s="192"/>
      <c r="F52" s="193">
        <v>8.4400000000000003E-2</v>
      </c>
      <c r="G52" s="194">
        <f t="shared" si="45"/>
        <v>246208.53080568719</v>
      </c>
      <c r="H52" s="183"/>
      <c r="W52" s="29">
        <f>'County Scale Output 2017-2040'!Q15</f>
        <v>23</v>
      </c>
      <c r="X52" s="29">
        <f>'County Scale Output 2017-2040'!R15</f>
        <v>2030</v>
      </c>
      <c r="Y52" s="29">
        <f>'County Scale Output 2017-2040'!S15</f>
        <v>20</v>
      </c>
      <c r="Z52" s="29">
        <f>'County Scale Output 2017-2040'!T15</f>
        <v>9</v>
      </c>
      <c r="AA52" s="29">
        <f>'County Scale Output 2017-2040'!U15</f>
        <v>2205563.1170000001</v>
      </c>
      <c r="AD52" s="3"/>
      <c r="AE52" s="3"/>
      <c r="AF52" s="3">
        <v>2033</v>
      </c>
      <c r="AG52" s="236">
        <f>AD$58+3/10*(AD$68-AD$58)</f>
        <v>1.1923048793736183E-4</v>
      </c>
      <c r="AH52" s="6"/>
      <c r="AI52" s="6"/>
      <c r="AJ52" s="29"/>
      <c r="AK52" s="6"/>
      <c r="AL52" s="6"/>
      <c r="AM52" s="60"/>
      <c r="AN52" s="119"/>
      <c r="AO52" s="119"/>
      <c r="AP52" s="102"/>
      <c r="AQ52" s="122"/>
      <c r="AR52" s="122"/>
      <c r="AS52" s="60"/>
    </row>
    <row r="53" spans="1:45">
      <c r="A53" s="183">
        <v>7</v>
      </c>
      <c r="B53" s="190" t="s">
        <v>324</v>
      </c>
      <c r="C53" s="192">
        <v>11989</v>
      </c>
      <c r="D53" s="192">
        <v>2888</v>
      </c>
      <c r="E53" s="192"/>
      <c r="F53" s="193">
        <v>4.7399999999999998E-2</v>
      </c>
      <c r="G53" s="194">
        <f t="shared" si="45"/>
        <v>313860.75949367089</v>
      </c>
      <c r="H53" s="183"/>
      <c r="W53" s="29">
        <f>'County Scale Output 2017-2040'!Q16</f>
        <v>23</v>
      </c>
      <c r="X53" s="29">
        <f>'County Scale Output 2017-2040'!R16</f>
        <v>2030</v>
      </c>
      <c r="Y53" s="29">
        <f>'County Scale Output 2017-2040'!S16</f>
        <v>30</v>
      </c>
      <c r="Z53" s="29">
        <f>'County Scale Output 2017-2040'!T16</f>
        <v>1</v>
      </c>
      <c r="AA53" s="29">
        <f>'County Scale Output 2017-2040'!U16</f>
        <v>7960385344</v>
      </c>
      <c r="AD53" s="3"/>
      <c r="AE53" s="3"/>
      <c r="AF53" s="3">
        <v>2034</v>
      </c>
      <c r="AG53" s="236">
        <f>AD$58+4/10*(AD$68-AD$58)</f>
        <v>1.0479875748094346E-4</v>
      </c>
      <c r="AH53" s="6"/>
      <c r="AI53" s="6"/>
      <c r="AJ53" s="29"/>
      <c r="AK53" s="6"/>
      <c r="AL53" s="6"/>
      <c r="AM53" s="60"/>
      <c r="AN53" s="119"/>
      <c r="AO53" s="119"/>
      <c r="AP53" s="102"/>
      <c r="AQ53" s="122"/>
      <c r="AR53" s="122"/>
      <c r="AS53" s="60"/>
    </row>
    <row r="54" spans="1:45">
      <c r="A54" s="183">
        <v>8</v>
      </c>
      <c r="B54" s="190" t="s">
        <v>325</v>
      </c>
      <c r="C54" s="192">
        <v>11751</v>
      </c>
      <c r="D54" s="192">
        <v>4340</v>
      </c>
      <c r="E54" s="192"/>
      <c r="F54" s="193">
        <v>3.27E-2</v>
      </c>
      <c r="G54" s="194">
        <f t="shared" si="45"/>
        <v>492079.51070336392</v>
      </c>
      <c r="H54" s="183"/>
      <c r="W54" s="29">
        <f>'County Scale Output 2017-2040'!Q17</f>
        <v>23</v>
      </c>
      <c r="X54" s="29">
        <f>'County Scale Output 2017-2040'!R17</f>
        <v>2030</v>
      </c>
      <c r="Y54" s="29">
        <f>'County Scale Output 2017-2040'!S17</f>
        <v>30</v>
      </c>
      <c r="Z54" s="29">
        <f>'County Scale Output 2017-2040'!T17</f>
        <v>2</v>
      </c>
      <c r="AA54" s="29">
        <f>'County Scale Output 2017-2040'!U17</f>
        <v>178128368</v>
      </c>
      <c r="AD54" s="3"/>
      <c r="AE54" s="3"/>
      <c r="AF54" s="3">
        <v>2035</v>
      </c>
      <c r="AG54" s="236">
        <f>AD$58+5/10*(AD$68-AD$58)</f>
        <v>9.0367027024525085E-5</v>
      </c>
      <c r="AH54" s="6"/>
      <c r="AI54" s="6"/>
      <c r="AJ54" s="29"/>
      <c r="AK54" s="6"/>
      <c r="AL54" s="6"/>
      <c r="AM54" s="60"/>
      <c r="AN54" s="119"/>
      <c r="AO54" s="119"/>
      <c r="AP54" s="102"/>
      <c r="AQ54" s="122"/>
      <c r="AR54" s="122"/>
      <c r="AS54" s="60"/>
    </row>
    <row r="55" spans="1:45">
      <c r="A55" s="183">
        <v>9</v>
      </c>
      <c r="B55" s="190" t="s">
        <v>326</v>
      </c>
      <c r="C55" s="192">
        <v>11692</v>
      </c>
      <c r="D55" s="192">
        <v>4266</v>
      </c>
      <c r="E55" s="192"/>
      <c r="F55" s="193">
        <v>6.9000000000000006E-2</v>
      </c>
      <c r="G55" s="194">
        <f t="shared" si="45"/>
        <v>231275.36231884055</v>
      </c>
      <c r="H55" s="183"/>
      <c r="W55" s="29">
        <f>'County Scale Output 2017-2040'!Q18</f>
        <v>23</v>
      </c>
      <c r="X55" s="29">
        <f>'County Scale Output 2017-2040'!R18</f>
        <v>2030</v>
      </c>
      <c r="Y55" s="29">
        <f>'County Scale Output 2017-2040'!S18</f>
        <v>30</v>
      </c>
      <c r="Z55" s="29">
        <f>'County Scale Output 2017-2040'!T18</f>
        <v>5</v>
      </c>
      <c r="AA55" s="29">
        <f>'County Scale Output 2017-2040'!U18</f>
        <v>18863528</v>
      </c>
      <c r="AF55">
        <v>2036</v>
      </c>
      <c r="AG55" s="236">
        <f>AD$58+6/10*(AD$68-AD$58)</f>
        <v>7.5935296568106712E-5</v>
      </c>
    </row>
    <row r="56" spans="1:45">
      <c r="A56" s="183">
        <v>10</v>
      </c>
      <c r="B56" s="190" t="s">
        <v>327</v>
      </c>
      <c r="C56" s="192">
        <v>10855</v>
      </c>
      <c r="D56" s="192">
        <v>3678</v>
      </c>
      <c r="E56" s="192">
        <v>1</v>
      </c>
      <c r="F56" s="193">
        <v>4.48E-2</v>
      </c>
      <c r="G56" s="194">
        <f t="shared" si="45"/>
        <v>324419.64285714284</v>
      </c>
      <c r="H56" s="183"/>
      <c r="W56" s="29">
        <f>'County Scale Output 2017-2040'!Q19</f>
        <v>23</v>
      </c>
      <c r="X56" s="29">
        <f>'County Scale Output 2017-2040'!R19</f>
        <v>2030</v>
      </c>
      <c r="Y56" s="29">
        <f>'County Scale Output 2017-2040'!S19</f>
        <v>30</v>
      </c>
      <c r="Z56" s="29">
        <f>'County Scale Output 2017-2040'!T19</f>
        <v>9</v>
      </c>
      <c r="AA56" s="29">
        <f>'County Scale Output 2017-2040'!U19</f>
        <v>154512.89060000001</v>
      </c>
      <c r="AF56">
        <v>2037</v>
      </c>
      <c r="AG56" s="236">
        <f>AD$58+7/10*(AD$68-AD$58)</f>
        <v>6.150356611168834E-5</v>
      </c>
    </row>
    <row r="57" spans="1:45">
      <c r="A57" s="183">
        <v>11</v>
      </c>
      <c r="B57" s="190" t="s">
        <v>328</v>
      </c>
      <c r="C57" s="192">
        <v>10312</v>
      </c>
      <c r="D57" s="192">
        <v>6614</v>
      </c>
      <c r="E57" s="192">
        <v>1</v>
      </c>
      <c r="F57" s="193">
        <v>5.7299999999999997E-2</v>
      </c>
      <c r="G57" s="194">
        <f t="shared" si="45"/>
        <v>295410.12216404889</v>
      </c>
      <c r="H57" s="183"/>
      <c r="W57" s="29">
        <f>'County Scale Output 2017-2040'!Q20</f>
        <v>23</v>
      </c>
      <c r="X57" s="29">
        <f>'County Scale Output 2017-2040'!R20</f>
        <v>2030</v>
      </c>
      <c r="Y57" s="29">
        <f>'County Scale Output 2017-2040'!S20</f>
        <v>41</v>
      </c>
      <c r="Z57" s="29">
        <f>'County Scale Output 2017-2040'!T20</f>
        <v>1</v>
      </c>
      <c r="AA57" s="29">
        <f>'County Scale Output 2017-2040'!U20</f>
        <v>174302812</v>
      </c>
      <c r="AF57">
        <v>2038</v>
      </c>
      <c r="AG57" s="236">
        <f>AD$58+8/10*(AD$68-AD$58)</f>
        <v>4.7071835655269954E-5</v>
      </c>
    </row>
    <row r="58" spans="1:45">
      <c r="A58" s="183">
        <v>12</v>
      </c>
      <c r="B58" s="190" t="s">
        <v>329</v>
      </c>
      <c r="C58" s="192">
        <v>10047</v>
      </c>
      <c r="D58" s="192">
        <v>2763</v>
      </c>
      <c r="E58" s="192"/>
      <c r="F58" s="193">
        <v>0.03</v>
      </c>
      <c r="G58" s="194">
        <f t="shared" si="45"/>
        <v>427000</v>
      </c>
      <c r="H58" s="183"/>
      <c r="W58" s="29">
        <f>'County Scale Output 2017-2040'!Q21</f>
        <v>23</v>
      </c>
      <c r="X58" s="29">
        <f>'County Scale Output 2017-2040'!R21</f>
        <v>2030</v>
      </c>
      <c r="Y58" s="29">
        <f>'County Scale Output 2017-2040'!S21</f>
        <v>41</v>
      </c>
      <c r="Z58" s="29">
        <f>'County Scale Output 2017-2040'!T21</f>
        <v>2</v>
      </c>
      <c r="AA58" s="29">
        <f>'County Scale Output 2017-2040'!U21</f>
        <v>477227340</v>
      </c>
      <c r="AB58">
        <f>SUM(AA49:AA58)</f>
        <v>14521249919.820601</v>
      </c>
      <c r="AC58">
        <f>AA52+AA56</f>
        <v>2360076.0076000001</v>
      </c>
      <c r="AD58" s="236">
        <f>AC58/AB58</f>
        <v>1.6252567930661696E-4</v>
      </c>
      <c r="AF58">
        <v>2039</v>
      </c>
      <c r="AG58" s="236">
        <f>AD$58+9/10*(AD$68-AD$58)</f>
        <v>3.2640105198851569E-5</v>
      </c>
    </row>
    <row r="59" spans="1:45">
      <c r="A59" s="183">
        <v>13</v>
      </c>
      <c r="B59" s="190" t="s">
        <v>330</v>
      </c>
      <c r="C59" s="192">
        <v>9983</v>
      </c>
      <c r="D59" s="192">
        <v>4658</v>
      </c>
      <c r="E59" s="192">
        <v>1</v>
      </c>
      <c r="F59" s="193">
        <v>2.6700000000000002E-2</v>
      </c>
      <c r="G59" s="194">
        <f t="shared" si="45"/>
        <v>548389.51310861425</v>
      </c>
      <c r="H59" s="183"/>
      <c r="W59" s="29">
        <f>'County Scale Output 2017-2040'!Q22</f>
        <v>23</v>
      </c>
      <c r="X59" s="29">
        <f>'County Scale Output 2017-2040'!R22</f>
        <v>2040</v>
      </c>
      <c r="Y59" s="29">
        <f>'County Scale Output 2017-2040'!S22</f>
        <v>20</v>
      </c>
      <c r="Z59" s="29">
        <f>'County Scale Output 2017-2040'!T22</f>
        <v>1</v>
      </c>
      <c r="AA59" s="29">
        <f>'County Scale Output 2017-2040'!U22</f>
        <v>5852484544</v>
      </c>
      <c r="AF59">
        <v>2040</v>
      </c>
      <c r="AG59" s="236">
        <f>AD68</f>
        <v>1.8208374742433213E-5</v>
      </c>
    </row>
    <row r="60" spans="1:45">
      <c r="A60" s="183">
        <v>14</v>
      </c>
      <c r="B60" s="190" t="s">
        <v>331</v>
      </c>
      <c r="C60" s="192">
        <v>9377</v>
      </c>
      <c r="D60" s="192">
        <v>4535</v>
      </c>
      <c r="E60" s="192">
        <v>1</v>
      </c>
      <c r="F60" s="193">
        <v>5.4199999999999998E-2</v>
      </c>
      <c r="G60" s="194">
        <f t="shared" si="45"/>
        <v>256697.41697416976</v>
      </c>
      <c r="H60" s="183"/>
      <c r="W60" s="29">
        <f>'County Scale Output 2017-2040'!Q23</f>
        <v>23</v>
      </c>
      <c r="X60" s="29">
        <f>'County Scale Output 2017-2040'!R23</f>
        <v>2040</v>
      </c>
      <c r="Y60" s="29">
        <f>'County Scale Output 2017-2040'!S23</f>
        <v>20</v>
      </c>
      <c r="Z60" s="29">
        <f>'County Scale Output 2017-2040'!T23</f>
        <v>2</v>
      </c>
      <c r="AA60" s="29">
        <f>'County Scale Output 2017-2040'!U23</f>
        <v>130892120</v>
      </c>
    </row>
    <row r="61" spans="1:45">
      <c r="A61" s="183">
        <v>15</v>
      </c>
      <c r="B61" s="190" t="s">
        <v>332</v>
      </c>
      <c r="C61" s="192">
        <v>9340</v>
      </c>
      <c r="D61" s="192">
        <v>3312</v>
      </c>
      <c r="E61" s="192"/>
      <c r="F61" s="193">
        <v>3.15E-2</v>
      </c>
      <c r="G61" s="194">
        <f t="shared" si="45"/>
        <v>401650.79365079367</v>
      </c>
      <c r="H61" s="183"/>
      <c r="W61" s="29">
        <f>'County Scale Output 2017-2040'!Q24</f>
        <v>23</v>
      </c>
      <c r="X61" s="29">
        <f>'County Scale Output 2017-2040'!R24</f>
        <v>2040</v>
      </c>
      <c r="Y61" s="29">
        <f>'County Scale Output 2017-2040'!S24</f>
        <v>20</v>
      </c>
      <c r="Z61" s="29">
        <f>'County Scale Output 2017-2040'!T24</f>
        <v>5</v>
      </c>
      <c r="AA61" s="29">
        <f>'County Scale Output 2017-2040'!U24</f>
        <v>3948812.781</v>
      </c>
    </row>
    <row r="62" spans="1:45">
      <c r="A62" s="183">
        <v>16</v>
      </c>
      <c r="B62" s="190" t="s">
        <v>333</v>
      </c>
      <c r="C62" s="192">
        <v>8380</v>
      </c>
      <c r="D62" s="192">
        <v>4421</v>
      </c>
      <c r="E62" s="192"/>
      <c r="F62" s="193">
        <v>8.3799999999999999E-2</v>
      </c>
      <c r="G62" s="194">
        <f t="shared" si="45"/>
        <v>152756.5632458234</v>
      </c>
      <c r="H62" s="183"/>
      <c r="W62" s="29">
        <f>'County Scale Output 2017-2040'!Q25</f>
        <v>23</v>
      </c>
      <c r="X62" s="29">
        <f>'County Scale Output 2017-2040'!R25</f>
        <v>2040</v>
      </c>
      <c r="Y62" s="29">
        <f>'County Scale Output 2017-2040'!S25</f>
        <v>20</v>
      </c>
      <c r="Z62" s="29">
        <f>'County Scale Output 2017-2040'!T25</f>
        <v>9</v>
      </c>
      <c r="AA62" s="29">
        <f>'County Scale Output 2017-2040'!U25</f>
        <v>182935.39550000001</v>
      </c>
    </row>
    <row r="63" spans="1:45">
      <c r="A63" s="183">
        <v>17</v>
      </c>
      <c r="B63" s="190" t="s">
        <v>334</v>
      </c>
      <c r="C63" s="192">
        <v>7258</v>
      </c>
      <c r="D63" s="192">
        <v>3103</v>
      </c>
      <c r="E63" s="192"/>
      <c r="F63" s="193">
        <v>2.0400000000000001E-2</v>
      </c>
      <c r="G63" s="194">
        <f t="shared" si="45"/>
        <v>507892.15686274506</v>
      </c>
      <c r="H63" s="183"/>
      <c r="W63" s="29">
        <f>'County Scale Output 2017-2040'!Q26</f>
        <v>23</v>
      </c>
      <c r="X63" s="29">
        <f>'County Scale Output 2017-2040'!R26</f>
        <v>2040</v>
      </c>
      <c r="Y63" s="29">
        <f>'County Scale Output 2017-2040'!S26</f>
        <v>30</v>
      </c>
      <c r="Z63" s="29">
        <f>'County Scale Output 2017-2040'!T26</f>
        <v>1</v>
      </c>
      <c r="AA63" s="29">
        <f>'County Scale Output 2017-2040'!U26</f>
        <v>8259350912</v>
      </c>
    </row>
    <row r="64" spans="1:45">
      <c r="A64" s="183">
        <v>18</v>
      </c>
      <c r="B64" s="190" t="s">
        <v>335</v>
      </c>
      <c r="C64" s="192">
        <v>6425</v>
      </c>
      <c r="D64" s="192">
        <v>4052</v>
      </c>
      <c r="E64" s="192"/>
      <c r="F64" s="193">
        <v>2.23E-2</v>
      </c>
      <c r="G64" s="194">
        <f t="shared" si="45"/>
        <v>469820.62780269055</v>
      </c>
      <c r="H64" s="183"/>
      <c r="W64" s="29">
        <f>'County Scale Output 2017-2040'!Q27</f>
        <v>23</v>
      </c>
      <c r="X64" s="29">
        <f>'County Scale Output 2017-2040'!R27</f>
        <v>2040</v>
      </c>
      <c r="Y64" s="29">
        <f>'County Scale Output 2017-2040'!S27</f>
        <v>30</v>
      </c>
      <c r="Z64" s="29">
        <f>'County Scale Output 2017-2040'!T27</f>
        <v>2</v>
      </c>
      <c r="AA64" s="29">
        <f>'County Scale Output 2017-2040'!U27</f>
        <v>222541868</v>
      </c>
    </row>
    <row r="65" spans="1:30">
      <c r="A65" s="183">
        <v>19</v>
      </c>
      <c r="B65" s="190" t="s">
        <v>336</v>
      </c>
      <c r="C65" s="192">
        <v>6365</v>
      </c>
      <c r="D65" s="192">
        <v>1383</v>
      </c>
      <c r="E65" s="192"/>
      <c r="F65" s="193">
        <v>6.0400000000000002E-2</v>
      </c>
      <c r="G65" s="194">
        <f t="shared" si="45"/>
        <v>128278.14569536423</v>
      </c>
      <c r="H65" s="183"/>
      <c r="W65" s="29">
        <f>'County Scale Output 2017-2040'!Q28</f>
        <v>23</v>
      </c>
      <c r="X65" s="29">
        <f>'County Scale Output 2017-2040'!R28</f>
        <v>2040</v>
      </c>
      <c r="Y65" s="29">
        <f>'County Scale Output 2017-2040'!S28</f>
        <v>30</v>
      </c>
      <c r="Z65" s="29">
        <f>'County Scale Output 2017-2040'!T28</f>
        <v>5</v>
      </c>
      <c r="AA65" s="29">
        <f>'County Scale Output 2017-2040'!U28</f>
        <v>23797106</v>
      </c>
    </row>
    <row r="66" spans="1:30">
      <c r="A66" s="183">
        <v>20</v>
      </c>
      <c r="B66" s="190" t="s">
        <v>337</v>
      </c>
      <c r="C66" s="192">
        <v>4952</v>
      </c>
      <c r="D66" s="192">
        <v>3050</v>
      </c>
      <c r="E66" s="192"/>
      <c r="F66" s="193">
        <v>5.3800000000000001E-2</v>
      </c>
      <c r="G66" s="194">
        <f t="shared" si="45"/>
        <v>148736.05947955389</v>
      </c>
      <c r="H66" s="183"/>
      <c r="W66" s="29">
        <f>'County Scale Output 2017-2040'!Q29</f>
        <v>23</v>
      </c>
      <c r="X66" s="29">
        <f>'County Scale Output 2017-2040'!R29</f>
        <v>2040</v>
      </c>
      <c r="Y66" s="29">
        <f>'County Scale Output 2017-2040'!S29</f>
        <v>30</v>
      </c>
      <c r="Z66" s="29">
        <f>'County Scale Output 2017-2040'!T29</f>
        <v>9</v>
      </c>
      <c r="AA66" s="29">
        <f>'County Scale Output 2017-2040'!U29</f>
        <v>93968.127930000002</v>
      </c>
    </row>
    <row r="67" spans="1:30">
      <c r="A67" s="183">
        <v>21</v>
      </c>
      <c r="B67" s="190" t="s">
        <v>338</v>
      </c>
      <c r="C67" s="192">
        <v>4623</v>
      </c>
      <c r="D67" s="192">
        <v>1738</v>
      </c>
      <c r="E67" s="192"/>
      <c r="F67" s="193">
        <v>3.1699999999999999E-2</v>
      </c>
      <c r="G67" s="194">
        <f t="shared" si="45"/>
        <v>200662.46056782335</v>
      </c>
      <c r="H67" s="183"/>
      <c r="W67" s="29">
        <f>'County Scale Output 2017-2040'!Q30</f>
        <v>23</v>
      </c>
      <c r="X67" s="29">
        <f>'County Scale Output 2017-2040'!R30</f>
        <v>2040</v>
      </c>
      <c r="Y67" s="29">
        <f>'County Scale Output 2017-2040'!S30</f>
        <v>41</v>
      </c>
      <c r="Z67" s="29">
        <f>'County Scale Output 2017-2040'!T30</f>
        <v>1</v>
      </c>
      <c r="AA67" s="29">
        <f>'County Scale Output 2017-2040'!U30</f>
        <v>162851422</v>
      </c>
    </row>
    <row r="68" spans="1:30">
      <c r="A68" s="183">
        <v>22</v>
      </c>
      <c r="B68" s="190" t="s">
        <v>339</v>
      </c>
      <c r="C68" s="192">
        <v>4411</v>
      </c>
      <c r="D68" s="192">
        <v>1226</v>
      </c>
      <c r="E68" s="192"/>
      <c r="F68" s="193">
        <v>4.9099999999999998E-2</v>
      </c>
      <c r="G68" s="194">
        <f t="shared" si="45"/>
        <v>114806.51731160897</v>
      </c>
      <c r="H68" s="183"/>
      <c r="W68" s="29">
        <f>'County Scale Output 2017-2040'!Q31</f>
        <v>23</v>
      </c>
      <c r="X68" s="29">
        <f>'County Scale Output 2017-2040'!R31</f>
        <v>2040</v>
      </c>
      <c r="Y68" s="29">
        <f>'County Scale Output 2017-2040'!S31</f>
        <v>41</v>
      </c>
      <c r="Z68" s="29">
        <f>'County Scale Output 2017-2040'!T31</f>
        <v>2</v>
      </c>
      <c r="AA68" s="29">
        <f>'County Scale Output 2017-2040'!U31</f>
        <v>551337888</v>
      </c>
      <c r="AB68">
        <f>SUM(AA59:AA68)</f>
        <v>15207481576.30443</v>
      </c>
      <c r="AC68">
        <f>AA62+AA66</f>
        <v>276903.52343</v>
      </c>
      <c r="AD68" s="236">
        <f>AC68/AB68</f>
        <v>1.8208374742433213E-5</v>
      </c>
    </row>
    <row r="69" spans="1:30">
      <c r="A69" s="183">
        <v>23</v>
      </c>
      <c r="B69" s="190" t="s">
        <v>340</v>
      </c>
      <c r="C69" s="192">
        <v>4138</v>
      </c>
      <c r="D69" s="192">
        <v>956</v>
      </c>
      <c r="E69" s="192">
        <v>5</v>
      </c>
      <c r="F69" s="193">
        <v>7.8899999999999998E-2</v>
      </c>
      <c r="G69" s="194">
        <f t="shared" si="45"/>
        <v>64626.108998732576</v>
      </c>
      <c r="H69" s="183"/>
      <c r="W69" s="29"/>
      <c r="X69" s="29"/>
      <c r="Y69" s="29"/>
      <c r="Z69" s="29"/>
      <c r="AA69" s="29"/>
    </row>
    <row r="70" spans="1:30">
      <c r="A70" s="183">
        <v>24</v>
      </c>
      <c r="B70" s="190" t="s">
        <v>341</v>
      </c>
      <c r="C70" s="192">
        <v>4101</v>
      </c>
      <c r="D70" s="192">
        <v>1316</v>
      </c>
      <c r="E70" s="192"/>
      <c r="F70" s="193">
        <v>2.2700000000000001E-2</v>
      </c>
      <c r="G70" s="194">
        <f t="shared" si="45"/>
        <v>238634.36123348016</v>
      </c>
      <c r="H70" s="183"/>
    </row>
    <row r="71" spans="1:30">
      <c r="A71" s="183">
        <v>25</v>
      </c>
      <c r="B71" s="190" t="s">
        <v>342</v>
      </c>
      <c r="C71" s="192">
        <v>3738</v>
      </c>
      <c r="D71" s="192">
        <v>5036</v>
      </c>
      <c r="E71" s="192"/>
      <c r="F71" s="193">
        <v>2.2800000000000001E-2</v>
      </c>
      <c r="G71" s="194">
        <f t="shared" si="45"/>
        <v>384824.56140350876</v>
      </c>
      <c r="H71" s="183"/>
    </row>
    <row r="72" spans="1:30">
      <c r="A72" s="183">
        <v>26</v>
      </c>
      <c r="B72" s="190" t="s">
        <v>343</v>
      </c>
      <c r="C72" s="192">
        <v>3467</v>
      </c>
      <c r="D72" s="192">
        <v>1701</v>
      </c>
      <c r="E72" s="192"/>
      <c r="F72" s="193">
        <v>2.1999999999999999E-2</v>
      </c>
      <c r="G72" s="194">
        <f t="shared" si="45"/>
        <v>234909.09090909091</v>
      </c>
      <c r="H72" s="183"/>
    </row>
    <row r="73" spans="1:30">
      <c r="A73" s="183">
        <v>27</v>
      </c>
      <c r="B73" s="190" t="s">
        <v>344</v>
      </c>
      <c r="C73" s="192">
        <v>3304</v>
      </c>
      <c r="D73" s="192">
        <v>1613</v>
      </c>
      <c r="E73" s="192">
        <v>1</v>
      </c>
      <c r="F73" s="193">
        <v>2.2599999999999999E-2</v>
      </c>
      <c r="G73" s="194">
        <f t="shared" si="45"/>
        <v>217610.61946902657</v>
      </c>
      <c r="H73" s="183"/>
    </row>
    <row r="74" spans="1:30">
      <c r="A74" s="183">
        <v>28</v>
      </c>
      <c r="B74" s="190" t="s">
        <v>345</v>
      </c>
      <c r="C74" s="192">
        <v>3011</v>
      </c>
      <c r="D74" s="192">
        <v>1336</v>
      </c>
      <c r="E74" s="192"/>
      <c r="F74" s="193">
        <v>2.12E-2</v>
      </c>
      <c r="G74" s="194">
        <f t="shared" si="45"/>
        <v>205047.16981132075</v>
      </c>
      <c r="H74" s="183"/>
    </row>
    <row r="75" spans="1:30">
      <c r="A75" s="183">
        <v>29</v>
      </c>
      <c r="B75" s="190" t="s">
        <v>346</v>
      </c>
      <c r="C75" s="192">
        <v>2716</v>
      </c>
      <c r="D75" s="192">
        <v>1183</v>
      </c>
      <c r="E75" s="192"/>
      <c r="F75" s="193">
        <v>1.9900000000000001E-2</v>
      </c>
      <c r="G75" s="194">
        <f t="shared" si="45"/>
        <v>195929.64824120601</v>
      </c>
      <c r="H75" s="183"/>
    </row>
    <row r="76" spans="1:30">
      <c r="A76" s="183">
        <v>30</v>
      </c>
      <c r="B76" s="190" t="s">
        <v>347</v>
      </c>
      <c r="C76" s="192">
        <v>1607</v>
      </c>
      <c r="D76" s="192">
        <v>806</v>
      </c>
      <c r="E76" s="192"/>
      <c r="F76" s="193">
        <v>1.32E-2</v>
      </c>
      <c r="G76" s="194">
        <f t="shared" si="45"/>
        <v>182803.0303030303</v>
      </c>
      <c r="H76" s="183"/>
    </row>
    <row r="77" spans="1:30">
      <c r="A77" s="183">
        <v>31</v>
      </c>
      <c r="B77" s="190" t="s">
        <v>348</v>
      </c>
      <c r="C77" s="192">
        <v>1471</v>
      </c>
      <c r="D77" s="192">
        <v>654</v>
      </c>
      <c r="E77" s="192"/>
      <c r="F77" s="193">
        <v>1.5699999999999999E-2</v>
      </c>
      <c r="G77" s="194">
        <f t="shared" si="45"/>
        <v>135350.31847133758</v>
      </c>
      <c r="H77" s="183"/>
    </row>
    <row r="78" spans="1:30">
      <c r="A78" s="183">
        <v>32</v>
      </c>
      <c r="B78" s="190" t="s">
        <v>349</v>
      </c>
      <c r="C78" s="192">
        <v>1375</v>
      </c>
      <c r="D78" s="192">
        <v>806</v>
      </c>
      <c r="E78" s="192"/>
      <c r="F78" s="193">
        <v>1.9800000000000002E-2</v>
      </c>
      <c r="G78" s="194">
        <f t="shared" si="45"/>
        <v>110151.51515151514</v>
      </c>
      <c r="H78" s="183"/>
    </row>
    <row r="79" spans="1:30">
      <c r="A79" s="183">
        <v>33</v>
      </c>
      <c r="B79" s="190" t="s">
        <v>350</v>
      </c>
      <c r="C79" s="192">
        <v>1367</v>
      </c>
      <c r="D79" s="192">
        <v>763</v>
      </c>
      <c r="E79" s="192"/>
      <c r="F79" s="193">
        <v>0.1119</v>
      </c>
      <c r="G79" s="194">
        <f t="shared" si="45"/>
        <v>19034.852546916889</v>
      </c>
      <c r="H79" s="183"/>
    </row>
    <row r="80" spans="1:30">
      <c r="A80" s="183">
        <v>34</v>
      </c>
      <c r="B80" s="190" t="s">
        <v>351</v>
      </c>
      <c r="C80" s="192">
        <v>1324</v>
      </c>
      <c r="D80" s="192">
        <v>994</v>
      </c>
      <c r="E80" s="192"/>
      <c r="F80" s="193">
        <v>2.9700000000000001E-2</v>
      </c>
      <c r="G80" s="194">
        <f t="shared" si="45"/>
        <v>78047.13804713804</v>
      </c>
      <c r="H80" s="183"/>
    </row>
    <row r="81" spans="1:8">
      <c r="A81" s="183">
        <v>35</v>
      </c>
      <c r="B81" s="190" t="s">
        <v>352</v>
      </c>
      <c r="C81" s="192">
        <v>1315</v>
      </c>
      <c r="D81" s="192">
        <v>624</v>
      </c>
      <c r="E81" s="192"/>
      <c r="F81" s="193">
        <v>2.29E-2</v>
      </c>
      <c r="G81" s="194">
        <f t="shared" si="45"/>
        <v>84672.489082969434</v>
      </c>
      <c r="H81" s="183"/>
    </row>
    <row r="82" spans="1:8">
      <c r="A82" s="183">
        <v>36</v>
      </c>
      <c r="B82" s="190" t="s">
        <v>353</v>
      </c>
      <c r="C82" s="192">
        <v>1257</v>
      </c>
      <c r="D82" s="192">
        <v>531</v>
      </c>
      <c r="E82" s="192"/>
      <c r="F82" s="193">
        <v>4.2200000000000001E-2</v>
      </c>
      <c r="G82" s="194">
        <f t="shared" si="45"/>
        <v>42369.668246445493</v>
      </c>
      <c r="H82" s="183"/>
    </row>
    <row r="83" spans="1:8">
      <c r="A83" s="183">
        <v>37</v>
      </c>
      <c r="B83" s="190" t="s">
        <v>354</v>
      </c>
      <c r="C83" s="192">
        <v>1219</v>
      </c>
      <c r="D83" s="192">
        <v>1018</v>
      </c>
      <c r="E83" s="192"/>
      <c r="F83" s="193">
        <v>5.9700000000000003E-2</v>
      </c>
      <c r="G83" s="194">
        <f t="shared" si="45"/>
        <v>37470.68676716918</v>
      </c>
      <c r="H83" s="183"/>
    </row>
    <row r="84" spans="1:8">
      <c r="A84" s="183">
        <v>38</v>
      </c>
      <c r="B84" s="190" t="s">
        <v>355</v>
      </c>
      <c r="C84" s="192">
        <v>1188</v>
      </c>
      <c r="D84" s="192">
        <v>478</v>
      </c>
      <c r="E84" s="192"/>
      <c r="F84" s="193">
        <v>4.02E-2</v>
      </c>
      <c r="G84" s="194">
        <f t="shared" si="45"/>
        <v>41442.786069651738</v>
      </c>
      <c r="H84" s="183"/>
    </row>
    <row r="85" spans="1:8">
      <c r="A85" s="183">
        <v>39</v>
      </c>
      <c r="B85" s="190" t="s">
        <v>356</v>
      </c>
      <c r="C85" s="192">
        <v>1156</v>
      </c>
      <c r="D85" s="192">
        <v>685</v>
      </c>
      <c r="E85" s="192"/>
      <c r="F85" s="193">
        <v>9.7000000000000003E-3</v>
      </c>
      <c r="G85" s="194">
        <f t="shared" si="45"/>
        <v>189793.81443298969</v>
      </c>
      <c r="H85" s="183"/>
    </row>
    <row r="86" spans="1:8">
      <c r="A86" s="183">
        <v>40</v>
      </c>
      <c r="B86" s="190" t="s">
        <v>357</v>
      </c>
      <c r="C86" s="192">
        <v>1083</v>
      </c>
      <c r="D86" s="192">
        <v>1408</v>
      </c>
      <c r="E86" s="192"/>
      <c r="F86" s="193">
        <v>4.1200000000000001E-2</v>
      </c>
      <c r="G86" s="194">
        <f t="shared" si="45"/>
        <v>60461.165048543691</v>
      </c>
      <c r="H86" s="183"/>
    </row>
    <row r="87" spans="1:8">
      <c r="A87" s="183">
        <v>41</v>
      </c>
      <c r="B87" s="190" t="s">
        <v>358</v>
      </c>
      <c r="C87" s="192">
        <v>1037</v>
      </c>
      <c r="D87" s="192">
        <v>521</v>
      </c>
      <c r="E87" s="192"/>
      <c r="F87" s="193">
        <v>2.4899999999999999E-2</v>
      </c>
      <c r="G87" s="194">
        <f t="shared" si="45"/>
        <v>62570.281124497997</v>
      </c>
      <c r="H87" s="183"/>
    </row>
    <row r="88" spans="1:8">
      <c r="A88" s="183">
        <v>42</v>
      </c>
      <c r="B88" s="190" t="s">
        <v>359</v>
      </c>
      <c r="C88" s="192">
        <v>944</v>
      </c>
      <c r="D88" s="192">
        <v>737</v>
      </c>
      <c r="E88" s="192"/>
      <c r="F88" s="193">
        <v>3.85E-2</v>
      </c>
      <c r="G88" s="194">
        <f t="shared" si="45"/>
        <v>43662.337662337661</v>
      </c>
      <c r="H88" s="183"/>
    </row>
    <row r="89" spans="1:8">
      <c r="A89" s="183">
        <v>43</v>
      </c>
      <c r="B89" s="190" t="s">
        <v>360</v>
      </c>
      <c r="C89" s="192">
        <v>914</v>
      </c>
      <c r="D89" s="192">
        <v>454</v>
      </c>
      <c r="E89" s="192"/>
      <c r="F89" s="193">
        <v>1.2200000000000001E-2</v>
      </c>
      <c r="G89" s="194">
        <f t="shared" si="45"/>
        <v>112131.1475409836</v>
      </c>
      <c r="H89" s="183"/>
    </row>
    <row r="90" spans="1:8">
      <c r="A90" s="183">
        <v>44</v>
      </c>
      <c r="B90" s="190" t="s">
        <v>361</v>
      </c>
      <c r="C90" s="192">
        <v>876</v>
      </c>
      <c r="D90" s="192">
        <v>615</v>
      </c>
      <c r="E90" s="192"/>
      <c r="F90" s="193">
        <v>2.0299999999999999E-2</v>
      </c>
      <c r="G90" s="194">
        <f t="shared" si="45"/>
        <v>73448.275862068971</v>
      </c>
      <c r="H90" s="183"/>
    </row>
    <row r="91" spans="1:8">
      <c r="A91" s="183">
        <v>45</v>
      </c>
      <c r="B91" s="190" t="s">
        <v>362</v>
      </c>
      <c r="C91" s="192">
        <v>636</v>
      </c>
      <c r="D91" s="192">
        <v>311</v>
      </c>
      <c r="E91" s="192"/>
      <c r="F91" s="193">
        <v>2.0400000000000001E-2</v>
      </c>
      <c r="G91" s="194">
        <f t="shared" si="45"/>
        <v>46421.568627450979</v>
      </c>
      <c r="H91" s="183"/>
    </row>
    <row r="92" spans="1:8">
      <c r="A92" s="183">
        <v>46</v>
      </c>
      <c r="B92" s="190" t="s">
        <v>363</v>
      </c>
      <c r="C92" s="192">
        <v>474</v>
      </c>
      <c r="D92" s="192">
        <v>303</v>
      </c>
      <c r="E92" s="192"/>
      <c r="F92" s="193">
        <v>2.1999999999999999E-2</v>
      </c>
      <c r="G92" s="194">
        <f t="shared" si="45"/>
        <v>35318.181818181823</v>
      </c>
      <c r="H92" s="183"/>
    </row>
    <row r="93" spans="1:8">
      <c r="A93" s="183">
        <v>47</v>
      </c>
      <c r="B93" s="190" t="s">
        <v>364</v>
      </c>
      <c r="C93" s="192">
        <v>390</v>
      </c>
      <c r="D93" s="192">
        <v>279</v>
      </c>
      <c r="E93" s="192"/>
      <c r="F93" s="193">
        <v>9.9000000000000008E-3</v>
      </c>
      <c r="G93" s="194">
        <f t="shared" si="45"/>
        <v>67575.757575757569</v>
      </c>
      <c r="H93" s="183"/>
    </row>
    <row r="94" spans="1:8">
      <c r="A94" s="183">
        <v>48</v>
      </c>
      <c r="B94" s="190" t="s">
        <v>365</v>
      </c>
      <c r="C94" s="192">
        <v>248</v>
      </c>
      <c r="D94" s="192">
        <v>108</v>
      </c>
      <c r="E94" s="192"/>
      <c r="F94" s="193">
        <v>1.7399999999999999E-2</v>
      </c>
      <c r="G94" s="194">
        <f t="shared" si="45"/>
        <v>20459.77011494253</v>
      </c>
      <c r="H94" s="183"/>
    </row>
    <row r="95" spans="1:8">
      <c r="A95" s="183">
        <v>49</v>
      </c>
      <c r="B95" s="190" t="s">
        <v>366</v>
      </c>
      <c r="C95" s="192">
        <v>215</v>
      </c>
      <c r="D95" s="192">
        <v>167</v>
      </c>
      <c r="E95" s="192"/>
      <c r="F95" s="193">
        <v>1.17E-2</v>
      </c>
      <c r="G95" s="194">
        <f t="shared" si="45"/>
        <v>32649.572649572649</v>
      </c>
      <c r="H95" s="183"/>
    </row>
    <row r="96" spans="1:8">
      <c r="A96" s="183">
        <v>50</v>
      </c>
      <c r="B96" s="190" t="s">
        <v>367</v>
      </c>
      <c r="C96" s="192">
        <v>138</v>
      </c>
      <c r="D96" s="192">
        <v>128</v>
      </c>
      <c r="E96" s="192"/>
      <c r="F96" s="193">
        <v>1.46E-2</v>
      </c>
      <c r="G96" s="194">
        <f t="shared" si="45"/>
        <v>18219.178082191782</v>
      </c>
      <c r="H96" s="183"/>
    </row>
    <row r="97" spans="1:8">
      <c r="A97" s="183">
        <v>51</v>
      </c>
      <c r="B97" s="190" t="s">
        <v>368</v>
      </c>
      <c r="C97" s="192">
        <v>132</v>
      </c>
      <c r="D97" s="192">
        <v>101</v>
      </c>
      <c r="E97" s="192"/>
      <c r="F97" s="193">
        <v>7.7000000000000002E-3</v>
      </c>
      <c r="G97" s="194">
        <f t="shared" si="45"/>
        <v>30259.740259740258</v>
      </c>
      <c r="H97" s="183"/>
    </row>
    <row r="98" spans="1:8">
      <c r="A98" s="183"/>
      <c r="B98" s="183"/>
      <c r="C98" s="183"/>
      <c r="D98" s="183"/>
      <c r="E98" s="183"/>
      <c r="F98" s="183"/>
      <c r="G98" s="183"/>
      <c r="H98" s="183"/>
    </row>
    <row r="99" spans="1:8">
      <c r="A99" s="183"/>
      <c r="B99" s="183"/>
      <c r="C99" s="189" t="s">
        <v>121</v>
      </c>
      <c r="D99" s="189" t="s">
        <v>122</v>
      </c>
      <c r="E99" s="189" t="s">
        <v>316</v>
      </c>
      <c r="F99" s="189"/>
      <c r="G99" s="189" t="s">
        <v>33</v>
      </c>
      <c r="H99" s="183"/>
    </row>
    <row r="100" spans="1:8">
      <c r="A100" s="183"/>
      <c r="B100" s="183" t="s">
        <v>49</v>
      </c>
      <c r="C100" s="194">
        <f>SUM(C47:C97)</f>
        <v>473426</v>
      </c>
      <c r="D100" s="194">
        <f t="shared" ref="D100:E100" si="46">SUM(D47:D97)</f>
        <v>173804</v>
      </c>
      <c r="E100" s="194">
        <f t="shared" si="46"/>
        <v>3281</v>
      </c>
      <c r="F100" s="195">
        <f>SUM(C100:E100)/G100</f>
        <v>4.6816102427689771E-2</v>
      </c>
      <c r="G100" s="196">
        <f>SUM(G47:G97)</f>
        <v>13895026.844764631</v>
      </c>
      <c r="H100" s="183"/>
    </row>
    <row r="101" spans="1:8">
      <c r="A101" s="183"/>
      <c r="B101" s="183"/>
      <c r="C101" s="183"/>
      <c r="D101" s="183"/>
      <c r="E101" s="183"/>
      <c r="F101" s="183"/>
      <c r="G101" s="183"/>
      <c r="H101" s="183"/>
    </row>
    <row r="102" spans="1:8">
      <c r="A102" s="183"/>
      <c r="B102" s="183"/>
      <c r="C102" s="197"/>
      <c r="D102" s="183"/>
      <c r="E102" s="183"/>
      <c r="F102" s="183"/>
      <c r="G102" s="183"/>
      <c r="H102" s="183"/>
    </row>
    <row r="103" spans="1:8">
      <c r="A103" s="183"/>
      <c r="B103" s="183"/>
      <c r="C103" s="183"/>
      <c r="D103" s="183"/>
      <c r="E103" s="183"/>
      <c r="F103" s="183"/>
      <c r="G103" s="183"/>
      <c r="H103" s="183"/>
    </row>
  </sheetData>
  <sheetProtection algorithmName="SHA-512" hashValue="x/AP078fZqbUbOwSylsJ5WseBCmBNDfkyNdsG4xtkD0Cijyqo5n2YRojw7wDD3E5gUBAvmLy8AIaxlfMQqAGww==" saltValue="7FY7rhiIMg1nv+I0JP6IjQ==" spinCount="100000" sheet="1" objects="1" scenarios="1"/>
  <mergeCells count="12">
    <mergeCell ref="C45:E45"/>
    <mergeCell ref="AN7:AS7"/>
    <mergeCell ref="N7:P7"/>
    <mergeCell ref="K7:M7"/>
    <mergeCell ref="B7:D7"/>
    <mergeCell ref="E7:G7"/>
    <mergeCell ref="H7:J7"/>
    <mergeCell ref="AH42:AM42"/>
    <mergeCell ref="AN42:AS42"/>
    <mergeCell ref="V7:AA7"/>
    <mergeCell ref="AB7:AG7"/>
    <mergeCell ref="AH7:AM7"/>
  </mergeCells>
  <pageMargins left="0.7" right="0.7" top="0.75" bottom="0.75" header="0.3" footer="0.3"/>
  <pageSetup orientation="portrait" horizontalDpi="360" verticalDpi="360" r:id="rId1"/>
  <ignoredErrors>
    <ignoredError sqref="J24:J32" formulaRange="1"/>
    <ignoredError sqref="F100 AC17 AE17 AI17 AK17 AO17:AO18 AQ17:AQ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sheetPr codeName="Sheet12"/>
  <dimension ref="A1:AO79"/>
  <sheetViews>
    <sheetView workbookViewId="0">
      <selection activeCell="A62" sqref="A62"/>
    </sheetView>
  </sheetViews>
  <sheetFormatPr baseColWidth="10" defaultColWidth="8.6640625" defaultRowHeight="15"/>
  <cols>
    <col min="1" max="4" width="8.6640625" style="33"/>
    <col min="5" max="5" width="13.1640625" style="33" customWidth="1"/>
    <col min="6" max="6" width="8.6640625" style="33"/>
    <col min="7" max="7" width="10.5" style="33" customWidth="1"/>
    <col min="8" max="8" width="13" style="33" customWidth="1"/>
    <col min="9" max="9" width="8.6640625" style="33"/>
    <col min="10" max="10" width="12.5" style="33" customWidth="1"/>
    <col min="11" max="11" width="14.33203125" style="33" customWidth="1"/>
    <col min="12" max="13" width="15" style="33" customWidth="1"/>
    <col min="14" max="14" width="14.6640625" style="33" customWidth="1"/>
    <col min="15" max="15" width="4.83203125" style="33" bestFit="1" customWidth="1"/>
    <col min="16" max="16" width="12.83203125" style="33" customWidth="1"/>
    <col min="17" max="17" width="8.5" style="33" bestFit="1" customWidth="1"/>
    <col min="18" max="18" width="11.33203125" style="33" customWidth="1"/>
    <col min="19" max="19" width="11.6640625" style="33" customWidth="1"/>
    <col min="20" max="20" width="8.5" style="33" bestFit="1" customWidth="1"/>
    <col min="21" max="21" width="8.6640625" style="33"/>
    <col min="22" max="22" width="4.83203125" style="33" bestFit="1" customWidth="1"/>
    <col min="23" max="23" width="11" style="33" bestFit="1" customWidth="1"/>
    <col min="24" max="24" width="8.5" style="33" bestFit="1" customWidth="1"/>
    <col min="25" max="25" width="10" style="33" bestFit="1" customWidth="1"/>
    <col min="26" max="26" width="11" style="33" bestFit="1" customWidth="1"/>
    <col min="27" max="27" width="8.5" style="33" bestFit="1" customWidth="1"/>
    <col min="28" max="28" width="8.6640625" style="33"/>
    <col min="29" max="29" width="4.83203125" style="33" bestFit="1" customWidth="1"/>
    <col min="30" max="30" width="11" style="33" bestFit="1" customWidth="1"/>
    <col min="31" max="31" width="8.5" style="33" bestFit="1" customWidth="1"/>
    <col min="32" max="32" width="10" style="33" bestFit="1" customWidth="1"/>
    <col min="33" max="33" width="11" style="33" bestFit="1" customWidth="1"/>
    <col min="34" max="34" width="9.5" style="33" customWidth="1"/>
    <col min="35" max="35" width="8.6640625" style="33"/>
    <col min="36" max="36" width="4.83203125" style="33" bestFit="1" customWidth="1"/>
    <col min="37" max="37" width="11" style="33" bestFit="1" customWidth="1"/>
    <col min="38" max="38" width="8.5" style="33" bestFit="1" customWidth="1"/>
    <col min="39" max="39" width="10" style="33" bestFit="1" customWidth="1"/>
    <col min="40" max="40" width="11" style="33" bestFit="1" customWidth="1"/>
    <col min="41" max="41" width="10.5" style="33" customWidth="1"/>
    <col min="42" max="16384" width="8.6640625" style="33"/>
  </cols>
  <sheetData>
    <row r="1" spans="1:41">
      <c r="A1" s="165" t="s">
        <v>382</v>
      </c>
    </row>
    <row r="3" spans="1:41">
      <c r="A3" s="165" t="s">
        <v>255</v>
      </c>
      <c r="D3" s="7" t="s">
        <v>109</v>
      </c>
      <c r="O3" s="7" t="s">
        <v>256</v>
      </c>
      <c r="V3" s="7" t="s">
        <v>257</v>
      </c>
      <c r="AC3" s="7" t="s">
        <v>258</v>
      </c>
      <c r="AJ3" s="7" t="s">
        <v>259</v>
      </c>
    </row>
    <row r="4" spans="1:41">
      <c r="A4" s="33" t="s">
        <v>211</v>
      </c>
      <c r="D4" s="166" t="s">
        <v>211</v>
      </c>
      <c r="E4" s="166" t="s">
        <v>260</v>
      </c>
      <c r="F4" s="166" t="s">
        <v>261</v>
      </c>
      <c r="G4" s="166" t="s">
        <v>122</v>
      </c>
      <c r="H4" s="166" t="s">
        <v>121</v>
      </c>
      <c r="I4" s="166" t="s">
        <v>262</v>
      </c>
      <c r="J4" s="166" t="s">
        <v>49</v>
      </c>
      <c r="K4" s="166" t="s">
        <v>263</v>
      </c>
      <c r="L4" s="166" t="s">
        <v>264</v>
      </c>
      <c r="M4" s="170" t="s">
        <v>272</v>
      </c>
      <c r="O4" s="166" t="s">
        <v>211</v>
      </c>
      <c r="P4" s="166" t="s">
        <v>260</v>
      </c>
      <c r="Q4" s="166" t="s">
        <v>261</v>
      </c>
      <c r="R4" s="166" t="s">
        <v>122</v>
      </c>
      <c r="S4" s="166" t="s">
        <v>121</v>
      </c>
      <c r="T4" s="166" t="s">
        <v>262</v>
      </c>
      <c r="V4" s="166" t="s">
        <v>211</v>
      </c>
      <c r="W4" s="166" t="s">
        <v>260</v>
      </c>
      <c r="X4" s="166" t="s">
        <v>261</v>
      </c>
      <c r="Y4" s="166" t="s">
        <v>122</v>
      </c>
      <c r="Z4" s="166" t="s">
        <v>121</v>
      </c>
      <c r="AA4" s="166" t="s">
        <v>262</v>
      </c>
      <c r="AC4" s="166" t="s">
        <v>211</v>
      </c>
      <c r="AD4" s="166" t="s">
        <v>260</v>
      </c>
      <c r="AE4" s="166" t="s">
        <v>261</v>
      </c>
      <c r="AF4" s="166" t="s">
        <v>122</v>
      </c>
      <c r="AG4" s="166" t="s">
        <v>121</v>
      </c>
      <c r="AH4" s="166" t="s">
        <v>262</v>
      </c>
      <c r="AJ4" s="166" t="s">
        <v>211</v>
      </c>
      <c r="AK4" s="166" t="s">
        <v>260</v>
      </c>
      <c r="AL4" s="166" t="s">
        <v>261</v>
      </c>
      <c r="AM4" s="166" t="s">
        <v>122</v>
      </c>
      <c r="AN4" s="166" t="s">
        <v>121</v>
      </c>
      <c r="AO4" s="166" t="s">
        <v>262</v>
      </c>
    </row>
    <row r="5" spans="1:41">
      <c r="A5" s="33">
        <v>2025</v>
      </c>
      <c r="B5" s="33">
        <f>(G5+H5+I5)/J5</f>
        <v>6.054448252299377E-2</v>
      </c>
      <c r="D5" s="33">
        <v>2025</v>
      </c>
      <c r="E5" s="167">
        <f t="shared" ref="E5:I20" si="0">P5+W5+AD5+AK5</f>
        <v>24776703.209887661</v>
      </c>
      <c r="F5" s="167">
        <f t="shared" si="0"/>
        <v>132358.9640351852</v>
      </c>
      <c r="G5" s="167">
        <f t="shared" si="0"/>
        <v>489283.38786027988</v>
      </c>
      <c r="H5" s="167">
        <f t="shared" si="0"/>
        <v>1092590.3934145016</v>
      </c>
      <c r="I5" s="167">
        <f t="shared" si="0"/>
        <v>23424.448814275282</v>
      </c>
      <c r="J5" s="167">
        <f>SUM(E5:I5)</f>
        <v>26514360.404011905</v>
      </c>
      <c r="K5" s="167">
        <f>R5</f>
        <v>398711.84329231421</v>
      </c>
      <c r="L5" s="167">
        <f>Y5+AF5+AM5</f>
        <v>90571.54456796567</v>
      </c>
      <c r="M5" s="169">
        <f>G5/J5</f>
        <v>1.845352406789515E-2</v>
      </c>
      <c r="N5" s="169"/>
      <c r="O5" s="33">
        <v>2025</v>
      </c>
      <c r="P5" s="167">
        <v>12918515.229918957</v>
      </c>
      <c r="Q5" s="167">
        <v>42726.352364996637</v>
      </c>
      <c r="R5" s="167">
        <v>398711.84329231421</v>
      </c>
      <c r="S5" s="167">
        <v>879643.929619601</v>
      </c>
      <c r="T5" s="167">
        <v>23424.448814275282</v>
      </c>
      <c r="V5" s="33">
        <v>2025</v>
      </c>
      <c r="W5" s="167">
        <v>1290500.8283019154</v>
      </c>
      <c r="X5" s="167">
        <v>611.07494159717623</v>
      </c>
      <c r="Y5" s="167">
        <v>1832.3663233627458</v>
      </c>
      <c r="Z5" s="167">
        <v>9022.4611627572613</v>
      </c>
      <c r="AA5" s="167">
        <v>0</v>
      </c>
      <c r="AC5" s="33">
        <v>2025</v>
      </c>
      <c r="AD5" s="167">
        <v>6340897.0552265448</v>
      </c>
      <c r="AE5" s="167">
        <v>22766.138287385853</v>
      </c>
      <c r="AF5" s="167">
        <v>56763.821399749708</v>
      </c>
      <c r="AG5" s="167">
        <v>118213.5860239724</v>
      </c>
      <c r="AH5" s="167">
        <v>0</v>
      </c>
      <c r="AJ5" s="33">
        <v>2025</v>
      </c>
      <c r="AK5" s="167">
        <v>4226790.0964402445</v>
      </c>
      <c r="AL5" s="167">
        <v>66255.398441205529</v>
      </c>
      <c r="AM5" s="167">
        <v>31975.35684485321</v>
      </c>
      <c r="AN5" s="167">
        <v>85710.416608170985</v>
      </c>
      <c r="AO5" s="167">
        <v>0</v>
      </c>
    </row>
    <row r="6" spans="1:41">
      <c r="A6" s="33">
        <v>2026</v>
      </c>
      <c r="B6" s="33">
        <f t="shared" ref="B6:B20" si="1">(G6+H6+I6)/J6</f>
        <v>7.2474172594756608E-2</v>
      </c>
      <c r="D6" s="33">
        <v>2026</v>
      </c>
      <c r="E6" s="167">
        <f t="shared" si="0"/>
        <v>24619430.757507939</v>
      </c>
      <c r="F6" s="167">
        <f t="shared" si="0"/>
        <v>128719.13071376827</v>
      </c>
      <c r="G6" s="167">
        <f t="shared" si="0"/>
        <v>531110.0939526977</v>
      </c>
      <c r="H6" s="167">
        <f t="shared" si="0"/>
        <v>1374722.4995566325</v>
      </c>
      <c r="I6" s="167">
        <f t="shared" si="0"/>
        <v>27915.916133245562</v>
      </c>
      <c r="J6" s="167">
        <f t="shared" ref="J6:J20" si="2">SUM(E6:I6)</f>
        <v>26681898.397864282</v>
      </c>
      <c r="K6" s="167">
        <f t="shared" ref="K6:K20" si="3">R6</f>
        <v>428569.86278296739</v>
      </c>
      <c r="L6" s="167">
        <f t="shared" ref="L6:L20" si="4">Y6+AF6+AM6</f>
        <v>102540.23116973025</v>
      </c>
      <c r="M6" s="169">
        <f t="shared" ref="M6:M20" si="5">G6/J6</f>
        <v>1.9905258840023532E-2</v>
      </c>
      <c r="N6" s="169"/>
      <c r="O6" s="33">
        <v>2026</v>
      </c>
      <c r="P6" s="167">
        <v>12764492.780061709</v>
      </c>
      <c r="Q6" s="167">
        <v>38852.721891227295</v>
      </c>
      <c r="R6" s="167">
        <v>428569.86278296739</v>
      </c>
      <c r="S6" s="167">
        <v>1037755.5691188647</v>
      </c>
      <c r="T6" s="167">
        <v>27915.916133245562</v>
      </c>
      <c r="V6" s="33">
        <v>2026</v>
      </c>
      <c r="W6" s="167">
        <v>1256615.688346297</v>
      </c>
      <c r="X6" s="167">
        <v>519.04090894274998</v>
      </c>
      <c r="Y6" s="167">
        <v>2137.8037583467503</v>
      </c>
      <c r="Z6" s="167">
        <v>13881.384005156262</v>
      </c>
      <c r="AA6" s="167">
        <v>0</v>
      </c>
      <c r="AC6" s="33">
        <v>2026</v>
      </c>
      <c r="AD6" s="167">
        <v>6395200.0261234958</v>
      </c>
      <c r="AE6" s="167">
        <v>23496.413375187763</v>
      </c>
      <c r="AF6" s="167">
        <v>64990.126939942762</v>
      </c>
      <c r="AG6" s="167">
        <v>191623.15958199289</v>
      </c>
      <c r="AH6" s="167">
        <v>0</v>
      </c>
      <c r="AJ6" s="33">
        <v>2026</v>
      </c>
      <c r="AK6" s="167">
        <v>4203122.2629764387</v>
      </c>
      <c r="AL6" s="167">
        <v>65850.954538410471</v>
      </c>
      <c r="AM6" s="167">
        <v>35412.300471440751</v>
      </c>
      <c r="AN6" s="167">
        <v>131462.3868506185</v>
      </c>
      <c r="AO6" s="167">
        <v>0</v>
      </c>
    </row>
    <row r="7" spans="1:41">
      <c r="A7" s="33">
        <v>2027</v>
      </c>
      <c r="B7" s="33">
        <f t="shared" si="1"/>
        <v>8.3726335577664651E-2</v>
      </c>
      <c r="D7" s="33">
        <v>2027</v>
      </c>
      <c r="E7" s="167">
        <f t="shared" si="0"/>
        <v>24484060.697784394</v>
      </c>
      <c r="F7" s="167">
        <f t="shared" si="0"/>
        <v>124344.24743045453</v>
      </c>
      <c r="G7" s="167">
        <f t="shared" si="0"/>
        <v>571175.7587794211</v>
      </c>
      <c r="H7" s="167">
        <f t="shared" si="0"/>
        <v>1645218.8859777304</v>
      </c>
      <c r="I7" s="167">
        <f t="shared" si="0"/>
        <v>32247.491839759212</v>
      </c>
      <c r="J7" s="167">
        <f t="shared" si="2"/>
        <v>26857047.08181176</v>
      </c>
      <c r="K7" s="167">
        <f t="shared" si="3"/>
        <v>456835.82762902649</v>
      </c>
      <c r="L7" s="167">
        <f t="shared" si="4"/>
        <v>114339.93115039464</v>
      </c>
      <c r="M7" s="169">
        <f t="shared" si="5"/>
        <v>2.1267258348972962E-2</v>
      </c>
      <c r="N7" s="169"/>
      <c r="O7" s="33">
        <v>2027</v>
      </c>
      <c r="P7" s="167">
        <v>12621743.141460327</v>
      </c>
      <c r="Q7" s="167">
        <v>34910.664533953001</v>
      </c>
      <c r="R7" s="167">
        <v>456835.82762902649</v>
      </c>
      <c r="S7" s="167">
        <v>1189905.2238037048</v>
      </c>
      <c r="T7" s="167">
        <v>32247.491839759212</v>
      </c>
      <c r="V7" s="33">
        <v>2027</v>
      </c>
      <c r="W7" s="167">
        <v>1225393.4095604967</v>
      </c>
      <c r="X7" s="167">
        <v>249.44511967850002</v>
      </c>
      <c r="Y7" s="167">
        <v>2444.4808910312504</v>
      </c>
      <c r="Z7" s="167">
        <v>18605.459507586515</v>
      </c>
      <c r="AA7" s="167">
        <v>0</v>
      </c>
      <c r="AC7" s="33">
        <v>2027</v>
      </c>
      <c r="AD7" s="167">
        <v>6452722.7631144812</v>
      </c>
      <c r="AE7" s="167">
        <v>24098.642933379484</v>
      </c>
      <c r="AF7" s="167">
        <v>73103.047254693636</v>
      </c>
      <c r="AG7" s="167">
        <v>261120.96693220441</v>
      </c>
      <c r="AH7" s="167">
        <v>0</v>
      </c>
      <c r="AJ7" s="33">
        <v>2027</v>
      </c>
      <c r="AK7" s="167">
        <v>4184201.3836490884</v>
      </c>
      <c r="AL7" s="167">
        <v>65085.494843443543</v>
      </c>
      <c r="AM7" s="167">
        <v>38792.403004669752</v>
      </c>
      <c r="AN7" s="167">
        <v>175587.23573423486</v>
      </c>
      <c r="AO7" s="167">
        <v>0</v>
      </c>
    </row>
    <row r="8" spans="1:41">
      <c r="A8" s="33">
        <v>2028</v>
      </c>
      <c r="B8" s="33">
        <f t="shared" si="1"/>
        <v>9.4479154321895575E-2</v>
      </c>
      <c r="D8" s="33">
        <v>2028</v>
      </c>
      <c r="E8" s="167">
        <f t="shared" si="0"/>
        <v>24365229.707353376</v>
      </c>
      <c r="F8" s="167">
        <f t="shared" si="0"/>
        <v>119909.53643343314</v>
      </c>
      <c r="G8" s="167">
        <f t="shared" si="0"/>
        <v>609146.04657322436</v>
      </c>
      <c r="H8" s="167">
        <f t="shared" si="0"/>
        <v>1909115.8185873672</v>
      </c>
      <c r="I8" s="167">
        <f t="shared" si="0"/>
        <v>36439.399032262198</v>
      </c>
      <c r="J8" s="167">
        <f t="shared" si="2"/>
        <v>27039840.507979661</v>
      </c>
      <c r="K8" s="167">
        <f t="shared" si="3"/>
        <v>483393.99531991518</v>
      </c>
      <c r="L8" s="167">
        <f t="shared" si="4"/>
        <v>125752.05125330923</v>
      </c>
      <c r="M8" s="169">
        <f t="shared" si="5"/>
        <v>2.252772335670622E-2</v>
      </c>
      <c r="N8" s="169"/>
      <c r="O8" s="33">
        <v>2028</v>
      </c>
      <c r="P8" s="167">
        <v>12490468.804415734</v>
      </c>
      <c r="Q8" s="167">
        <v>31009.695020705221</v>
      </c>
      <c r="R8" s="167">
        <v>483393.99531991518</v>
      </c>
      <c r="S8" s="167">
        <v>1337050.4207118934</v>
      </c>
      <c r="T8" s="167">
        <v>36439.399032262198</v>
      </c>
      <c r="V8" s="33">
        <v>2028</v>
      </c>
      <c r="W8" s="167">
        <v>1196887.1457424774</v>
      </c>
      <c r="X8" s="167">
        <v>149.79872236350013</v>
      </c>
      <c r="Y8" s="167">
        <v>2743.5085750677526</v>
      </c>
      <c r="Z8" s="167">
        <v>23300.419026648757</v>
      </c>
      <c r="AA8" s="167">
        <v>0</v>
      </c>
      <c r="AC8" s="33">
        <v>2028</v>
      </c>
      <c r="AD8" s="167">
        <v>6510109.3315520808</v>
      </c>
      <c r="AE8" s="167">
        <v>24651.422239515985</v>
      </c>
      <c r="AF8" s="167">
        <v>81042.217161345485</v>
      </c>
      <c r="AG8" s="167">
        <v>329672.41628233285</v>
      </c>
      <c r="AH8" s="167">
        <v>0</v>
      </c>
      <c r="AJ8" s="33">
        <v>2028</v>
      </c>
      <c r="AK8" s="167">
        <v>4167764.4256430818</v>
      </c>
      <c r="AL8" s="167">
        <v>64098.620450848437</v>
      </c>
      <c r="AM8" s="167">
        <v>41966.325516895988</v>
      </c>
      <c r="AN8" s="167">
        <v>219092.56256649204</v>
      </c>
      <c r="AO8" s="167">
        <v>0</v>
      </c>
    </row>
    <row r="9" spans="1:41">
      <c r="A9" s="33">
        <v>2029</v>
      </c>
      <c r="B9" s="33">
        <f t="shared" si="1"/>
        <v>0.10475450839345687</v>
      </c>
      <c r="D9" s="33">
        <v>2029</v>
      </c>
      <c r="E9" s="167">
        <f t="shared" si="0"/>
        <v>24254509.632397231</v>
      </c>
      <c r="F9" s="167">
        <f t="shared" si="0"/>
        <v>115837.00891533744</v>
      </c>
      <c r="G9" s="167">
        <f t="shared" si="0"/>
        <v>644927.47266009578</v>
      </c>
      <c r="H9" s="167">
        <f t="shared" si="0"/>
        <v>2166205.7343985876</v>
      </c>
      <c r="I9" s="167">
        <f t="shared" si="0"/>
        <v>40490.962762684438</v>
      </c>
      <c r="J9" s="167">
        <f t="shared" si="2"/>
        <v>27221970.811133936</v>
      </c>
      <c r="K9" s="167">
        <f t="shared" si="3"/>
        <v>508094.75836991734</v>
      </c>
      <c r="L9" s="167">
        <f t="shared" si="4"/>
        <v>136832.7142901785</v>
      </c>
      <c r="M9" s="169">
        <f t="shared" si="5"/>
        <v>2.3691432083834167E-2</v>
      </c>
      <c r="N9" s="169"/>
      <c r="O9" s="33">
        <v>2029</v>
      </c>
      <c r="P9" s="167">
        <v>12366431.954655636</v>
      </c>
      <c r="Q9" s="167">
        <v>27499.229191028498</v>
      </c>
      <c r="R9" s="167">
        <v>508094.75836991734</v>
      </c>
      <c r="S9" s="167">
        <v>1479066.8659683459</v>
      </c>
      <c r="T9" s="167">
        <v>40490.962762684438</v>
      </c>
      <c r="V9" s="33">
        <v>2029</v>
      </c>
      <c r="W9" s="167">
        <v>1169893.3797686927</v>
      </c>
      <c r="X9" s="167">
        <v>78.716039403249951</v>
      </c>
      <c r="Y9" s="167">
        <v>3033.5699995300006</v>
      </c>
      <c r="Z9" s="167">
        <v>27961.895508529524</v>
      </c>
      <c r="AA9" s="167">
        <v>0</v>
      </c>
      <c r="AC9" s="33">
        <v>2029</v>
      </c>
      <c r="AD9" s="167">
        <v>6564409.1053364594</v>
      </c>
      <c r="AE9" s="167">
        <v>25158.716880275733</v>
      </c>
      <c r="AF9" s="167">
        <v>88747.180029742754</v>
      </c>
      <c r="AG9" s="167">
        <v>397318.34179392754</v>
      </c>
      <c r="AH9" s="167">
        <v>0</v>
      </c>
      <c r="AJ9" s="33">
        <v>2029</v>
      </c>
      <c r="AK9" s="167">
        <v>4153775.1926364428</v>
      </c>
      <c r="AL9" s="167">
        <v>63100.346804629968</v>
      </c>
      <c r="AM9" s="167">
        <v>45051.964260905734</v>
      </c>
      <c r="AN9" s="167">
        <v>261858.63112778426</v>
      </c>
      <c r="AO9" s="167">
        <v>0</v>
      </c>
    </row>
    <row r="10" spans="1:41">
      <c r="A10" s="33">
        <v>2030</v>
      </c>
      <c r="B10" s="33">
        <f t="shared" si="1"/>
        <v>0.1145298884853423</v>
      </c>
      <c r="D10" s="33">
        <v>2030</v>
      </c>
      <c r="E10" s="167">
        <f t="shared" si="0"/>
        <v>24154191.157487098</v>
      </c>
      <c r="F10" s="167">
        <f t="shared" si="0"/>
        <v>111891.12896717657</v>
      </c>
      <c r="G10" s="167">
        <f t="shared" si="0"/>
        <v>678435.05639908498</v>
      </c>
      <c r="H10" s="167">
        <f t="shared" si="0"/>
        <v>2415848.8566130036</v>
      </c>
      <c r="I10" s="167">
        <f t="shared" si="0"/>
        <v>44378.433805861881</v>
      </c>
      <c r="J10" s="167">
        <f t="shared" si="2"/>
        <v>27404744.633272223</v>
      </c>
      <c r="K10" s="167">
        <f t="shared" si="3"/>
        <v>530973.07761587587</v>
      </c>
      <c r="L10" s="167">
        <f t="shared" si="4"/>
        <v>147461.97878320923</v>
      </c>
      <c r="M10" s="169">
        <f t="shared" si="5"/>
        <v>2.4756116704528382E-2</v>
      </c>
      <c r="N10" s="169"/>
      <c r="O10" s="33">
        <v>2030</v>
      </c>
      <c r="P10" s="167">
        <v>12251334.09601404</v>
      </c>
      <c r="Q10" s="167">
        <v>24185.576676061744</v>
      </c>
      <c r="R10" s="167">
        <v>530973.07761587587</v>
      </c>
      <c r="S10" s="167">
        <v>1615283.7115421253</v>
      </c>
      <c r="T10" s="167">
        <v>44378.433805861881</v>
      </c>
      <c r="V10" s="33">
        <v>2030</v>
      </c>
      <c r="W10" s="167">
        <v>1144355.7347219095</v>
      </c>
      <c r="X10" s="167">
        <v>24.82009194450001</v>
      </c>
      <c r="Y10" s="167">
        <v>3314.4035554597504</v>
      </c>
      <c r="Z10" s="167">
        <v>32560.22423412577</v>
      </c>
      <c r="AA10" s="167">
        <v>0</v>
      </c>
      <c r="AC10" s="33">
        <v>2030</v>
      </c>
      <c r="AD10" s="167">
        <v>6615267.1768354252</v>
      </c>
      <c r="AE10" s="167">
        <v>25601.13100210479</v>
      </c>
      <c r="AF10" s="167">
        <v>96176.882353375957</v>
      </c>
      <c r="AG10" s="167">
        <v>464205.13220274134</v>
      </c>
      <c r="AH10" s="167">
        <v>0</v>
      </c>
      <c r="AJ10" s="33">
        <v>2030</v>
      </c>
      <c r="AK10" s="167">
        <v>4143234.1499157213</v>
      </c>
      <c r="AL10" s="167">
        <v>62079.601197065538</v>
      </c>
      <c r="AM10" s="167">
        <v>47970.692874373519</v>
      </c>
      <c r="AN10" s="167">
        <v>303799.78863401082</v>
      </c>
      <c r="AO10" s="167">
        <v>0</v>
      </c>
    </row>
    <row r="11" spans="1:41">
      <c r="A11" s="33">
        <v>2031</v>
      </c>
      <c r="B11" s="33">
        <f t="shared" si="1"/>
        <v>0.12380235931029944</v>
      </c>
      <c r="D11" s="33">
        <v>2031</v>
      </c>
      <c r="E11" s="167">
        <f t="shared" si="0"/>
        <v>24059854.077332504</v>
      </c>
      <c r="F11" s="167">
        <f t="shared" si="0"/>
        <v>109012.6816480225</v>
      </c>
      <c r="G11" s="167">
        <f t="shared" si="0"/>
        <v>709554.23138089932</v>
      </c>
      <c r="H11" s="167">
        <f t="shared" si="0"/>
        <v>2657295.3423805092</v>
      </c>
      <c r="I11" s="167">
        <f t="shared" si="0"/>
        <v>48090.83199313427</v>
      </c>
      <c r="J11" s="167">
        <f t="shared" si="2"/>
        <v>27583807.164735068</v>
      </c>
      <c r="K11" s="167">
        <f t="shared" si="3"/>
        <v>551945.97967783839</v>
      </c>
      <c r="L11" s="167">
        <f t="shared" si="4"/>
        <v>157608.25170306099</v>
      </c>
      <c r="M11" s="169">
        <f t="shared" si="5"/>
        <v>2.5723578588819299E-2</v>
      </c>
      <c r="N11" s="169"/>
      <c r="O11" s="33">
        <v>2031</v>
      </c>
      <c r="P11" s="167">
        <v>12145771.976308333</v>
      </c>
      <c r="Q11" s="167">
        <v>21935.649746282503</v>
      </c>
      <c r="R11" s="167">
        <v>551945.97967783839</v>
      </c>
      <c r="S11" s="167">
        <v>1745278.3547889991</v>
      </c>
      <c r="T11" s="167">
        <v>48090.83199313427</v>
      </c>
      <c r="V11" s="33">
        <v>2031</v>
      </c>
      <c r="W11" s="167">
        <v>1120117.5475492035</v>
      </c>
      <c r="X11" s="167">
        <v>12.004529986750002</v>
      </c>
      <c r="Y11" s="167">
        <v>3585.8704888432489</v>
      </c>
      <c r="Z11" s="167">
        <v>37063.44291375496</v>
      </c>
      <c r="AA11" s="167">
        <v>0</v>
      </c>
      <c r="AC11" s="33">
        <v>2031</v>
      </c>
      <c r="AD11" s="167">
        <v>6658801.638139531</v>
      </c>
      <c r="AE11" s="167">
        <v>25996.439133647022</v>
      </c>
      <c r="AF11" s="167">
        <v>103248.28006387997</v>
      </c>
      <c r="AG11" s="167">
        <v>530106.38974790368</v>
      </c>
      <c r="AH11" s="167">
        <v>0</v>
      </c>
      <c r="AJ11" s="33">
        <v>2031</v>
      </c>
      <c r="AK11" s="167">
        <v>4135162.9153354387</v>
      </c>
      <c r="AL11" s="167">
        <v>61068.588238106233</v>
      </c>
      <c r="AM11" s="167">
        <v>50774.101150337774</v>
      </c>
      <c r="AN11" s="167">
        <v>344847.15492985159</v>
      </c>
      <c r="AO11" s="167">
        <v>0</v>
      </c>
    </row>
    <row r="12" spans="1:41">
      <c r="A12" s="33">
        <v>2032</v>
      </c>
      <c r="B12" s="33">
        <f t="shared" si="1"/>
        <v>0.13254715400460287</v>
      </c>
      <c r="D12" s="33">
        <v>2032</v>
      </c>
      <c r="E12" s="167">
        <f t="shared" si="0"/>
        <v>23973845.782168161</v>
      </c>
      <c r="F12" s="167">
        <f t="shared" si="0"/>
        <v>105888.49148729596</v>
      </c>
      <c r="G12" s="167">
        <f t="shared" si="0"/>
        <v>738254.46788993455</v>
      </c>
      <c r="H12" s="167">
        <f t="shared" si="0"/>
        <v>2889523.1799022476</v>
      </c>
      <c r="I12" s="167">
        <f t="shared" si="0"/>
        <v>51615.718538487075</v>
      </c>
      <c r="J12" s="167">
        <f t="shared" si="2"/>
        <v>27759127.639986124</v>
      </c>
      <c r="K12" s="167">
        <f t="shared" si="3"/>
        <v>571084.70216251537</v>
      </c>
      <c r="L12" s="167">
        <f t="shared" si="4"/>
        <v>167169.76572741906</v>
      </c>
      <c r="M12" s="169">
        <f t="shared" si="5"/>
        <v>2.6595016870288923E-2</v>
      </c>
      <c r="N12" s="169"/>
      <c r="O12" s="33">
        <v>2032</v>
      </c>
      <c r="P12" s="167">
        <v>12049671.458297156</v>
      </c>
      <c r="Q12" s="167">
        <v>19502.667757219719</v>
      </c>
      <c r="R12" s="167">
        <v>571084.70216251537</v>
      </c>
      <c r="S12" s="167">
        <v>1868702.6651161115</v>
      </c>
      <c r="T12" s="167">
        <v>51615.718538487075</v>
      </c>
      <c r="V12" s="33">
        <v>2032</v>
      </c>
      <c r="W12" s="167">
        <v>1098346.1787496211</v>
      </c>
      <c r="X12" s="167">
        <v>8.5001159577499994</v>
      </c>
      <c r="Y12" s="167">
        <v>3846.9722201757463</v>
      </c>
      <c r="Z12" s="167">
        <v>41455.086660385467</v>
      </c>
      <c r="AA12" s="167">
        <v>0</v>
      </c>
      <c r="AC12" s="33">
        <v>2032</v>
      </c>
      <c r="AD12" s="167">
        <v>6696576.7557309316</v>
      </c>
      <c r="AE12" s="167">
        <v>26333.84686170028</v>
      </c>
      <c r="AF12" s="167">
        <v>109942.01260586907</v>
      </c>
      <c r="AG12" s="167">
        <v>594712.36589000793</v>
      </c>
      <c r="AH12" s="167">
        <v>0</v>
      </c>
      <c r="AJ12" s="33">
        <v>2032</v>
      </c>
      <c r="AK12" s="167">
        <v>4129251.3893904551</v>
      </c>
      <c r="AL12" s="167">
        <v>60043.47675241821</v>
      </c>
      <c r="AM12" s="167">
        <v>53380.780901374266</v>
      </c>
      <c r="AN12" s="167">
        <v>384653.06223574275</v>
      </c>
      <c r="AO12" s="167">
        <v>0</v>
      </c>
    </row>
    <row r="13" spans="1:41">
      <c r="A13" s="33">
        <v>2033</v>
      </c>
      <c r="B13" s="33">
        <f t="shared" si="1"/>
        <v>0.14076405163127231</v>
      </c>
      <c r="D13" s="33">
        <v>2033</v>
      </c>
      <c r="E13" s="167">
        <f t="shared" si="0"/>
        <v>23894914.831103697</v>
      </c>
      <c r="F13" s="167">
        <f t="shared" si="0"/>
        <v>103375.70345126701</v>
      </c>
      <c r="G13" s="167">
        <f t="shared" si="0"/>
        <v>764556.02593924361</v>
      </c>
      <c r="H13" s="167">
        <f t="shared" si="0"/>
        <v>3112012.0306103537</v>
      </c>
      <c r="I13" s="167">
        <f t="shared" si="0"/>
        <v>54944.136674785164</v>
      </c>
      <c r="J13" s="167">
        <f t="shared" si="2"/>
        <v>27929802.727779347</v>
      </c>
      <c r="K13" s="167">
        <f t="shared" si="3"/>
        <v>588445.13972361549</v>
      </c>
      <c r="L13" s="167">
        <f t="shared" si="4"/>
        <v>176110.88621562798</v>
      </c>
      <c r="M13" s="169">
        <f t="shared" si="5"/>
        <v>2.7374200719964492E-2</v>
      </c>
      <c r="N13" s="169"/>
      <c r="O13" s="33">
        <v>2033</v>
      </c>
      <c r="P13" s="167">
        <v>11964812.696240012</v>
      </c>
      <c r="Q13" s="167">
        <v>17726.910584048757</v>
      </c>
      <c r="R13" s="167">
        <v>588445.13972361549</v>
      </c>
      <c r="S13" s="167">
        <v>1985255.2134413722</v>
      </c>
      <c r="T13" s="167">
        <v>54944.136674785164</v>
      </c>
      <c r="V13" s="33">
        <v>2033</v>
      </c>
      <c r="W13" s="167">
        <v>1079184.3407464228</v>
      </c>
      <c r="X13" s="167">
        <v>8.7819465650000019</v>
      </c>
      <c r="Y13" s="167">
        <v>4096.234135963</v>
      </c>
      <c r="Z13" s="167">
        <v>45729.925351800768</v>
      </c>
      <c r="AA13" s="167">
        <v>0</v>
      </c>
      <c r="AC13" s="33">
        <v>2033</v>
      </c>
      <c r="AD13" s="167">
        <v>6726384.0342429159</v>
      </c>
      <c r="AE13" s="167">
        <v>26636.387424383465</v>
      </c>
      <c r="AF13" s="167">
        <v>116187.97914711124</v>
      </c>
      <c r="AG13" s="167">
        <v>657799.7581923852</v>
      </c>
      <c r="AH13" s="167">
        <v>0</v>
      </c>
      <c r="AJ13" s="33">
        <v>2033</v>
      </c>
      <c r="AK13" s="167">
        <v>4124533.7598743485</v>
      </c>
      <c r="AL13" s="167">
        <v>59003.623496269793</v>
      </c>
      <c r="AM13" s="167">
        <v>55826.672932553745</v>
      </c>
      <c r="AN13" s="167">
        <v>423227.13362479536</v>
      </c>
      <c r="AO13" s="167">
        <v>0</v>
      </c>
    </row>
    <row r="14" spans="1:41">
      <c r="A14" s="33">
        <v>2034</v>
      </c>
      <c r="B14" s="33">
        <f t="shared" si="1"/>
        <v>0.14844844534892929</v>
      </c>
      <c r="D14" s="33">
        <v>2034</v>
      </c>
      <c r="E14" s="167">
        <f t="shared" si="0"/>
        <v>23821408.322691493</v>
      </c>
      <c r="F14" s="167">
        <f t="shared" si="0"/>
        <v>100994.24701272201</v>
      </c>
      <c r="G14" s="167">
        <f t="shared" si="0"/>
        <v>788509.32354543253</v>
      </c>
      <c r="H14" s="167">
        <f t="shared" si="0"/>
        <v>3323744.5927012945</v>
      </c>
      <c r="I14" s="167">
        <f t="shared" si="0"/>
        <v>58067.247618646659</v>
      </c>
      <c r="J14" s="167">
        <f t="shared" si="2"/>
        <v>28092723.733569589</v>
      </c>
      <c r="K14" s="167">
        <f t="shared" si="3"/>
        <v>604115.08349216718</v>
      </c>
      <c r="L14" s="167">
        <f t="shared" si="4"/>
        <v>184394.24005326538</v>
      </c>
      <c r="M14" s="169">
        <f t="shared" si="5"/>
        <v>2.8068098025083914E-2</v>
      </c>
      <c r="N14" s="169"/>
      <c r="O14" s="33">
        <v>2034</v>
      </c>
      <c r="P14" s="167">
        <v>11889325.224204876</v>
      </c>
      <c r="Q14" s="167">
        <v>16132.197973000506</v>
      </c>
      <c r="R14" s="167">
        <v>604115.08349216718</v>
      </c>
      <c r="S14" s="167">
        <v>2094704.9085690361</v>
      </c>
      <c r="T14" s="167">
        <v>58067.247618646659</v>
      </c>
      <c r="V14" s="33">
        <v>2034</v>
      </c>
      <c r="W14" s="167">
        <v>1060007.0951929812</v>
      </c>
      <c r="X14" s="167">
        <v>9.0528660732500033</v>
      </c>
      <c r="Y14" s="167">
        <v>4332.8528908170028</v>
      </c>
      <c r="Z14" s="167">
        <v>49883.64013167224</v>
      </c>
      <c r="AA14" s="167">
        <v>0</v>
      </c>
      <c r="AC14" s="33">
        <v>2034</v>
      </c>
      <c r="AD14" s="167">
        <v>6751473.437589786</v>
      </c>
      <c r="AE14" s="167">
        <v>26897.897057432961</v>
      </c>
      <c r="AF14" s="167">
        <v>121985.34527916135</v>
      </c>
      <c r="AG14" s="167">
        <v>718854.39490647195</v>
      </c>
      <c r="AH14" s="167">
        <v>0</v>
      </c>
      <c r="AJ14" s="33">
        <v>2034</v>
      </c>
      <c r="AK14" s="167">
        <v>4120602.5657038498</v>
      </c>
      <c r="AL14" s="167">
        <v>57955.099116215293</v>
      </c>
      <c r="AM14" s="167">
        <v>58076.041883287027</v>
      </c>
      <c r="AN14" s="167">
        <v>460301.64909411385</v>
      </c>
      <c r="AO14" s="167">
        <v>0</v>
      </c>
    </row>
    <row r="15" spans="1:41">
      <c r="A15" s="33">
        <v>2035</v>
      </c>
      <c r="B15" s="33">
        <f t="shared" si="1"/>
        <v>0.1555763175488972</v>
      </c>
      <c r="D15" s="33">
        <v>2035</v>
      </c>
      <c r="E15" s="167">
        <f t="shared" si="0"/>
        <v>23757107.68916852</v>
      </c>
      <c r="F15" s="167">
        <f t="shared" si="0"/>
        <v>98812.776498799052</v>
      </c>
      <c r="G15" s="167">
        <f t="shared" si="0"/>
        <v>810173.78152710665</v>
      </c>
      <c r="H15" s="167">
        <f t="shared" si="0"/>
        <v>3524055.2040505977</v>
      </c>
      <c r="I15" s="167">
        <f t="shared" si="0"/>
        <v>60977.277485396888</v>
      </c>
      <c r="J15" s="167">
        <f t="shared" si="2"/>
        <v>28251126.728730418</v>
      </c>
      <c r="K15" s="167">
        <f t="shared" si="3"/>
        <v>618156.96888517297</v>
      </c>
      <c r="L15" s="167">
        <f t="shared" si="4"/>
        <v>192016.81264193376</v>
      </c>
      <c r="M15" s="169">
        <f t="shared" si="5"/>
        <v>2.8677574147978599E-2</v>
      </c>
      <c r="N15" s="169"/>
      <c r="O15" s="33">
        <v>2035</v>
      </c>
      <c r="P15" s="167">
        <v>11823353.907062737</v>
      </c>
      <c r="Q15" s="167">
        <v>14717.34858625876</v>
      </c>
      <c r="R15" s="167">
        <v>618156.96888517297</v>
      </c>
      <c r="S15" s="167">
        <v>2196796.1811897536</v>
      </c>
      <c r="T15" s="167">
        <v>60977.277485396888</v>
      </c>
      <c r="V15" s="33">
        <v>2035</v>
      </c>
      <c r="W15" s="167">
        <v>1043631.1486630223</v>
      </c>
      <c r="X15" s="167">
        <v>9.324082511250003</v>
      </c>
      <c r="Y15" s="167">
        <v>4556.7242657035004</v>
      </c>
      <c r="Z15" s="167">
        <v>53887.425808776708</v>
      </c>
      <c r="AA15" s="167">
        <v>0</v>
      </c>
      <c r="AC15" s="33">
        <v>2035</v>
      </c>
      <c r="AD15" s="167">
        <v>6771984.6550065847</v>
      </c>
      <c r="AE15" s="167">
        <v>27151.098749999263</v>
      </c>
      <c r="AF15" s="167">
        <v>127297.99603579077</v>
      </c>
      <c r="AG15" s="167">
        <v>777494.13667593221</v>
      </c>
      <c r="AH15" s="167">
        <v>0</v>
      </c>
      <c r="AJ15" s="33">
        <v>2035</v>
      </c>
      <c r="AK15" s="167">
        <v>4118137.9784361757</v>
      </c>
      <c r="AL15" s="167">
        <v>56935.005080029776</v>
      </c>
      <c r="AM15" s="167">
        <v>60162.092340439493</v>
      </c>
      <c r="AN15" s="167">
        <v>495877.46037613525</v>
      </c>
      <c r="AO15" s="167">
        <v>0</v>
      </c>
    </row>
    <row r="16" spans="1:41">
      <c r="A16" s="33">
        <v>2036</v>
      </c>
      <c r="B16" s="33">
        <f t="shared" si="1"/>
        <v>0.16212722199846816</v>
      </c>
      <c r="D16" s="33">
        <v>2036</v>
      </c>
      <c r="E16" s="167">
        <f t="shared" si="0"/>
        <v>23703232.502833508</v>
      </c>
      <c r="F16" s="167">
        <f t="shared" si="0"/>
        <v>96854.88731280205</v>
      </c>
      <c r="G16" s="167">
        <f t="shared" si="0"/>
        <v>829685.00956586353</v>
      </c>
      <c r="H16" s="167">
        <f t="shared" si="0"/>
        <v>3711928.5906695873</v>
      </c>
      <c r="I16" s="167">
        <f t="shared" si="0"/>
        <v>63670.34405106325</v>
      </c>
      <c r="J16" s="167">
        <f t="shared" si="2"/>
        <v>28405371.334432825</v>
      </c>
      <c r="K16" s="167">
        <f t="shared" si="3"/>
        <v>630706.87813525961</v>
      </c>
      <c r="L16" s="167">
        <f t="shared" si="4"/>
        <v>198978.13143060397</v>
      </c>
      <c r="M16" s="169">
        <f t="shared" si="5"/>
        <v>2.9208736608210582E-2</v>
      </c>
      <c r="N16" s="169"/>
      <c r="O16" s="33">
        <v>2036</v>
      </c>
      <c r="P16" s="167">
        <v>11767693.466657532</v>
      </c>
      <c r="Q16" s="167">
        <v>13472.824153005744</v>
      </c>
      <c r="R16" s="167">
        <v>630706.87813525961</v>
      </c>
      <c r="S16" s="167">
        <v>2291421.6024790704</v>
      </c>
      <c r="T16" s="167">
        <v>63670.34405106325</v>
      </c>
      <c r="V16" s="33">
        <v>2036</v>
      </c>
      <c r="W16" s="167">
        <v>1027832.2880468218</v>
      </c>
      <c r="X16" s="167">
        <v>8.9831765627499998</v>
      </c>
      <c r="Y16" s="167">
        <v>4768.0730289347503</v>
      </c>
      <c r="Z16" s="167">
        <v>57731.51701957496</v>
      </c>
      <c r="AA16" s="167">
        <v>0</v>
      </c>
      <c r="AC16" s="33">
        <v>2036</v>
      </c>
      <c r="AD16" s="167">
        <v>6789842.8206656398</v>
      </c>
      <c r="AE16" s="167">
        <v>27409.62596087675</v>
      </c>
      <c r="AF16" s="167">
        <v>132134.9669530497</v>
      </c>
      <c r="AG16" s="167">
        <v>833133.33079894085</v>
      </c>
      <c r="AH16" s="167">
        <v>0</v>
      </c>
      <c r="AJ16" s="33">
        <v>2036</v>
      </c>
      <c r="AK16" s="167">
        <v>4117863.9274635143</v>
      </c>
      <c r="AL16" s="167">
        <v>55963.454022356804</v>
      </c>
      <c r="AM16" s="167">
        <v>62075.091448619518</v>
      </c>
      <c r="AN16" s="167">
        <v>529642.1403720011</v>
      </c>
      <c r="AO16" s="167">
        <v>0</v>
      </c>
    </row>
    <row r="17" spans="1:41">
      <c r="A17" s="33">
        <v>2037</v>
      </c>
      <c r="B17" s="33">
        <f t="shared" si="1"/>
        <v>0.16807670320410481</v>
      </c>
      <c r="D17" s="33">
        <v>2037</v>
      </c>
      <c r="E17" s="167">
        <f t="shared" si="0"/>
        <v>23665825.852145694</v>
      </c>
      <c r="F17" s="167">
        <f t="shared" si="0"/>
        <v>95176.516493151837</v>
      </c>
      <c r="G17" s="167">
        <f t="shared" si="0"/>
        <v>847232.23132867389</v>
      </c>
      <c r="H17" s="167">
        <f t="shared" si="0"/>
        <v>3887151.3620850998</v>
      </c>
      <c r="I17" s="167">
        <f t="shared" si="0"/>
        <v>66144.241696911675</v>
      </c>
      <c r="J17" s="167">
        <f t="shared" si="2"/>
        <v>28561530.203749534</v>
      </c>
      <c r="K17" s="167">
        <f t="shared" si="3"/>
        <v>641916.09358762775</v>
      </c>
      <c r="L17" s="167">
        <f t="shared" si="4"/>
        <v>205316.13774104608</v>
      </c>
      <c r="M17" s="169">
        <f t="shared" si="5"/>
        <v>2.9663404771550019E-2</v>
      </c>
      <c r="N17" s="169"/>
      <c r="O17" s="33">
        <v>2037</v>
      </c>
      <c r="P17" s="167">
        <v>11727096.161574192</v>
      </c>
      <c r="Q17" s="167">
        <v>12440.228020384231</v>
      </c>
      <c r="R17" s="167">
        <v>641916.09358762775</v>
      </c>
      <c r="S17" s="167">
        <v>2378498.9355772636</v>
      </c>
      <c r="T17" s="167">
        <v>66144.241696911675</v>
      </c>
      <c r="V17" s="33">
        <v>2037</v>
      </c>
      <c r="W17" s="167">
        <v>1014429.4006149089</v>
      </c>
      <c r="X17" s="167">
        <v>9.2778100202499889</v>
      </c>
      <c r="Y17" s="167">
        <v>4966.6856653217474</v>
      </c>
      <c r="Z17" s="167">
        <v>61403.582817562536</v>
      </c>
      <c r="AA17" s="167">
        <v>0</v>
      </c>
      <c r="AC17" s="33">
        <v>2037</v>
      </c>
      <c r="AD17" s="167">
        <v>6806028.3933425723</v>
      </c>
      <c r="AE17" s="167">
        <v>27678.696900248779</v>
      </c>
      <c r="AF17" s="167">
        <v>136484.22662787183</v>
      </c>
      <c r="AG17" s="167">
        <v>885609.42473182769</v>
      </c>
      <c r="AH17" s="167">
        <v>0</v>
      </c>
      <c r="AJ17" s="33">
        <v>2037</v>
      </c>
      <c r="AK17" s="167">
        <v>4118271.8966140174</v>
      </c>
      <c r="AL17" s="167">
        <v>55048.313762498583</v>
      </c>
      <c r="AM17" s="167">
        <v>63865.225447852499</v>
      </c>
      <c r="AN17" s="167">
        <v>561639.41895844613</v>
      </c>
      <c r="AO17" s="167">
        <v>0</v>
      </c>
    </row>
    <row r="18" spans="1:41">
      <c r="A18" s="33">
        <v>2038</v>
      </c>
      <c r="B18" s="33">
        <f t="shared" si="1"/>
        <v>0.17343922111073964</v>
      </c>
      <c r="D18" s="33">
        <v>2038</v>
      </c>
      <c r="E18" s="167">
        <f t="shared" si="0"/>
        <v>23641998.514083199</v>
      </c>
      <c r="F18" s="167">
        <f t="shared" si="0"/>
        <v>93790.731565185008</v>
      </c>
      <c r="G18" s="167">
        <f t="shared" si="0"/>
        <v>862918.58584028669</v>
      </c>
      <c r="H18" s="167">
        <f t="shared" si="0"/>
        <v>4049216.9365822142</v>
      </c>
      <c r="I18" s="167">
        <f t="shared" si="0"/>
        <v>68401.788755035202</v>
      </c>
      <c r="J18" s="167">
        <f t="shared" si="2"/>
        <v>28716326.556825921</v>
      </c>
      <c r="K18" s="167">
        <f t="shared" si="3"/>
        <v>651927.5857872715</v>
      </c>
      <c r="L18" s="167">
        <f t="shared" si="4"/>
        <v>210991.0000530151</v>
      </c>
      <c r="M18" s="169">
        <f t="shared" si="5"/>
        <v>3.0049755289301424E-2</v>
      </c>
      <c r="N18" s="169"/>
      <c r="O18" s="33">
        <v>2038</v>
      </c>
      <c r="P18" s="167">
        <v>11698489.303666865</v>
      </c>
      <c r="Q18" s="167">
        <v>11606.474950350999</v>
      </c>
      <c r="R18" s="167">
        <v>651927.5857872715</v>
      </c>
      <c r="S18" s="167">
        <v>2458114.4212879618</v>
      </c>
      <c r="T18" s="167">
        <v>68401.788755035202</v>
      </c>
      <c r="V18" s="33">
        <v>2038</v>
      </c>
      <c r="W18" s="167">
        <v>1001795.0110671005</v>
      </c>
      <c r="X18" s="167">
        <v>9.5497621287500074</v>
      </c>
      <c r="Y18" s="167">
        <v>5152.3458142167492</v>
      </c>
      <c r="Z18" s="167">
        <v>64901.288781679003</v>
      </c>
      <c r="AA18" s="167">
        <v>0</v>
      </c>
      <c r="AC18" s="33">
        <v>2038</v>
      </c>
      <c r="AD18" s="167">
        <v>6821340.5790700987</v>
      </c>
      <c r="AE18" s="167">
        <v>27952.894867140993</v>
      </c>
      <c r="AF18" s="167">
        <v>140349.46901544835</v>
      </c>
      <c r="AG18" s="167">
        <v>934486.75500803173</v>
      </c>
      <c r="AH18" s="167">
        <v>0</v>
      </c>
      <c r="AJ18" s="33">
        <v>2038</v>
      </c>
      <c r="AK18" s="167">
        <v>4120373.6202791319</v>
      </c>
      <c r="AL18" s="167">
        <v>54221.811985564258</v>
      </c>
      <c r="AM18" s="167">
        <v>65489.185223350018</v>
      </c>
      <c r="AN18" s="167">
        <v>591714.47150454216</v>
      </c>
      <c r="AO18" s="167">
        <v>0</v>
      </c>
    </row>
    <row r="19" spans="1:41">
      <c r="A19" s="33">
        <v>2039</v>
      </c>
      <c r="B19" s="33">
        <f t="shared" si="1"/>
        <v>0.17824563709389449</v>
      </c>
      <c r="D19" s="33">
        <v>2039</v>
      </c>
      <c r="E19" s="167">
        <f t="shared" si="0"/>
        <v>23629773.98809823</v>
      </c>
      <c r="F19" s="167">
        <f t="shared" si="0"/>
        <v>92612.531219588273</v>
      </c>
      <c r="G19" s="167">
        <f t="shared" si="0"/>
        <v>876920.150597097</v>
      </c>
      <c r="H19" s="167">
        <f t="shared" si="0"/>
        <v>4198224.3380480502</v>
      </c>
      <c r="I19" s="167">
        <f t="shared" si="0"/>
        <v>70446.565559649069</v>
      </c>
      <c r="J19" s="167">
        <f t="shared" si="2"/>
        <v>28867977.573522612</v>
      </c>
      <c r="K19" s="167">
        <f t="shared" si="3"/>
        <v>660872.56971622468</v>
      </c>
      <c r="L19" s="167">
        <f t="shared" si="4"/>
        <v>216047.58088087229</v>
      </c>
      <c r="M19" s="169">
        <f t="shared" si="5"/>
        <v>3.0376916719008346E-2</v>
      </c>
      <c r="N19" s="169"/>
      <c r="O19" s="33">
        <v>2039</v>
      </c>
      <c r="P19" s="167">
        <v>11680713.16921445</v>
      </c>
      <c r="Q19" s="167">
        <v>10946.414317223527</v>
      </c>
      <c r="R19" s="167">
        <v>660872.56971622468</v>
      </c>
      <c r="S19" s="167">
        <v>2530366.3316204106</v>
      </c>
      <c r="T19" s="167">
        <v>70446.565559649069</v>
      </c>
      <c r="V19" s="33">
        <v>2039</v>
      </c>
      <c r="W19" s="167">
        <v>990422.15786742675</v>
      </c>
      <c r="X19" s="167">
        <v>9.8026154887500105</v>
      </c>
      <c r="Y19" s="167">
        <v>5324.6853211515045</v>
      </c>
      <c r="Z19" s="167">
        <v>68218.03346078952</v>
      </c>
      <c r="AA19" s="167">
        <v>0</v>
      </c>
      <c r="AC19" s="33">
        <v>2039</v>
      </c>
      <c r="AD19" s="167">
        <v>6838434.0532460334</v>
      </c>
      <c r="AE19" s="167">
        <v>28224.170977468264</v>
      </c>
      <c r="AF19" s="167">
        <v>143766.6823948673</v>
      </c>
      <c r="AG19" s="167">
        <v>979749.35819002194</v>
      </c>
      <c r="AH19" s="167">
        <v>0</v>
      </c>
      <c r="AJ19" s="33">
        <v>2039</v>
      </c>
      <c r="AK19" s="167">
        <v>4120204.6077703191</v>
      </c>
      <c r="AL19" s="167">
        <v>53432.143309407722</v>
      </c>
      <c r="AM19" s="167">
        <v>66956.213164853485</v>
      </c>
      <c r="AN19" s="167">
        <v>619890.61477682809</v>
      </c>
      <c r="AO19" s="167">
        <v>0</v>
      </c>
    </row>
    <row r="20" spans="1:41">
      <c r="A20" s="33">
        <v>2040</v>
      </c>
      <c r="B20" s="33">
        <f t="shared" si="1"/>
        <v>0.18250619278351354</v>
      </c>
      <c r="D20" s="33">
        <v>2040</v>
      </c>
      <c r="E20" s="167">
        <f t="shared" si="0"/>
        <v>23629200.933470346</v>
      </c>
      <c r="F20" s="167">
        <f t="shared" si="0"/>
        <v>91644.836340140158</v>
      </c>
      <c r="G20" s="167">
        <f t="shared" si="0"/>
        <v>889405.73248454696</v>
      </c>
      <c r="H20" s="167">
        <f t="shared" si="0"/>
        <v>4334006.2906446597</v>
      </c>
      <c r="I20" s="167">
        <f t="shared" si="0"/>
        <v>72287.115918310184</v>
      </c>
      <c r="J20" s="167">
        <f t="shared" si="2"/>
        <v>29016544.908858001</v>
      </c>
      <c r="K20" s="167">
        <f t="shared" si="3"/>
        <v>668879.12866219762</v>
      </c>
      <c r="L20" s="167">
        <f t="shared" si="4"/>
        <v>220526.60382234934</v>
      </c>
      <c r="M20" s="169">
        <f t="shared" si="5"/>
        <v>3.0651675975833854E-2</v>
      </c>
      <c r="N20" s="169"/>
      <c r="O20" s="33">
        <v>2040</v>
      </c>
      <c r="P20" s="167">
        <v>11670826.023883274</v>
      </c>
      <c r="Q20" s="167">
        <v>10369.870830641012</v>
      </c>
      <c r="R20" s="167">
        <v>668879.12866219762</v>
      </c>
      <c r="S20" s="167">
        <v>2595515.881873528</v>
      </c>
      <c r="T20" s="167">
        <v>72287.115918310184</v>
      </c>
      <c r="V20" s="33">
        <v>2040</v>
      </c>
      <c r="W20" s="167">
        <v>980964.78790464846</v>
      </c>
      <c r="X20" s="167">
        <v>10.043073142499997</v>
      </c>
      <c r="Y20" s="167">
        <v>5483.7144945092532</v>
      </c>
      <c r="Z20" s="167">
        <v>71350.128913012522</v>
      </c>
      <c r="AA20" s="167">
        <v>0</v>
      </c>
      <c r="AC20" s="33">
        <v>2040</v>
      </c>
      <c r="AD20" s="167">
        <v>6855931.2135007717</v>
      </c>
      <c r="AE20" s="167">
        <v>28481.422365713235</v>
      </c>
      <c r="AF20" s="167">
        <v>146777.51516188635</v>
      </c>
      <c r="AG20" s="167">
        <v>1021085.1371487204</v>
      </c>
      <c r="AH20" s="167">
        <v>0</v>
      </c>
      <c r="AJ20" s="33">
        <v>2040</v>
      </c>
      <c r="AK20" s="167">
        <v>4121478.9081816524</v>
      </c>
      <c r="AL20" s="167">
        <v>52783.500070643408</v>
      </c>
      <c r="AM20" s="167">
        <v>68265.374165953734</v>
      </c>
      <c r="AN20" s="167">
        <v>646055.14270939853</v>
      </c>
      <c r="AO20" s="167">
        <v>0</v>
      </c>
    </row>
    <row r="21" spans="1:41">
      <c r="P21" s="167"/>
      <c r="Q21" s="167"/>
      <c r="R21" s="167"/>
      <c r="S21" s="167"/>
      <c r="T21" s="167"/>
      <c r="W21" s="167"/>
      <c r="X21" s="167"/>
      <c r="Y21" s="167"/>
      <c r="Z21" s="167"/>
      <c r="AA21" s="167"/>
      <c r="AD21" s="167"/>
      <c r="AE21" s="167"/>
      <c r="AF21" s="167"/>
      <c r="AG21" s="167"/>
      <c r="AH21" s="167"/>
      <c r="AK21" s="167"/>
      <c r="AL21" s="167"/>
      <c r="AM21" s="167"/>
      <c r="AN21" s="167"/>
      <c r="AO21" s="167"/>
    </row>
    <row r="22" spans="1:41">
      <c r="A22" s="165" t="s">
        <v>265</v>
      </c>
      <c r="D22" s="140" t="s">
        <v>266</v>
      </c>
      <c r="F22" s="140" t="s">
        <v>267</v>
      </c>
      <c r="L22" s="165" t="s">
        <v>268</v>
      </c>
      <c r="M22" s="165"/>
      <c r="P22" s="165"/>
    </row>
    <row r="23" spans="1:41">
      <c r="A23" s="33" t="s">
        <v>211</v>
      </c>
      <c r="B23" s="33" t="s">
        <v>269</v>
      </c>
      <c r="C23" s="33" t="s">
        <v>35</v>
      </c>
      <c r="L23" s="33" t="s">
        <v>211</v>
      </c>
    </row>
    <row r="24" spans="1:41">
      <c r="A24" s="33">
        <v>2025</v>
      </c>
      <c r="B24" s="168">
        <f>B25</f>
        <v>0.60000000000000009</v>
      </c>
      <c r="C24" s="33">
        <f>C25</f>
        <v>0.49</v>
      </c>
      <c r="L24" s="33">
        <v>2025</v>
      </c>
      <c r="N24" s="169">
        <f t="shared" ref="N24:N39" si="6">(H5+I5+K5*B24+L5*C24)/J5</f>
        <v>5.2787319162739099E-2</v>
      </c>
    </row>
    <row r="25" spans="1:41">
      <c r="A25" s="33">
        <v>2026</v>
      </c>
      <c r="B25" s="168">
        <f>(0.54*0.5)+(0.66*0.5)</f>
        <v>0.60000000000000009</v>
      </c>
      <c r="C25" s="33">
        <f>(0.49*0.5)+(0.49*0.5)</f>
        <v>0.49</v>
      </c>
      <c r="L25" s="33">
        <v>2026</v>
      </c>
      <c r="N25" s="169">
        <f t="shared" si="6"/>
        <v>6.4089332068279783E-2</v>
      </c>
      <c r="Q25" s="169"/>
    </row>
    <row r="26" spans="1:41">
      <c r="A26" s="33">
        <v>2027</v>
      </c>
      <c r="B26" s="33">
        <f>(0.57*0.5)+(0.69*0.5)</f>
        <v>0.62999999999999989</v>
      </c>
      <c r="C26" s="33">
        <f>(0.51*0.5)+(0.62*0.5)</f>
        <v>0.56499999999999995</v>
      </c>
      <c r="L26" s="33">
        <v>2027</v>
      </c>
      <c r="N26" s="169">
        <f t="shared" si="6"/>
        <v>7.5580722040675494E-2</v>
      </c>
      <c r="Q26" s="169"/>
    </row>
    <row r="27" spans="1:41">
      <c r="A27" s="33">
        <v>2028</v>
      </c>
      <c r="B27" s="33">
        <f>(0.58*0.5)+(0.71*0.5)</f>
        <v>0.64500000000000002</v>
      </c>
      <c r="C27" s="33">
        <f>(0.52*0.5)+(0.64*0.5)</f>
        <v>0.58000000000000007</v>
      </c>
      <c r="L27" s="33">
        <v>2028</v>
      </c>
      <c r="N27" s="169">
        <f t="shared" si="6"/>
        <v>8.6179522162499828E-2</v>
      </c>
      <c r="Q27" s="169"/>
    </row>
    <row r="28" spans="1:41">
      <c r="A28" s="33">
        <v>2029</v>
      </c>
      <c r="B28" s="33">
        <f>(0.6*0.1)+0.73*0.9</f>
        <v>0.71700000000000008</v>
      </c>
      <c r="C28" s="33">
        <f>0.55*0.1+0.67*0.9</f>
        <v>0.65800000000000014</v>
      </c>
      <c r="L28" s="33">
        <v>2029</v>
      </c>
      <c r="N28" s="169">
        <f t="shared" si="6"/>
        <v>9.7753266410346082E-2</v>
      </c>
      <c r="Q28" s="169"/>
    </row>
    <row r="29" spans="1:41">
      <c r="A29" s="33">
        <v>2030</v>
      </c>
      <c r="B29" s="33">
        <f>0.62*0.1+0.75*0.9</f>
        <v>0.7370000000000001</v>
      </c>
      <c r="C29" s="33">
        <f>0.57*0.1+0.69*0.9</f>
        <v>0.67799999999999994</v>
      </c>
      <c r="L29" s="33">
        <v>2030</v>
      </c>
      <c r="N29" s="169">
        <f t="shared" si="6"/>
        <v>0.10770155714763756</v>
      </c>
      <c r="Q29" s="169"/>
    </row>
    <row r="30" spans="1:41">
      <c r="A30" s="33">
        <v>2031</v>
      </c>
      <c r="B30" s="33">
        <f>0.62*0.1+0.77*0.9</f>
        <v>0.75500000000000012</v>
      </c>
      <c r="C30" s="33">
        <f>0.59*0.1+0.72*0.9</f>
        <v>0.70700000000000007</v>
      </c>
      <c r="L30" s="33">
        <v>2031</v>
      </c>
      <c r="N30" s="169">
        <f t="shared" si="6"/>
        <v>0.11722582033992886</v>
      </c>
      <c r="Q30" s="169"/>
    </row>
    <row r="31" spans="1:41">
      <c r="A31" s="33">
        <v>2032</v>
      </c>
      <c r="B31" s="33">
        <f>0.65*0.1+0.79*0.9</f>
        <v>0.77600000000000002</v>
      </c>
      <c r="C31" s="33">
        <f>0.61*0.1+0.74*0.9</f>
        <v>0.72700000000000009</v>
      </c>
      <c r="L31" s="33">
        <v>2032</v>
      </c>
      <c r="N31" s="169">
        <f t="shared" si="6"/>
        <v>0.12629478463698698</v>
      </c>
      <c r="Q31" s="169"/>
    </row>
    <row r="32" spans="1:41">
      <c r="A32" s="33">
        <v>2033</v>
      </c>
      <c r="B32" s="33">
        <f>B31</f>
        <v>0.77600000000000002</v>
      </c>
      <c r="C32" s="33">
        <f>C31</f>
        <v>0.72700000000000009</v>
      </c>
      <c r="L32" s="33">
        <v>2033</v>
      </c>
      <c r="N32" s="169">
        <f t="shared" si="6"/>
        <v>0.13432326202068065</v>
      </c>
      <c r="Q32" s="169"/>
    </row>
    <row r="33" spans="1:41">
      <c r="A33" s="33">
        <v>2034</v>
      </c>
      <c r="B33" s="33">
        <f t="shared" ref="B33:C34" si="7">B32</f>
        <v>0.77600000000000002</v>
      </c>
      <c r="C33" s="33">
        <f t="shared" si="7"/>
        <v>0.72700000000000009</v>
      </c>
      <c r="L33" s="33">
        <v>2034</v>
      </c>
      <c r="N33" s="169">
        <f t="shared" si="6"/>
        <v>0.1418395665517862</v>
      </c>
      <c r="Q33" s="169"/>
    </row>
    <row r="34" spans="1:41">
      <c r="A34" s="33">
        <v>2035</v>
      </c>
      <c r="B34" s="33">
        <f t="shared" si="7"/>
        <v>0.77600000000000002</v>
      </c>
      <c r="C34" s="33">
        <f t="shared" si="7"/>
        <v>0.72700000000000009</v>
      </c>
      <c r="L34" s="33">
        <v>2035</v>
      </c>
      <c r="N34" s="169">
        <f t="shared" si="6"/>
        <v>0.14881949851245854</v>
      </c>
      <c r="Q34" s="169"/>
    </row>
    <row r="35" spans="1:41">
      <c r="A35" s="33">
        <v>2036</v>
      </c>
      <c r="B35" s="33">
        <f>0.79</f>
        <v>0.79</v>
      </c>
      <c r="C35" s="33">
        <f>0.74</f>
        <v>0.74</v>
      </c>
      <c r="L35" s="33">
        <v>2036</v>
      </c>
      <c r="N35" s="169">
        <f t="shared" si="6"/>
        <v>0.15564313994187848</v>
      </c>
      <c r="Q35" s="169"/>
    </row>
    <row r="36" spans="1:41">
      <c r="A36" s="33">
        <v>2037</v>
      </c>
      <c r="B36" s="33">
        <f>B35</f>
        <v>0.79</v>
      </c>
      <c r="C36" s="33">
        <f>C35</f>
        <v>0.74</v>
      </c>
      <c r="L36" s="33">
        <v>2037</v>
      </c>
      <c r="N36" s="169">
        <f t="shared" si="6"/>
        <v>0.16148796043984739</v>
      </c>
      <c r="Q36" s="169"/>
    </row>
    <row r="37" spans="1:41">
      <c r="A37" s="33">
        <v>2038</v>
      </c>
      <c r="B37" s="33">
        <f t="shared" ref="B37:C39" si="8">B36</f>
        <v>0.79</v>
      </c>
      <c r="C37" s="33">
        <f t="shared" si="8"/>
        <v>0.74</v>
      </c>
      <c r="L37" s="33">
        <v>2038</v>
      </c>
      <c r="N37" s="169">
        <f t="shared" si="6"/>
        <v>0.16676140134679324</v>
      </c>
      <c r="Q37" s="169"/>
    </row>
    <row r="38" spans="1:41">
      <c r="A38" s="33">
        <v>2039</v>
      </c>
      <c r="B38" s="33">
        <f t="shared" si="8"/>
        <v>0.79</v>
      </c>
      <c r="C38" s="33">
        <f t="shared" si="8"/>
        <v>0.74</v>
      </c>
      <c r="L38" s="33">
        <v>2039</v>
      </c>
      <c r="N38" s="169">
        <f t="shared" si="6"/>
        <v>0.17149228521211091</v>
      </c>
      <c r="Q38" s="169"/>
    </row>
    <row r="39" spans="1:41">
      <c r="A39" s="33">
        <v>2040</v>
      </c>
      <c r="B39" s="33">
        <f t="shared" si="8"/>
        <v>0.79</v>
      </c>
      <c r="C39" s="33">
        <f t="shared" si="8"/>
        <v>0.74</v>
      </c>
      <c r="L39" s="33">
        <v>2040</v>
      </c>
      <c r="N39" s="169">
        <f t="shared" si="6"/>
        <v>0.17568933934234149</v>
      </c>
      <c r="Q39" s="169"/>
    </row>
    <row r="41" spans="1:41">
      <c r="A41" s="165" t="s">
        <v>457</v>
      </c>
    </row>
    <row r="43" spans="1:41">
      <c r="A43" s="165" t="s">
        <v>255</v>
      </c>
      <c r="D43" s="7" t="s">
        <v>109</v>
      </c>
      <c r="O43" s="7" t="s">
        <v>256</v>
      </c>
      <c r="V43" s="7" t="s">
        <v>257</v>
      </c>
      <c r="AC43" s="7" t="s">
        <v>258</v>
      </c>
      <c r="AJ43" s="7" t="s">
        <v>259</v>
      </c>
    </row>
    <row r="44" spans="1:41">
      <c r="A44" s="33" t="s">
        <v>211</v>
      </c>
      <c r="D44" s="166" t="s">
        <v>211</v>
      </c>
      <c r="E44" s="166" t="s">
        <v>260</v>
      </c>
      <c r="F44" s="166" t="s">
        <v>261</v>
      </c>
      <c r="G44" s="166" t="s">
        <v>122</v>
      </c>
      <c r="H44" s="166" t="s">
        <v>121</v>
      </c>
      <c r="I44" s="166" t="s">
        <v>262</v>
      </c>
      <c r="J44" s="166" t="s">
        <v>49</v>
      </c>
      <c r="K44" s="166" t="s">
        <v>263</v>
      </c>
      <c r="L44" s="166" t="s">
        <v>264</v>
      </c>
      <c r="M44" s="170" t="s">
        <v>272</v>
      </c>
      <c r="O44" s="166" t="s">
        <v>211</v>
      </c>
      <c r="P44" s="166" t="s">
        <v>260</v>
      </c>
      <c r="Q44" s="166" t="s">
        <v>261</v>
      </c>
      <c r="R44" s="166" t="s">
        <v>122</v>
      </c>
      <c r="S44" s="166" t="s">
        <v>121</v>
      </c>
      <c r="T44" s="166" t="s">
        <v>262</v>
      </c>
      <c r="V44" s="166" t="s">
        <v>211</v>
      </c>
      <c r="W44" s="166" t="s">
        <v>260</v>
      </c>
      <c r="X44" s="166" t="s">
        <v>261</v>
      </c>
      <c r="Y44" s="166" t="s">
        <v>122</v>
      </c>
      <c r="Z44" s="166" t="s">
        <v>121</v>
      </c>
      <c r="AA44" s="166" t="s">
        <v>262</v>
      </c>
      <c r="AC44" s="166" t="s">
        <v>211</v>
      </c>
      <c r="AD44" s="166" t="s">
        <v>260</v>
      </c>
      <c r="AE44" s="166" t="s">
        <v>261</v>
      </c>
      <c r="AF44" s="166" t="s">
        <v>122</v>
      </c>
      <c r="AG44" s="166" t="s">
        <v>121</v>
      </c>
      <c r="AH44" s="166" t="s">
        <v>262</v>
      </c>
      <c r="AJ44" s="166" t="s">
        <v>211</v>
      </c>
      <c r="AK44" s="166" t="s">
        <v>260</v>
      </c>
      <c r="AL44" s="166" t="s">
        <v>261</v>
      </c>
      <c r="AM44" s="166" t="s">
        <v>122</v>
      </c>
      <c r="AN44" s="166" t="s">
        <v>121</v>
      </c>
      <c r="AO44" s="166" t="s">
        <v>262</v>
      </c>
    </row>
    <row r="45" spans="1:41">
      <c r="A45" s="33">
        <v>2025</v>
      </c>
      <c r="B45" s="33">
        <f>(G45+H45+I45)/J45</f>
        <v>6.0544482522993645E-2</v>
      </c>
      <c r="D45" s="33">
        <v>2025</v>
      </c>
      <c r="E45" s="167">
        <f t="shared" ref="E45:I60" si="9">P45+W45+AD45+AK45</f>
        <v>24776703.209887635</v>
      </c>
      <c r="F45" s="167">
        <f t="shared" si="9"/>
        <v>132358.96403518482</v>
      </c>
      <c r="G45" s="167">
        <f t="shared" si="9"/>
        <v>489283.38786027883</v>
      </c>
      <c r="H45" s="167">
        <f t="shared" si="9"/>
        <v>1092590.3934144974</v>
      </c>
      <c r="I45" s="167">
        <f t="shared" si="9"/>
        <v>23424.448814275198</v>
      </c>
      <c r="J45" s="167">
        <f>SUM(E45:I45)</f>
        <v>26514360.404011872</v>
      </c>
      <c r="K45" s="167">
        <f>R45</f>
        <v>398711.84329231322</v>
      </c>
      <c r="L45" s="167">
        <f>Y45+AF45+AM45</f>
        <v>90571.544567965611</v>
      </c>
      <c r="M45" s="169">
        <f>G45/J45</f>
        <v>1.8453524067895133E-2</v>
      </c>
      <c r="O45" s="33">
        <v>2025</v>
      </c>
      <c r="P45" s="167">
        <v>12918515.229918949</v>
      </c>
      <c r="Q45" s="167">
        <v>42726.352364996535</v>
      </c>
      <c r="R45" s="167">
        <v>398711.84329231322</v>
      </c>
      <c r="S45" s="167">
        <v>879643.92961959727</v>
      </c>
      <c r="T45" s="167">
        <v>23424.448814275198</v>
      </c>
      <c r="V45" s="33">
        <v>2025</v>
      </c>
      <c r="W45" s="167">
        <v>1290500.8283019124</v>
      </c>
      <c r="X45" s="167">
        <v>611.07494159717533</v>
      </c>
      <c r="Y45" s="167">
        <v>1832.3663233627435</v>
      </c>
      <c r="Z45" s="167">
        <v>9022.4611627572594</v>
      </c>
      <c r="AA45" s="167">
        <v>0</v>
      </c>
      <c r="AC45" s="33">
        <v>2025</v>
      </c>
      <c r="AD45" s="167">
        <v>6340897.0552265421</v>
      </c>
      <c r="AE45" s="167">
        <v>22766.138287385787</v>
      </c>
      <c r="AF45" s="167">
        <v>56763.821399749679</v>
      </c>
      <c r="AG45" s="167">
        <v>118213.58602397214</v>
      </c>
      <c r="AH45" s="167">
        <v>0</v>
      </c>
      <c r="AJ45" s="33">
        <v>2025</v>
      </c>
      <c r="AK45" s="167">
        <v>4226790.0964402305</v>
      </c>
      <c r="AL45" s="167">
        <v>66255.398441205325</v>
      </c>
      <c r="AM45" s="167">
        <v>31975.356844853188</v>
      </c>
      <c r="AN45" s="167">
        <v>85710.416608170795</v>
      </c>
      <c r="AO45" s="167">
        <v>0</v>
      </c>
    </row>
    <row r="46" spans="1:41">
      <c r="A46" s="33">
        <v>2026</v>
      </c>
      <c r="B46" s="33">
        <f t="shared" ref="B46:B60" si="10">(G46+H46+I46)/J46</f>
        <v>8.2262799936481334E-2</v>
      </c>
      <c r="D46" s="33">
        <v>2026</v>
      </c>
      <c r="E46" s="167">
        <f t="shared" si="9"/>
        <v>24358251.597583111</v>
      </c>
      <c r="F46" s="167">
        <f t="shared" si="9"/>
        <v>128719.13071491843</v>
      </c>
      <c r="G46" s="167">
        <f t="shared" si="9"/>
        <v>531006.17768471106</v>
      </c>
      <c r="H46" s="167">
        <f t="shared" si="9"/>
        <v>1636008.2549246952</v>
      </c>
      <c r="I46" s="167">
        <f t="shared" si="9"/>
        <v>27913.237243179738</v>
      </c>
      <c r="J46" s="167">
        <f t="shared" ref="J46:J60" si="11">SUM(E46:I46)</f>
        <v>26681898.398150615</v>
      </c>
      <c r="K46" s="167">
        <f t="shared" ref="K46:K60" si="12">R46</f>
        <v>428546.77918823686</v>
      </c>
      <c r="L46" s="167">
        <f t="shared" ref="L46:L60" si="13">Y46+AF46+AM46</f>
        <v>102459.39849647418</v>
      </c>
      <c r="M46" s="169">
        <f t="shared" ref="M46:M60" si="14">G46/J46</f>
        <v>1.9901364204336986E-2</v>
      </c>
      <c r="O46" s="33">
        <v>2026</v>
      </c>
      <c r="P46" s="167">
        <v>12531615.833533552</v>
      </c>
      <c r="Q46" s="167">
        <v>38852.721891151006</v>
      </c>
      <c r="R46" s="167">
        <v>428546.77918823686</v>
      </c>
      <c r="S46" s="167">
        <v>1270658.2783750868</v>
      </c>
      <c r="T46" s="167">
        <v>27913.237243179738</v>
      </c>
      <c r="V46" s="33">
        <v>2026</v>
      </c>
      <c r="W46" s="167">
        <v>1255928.1391173762</v>
      </c>
      <c r="X46" s="167">
        <v>519.04090892035447</v>
      </c>
      <c r="Y46" s="167">
        <v>2137.799423679789</v>
      </c>
      <c r="Z46" s="167">
        <v>14568.937572198092</v>
      </c>
      <c r="AA46" s="167">
        <v>0</v>
      </c>
      <c r="AC46" s="33">
        <v>2026</v>
      </c>
      <c r="AD46" s="167">
        <v>6385873.097166298</v>
      </c>
      <c r="AE46" s="167">
        <v>23496.413375238317</v>
      </c>
      <c r="AF46" s="167">
        <v>64953.060993853374</v>
      </c>
      <c r="AG46" s="167">
        <v>200987.15446701788</v>
      </c>
      <c r="AH46" s="167">
        <v>0</v>
      </c>
      <c r="AJ46" s="33">
        <v>2026</v>
      </c>
      <c r="AK46" s="167">
        <v>4184834.5277658864</v>
      </c>
      <c r="AL46" s="167">
        <v>65850.954539608749</v>
      </c>
      <c r="AM46" s="167">
        <v>35368.538078941026</v>
      </c>
      <c r="AN46" s="167">
        <v>149793.88451039247</v>
      </c>
      <c r="AO46" s="167">
        <v>0</v>
      </c>
    </row>
    <row r="47" spans="1:41">
      <c r="A47" s="33">
        <v>2027</v>
      </c>
      <c r="B47" s="33">
        <f t="shared" si="10"/>
        <v>0.10782372726973899</v>
      </c>
      <c r="D47" s="33">
        <v>2027</v>
      </c>
      <c r="E47" s="167">
        <f t="shared" si="9"/>
        <v>23836875.914536718</v>
      </c>
      <c r="F47" s="167">
        <f t="shared" si="9"/>
        <v>124344.24742980575</v>
      </c>
      <c r="G47" s="167">
        <f t="shared" si="9"/>
        <v>570978.03985879396</v>
      </c>
      <c r="H47" s="167">
        <f t="shared" si="9"/>
        <v>2292606.4474394666</v>
      </c>
      <c r="I47" s="167">
        <f t="shared" si="9"/>
        <v>32242.432518477417</v>
      </c>
      <c r="J47" s="167">
        <f t="shared" si="11"/>
        <v>26857047.081783265</v>
      </c>
      <c r="K47" s="167">
        <f t="shared" si="12"/>
        <v>456792.23220563011</v>
      </c>
      <c r="L47" s="167">
        <f t="shared" si="13"/>
        <v>114185.80765316376</v>
      </c>
      <c r="M47" s="169">
        <f t="shared" si="14"/>
        <v>2.1259896448038024E-2</v>
      </c>
      <c r="O47" s="33">
        <v>2027</v>
      </c>
      <c r="P47" s="167">
        <v>12123083.143145299</v>
      </c>
      <c r="Q47" s="167">
        <v>34910.664533494062</v>
      </c>
      <c r="R47" s="167">
        <v>456792.23220563011</v>
      </c>
      <c r="S47" s="167">
        <v>1688613.8767302954</v>
      </c>
      <c r="T47" s="167">
        <v>32242.432518477417</v>
      </c>
      <c r="V47" s="33">
        <v>2027</v>
      </c>
      <c r="W47" s="167">
        <v>1213428.617698797</v>
      </c>
      <c r="X47" s="167">
        <v>249.44511959566705</v>
      </c>
      <c r="Y47" s="167">
        <v>2444.4727344431208</v>
      </c>
      <c r="Z47" s="167">
        <v>30570.259529220846</v>
      </c>
      <c r="AA47" s="167">
        <v>0</v>
      </c>
      <c r="AC47" s="33">
        <v>2027</v>
      </c>
      <c r="AD47" s="167">
        <v>6370671.9096745113</v>
      </c>
      <c r="AE47" s="167">
        <v>24098.642933593819</v>
      </c>
      <c r="AF47" s="167">
        <v>73033.143776470839</v>
      </c>
      <c r="AG47" s="167">
        <v>343241.72389307711</v>
      </c>
      <c r="AH47" s="167">
        <v>0</v>
      </c>
      <c r="AJ47" s="33">
        <v>2027</v>
      </c>
      <c r="AK47" s="167">
        <v>4129692.2440181109</v>
      </c>
      <c r="AL47" s="167">
        <v>65085.4948431222</v>
      </c>
      <c r="AM47" s="167">
        <v>38708.191142249809</v>
      </c>
      <c r="AN47" s="167">
        <v>230180.5872868732</v>
      </c>
      <c r="AO47" s="167">
        <v>0</v>
      </c>
    </row>
    <row r="48" spans="1:41">
      <c r="A48" s="33">
        <v>2028</v>
      </c>
      <c r="B48" s="33">
        <f t="shared" si="10"/>
        <v>0.13770527461501947</v>
      </c>
      <c r="D48" s="33">
        <v>2028</v>
      </c>
      <c r="E48" s="167">
        <f t="shared" si="9"/>
        <v>23196402.3087309</v>
      </c>
      <c r="F48" s="167">
        <f t="shared" si="9"/>
        <v>119909.53643594019</v>
      </c>
      <c r="G48" s="167">
        <f t="shared" si="9"/>
        <v>619024.00516214443</v>
      </c>
      <c r="H48" s="167">
        <f t="shared" si="9"/>
        <v>3068072.6813096185</v>
      </c>
      <c r="I48" s="167">
        <f t="shared" si="9"/>
        <v>36431.976207513821</v>
      </c>
      <c r="J48" s="167">
        <f t="shared" si="11"/>
        <v>27039840.507846117</v>
      </c>
      <c r="K48" s="167">
        <f t="shared" si="12"/>
        <v>493498.36020165402</v>
      </c>
      <c r="L48" s="167">
        <f t="shared" si="13"/>
        <v>125525.64496049039</v>
      </c>
      <c r="M48" s="169">
        <f t="shared" si="14"/>
        <v>2.2893034630974359E-2</v>
      </c>
      <c r="O48" s="33">
        <v>2028</v>
      </c>
      <c r="P48" s="167">
        <v>11697022.386880683</v>
      </c>
      <c r="Q48" s="167">
        <v>31009.695020914049</v>
      </c>
      <c r="R48" s="167">
        <v>493498.36020165402</v>
      </c>
      <c r="S48" s="167">
        <v>2120399.8959803432</v>
      </c>
      <c r="T48" s="167">
        <v>36431.976207513821</v>
      </c>
      <c r="V48" s="33">
        <v>2028</v>
      </c>
      <c r="W48" s="167">
        <v>1162967.5921576321</v>
      </c>
      <c r="X48" s="167">
        <v>149.79872247730736</v>
      </c>
      <c r="Y48" s="167">
        <v>2743.496619528546</v>
      </c>
      <c r="Z48" s="167">
        <v>57219.984589455205</v>
      </c>
      <c r="AA48" s="167">
        <v>0</v>
      </c>
      <c r="AC48" s="33">
        <v>2028</v>
      </c>
      <c r="AD48" s="167">
        <v>6269062.5344988452</v>
      </c>
      <c r="AE48" s="167">
        <v>24651.422239729058</v>
      </c>
      <c r="AF48" s="167">
        <v>80940.096213946279</v>
      </c>
      <c r="AG48" s="167">
        <v>570821.33433312678</v>
      </c>
      <c r="AH48" s="167">
        <v>0</v>
      </c>
      <c r="AJ48" s="33">
        <v>2028</v>
      </c>
      <c r="AK48" s="167">
        <v>4067349.7951937397</v>
      </c>
      <c r="AL48" s="167">
        <v>64098.620452819763</v>
      </c>
      <c r="AM48" s="167">
        <v>41842.052127015559</v>
      </c>
      <c r="AN48" s="167">
        <v>319631.46640669322</v>
      </c>
      <c r="AO48" s="167">
        <v>0</v>
      </c>
    </row>
    <row r="49" spans="1:41">
      <c r="A49" s="33">
        <v>2029</v>
      </c>
      <c r="B49" s="33">
        <f t="shared" si="10"/>
        <v>0.1716981420692946</v>
      </c>
      <c r="D49" s="33">
        <v>2029</v>
      </c>
      <c r="E49" s="167">
        <f t="shared" si="9"/>
        <v>22432171.990338426</v>
      </c>
      <c r="F49" s="167">
        <f t="shared" si="9"/>
        <v>115837.00891473406</v>
      </c>
      <c r="G49" s="167">
        <f t="shared" si="9"/>
        <v>663750.28303830884</v>
      </c>
      <c r="H49" s="167">
        <f t="shared" si="9"/>
        <v>3969730.305013279</v>
      </c>
      <c r="I49" s="167">
        <f t="shared" si="9"/>
        <v>40481.223654723712</v>
      </c>
      <c r="J49" s="167">
        <f t="shared" si="11"/>
        <v>27221970.810959477</v>
      </c>
      <c r="K49" s="167">
        <f t="shared" si="12"/>
        <v>527214.9647673195</v>
      </c>
      <c r="L49" s="167">
        <f t="shared" si="13"/>
        <v>136535.31827098937</v>
      </c>
      <c r="M49" s="169">
        <f t="shared" si="14"/>
        <v>2.4382888647102845E-2</v>
      </c>
      <c r="O49" s="33">
        <v>2029</v>
      </c>
      <c r="P49" s="167">
        <v>11131583.871496364</v>
      </c>
      <c r="Q49" s="167">
        <v>27499.229191920404</v>
      </c>
      <c r="R49" s="167">
        <v>527214.9647673195</v>
      </c>
      <c r="S49" s="167">
        <v>2694804.4816669547</v>
      </c>
      <c r="T49" s="167">
        <v>40481.223654723712</v>
      </c>
      <c r="V49" s="33">
        <v>2029</v>
      </c>
      <c r="W49" s="167">
        <v>1115494.4552574311</v>
      </c>
      <c r="X49" s="167">
        <v>78.716039354329141</v>
      </c>
      <c r="Y49" s="167">
        <v>3033.5542609335448</v>
      </c>
      <c r="Z49" s="167">
        <v>82360.83575621435</v>
      </c>
      <c r="AA49" s="167">
        <v>0</v>
      </c>
      <c r="AC49" s="33">
        <v>2029</v>
      </c>
      <c r="AD49" s="167">
        <v>6176303.7601008853</v>
      </c>
      <c r="AE49" s="167">
        <v>25158.716880006399</v>
      </c>
      <c r="AF49" s="167">
        <v>88613.407154408094</v>
      </c>
      <c r="AG49" s="167">
        <v>785557.45995967311</v>
      </c>
      <c r="AH49" s="167">
        <v>0</v>
      </c>
      <c r="AJ49" s="33">
        <v>2029</v>
      </c>
      <c r="AK49" s="167">
        <v>4008789.9034837452</v>
      </c>
      <c r="AL49" s="167">
        <v>63100.346803452929</v>
      </c>
      <c r="AM49" s="167">
        <v>44888.35685564774</v>
      </c>
      <c r="AN49" s="167">
        <v>407007.5276304367</v>
      </c>
      <c r="AO49" s="167">
        <v>0</v>
      </c>
    </row>
    <row r="50" spans="1:41">
      <c r="A50" s="33">
        <v>2030</v>
      </c>
      <c r="B50" s="33">
        <f t="shared" si="10"/>
        <v>0.21037414818617328</v>
      </c>
      <c r="D50" s="33">
        <v>2030</v>
      </c>
      <c r="E50" s="167">
        <f t="shared" si="9"/>
        <v>21528110.095785327</v>
      </c>
      <c r="F50" s="167">
        <f t="shared" si="9"/>
        <v>111384.72941818152</v>
      </c>
      <c r="G50" s="167">
        <f t="shared" si="9"/>
        <v>706139.43458408059</v>
      </c>
      <c r="H50" s="167">
        <f t="shared" si="9"/>
        <v>4972433.4771213252</v>
      </c>
      <c r="I50" s="167">
        <f t="shared" si="9"/>
        <v>86676.896889548938</v>
      </c>
      <c r="J50" s="167">
        <f t="shared" si="11"/>
        <v>27404744.633798461</v>
      </c>
      <c r="K50" s="167">
        <f t="shared" si="12"/>
        <v>559045.22060182178</v>
      </c>
      <c r="L50" s="167">
        <f t="shared" si="13"/>
        <v>147094.21398225872</v>
      </c>
      <c r="M50" s="169">
        <f t="shared" si="14"/>
        <v>2.5767050341830001E-2</v>
      </c>
      <c r="O50" s="33">
        <v>2030</v>
      </c>
      <c r="P50" s="167">
        <v>10485529.017435398</v>
      </c>
      <c r="Q50" s="167">
        <v>23679.854130695032</v>
      </c>
      <c r="R50" s="167">
        <v>559045.22060182178</v>
      </c>
      <c r="S50" s="167">
        <v>3353489.6832251279</v>
      </c>
      <c r="T50" s="167">
        <v>44411.120635644351</v>
      </c>
      <c r="V50" s="33">
        <v>2030</v>
      </c>
      <c r="W50" s="167">
        <v>1068883.7467495939</v>
      </c>
      <c r="X50" s="167">
        <v>24.143087093782242</v>
      </c>
      <c r="Y50" s="167">
        <v>3314.3840439488004</v>
      </c>
      <c r="Z50" s="167">
        <v>107331.39636839479</v>
      </c>
      <c r="AA50" s="167">
        <v>701.51239153767347</v>
      </c>
      <c r="AC50" s="33">
        <v>2030</v>
      </c>
      <c r="AD50" s="167">
        <v>6054346.4356406005</v>
      </c>
      <c r="AE50" s="167">
        <v>25601.131002239134</v>
      </c>
      <c r="AF50" s="167">
        <v>96011.64210140318</v>
      </c>
      <c r="AG50" s="167">
        <v>1009840.0803781326</v>
      </c>
      <c r="AH50" s="167">
        <v>15451.033375123561</v>
      </c>
      <c r="AJ50" s="33">
        <v>2030</v>
      </c>
      <c r="AK50" s="167">
        <v>3919350.8959597345</v>
      </c>
      <c r="AL50" s="167">
        <v>62079.60119815357</v>
      </c>
      <c r="AM50" s="167">
        <v>47768.187836906734</v>
      </c>
      <c r="AN50" s="167">
        <v>501772.31714966969</v>
      </c>
      <c r="AO50" s="167">
        <v>26113.230487243356</v>
      </c>
    </row>
    <row r="51" spans="1:41">
      <c r="A51" s="33">
        <v>2031</v>
      </c>
      <c r="B51" s="33">
        <f t="shared" si="10"/>
        <v>0.25287373902844867</v>
      </c>
      <c r="D51" s="33">
        <v>2031</v>
      </c>
      <c r="E51" s="167">
        <f t="shared" si="9"/>
        <v>20500530.446436629</v>
      </c>
      <c r="F51" s="167">
        <f t="shared" si="9"/>
        <v>108056.26410253101</v>
      </c>
      <c r="G51" s="167">
        <f t="shared" si="9"/>
        <v>745960.57185239193</v>
      </c>
      <c r="H51" s="167">
        <f t="shared" si="9"/>
        <v>6093192.7994951596</v>
      </c>
      <c r="I51" s="167">
        <f t="shared" si="9"/>
        <v>136067.08310314844</v>
      </c>
      <c r="J51" s="167">
        <f t="shared" si="11"/>
        <v>27583807.164989863</v>
      </c>
      <c r="K51" s="167">
        <f t="shared" si="12"/>
        <v>588789.79327560251</v>
      </c>
      <c r="L51" s="167">
        <f t="shared" si="13"/>
        <v>157170.77857678954</v>
      </c>
      <c r="M51" s="169">
        <f t="shared" si="14"/>
        <v>2.7043423244315089E-2</v>
      </c>
      <c r="O51" s="33">
        <v>2031</v>
      </c>
      <c r="P51" s="167">
        <v>9735921.5393417552</v>
      </c>
      <c r="Q51" s="167">
        <v>20980.505898821903</v>
      </c>
      <c r="R51" s="167">
        <v>588789.79327560251</v>
      </c>
      <c r="S51" s="167">
        <v>4119150.5724902381</v>
      </c>
      <c r="T51" s="167">
        <v>48180.381623278154</v>
      </c>
      <c r="V51" s="33">
        <v>2031</v>
      </c>
      <c r="W51" s="167">
        <v>1020841.3124327653</v>
      </c>
      <c r="X51" s="167">
        <v>10.730832688880678</v>
      </c>
      <c r="Y51" s="167">
        <v>3585.8472419385203</v>
      </c>
      <c r="Z51" s="167">
        <v>135021.17100594044</v>
      </c>
      <c r="AA51" s="167">
        <v>1319.8039475343016</v>
      </c>
      <c r="AC51" s="33">
        <v>2031</v>
      </c>
      <c r="AD51" s="167">
        <v>5914059.0353554133</v>
      </c>
      <c r="AE51" s="167">
        <v>25996.439133882483</v>
      </c>
      <c r="AF51" s="167">
        <v>103051.87491479155</v>
      </c>
      <c r="AG51" s="167">
        <v>1243198.9619441135</v>
      </c>
      <c r="AH51" s="167">
        <v>31846.435872628652</v>
      </c>
      <c r="AJ51" s="33">
        <v>2031</v>
      </c>
      <c r="AK51" s="167">
        <v>3829708.5593066951</v>
      </c>
      <c r="AL51" s="167">
        <v>61068.588237137752</v>
      </c>
      <c r="AM51" s="167">
        <v>50533.05642005946</v>
      </c>
      <c r="AN51" s="167">
        <v>595822.09405486716</v>
      </c>
      <c r="AO51" s="167">
        <v>54720.461659707333</v>
      </c>
    </row>
    <row r="52" spans="1:41">
      <c r="A52" s="33">
        <v>2032</v>
      </c>
      <c r="B52" s="33">
        <f t="shared" si="10"/>
        <v>0.29756686561917234</v>
      </c>
      <c r="D52" s="33">
        <v>2032</v>
      </c>
      <c r="E52" s="167">
        <f t="shared" si="9"/>
        <v>19394445.795138117</v>
      </c>
      <c r="F52" s="167">
        <f t="shared" si="9"/>
        <v>104485.24085573354</v>
      </c>
      <c r="G52" s="167">
        <f t="shared" si="9"/>
        <v>783235.40810996387</v>
      </c>
      <c r="H52" s="167">
        <f t="shared" si="9"/>
        <v>7292853.8053018451</v>
      </c>
      <c r="I52" s="167">
        <f t="shared" si="9"/>
        <v>184107.39080956846</v>
      </c>
      <c r="J52" s="167">
        <f t="shared" si="11"/>
        <v>27759127.640215229</v>
      </c>
      <c r="K52" s="167">
        <f t="shared" si="12"/>
        <v>616571.33069773694</v>
      </c>
      <c r="L52" s="167">
        <f t="shared" si="13"/>
        <v>166664.07741222696</v>
      </c>
      <c r="M52" s="169">
        <f t="shared" si="14"/>
        <v>2.8215418663779416E-2</v>
      </c>
      <c r="O52" s="33">
        <v>2032</v>
      </c>
      <c r="P52" s="167">
        <v>8984551.6916084606</v>
      </c>
      <c r="Q52" s="167">
        <v>18101.28363375628</v>
      </c>
      <c r="R52" s="167">
        <v>616571.33069773694</v>
      </c>
      <c r="S52" s="167">
        <v>4889593.2615370359</v>
      </c>
      <c r="T52" s="167">
        <v>51759.644634271761</v>
      </c>
      <c r="V52" s="33">
        <v>2032</v>
      </c>
      <c r="W52" s="167">
        <v>962487.92272567353</v>
      </c>
      <c r="X52" s="167">
        <v>6.6336080672747633</v>
      </c>
      <c r="Y52" s="167">
        <v>3846.9453258148083</v>
      </c>
      <c r="Z52" s="167">
        <v>175381.16717345189</v>
      </c>
      <c r="AA52" s="167">
        <v>1934.0689051256843</v>
      </c>
      <c r="AC52" s="33">
        <v>2032</v>
      </c>
      <c r="AD52" s="167">
        <v>5710056.9592916798</v>
      </c>
      <c r="AE52" s="167">
        <v>26333.846861590468</v>
      </c>
      <c r="AF52" s="167">
        <v>109714.92053938036</v>
      </c>
      <c r="AG52" s="167">
        <v>1533791.0694564588</v>
      </c>
      <c r="AH52" s="167">
        <v>47668.184957182035</v>
      </c>
      <c r="AJ52" s="33">
        <v>2032</v>
      </c>
      <c r="AK52" s="167">
        <v>3737349.2215123023</v>
      </c>
      <c r="AL52" s="167">
        <v>60043.476752319526</v>
      </c>
      <c r="AM52" s="167">
        <v>53102.211547031788</v>
      </c>
      <c r="AN52" s="167">
        <v>694088.3071348985</v>
      </c>
      <c r="AO52" s="167">
        <v>82745.492312988979</v>
      </c>
    </row>
    <row r="53" spans="1:41">
      <c r="A53" s="33">
        <v>2033</v>
      </c>
      <c r="B53" s="33">
        <f t="shared" si="10"/>
        <v>0.34449327776169147</v>
      </c>
      <c r="D53" s="33">
        <v>2033</v>
      </c>
      <c r="E53" s="167">
        <f t="shared" si="9"/>
        <v>18206638.788097315</v>
      </c>
      <c r="F53" s="167">
        <f t="shared" si="9"/>
        <v>101534.65060961863</v>
      </c>
      <c r="G53" s="167">
        <f t="shared" si="9"/>
        <v>817941.90649227088</v>
      </c>
      <c r="H53" s="167">
        <f t="shared" si="9"/>
        <v>8572514.2263200376</v>
      </c>
      <c r="I53" s="167">
        <f t="shared" si="9"/>
        <v>231173.15604305803</v>
      </c>
      <c r="J53" s="167">
        <f t="shared" si="11"/>
        <v>27929802.727562297</v>
      </c>
      <c r="K53" s="167">
        <f t="shared" si="12"/>
        <v>642403.72691088193</v>
      </c>
      <c r="L53" s="167">
        <f t="shared" si="13"/>
        <v>175538.17958138898</v>
      </c>
      <c r="M53" s="169">
        <f t="shared" si="14"/>
        <v>2.9285631354821266E-2</v>
      </c>
      <c r="O53" s="33">
        <v>2033</v>
      </c>
      <c r="P53" s="167">
        <v>8241738.6386171849</v>
      </c>
      <c r="Q53" s="167">
        <v>15888.314297636538</v>
      </c>
      <c r="R53" s="167">
        <v>642403.72691088193</v>
      </c>
      <c r="S53" s="167">
        <v>5656011.8849921795</v>
      </c>
      <c r="T53" s="167">
        <v>55141.531635769956</v>
      </c>
      <c r="V53" s="33">
        <v>2033</v>
      </c>
      <c r="W53" s="167">
        <v>901275.73737651377</v>
      </c>
      <c r="X53" s="167">
        <v>6.3253928306389025</v>
      </c>
      <c r="Y53" s="167">
        <v>4096.2036833488482</v>
      </c>
      <c r="Z53" s="167">
        <v>221095.54760179986</v>
      </c>
      <c r="AA53" s="167">
        <v>2545.4681230255906</v>
      </c>
      <c r="AC53" s="33">
        <v>2033</v>
      </c>
      <c r="AD53" s="167">
        <v>5434649.1501896549</v>
      </c>
      <c r="AE53" s="167">
        <v>26636.387423854529</v>
      </c>
      <c r="AF53" s="167">
        <v>115930.55732038608</v>
      </c>
      <c r="AG53" s="167">
        <v>1886590.1627806872</v>
      </c>
      <c r="AH53" s="167">
        <v>63201.901283511012</v>
      </c>
      <c r="AJ53" s="33">
        <v>2033</v>
      </c>
      <c r="AK53" s="167">
        <v>3628975.2619139627</v>
      </c>
      <c r="AL53" s="167">
        <v>59003.623495296932</v>
      </c>
      <c r="AM53" s="167">
        <v>55511.418577654033</v>
      </c>
      <c r="AN53" s="167">
        <v>808816.63094537123</v>
      </c>
      <c r="AO53" s="167">
        <v>110284.25500075148</v>
      </c>
    </row>
    <row r="54" spans="1:41">
      <c r="A54" s="33">
        <v>2034</v>
      </c>
      <c r="B54" s="33">
        <f t="shared" si="10"/>
        <v>0.39364428455938061</v>
      </c>
      <c r="D54" s="33">
        <v>2034</v>
      </c>
      <c r="E54" s="167">
        <f t="shared" si="9"/>
        <v>16940342.314695295</v>
      </c>
      <c r="F54" s="167">
        <f t="shared" si="9"/>
        <v>93841.283380101449</v>
      </c>
      <c r="G54" s="167">
        <f t="shared" si="9"/>
        <v>866792.47351422952</v>
      </c>
      <c r="H54" s="167">
        <f t="shared" si="9"/>
        <v>9913628.3241818734</v>
      </c>
      <c r="I54" s="167">
        <f t="shared" si="9"/>
        <v>278119.33768452634</v>
      </c>
      <c r="J54" s="167">
        <f t="shared" si="11"/>
        <v>28092723.733456027</v>
      </c>
      <c r="K54" s="167">
        <f t="shared" si="12"/>
        <v>655837.78360240336</v>
      </c>
      <c r="L54" s="167">
        <f t="shared" si="13"/>
        <v>210954.68991182619</v>
      </c>
      <c r="M54" s="169">
        <f t="shared" si="14"/>
        <v>3.0854696815387609E-2</v>
      </c>
      <c r="O54" s="33">
        <v>2034</v>
      </c>
      <c r="P54" s="167">
        <v>7514553.76124126</v>
      </c>
      <c r="Q54" s="167">
        <v>13862.954026968246</v>
      </c>
      <c r="R54" s="167">
        <v>655837.78360240336</v>
      </c>
      <c r="S54" s="167">
        <v>6419772.954623742</v>
      </c>
      <c r="T54" s="167">
        <v>58317.20839077689</v>
      </c>
      <c r="V54" s="33">
        <v>2034</v>
      </c>
      <c r="W54" s="167">
        <v>836585.56863248092</v>
      </c>
      <c r="X54" s="167">
        <v>6.0081807293310456</v>
      </c>
      <c r="Y54" s="167">
        <v>4332.8189701200918</v>
      </c>
      <c r="Z54" s="167">
        <v>270153.36200620979</v>
      </c>
      <c r="AA54" s="167">
        <v>3154.883284044965</v>
      </c>
      <c r="AC54" s="33">
        <v>2034</v>
      </c>
      <c r="AD54" s="167">
        <v>5108515.3338666195</v>
      </c>
      <c r="AE54" s="167">
        <v>24962.433219750063</v>
      </c>
      <c r="AF54" s="167">
        <v>121698.17940123973</v>
      </c>
      <c r="AG54" s="167">
        <v>2285354.4375002026</v>
      </c>
      <c r="AH54" s="167">
        <v>78680.69065946342</v>
      </c>
      <c r="AJ54" s="33">
        <v>2034</v>
      </c>
      <c r="AK54" s="167">
        <v>3480687.6509549366</v>
      </c>
      <c r="AL54" s="167">
        <v>55009.887952653808</v>
      </c>
      <c r="AM54" s="167">
        <v>84923.691540466374</v>
      </c>
      <c r="AN54" s="167">
        <v>938347.57005171757</v>
      </c>
      <c r="AO54" s="167">
        <v>137966.55535024108</v>
      </c>
    </row>
    <row r="55" spans="1:41">
      <c r="A55" s="33">
        <v>2035</v>
      </c>
      <c r="B55" s="33">
        <f t="shared" si="10"/>
        <v>0.44469863307260099</v>
      </c>
      <c r="D55" s="33">
        <v>2035</v>
      </c>
      <c r="E55" s="167">
        <f t="shared" si="9"/>
        <v>15601087.509355105</v>
      </c>
      <c r="F55" s="167">
        <f t="shared" si="9"/>
        <v>86801.780267498922</v>
      </c>
      <c r="G55" s="167">
        <f t="shared" si="9"/>
        <v>1000783.5970133834</v>
      </c>
      <c r="H55" s="167">
        <f t="shared" si="9"/>
        <v>11238103.219281046</v>
      </c>
      <c r="I55" s="167">
        <f t="shared" si="9"/>
        <v>324350.62266828306</v>
      </c>
      <c r="J55" s="167">
        <f t="shared" si="11"/>
        <v>28251126.728585318</v>
      </c>
      <c r="K55" s="167">
        <f t="shared" si="12"/>
        <v>668589.91488842026</v>
      </c>
      <c r="L55" s="167">
        <f t="shared" si="13"/>
        <v>332193.68212496315</v>
      </c>
      <c r="M55" s="169">
        <f t="shared" si="14"/>
        <v>3.5424555155910337E-2</v>
      </c>
      <c r="O55" s="33">
        <v>2035</v>
      </c>
      <c r="P55" s="167">
        <v>6815685.4779956751</v>
      </c>
      <c r="Q55" s="167">
        <v>12026.129407857405</v>
      </c>
      <c r="R55" s="167">
        <v>668589.91488842026</v>
      </c>
      <c r="S55" s="167">
        <v>7156421.2935512625</v>
      </c>
      <c r="T55" s="167">
        <v>61278.867256565733</v>
      </c>
      <c r="V55" s="33">
        <v>2035</v>
      </c>
      <c r="W55" s="167">
        <v>775884.76243992324</v>
      </c>
      <c r="X55" s="167">
        <v>5.697553242339378</v>
      </c>
      <c r="Y55" s="167">
        <v>4556.6869563162472</v>
      </c>
      <c r="Z55" s="167">
        <v>317879.6926871707</v>
      </c>
      <c r="AA55" s="167">
        <v>3757.7832131863684</v>
      </c>
      <c r="AC55" s="33">
        <v>2035</v>
      </c>
      <c r="AD55" s="167">
        <v>4754803.4042727342</v>
      </c>
      <c r="AE55" s="167">
        <v>23501.70371651485</v>
      </c>
      <c r="AF55" s="167">
        <v>140184.27950312459</v>
      </c>
      <c r="AG55" s="167">
        <v>2691439.0939928284</v>
      </c>
      <c r="AH55" s="167">
        <v>93999.404930967226</v>
      </c>
      <c r="AJ55" s="33">
        <v>2035</v>
      </c>
      <c r="AK55" s="167">
        <v>3254713.8646467738</v>
      </c>
      <c r="AL55" s="167">
        <v>51268.249589884319</v>
      </c>
      <c r="AM55" s="167">
        <v>187452.71566552229</v>
      </c>
      <c r="AN55" s="167">
        <v>1072363.139049785</v>
      </c>
      <c r="AO55" s="167">
        <v>165314.56726756372</v>
      </c>
    </row>
    <row r="56" spans="1:41">
      <c r="A56" s="33">
        <v>2036</v>
      </c>
      <c r="B56" s="33">
        <f t="shared" si="10"/>
        <v>0.49329713523680352</v>
      </c>
      <c r="D56" s="33">
        <v>2036</v>
      </c>
      <c r="E56" s="167">
        <f t="shared" si="9"/>
        <v>14313021.290750789</v>
      </c>
      <c r="F56" s="167">
        <f t="shared" si="9"/>
        <v>80061.739206403756</v>
      </c>
      <c r="G56" s="167">
        <f t="shared" si="9"/>
        <v>1124869.4667693209</v>
      </c>
      <c r="H56" s="167">
        <f t="shared" si="9"/>
        <v>12517966.888379484</v>
      </c>
      <c r="I56" s="167">
        <f t="shared" si="9"/>
        <v>369451.94959858258</v>
      </c>
      <c r="J56" s="167">
        <f t="shared" si="11"/>
        <v>28405371.334704582</v>
      </c>
      <c r="K56" s="167">
        <f t="shared" si="12"/>
        <v>679599.34659660934</v>
      </c>
      <c r="L56" s="167">
        <f t="shared" si="13"/>
        <v>445270.1201727115</v>
      </c>
      <c r="M56" s="169">
        <f t="shared" si="14"/>
        <v>3.9600590096669462E-2</v>
      </c>
      <c r="O56" s="33">
        <v>2036</v>
      </c>
      <c r="P56" s="167">
        <v>6147735.0531260353</v>
      </c>
      <c r="Q56" s="167">
        <v>10372.88433357802</v>
      </c>
      <c r="R56" s="167">
        <v>679599.34659660934</v>
      </c>
      <c r="S56" s="167">
        <v>7865235.6762113636</v>
      </c>
      <c r="T56" s="167">
        <v>64022.155356946161</v>
      </c>
      <c r="V56" s="33">
        <v>2036</v>
      </c>
      <c r="W56" s="167">
        <v>716378.01567114308</v>
      </c>
      <c r="X56" s="167">
        <v>4.7889364026947092</v>
      </c>
      <c r="Y56" s="167">
        <v>4768.0324596961182</v>
      </c>
      <c r="Z56" s="167">
        <v>364843.98570466175</v>
      </c>
      <c r="AA56" s="167">
        <v>4346.0384873646344</v>
      </c>
      <c r="AC56" s="33">
        <v>2036</v>
      </c>
      <c r="AD56" s="167">
        <v>4408477.8310460187</v>
      </c>
      <c r="AE56" s="167">
        <v>22080.109643119737</v>
      </c>
      <c r="AF56" s="167">
        <v>156683.78013915539</v>
      </c>
      <c r="AG56" s="167">
        <v>3086193.5287347441</v>
      </c>
      <c r="AH56" s="167">
        <v>109085.49500129762</v>
      </c>
      <c r="AJ56" s="33">
        <v>2036</v>
      </c>
      <c r="AK56" s="167">
        <v>3040430.3909075907</v>
      </c>
      <c r="AL56" s="167">
        <v>47603.956293303301</v>
      </c>
      <c r="AM56" s="167">
        <v>283818.30757385999</v>
      </c>
      <c r="AN56" s="167">
        <v>1201693.6977287168</v>
      </c>
      <c r="AO56" s="167">
        <v>191998.26075297419</v>
      </c>
    </row>
    <row r="57" spans="1:41">
      <c r="A57" s="33">
        <v>2037</v>
      </c>
      <c r="B57" s="33">
        <f t="shared" si="10"/>
        <v>0.53957768799651995</v>
      </c>
      <c r="D57" s="33">
        <v>2037</v>
      </c>
      <c r="E57" s="167">
        <f t="shared" si="9"/>
        <v>13076671.281459153</v>
      </c>
      <c r="F57" s="167">
        <f t="shared" si="9"/>
        <v>73694.489314908729</v>
      </c>
      <c r="G57" s="167">
        <f t="shared" si="9"/>
        <v>1245449.7747070775</v>
      </c>
      <c r="H57" s="167">
        <f t="shared" si="9"/>
        <v>13752224.817578169</v>
      </c>
      <c r="I57" s="167">
        <f t="shared" si="9"/>
        <v>413489.84070428624</v>
      </c>
      <c r="J57" s="167">
        <f t="shared" si="11"/>
        <v>28561530.203763589</v>
      </c>
      <c r="K57" s="167">
        <f t="shared" si="12"/>
        <v>689174.52754153858</v>
      </c>
      <c r="L57" s="167">
        <f t="shared" si="13"/>
        <v>556275.24716553907</v>
      </c>
      <c r="M57" s="169">
        <f t="shared" si="14"/>
        <v>4.3605849050166193E-2</v>
      </c>
      <c r="O57" s="33">
        <v>2037</v>
      </c>
      <c r="P57" s="167">
        <v>5517819.1686304891</v>
      </c>
      <c r="Q57" s="167">
        <v>8942.4486933270182</v>
      </c>
      <c r="R57" s="167">
        <v>689174.52754153858</v>
      </c>
      <c r="S57" s="167">
        <v>8543614.6178545654</v>
      </c>
      <c r="T57" s="167">
        <v>66544.897905731865</v>
      </c>
      <c r="V57" s="33">
        <v>2037</v>
      </c>
      <c r="W57" s="167">
        <v>660075.07438096951</v>
      </c>
      <c r="X57" s="167">
        <v>4.5301731789773809</v>
      </c>
      <c r="Y57" s="167">
        <v>4966.641956438395</v>
      </c>
      <c r="Z57" s="167">
        <v>410843.23900323175</v>
      </c>
      <c r="AA57" s="167">
        <v>4919.4613926842667</v>
      </c>
      <c r="AC57" s="33">
        <v>2037</v>
      </c>
      <c r="AD57" s="167">
        <v>4067699.6386762988</v>
      </c>
      <c r="AE57" s="167">
        <v>20700.100063461301</v>
      </c>
      <c r="AF57" s="167">
        <v>172465.04912586001</v>
      </c>
      <c r="AG57" s="167">
        <v>3470960.2427246063</v>
      </c>
      <c r="AH57" s="167">
        <v>123975.71089142816</v>
      </c>
      <c r="AJ57" s="33">
        <v>2037</v>
      </c>
      <c r="AK57" s="167">
        <v>2831077.3997713951</v>
      </c>
      <c r="AL57" s="167">
        <v>44047.410384941431</v>
      </c>
      <c r="AM57" s="167">
        <v>378843.5560832406</v>
      </c>
      <c r="AN57" s="167">
        <v>1326806.7179957642</v>
      </c>
      <c r="AO57" s="167">
        <v>218049.77051444192</v>
      </c>
    </row>
    <row r="58" spans="1:41">
      <c r="A58" s="33">
        <v>2038</v>
      </c>
      <c r="B58" s="33">
        <f t="shared" si="10"/>
        <v>0.58344572692926089</v>
      </c>
      <c r="D58" s="33">
        <v>2038</v>
      </c>
      <c r="E58" s="167">
        <f t="shared" si="9"/>
        <v>11894228.651540894</v>
      </c>
      <c r="F58" s="167">
        <f t="shared" si="9"/>
        <v>67679.882668217906</v>
      </c>
      <c r="G58" s="167">
        <f t="shared" si="9"/>
        <v>1362106.5369407118</v>
      </c>
      <c r="H58" s="167">
        <f t="shared" si="9"/>
        <v>14936090.416091394</v>
      </c>
      <c r="I58" s="167">
        <f t="shared" si="9"/>
        <v>456221.06974921527</v>
      </c>
      <c r="J58" s="167">
        <f t="shared" si="11"/>
        <v>28716326.55699043</v>
      </c>
      <c r="K58" s="167">
        <f t="shared" si="12"/>
        <v>697323.51000018045</v>
      </c>
      <c r="L58" s="167">
        <f t="shared" si="13"/>
        <v>664783.02694053121</v>
      </c>
      <c r="M58" s="169">
        <f t="shared" si="14"/>
        <v>4.7433174791262897E-2</v>
      </c>
      <c r="O58" s="33">
        <v>2038</v>
      </c>
      <c r="P58" s="167">
        <v>4925401.7028483506</v>
      </c>
      <c r="Q58" s="167">
        <v>7726.8136797302104</v>
      </c>
      <c r="R58" s="167">
        <v>697323.51000018045</v>
      </c>
      <c r="S58" s="167">
        <v>9189237.9702265542</v>
      </c>
      <c r="T58" s="167">
        <v>68849.577913661473</v>
      </c>
      <c r="V58" s="33">
        <v>2038</v>
      </c>
      <c r="W58" s="167">
        <v>605668.77575981908</v>
      </c>
      <c r="X58" s="167">
        <v>4.2633270736108031</v>
      </c>
      <c r="Y58" s="167">
        <v>5152.2991127924442</v>
      </c>
      <c r="Z58" s="167">
        <v>455555.09925906942</v>
      </c>
      <c r="AA58" s="167">
        <v>5477.7579588903318</v>
      </c>
      <c r="AC58" s="33">
        <v>2038</v>
      </c>
      <c r="AD58" s="167">
        <v>3734634.3579388019</v>
      </c>
      <c r="AE58" s="167">
        <v>19336.865367830389</v>
      </c>
      <c r="AF58" s="167">
        <v>187550.25858012569</v>
      </c>
      <c r="AG58" s="167">
        <v>3844025.511336701</v>
      </c>
      <c r="AH58" s="167">
        <v>138582.70472351118</v>
      </c>
      <c r="AJ58" s="33">
        <v>2038</v>
      </c>
      <c r="AK58" s="167">
        <v>2628523.8149939212</v>
      </c>
      <c r="AL58" s="167">
        <v>40611.940293583699</v>
      </c>
      <c r="AM58" s="167">
        <v>472080.46924761304</v>
      </c>
      <c r="AN58" s="167">
        <v>1447271.8352690691</v>
      </c>
      <c r="AO58" s="167">
        <v>243311.02915315231</v>
      </c>
    </row>
    <row r="59" spans="1:41">
      <c r="A59" s="33">
        <v>2039</v>
      </c>
      <c r="B59" s="33">
        <f t="shared" si="10"/>
        <v>0.62489609693935222</v>
      </c>
      <c r="D59" s="33">
        <v>2039</v>
      </c>
      <c r="E59" s="167">
        <f t="shared" si="9"/>
        <v>10766558.589725638</v>
      </c>
      <c r="F59" s="167">
        <f t="shared" si="9"/>
        <v>61932.471578863617</v>
      </c>
      <c r="G59" s="167">
        <f t="shared" si="9"/>
        <v>1475742.8566659703</v>
      </c>
      <c r="H59" s="167">
        <f t="shared" si="9"/>
        <v>16066056.054796005</v>
      </c>
      <c r="I59" s="167">
        <f t="shared" si="9"/>
        <v>497687.60077991989</v>
      </c>
      <c r="J59" s="167">
        <f t="shared" si="11"/>
        <v>28867977.573546398</v>
      </c>
      <c r="K59" s="167">
        <f t="shared" si="12"/>
        <v>704241.34874797077</v>
      </c>
      <c r="L59" s="167">
        <f t="shared" si="13"/>
        <v>771501.50791799952</v>
      </c>
      <c r="M59" s="169">
        <f t="shared" si="14"/>
        <v>5.1120410250640118E-2</v>
      </c>
      <c r="O59" s="33">
        <v>2039</v>
      </c>
      <c r="P59" s="167">
        <v>4371652.6139740907</v>
      </c>
      <c r="Q59" s="167">
        <v>6699.156273280214</v>
      </c>
      <c r="R59" s="167">
        <v>704241.34874797077</v>
      </c>
      <c r="S59" s="167">
        <v>9799812.2059979942</v>
      </c>
      <c r="T59" s="167">
        <v>70939.725392105931</v>
      </c>
      <c r="V59" s="33">
        <v>2039</v>
      </c>
      <c r="W59" s="167">
        <v>553812.26721975335</v>
      </c>
      <c r="X59" s="167">
        <v>3.9901642693533117</v>
      </c>
      <c r="Y59" s="167">
        <v>5324.6357609466859</v>
      </c>
      <c r="Z59" s="167">
        <v>498810.97666950448</v>
      </c>
      <c r="AA59" s="167">
        <v>6022.8094496509593</v>
      </c>
      <c r="AC59" s="33">
        <v>2039</v>
      </c>
      <c r="AD59" s="167">
        <v>3412783.5524957879</v>
      </c>
      <c r="AE59" s="167">
        <v>17988.612267947017</v>
      </c>
      <c r="AF59" s="167">
        <v>202107.71461094776</v>
      </c>
      <c r="AG59" s="167">
        <v>4204456.9471870922</v>
      </c>
      <c r="AH59" s="167">
        <v>152837.43826238019</v>
      </c>
      <c r="AJ59" s="33">
        <v>2039</v>
      </c>
      <c r="AK59" s="167">
        <v>2428310.1560360058</v>
      </c>
      <c r="AL59" s="167">
        <v>37240.712873367032</v>
      </c>
      <c r="AM59" s="167">
        <v>564069.1575461051</v>
      </c>
      <c r="AN59" s="167">
        <v>1562975.9249414124</v>
      </c>
      <c r="AO59" s="167">
        <v>267887.62767578283</v>
      </c>
    </row>
    <row r="60" spans="1:41">
      <c r="A60" s="33">
        <v>2040</v>
      </c>
      <c r="B60" s="33">
        <f t="shared" si="10"/>
        <v>0.66379518604666532</v>
      </c>
      <c r="D60" s="33">
        <v>2040</v>
      </c>
      <c r="E60" s="167">
        <f t="shared" si="9"/>
        <v>9698988.7286072485</v>
      </c>
      <c r="F60" s="167">
        <f t="shared" si="9"/>
        <v>56513.354128712745</v>
      </c>
      <c r="G60" s="167">
        <f t="shared" si="9"/>
        <v>1586209.0565874304</v>
      </c>
      <c r="H60" s="167">
        <f t="shared" si="9"/>
        <v>17137566.006721824</v>
      </c>
      <c r="I60" s="167">
        <f t="shared" si="9"/>
        <v>537267.76306493627</v>
      </c>
      <c r="J60" s="167">
        <f t="shared" si="11"/>
        <v>29016544.909110151</v>
      </c>
      <c r="K60" s="167">
        <f t="shared" si="12"/>
        <v>710065.16857411573</v>
      </c>
      <c r="L60" s="167">
        <f t="shared" si="13"/>
        <v>876143.88801331469</v>
      </c>
      <c r="M60" s="169">
        <f t="shared" si="14"/>
        <v>5.4665676480641835E-2</v>
      </c>
      <c r="O60" s="33">
        <v>2040</v>
      </c>
      <c r="P60" s="167">
        <v>3855904.0112638213</v>
      </c>
      <c r="Q60" s="167">
        <v>5773.6079507723634</v>
      </c>
      <c r="R60" s="167">
        <v>710065.16857411573</v>
      </c>
      <c r="S60" s="167">
        <v>10373311.648104774</v>
      </c>
      <c r="T60" s="167">
        <v>72823.585541530047</v>
      </c>
      <c r="V60" s="33">
        <v>2040</v>
      </c>
      <c r="W60" s="167">
        <v>505267.57376153831</v>
      </c>
      <c r="X60" s="167">
        <v>3.7251022750973366</v>
      </c>
      <c r="Y60" s="167">
        <v>5483.6622301212828</v>
      </c>
      <c r="Z60" s="167">
        <v>540507.09029902006</v>
      </c>
      <c r="AA60" s="167">
        <v>6546.6229894277731</v>
      </c>
      <c r="AC60" s="33">
        <v>2040</v>
      </c>
      <c r="AD60" s="167">
        <v>3102537.4119258565</v>
      </c>
      <c r="AE60" s="167">
        <v>16653.499997659212</v>
      </c>
      <c r="AF60" s="167">
        <v>216136.45221183111</v>
      </c>
      <c r="AG60" s="167">
        <v>4550416.171908834</v>
      </c>
      <c r="AH60" s="167">
        <v>166531.75209537463</v>
      </c>
      <c r="AJ60" s="33">
        <v>2040</v>
      </c>
      <c r="AK60" s="167">
        <v>2235279.7316560308</v>
      </c>
      <c r="AL60" s="167">
        <v>34082.521078006073</v>
      </c>
      <c r="AM60" s="167">
        <v>654523.77357136225</v>
      </c>
      <c r="AN60" s="167">
        <v>1673331.0964091972</v>
      </c>
      <c r="AO60" s="167">
        <v>291365.80243860389</v>
      </c>
    </row>
    <row r="61" spans="1:41">
      <c r="P61" s="167"/>
      <c r="Q61" s="167"/>
      <c r="R61" s="167"/>
      <c r="S61" s="167"/>
      <c r="T61" s="167"/>
      <c r="W61" s="167"/>
      <c r="X61" s="167"/>
      <c r="Y61" s="167"/>
      <c r="Z61" s="167"/>
      <c r="AA61" s="167"/>
      <c r="AD61" s="167"/>
      <c r="AE61" s="167"/>
      <c r="AF61" s="167"/>
      <c r="AG61" s="167"/>
      <c r="AH61" s="167"/>
      <c r="AK61" s="167"/>
      <c r="AL61" s="167"/>
      <c r="AM61" s="167"/>
      <c r="AN61" s="167"/>
      <c r="AO61" s="167"/>
    </row>
    <row r="62" spans="1:41">
      <c r="A62" s="165" t="s">
        <v>265</v>
      </c>
      <c r="D62" s="140" t="s">
        <v>266</v>
      </c>
      <c r="F62" s="140" t="s">
        <v>267</v>
      </c>
      <c r="L62" s="165" t="s">
        <v>268</v>
      </c>
      <c r="M62" s="165"/>
      <c r="P62" s="165" t="s">
        <v>270</v>
      </c>
    </row>
    <row r="63" spans="1:41">
      <c r="A63" s="33" t="s">
        <v>211</v>
      </c>
      <c r="B63" s="33" t="s">
        <v>269</v>
      </c>
      <c r="C63" s="33" t="s">
        <v>35</v>
      </c>
      <c r="D63" s="33" t="s">
        <v>109</v>
      </c>
      <c r="L63" s="33" t="s">
        <v>211</v>
      </c>
      <c r="P63" s="33" t="s">
        <v>211</v>
      </c>
    </row>
    <row r="64" spans="1:41">
      <c r="A64" s="33">
        <v>2025</v>
      </c>
      <c r="B64" s="168">
        <f>B65</f>
        <v>0.60000000000000009</v>
      </c>
      <c r="C64" s="168">
        <f>C65</f>
        <v>0.49</v>
      </c>
      <c r="L64" s="33">
        <v>2025</v>
      </c>
      <c r="N64" s="169">
        <f t="shared" ref="N64:N79" si="15">(H45+I45+K45*B64+L45*C64)/J45</f>
        <v>5.2787319162738988E-2</v>
      </c>
      <c r="P64" s="33">
        <v>2025</v>
      </c>
      <c r="Q64" s="172">
        <f>N64-N24</f>
        <v>-1.1102230246251565E-16</v>
      </c>
    </row>
    <row r="65" spans="1:17">
      <c r="A65" s="33">
        <v>2026</v>
      </c>
      <c r="B65" s="168">
        <f>(0.54*0.5)+(0.66*0.5)</f>
        <v>0.60000000000000009</v>
      </c>
      <c r="C65" s="33">
        <f>(0.49*0.5)+(0.49*0.5)</f>
        <v>0.49</v>
      </c>
      <c r="L65" s="33">
        <v>2026</v>
      </c>
      <c r="N65" s="169">
        <f t="shared" si="15"/>
        <v>7.3879850508714998E-2</v>
      </c>
      <c r="P65" s="33">
        <v>2026</v>
      </c>
      <c r="Q65" s="172">
        <f t="shared" ref="Q65:Q79" si="16">N65-N25</f>
        <v>9.7905184404352141E-3</v>
      </c>
    </row>
    <row r="66" spans="1:17">
      <c r="A66" s="33">
        <v>2027</v>
      </c>
      <c r="B66" s="33">
        <f>(0.57*0.5)+(0.69*0.5)</f>
        <v>0.62999999999999989</v>
      </c>
      <c r="C66" s="33">
        <f>(0.51*0.5)+(0.62*0.5)</f>
        <v>0.56499999999999995</v>
      </c>
      <c r="L66" s="33">
        <v>2027</v>
      </c>
      <c r="N66" s="169">
        <f t="shared" si="15"/>
        <v>9.9681210649081184E-2</v>
      </c>
      <c r="P66" s="33">
        <v>2027</v>
      </c>
      <c r="Q66" s="172">
        <f t="shared" si="16"/>
        <v>2.410048860840569E-2</v>
      </c>
    </row>
    <row r="67" spans="1:17">
      <c r="A67" s="33">
        <v>2028</v>
      </c>
      <c r="B67" s="33">
        <f>(0.58*0.5)+(0.71*0.5)</f>
        <v>0.64500000000000002</v>
      </c>
      <c r="C67" s="33">
        <f>(0.52*0.5)+(0.64*0.5)</f>
        <v>0.58000000000000007</v>
      </c>
      <c r="L67" s="33">
        <v>2028</v>
      </c>
      <c r="N67" s="169">
        <f t="shared" si="15"/>
        <v>0.12927650120236342</v>
      </c>
      <c r="P67" s="33">
        <v>2028</v>
      </c>
      <c r="Q67" s="172">
        <f t="shared" si="16"/>
        <v>4.3096979039863592E-2</v>
      </c>
    </row>
    <row r="68" spans="1:17">
      <c r="A68" s="33">
        <v>2029</v>
      </c>
      <c r="B68" s="33">
        <f>(0.6*0.1)+0.73*0.9</f>
        <v>0.71700000000000008</v>
      </c>
      <c r="C68" s="33">
        <f>0.55*0.1+0.67*0.9</f>
        <v>0.65800000000000014</v>
      </c>
      <c r="L68" s="33">
        <v>2029</v>
      </c>
      <c r="N68" s="169">
        <f t="shared" si="15"/>
        <v>0.16450186244508158</v>
      </c>
      <c r="P68" s="33">
        <v>2029</v>
      </c>
      <c r="Q68" s="172">
        <f t="shared" si="16"/>
        <v>6.67485960347355E-2</v>
      </c>
    </row>
    <row r="69" spans="1:17">
      <c r="A69" s="33">
        <v>2030</v>
      </c>
      <c r="B69" s="33">
        <f>0.62*0.1+0.75*0.9</f>
        <v>0.7370000000000001</v>
      </c>
      <c r="C69" s="33">
        <f>0.57*0.1+0.69*0.9</f>
        <v>0.67799999999999994</v>
      </c>
      <c r="L69" s="33">
        <v>2030</v>
      </c>
      <c r="N69" s="169">
        <f t="shared" si="15"/>
        <v>0.20328073306706942</v>
      </c>
      <c r="P69" s="33">
        <v>2030</v>
      </c>
      <c r="Q69" s="172">
        <f t="shared" si="16"/>
        <v>9.5579175919431866E-2</v>
      </c>
    </row>
    <row r="70" spans="1:17">
      <c r="A70" s="33">
        <v>2031</v>
      </c>
      <c r="B70" s="33">
        <f>0.62*0.1+0.77*0.9</f>
        <v>0.75500000000000012</v>
      </c>
      <c r="C70" s="33">
        <f>0.59*0.1+0.72*0.9</f>
        <v>0.70700000000000007</v>
      </c>
      <c r="L70" s="33">
        <v>2031</v>
      </c>
      <c r="N70" s="169">
        <f t="shared" si="15"/>
        <v>0.24597459938694693</v>
      </c>
      <c r="P70" s="33">
        <v>2031</v>
      </c>
      <c r="Q70" s="172">
        <f t="shared" si="16"/>
        <v>0.12874877904701809</v>
      </c>
    </row>
    <row r="71" spans="1:17">
      <c r="A71" s="33">
        <v>2032</v>
      </c>
      <c r="B71" s="33">
        <f>0.65*0.1+0.79*0.9</f>
        <v>0.77600000000000002</v>
      </c>
      <c r="C71" s="33">
        <f>0.61*0.1+0.74*0.9</f>
        <v>0.72700000000000009</v>
      </c>
      <c r="L71" s="33">
        <v>2032</v>
      </c>
      <c r="N71" s="169">
        <f t="shared" si="15"/>
        <v>0.29095241888332357</v>
      </c>
      <c r="P71" s="33">
        <v>2032</v>
      </c>
      <c r="Q71" s="172">
        <f t="shared" si="16"/>
        <v>0.16465763424633659</v>
      </c>
    </row>
    <row r="72" spans="1:17">
      <c r="A72" s="33">
        <v>2033</v>
      </c>
      <c r="B72" s="33">
        <f>B71</f>
        <v>0.77600000000000002</v>
      </c>
      <c r="C72" s="33">
        <f>C71</f>
        <v>0.72700000000000009</v>
      </c>
      <c r="L72" s="33">
        <v>2033</v>
      </c>
      <c r="N72" s="169">
        <f t="shared" si="15"/>
        <v>0.33762533244446724</v>
      </c>
      <c r="P72" s="33">
        <v>2033</v>
      </c>
      <c r="Q72" s="172">
        <f t="shared" si="16"/>
        <v>0.20330207042378659</v>
      </c>
    </row>
    <row r="73" spans="1:17">
      <c r="A73" s="33">
        <v>2034</v>
      </c>
      <c r="B73" s="33">
        <f t="shared" ref="B73:C74" si="17">B72</f>
        <v>0.77600000000000002</v>
      </c>
      <c r="C73" s="33">
        <f t="shared" si="17"/>
        <v>0.72700000000000009</v>
      </c>
      <c r="L73" s="33">
        <v>2034</v>
      </c>
      <c r="N73" s="169">
        <f t="shared" si="15"/>
        <v>0.38636488026191385</v>
      </c>
      <c r="P73" s="33">
        <v>2034</v>
      </c>
      <c r="Q73" s="172">
        <f t="shared" si="16"/>
        <v>0.24452531371012765</v>
      </c>
    </row>
    <row r="74" spans="1:17">
      <c r="A74" s="33">
        <v>2035</v>
      </c>
      <c r="B74" s="33">
        <f t="shared" si="17"/>
        <v>0.77600000000000002</v>
      </c>
      <c r="C74" s="33">
        <f t="shared" si="17"/>
        <v>0.72700000000000009</v>
      </c>
      <c r="L74" s="33">
        <v>2035</v>
      </c>
      <c r="N74" s="169">
        <f t="shared" si="15"/>
        <v>0.43618736134651354</v>
      </c>
      <c r="P74" s="33">
        <v>2035</v>
      </c>
      <c r="Q74" s="172">
        <f t="shared" si="16"/>
        <v>0.28736786283405502</v>
      </c>
    </row>
    <row r="75" spans="1:17">
      <c r="A75" s="33">
        <v>2036</v>
      </c>
      <c r="B75" s="33">
        <f>0.79</f>
        <v>0.79</v>
      </c>
      <c r="C75" s="33">
        <f>0.74</f>
        <v>0.74</v>
      </c>
      <c r="L75" s="33">
        <v>2036</v>
      </c>
      <c r="N75" s="169">
        <f t="shared" si="15"/>
        <v>0.48419723328571068</v>
      </c>
      <c r="P75" s="33">
        <v>2036</v>
      </c>
      <c r="Q75" s="172">
        <f t="shared" si="16"/>
        <v>0.32855409334383223</v>
      </c>
    </row>
    <row r="76" spans="1:17">
      <c r="A76" s="33">
        <v>2037</v>
      </c>
      <c r="B76" s="33">
        <f>B75</f>
        <v>0.79</v>
      </c>
      <c r="C76" s="33">
        <f>C75</f>
        <v>0.74</v>
      </c>
      <c r="L76" s="33">
        <v>2037</v>
      </c>
      <c r="N76" s="169">
        <f t="shared" si="15"/>
        <v>0.52944664064077873</v>
      </c>
      <c r="P76" s="33">
        <v>2037</v>
      </c>
      <c r="Q76" s="172">
        <f t="shared" si="16"/>
        <v>0.36795868020093137</v>
      </c>
    </row>
    <row r="77" spans="1:17">
      <c r="A77" s="33">
        <v>2038</v>
      </c>
      <c r="B77" s="33">
        <f t="shared" ref="B77:C79" si="18">B76</f>
        <v>0.79</v>
      </c>
      <c r="C77" s="33">
        <f t="shared" si="18"/>
        <v>0.74</v>
      </c>
      <c r="L77" s="33">
        <v>2038</v>
      </c>
      <c r="N77" s="169">
        <f t="shared" si="15"/>
        <v>0.57232726010618273</v>
      </c>
      <c r="P77" s="33">
        <v>2038</v>
      </c>
      <c r="Q77" s="172">
        <f t="shared" si="16"/>
        <v>0.4055658587593895</v>
      </c>
    </row>
    <row r="78" spans="1:17">
      <c r="A78" s="33">
        <v>2039</v>
      </c>
      <c r="B78" s="33">
        <f t="shared" si="18"/>
        <v>0.79</v>
      </c>
      <c r="C78" s="33">
        <f t="shared" si="18"/>
        <v>0.74</v>
      </c>
      <c r="L78" s="33">
        <v>2039</v>
      </c>
      <c r="N78" s="169">
        <f t="shared" si="15"/>
        <v>0.61282455246042433</v>
      </c>
      <c r="P78" s="33">
        <v>2039</v>
      </c>
      <c r="Q78" s="172">
        <f t="shared" si="16"/>
        <v>0.44133226724831343</v>
      </c>
    </row>
    <row r="79" spans="1:17">
      <c r="A79" s="33">
        <v>2040</v>
      </c>
      <c r="B79" s="33">
        <f t="shared" si="18"/>
        <v>0.79</v>
      </c>
      <c r="C79" s="33">
        <f t="shared" si="18"/>
        <v>0.74</v>
      </c>
      <c r="L79" s="33">
        <v>2040</v>
      </c>
      <c r="N79" s="169">
        <f t="shared" si="15"/>
        <v>0.65080566239853144</v>
      </c>
      <c r="P79" s="33">
        <v>2040</v>
      </c>
      <c r="Q79" s="172">
        <f t="shared" si="16"/>
        <v>0.47511632305618995</v>
      </c>
    </row>
  </sheetData>
  <sheetProtection algorithmName="SHA-512" hashValue="pw98kDQ++4V2uJHXOwdNGC4+gPrUT8o98Me/qFzlr4FvwweUvL73hp5hDD+3XyDx3F8GPsWxdhkAMUV6t2pDXw==" saltValue="8x1OASfi0qkhDVadAVHagw==" spinCount="100000" sheet="1" objects="1" scenarios="1"/>
  <pageMargins left="0.7" right="0.7" top="0.75" bottom="0.75" header="0.3" footer="0.3"/>
  <ignoredErrors>
    <ignoredError sqref="B75:C75 B35:C3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sheetPr codeName="Sheet13"/>
  <dimension ref="A1:N59"/>
  <sheetViews>
    <sheetView workbookViewId="0"/>
  </sheetViews>
  <sheetFormatPr baseColWidth="10" defaultColWidth="8.83203125" defaultRowHeight="15"/>
  <cols>
    <col min="1" max="1" width="12.33203125" customWidth="1"/>
    <col min="3" max="3" width="10" bestFit="1" customWidth="1"/>
    <col min="7" max="7" width="11.5" customWidth="1"/>
    <col min="11" max="12" width="10.83203125" customWidth="1"/>
  </cols>
  <sheetData>
    <row r="1" spans="1:13">
      <c r="A1" s="2" t="s">
        <v>253</v>
      </c>
    </row>
    <row r="3" spans="1:13" ht="16" thickBot="1">
      <c r="A3" t="s">
        <v>222</v>
      </c>
    </row>
    <row r="4" spans="1:13">
      <c r="A4" s="298" t="s">
        <v>223</v>
      </c>
      <c r="B4" s="299"/>
      <c r="C4" s="299"/>
      <c r="D4" s="299"/>
      <c r="E4" s="299"/>
      <c r="F4" s="299"/>
      <c r="G4" s="299"/>
      <c r="H4" s="299"/>
      <c r="I4" s="299"/>
      <c r="J4" s="299"/>
      <c r="K4" s="299"/>
      <c r="L4" s="299"/>
      <c r="M4" s="300"/>
    </row>
    <row r="5" spans="1:13" ht="16" thickBot="1">
      <c r="A5" s="148" t="s">
        <v>224</v>
      </c>
      <c r="B5" s="149" t="s">
        <v>225</v>
      </c>
      <c r="C5" s="150" t="s">
        <v>226</v>
      </c>
      <c r="D5" s="150" t="s">
        <v>227</v>
      </c>
      <c r="E5" s="150" t="s">
        <v>228</v>
      </c>
      <c r="F5" s="150" t="s">
        <v>229</v>
      </c>
      <c r="G5" s="150" t="s">
        <v>230</v>
      </c>
      <c r="H5" s="150" t="s">
        <v>231</v>
      </c>
      <c r="I5" s="150" t="s">
        <v>232</v>
      </c>
      <c r="J5" s="150" t="s">
        <v>233</v>
      </c>
      <c r="K5" s="150" t="s">
        <v>234</v>
      </c>
      <c r="L5" s="150" t="s">
        <v>235</v>
      </c>
      <c r="M5" s="151" t="s">
        <v>236</v>
      </c>
    </row>
    <row r="6" spans="1:13">
      <c r="A6" s="152" t="s">
        <v>237</v>
      </c>
      <c r="B6" s="153" t="s">
        <v>238</v>
      </c>
      <c r="C6" s="154">
        <v>208.60670288821427</v>
      </c>
      <c r="D6" s="154">
        <f t="shared" ref="D6:M15" si="0">C6*(1-BEV_Annual_Efficiency_Improvement)</f>
        <v>207.56366937377319</v>
      </c>
      <c r="E6" s="154">
        <f t="shared" si="0"/>
        <v>206.52585102690432</v>
      </c>
      <c r="F6" s="154">
        <f t="shared" si="0"/>
        <v>205.49322177176981</v>
      </c>
      <c r="G6" s="154">
        <f t="shared" si="0"/>
        <v>204.46575566291096</v>
      </c>
      <c r="H6" s="154">
        <f t="shared" si="0"/>
        <v>203.44342688459642</v>
      </c>
      <c r="I6" s="154">
        <f t="shared" si="0"/>
        <v>202.42620975017343</v>
      </c>
      <c r="J6" s="154">
        <f t="shared" si="0"/>
        <v>201.41407870142257</v>
      </c>
      <c r="K6" s="154">
        <f t="shared" si="0"/>
        <v>200.40700830791545</v>
      </c>
      <c r="L6" s="154">
        <f t="shared" si="0"/>
        <v>199.40497326637586</v>
      </c>
      <c r="M6" s="155">
        <f t="shared" si="0"/>
        <v>198.40794840004398</v>
      </c>
    </row>
    <row r="7" spans="1:13">
      <c r="A7" s="156" t="s">
        <v>237</v>
      </c>
      <c r="B7" s="157" t="s">
        <v>239</v>
      </c>
      <c r="C7" s="158">
        <v>231.79753496646828</v>
      </c>
      <c r="D7" s="158">
        <f t="shared" si="0"/>
        <v>230.63854729163594</v>
      </c>
      <c r="E7" s="158">
        <f t="shared" si="0"/>
        <v>229.48535455517776</v>
      </c>
      <c r="F7" s="158">
        <f t="shared" si="0"/>
        <v>228.33792778240186</v>
      </c>
      <c r="G7" s="158">
        <f t="shared" si="0"/>
        <v>227.19623814348986</v>
      </c>
      <c r="H7" s="158">
        <f t="shared" si="0"/>
        <v>226.06025695277242</v>
      </c>
      <c r="I7" s="158">
        <f t="shared" si="0"/>
        <v>224.92995566800855</v>
      </c>
      <c r="J7" s="158">
        <f t="shared" si="0"/>
        <v>223.80530588966849</v>
      </c>
      <c r="K7" s="158">
        <f t="shared" si="0"/>
        <v>222.68627936022014</v>
      </c>
      <c r="L7" s="158">
        <f t="shared" si="0"/>
        <v>221.57284796341904</v>
      </c>
      <c r="M7" s="159">
        <f t="shared" si="0"/>
        <v>220.46498372360193</v>
      </c>
    </row>
    <row r="8" spans="1:13">
      <c r="A8" s="156" t="s">
        <v>240</v>
      </c>
      <c r="B8" s="157" t="s">
        <v>238</v>
      </c>
      <c r="C8" s="158">
        <v>215.32979737345238</v>
      </c>
      <c r="D8" s="158">
        <f t="shared" si="0"/>
        <v>214.25314838658511</v>
      </c>
      <c r="E8" s="158">
        <f t="shared" si="0"/>
        <v>213.18188264465218</v>
      </c>
      <c r="F8" s="158">
        <f t="shared" si="0"/>
        <v>212.11597323142891</v>
      </c>
      <c r="G8" s="158">
        <f t="shared" si="0"/>
        <v>211.05539336527175</v>
      </c>
      <c r="H8" s="158">
        <f t="shared" si="0"/>
        <v>210.00011639844539</v>
      </c>
      <c r="I8" s="158">
        <f t="shared" si="0"/>
        <v>208.95011581645315</v>
      </c>
      <c r="J8" s="158">
        <f t="shared" si="0"/>
        <v>207.90536523737089</v>
      </c>
      <c r="K8" s="158">
        <f t="shared" si="0"/>
        <v>206.86583841118403</v>
      </c>
      <c r="L8" s="158">
        <f t="shared" si="0"/>
        <v>205.83150921912809</v>
      </c>
      <c r="M8" s="159">
        <f t="shared" si="0"/>
        <v>204.80235167303246</v>
      </c>
    </row>
    <row r="9" spans="1:13">
      <c r="A9" s="156" t="s">
        <v>240</v>
      </c>
      <c r="B9" s="157" t="s">
        <v>239</v>
      </c>
      <c r="C9" s="158">
        <v>239.50482069007938</v>
      </c>
      <c r="D9" s="158">
        <f t="shared" si="0"/>
        <v>238.30729658662898</v>
      </c>
      <c r="E9" s="158">
        <f t="shared" si="0"/>
        <v>237.11576010369583</v>
      </c>
      <c r="F9" s="158">
        <f t="shared" si="0"/>
        <v>235.93018130317736</v>
      </c>
      <c r="G9" s="158">
        <f t="shared" si="0"/>
        <v>234.75053039666147</v>
      </c>
      <c r="H9" s="158">
        <f t="shared" si="0"/>
        <v>233.57677774467817</v>
      </c>
      <c r="I9" s="158">
        <f t="shared" si="0"/>
        <v>232.40889385595477</v>
      </c>
      <c r="J9" s="158">
        <f t="shared" si="0"/>
        <v>231.246849386675</v>
      </c>
      <c r="K9" s="158">
        <f t="shared" si="0"/>
        <v>230.09061513974163</v>
      </c>
      <c r="L9" s="158">
        <f t="shared" si="0"/>
        <v>228.94016206404291</v>
      </c>
      <c r="M9" s="159">
        <f t="shared" si="0"/>
        <v>227.79546125372269</v>
      </c>
    </row>
    <row r="10" spans="1:13">
      <c r="A10" s="156" t="s">
        <v>241</v>
      </c>
      <c r="B10" s="157" t="s">
        <v>238</v>
      </c>
      <c r="C10" s="158">
        <v>224.60757430002184</v>
      </c>
      <c r="D10" s="158">
        <f t="shared" si="0"/>
        <v>223.48453642852172</v>
      </c>
      <c r="E10" s="158">
        <f t="shared" si="0"/>
        <v>222.36711374637912</v>
      </c>
      <c r="F10" s="158">
        <f t="shared" si="0"/>
        <v>221.25527817764723</v>
      </c>
      <c r="G10" s="158">
        <f t="shared" si="0"/>
        <v>220.14900178675899</v>
      </c>
      <c r="H10" s="158">
        <f t="shared" si="0"/>
        <v>219.0482567778252</v>
      </c>
      <c r="I10" s="158">
        <f t="shared" si="0"/>
        <v>217.95301549393608</v>
      </c>
      <c r="J10" s="158">
        <f t="shared" si="0"/>
        <v>216.8632504164664</v>
      </c>
      <c r="K10" s="158">
        <f t="shared" si="0"/>
        <v>215.77893416438405</v>
      </c>
      <c r="L10" s="158">
        <f t="shared" si="0"/>
        <v>214.70003949356214</v>
      </c>
      <c r="M10" s="159">
        <f t="shared" si="0"/>
        <v>213.62653929609434</v>
      </c>
    </row>
    <row r="11" spans="1:13">
      <c r="A11" s="156" t="s">
        <v>241</v>
      </c>
      <c r="B11" s="157" t="s">
        <v>239</v>
      </c>
      <c r="C11" s="158">
        <v>249.21141200729167</v>
      </c>
      <c r="D11" s="158">
        <f t="shared" si="0"/>
        <v>247.96535494725521</v>
      </c>
      <c r="E11" s="158">
        <f t="shared" si="0"/>
        <v>246.72552817251892</v>
      </c>
      <c r="F11" s="158">
        <f t="shared" si="0"/>
        <v>245.49190053165631</v>
      </c>
      <c r="G11" s="158">
        <f t="shared" si="0"/>
        <v>244.26444102899802</v>
      </c>
      <c r="H11" s="158">
        <f t="shared" si="0"/>
        <v>243.04311882385304</v>
      </c>
      <c r="I11" s="158">
        <f t="shared" si="0"/>
        <v>241.82790322973378</v>
      </c>
      <c r="J11" s="158">
        <f t="shared" si="0"/>
        <v>240.61876371358511</v>
      </c>
      <c r="K11" s="158">
        <f t="shared" si="0"/>
        <v>239.41566989501717</v>
      </c>
      <c r="L11" s="158">
        <f t="shared" si="0"/>
        <v>238.2185915455421</v>
      </c>
      <c r="M11" s="159">
        <f t="shared" si="0"/>
        <v>237.02749858781439</v>
      </c>
    </row>
    <row r="12" spans="1:13">
      <c r="A12" s="156" t="s">
        <v>242</v>
      </c>
      <c r="B12" s="157" t="s">
        <v>238</v>
      </c>
      <c r="C12" s="158">
        <v>271.69529279523806</v>
      </c>
      <c r="D12" s="158">
        <f t="shared" si="0"/>
        <v>270.33681633126184</v>
      </c>
      <c r="E12" s="158">
        <f t="shared" si="0"/>
        <v>268.98513224960556</v>
      </c>
      <c r="F12" s="158">
        <f t="shared" si="0"/>
        <v>267.6402065883575</v>
      </c>
      <c r="G12" s="158">
        <f t="shared" si="0"/>
        <v>266.30200555541569</v>
      </c>
      <c r="H12" s="158">
        <f t="shared" si="0"/>
        <v>264.9704955276386</v>
      </c>
      <c r="I12" s="158">
        <f t="shared" si="0"/>
        <v>263.64564305000039</v>
      </c>
      <c r="J12" s="158">
        <f t="shared" si="0"/>
        <v>262.32741483475036</v>
      </c>
      <c r="K12" s="158">
        <f t="shared" si="0"/>
        <v>261.01577776057661</v>
      </c>
      <c r="L12" s="158">
        <f t="shared" si="0"/>
        <v>259.71069887177373</v>
      </c>
      <c r="M12" s="159">
        <f t="shared" si="0"/>
        <v>258.41214537741484</v>
      </c>
    </row>
    <row r="13" spans="1:13">
      <c r="A13" s="156" t="s">
        <v>242</v>
      </c>
      <c r="B13" s="157" t="s">
        <v>239</v>
      </c>
      <c r="C13" s="158">
        <v>300.76724061066068</v>
      </c>
      <c r="D13" s="158">
        <f t="shared" si="0"/>
        <v>299.26340440760737</v>
      </c>
      <c r="E13" s="158">
        <f t="shared" si="0"/>
        <v>297.76708738556931</v>
      </c>
      <c r="F13" s="158">
        <f t="shared" si="0"/>
        <v>296.27825194864147</v>
      </c>
      <c r="G13" s="158">
        <f t="shared" si="0"/>
        <v>294.79686068889828</v>
      </c>
      <c r="H13" s="158">
        <f t="shared" si="0"/>
        <v>293.32287638545381</v>
      </c>
      <c r="I13" s="158">
        <f t="shared" si="0"/>
        <v>291.85626200352652</v>
      </c>
      <c r="J13" s="158">
        <f t="shared" si="0"/>
        <v>290.39698069350891</v>
      </c>
      <c r="K13" s="158">
        <f t="shared" si="0"/>
        <v>288.94499579004139</v>
      </c>
      <c r="L13" s="158">
        <f t="shared" si="0"/>
        <v>287.50027081109118</v>
      </c>
      <c r="M13" s="159">
        <f t="shared" si="0"/>
        <v>286.0627694570357</v>
      </c>
    </row>
    <row r="14" spans="1:13">
      <c r="A14" s="156" t="s">
        <v>243</v>
      </c>
      <c r="B14" s="157" t="s">
        <v>238</v>
      </c>
      <c r="C14" s="158">
        <v>346.78691837968256</v>
      </c>
      <c r="D14" s="158">
        <f t="shared" si="0"/>
        <v>345.05298378778417</v>
      </c>
      <c r="E14" s="158">
        <f t="shared" si="0"/>
        <v>343.32771886884524</v>
      </c>
      <c r="F14" s="158">
        <f t="shared" si="0"/>
        <v>341.61108027450103</v>
      </c>
      <c r="G14" s="158">
        <f t="shared" si="0"/>
        <v>339.90302487312852</v>
      </c>
      <c r="H14" s="158">
        <f t="shared" si="0"/>
        <v>338.20350974876288</v>
      </c>
      <c r="I14" s="158">
        <f t="shared" si="0"/>
        <v>336.51249220001904</v>
      </c>
      <c r="J14" s="158">
        <f t="shared" si="0"/>
        <v>334.82992973901895</v>
      </c>
      <c r="K14" s="158">
        <f t="shared" si="0"/>
        <v>333.15578009032384</v>
      </c>
      <c r="L14" s="158">
        <f t="shared" si="0"/>
        <v>331.4900011898722</v>
      </c>
      <c r="M14" s="159">
        <f t="shared" si="0"/>
        <v>329.83255118392282</v>
      </c>
    </row>
    <row r="15" spans="1:13">
      <c r="A15" s="156" t="s">
        <v>243</v>
      </c>
      <c r="B15" s="157" t="s">
        <v>239</v>
      </c>
      <c r="C15" s="158">
        <v>384.07320274496033</v>
      </c>
      <c r="D15" s="158">
        <f t="shared" si="0"/>
        <v>382.15283673123554</v>
      </c>
      <c r="E15" s="158">
        <f t="shared" si="0"/>
        <v>380.24207254757937</v>
      </c>
      <c r="F15" s="158">
        <f t="shared" si="0"/>
        <v>378.34086218484146</v>
      </c>
      <c r="G15" s="158">
        <f t="shared" si="0"/>
        <v>376.44915787391727</v>
      </c>
      <c r="H15" s="158">
        <f t="shared" si="0"/>
        <v>374.56691208454771</v>
      </c>
      <c r="I15" s="158">
        <f t="shared" si="0"/>
        <v>372.69407752412496</v>
      </c>
      <c r="J15" s="158">
        <f t="shared" si="0"/>
        <v>370.83060713650434</v>
      </c>
      <c r="K15" s="158">
        <f t="shared" si="0"/>
        <v>368.9764541008218</v>
      </c>
      <c r="L15" s="158">
        <f t="shared" si="0"/>
        <v>367.13157183031768</v>
      </c>
      <c r="M15" s="159">
        <f t="shared" si="0"/>
        <v>365.2959139711661</v>
      </c>
    </row>
    <row r="17" spans="1:13" ht="16" thickBot="1">
      <c r="A17" t="s">
        <v>244</v>
      </c>
    </row>
    <row r="18" spans="1:13">
      <c r="A18" s="298" t="s">
        <v>223</v>
      </c>
      <c r="B18" s="299"/>
      <c r="C18" s="299"/>
      <c r="D18" s="299"/>
      <c r="E18" s="299"/>
      <c r="F18" s="299"/>
      <c r="G18" s="299"/>
      <c r="H18" s="299"/>
      <c r="I18" s="299"/>
      <c r="J18" s="299"/>
      <c r="K18" s="299"/>
      <c r="L18" s="299"/>
      <c r="M18" s="300"/>
    </row>
    <row r="19" spans="1:13" ht="16" thickBot="1">
      <c r="A19" s="148" t="s">
        <v>224</v>
      </c>
      <c r="B19" s="149" t="s">
        <v>225</v>
      </c>
      <c r="C19" s="150" t="s">
        <v>226</v>
      </c>
      <c r="D19" s="150" t="s">
        <v>227</v>
      </c>
      <c r="E19" s="150" t="s">
        <v>228</v>
      </c>
      <c r="F19" s="150" t="s">
        <v>229</v>
      </c>
      <c r="G19" s="150" t="s">
        <v>230</v>
      </c>
      <c r="H19" s="150" t="s">
        <v>231</v>
      </c>
      <c r="I19" s="150" t="s">
        <v>232</v>
      </c>
      <c r="J19" s="150" t="s">
        <v>233</v>
      </c>
      <c r="K19" s="150" t="s">
        <v>234</v>
      </c>
      <c r="L19" s="150" t="s">
        <v>235</v>
      </c>
      <c r="M19" s="151" t="s">
        <v>236</v>
      </c>
    </row>
    <row r="20" spans="1:13">
      <c r="A20" s="152" t="s">
        <v>237</v>
      </c>
      <c r="B20" s="153" t="s">
        <v>245</v>
      </c>
      <c r="C20" s="154">
        <f>(C6+C7)/2</f>
        <v>220.20211892734127</v>
      </c>
      <c r="D20" s="154">
        <f t="shared" ref="D20:M20" si="1">(D6+D7)/2</f>
        <v>219.10110833270457</v>
      </c>
      <c r="E20" s="154">
        <f t="shared" si="1"/>
        <v>218.00560279104104</v>
      </c>
      <c r="F20" s="154">
        <f t="shared" si="1"/>
        <v>216.91557477708585</v>
      </c>
      <c r="G20" s="154">
        <f t="shared" si="1"/>
        <v>215.8309969032004</v>
      </c>
      <c r="H20" s="154">
        <f t="shared" si="1"/>
        <v>214.75184191868442</v>
      </c>
      <c r="I20" s="154">
        <f t="shared" si="1"/>
        <v>213.67808270909097</v>
      </c>
      <c r="J20" s="154">
        <f t="shared" si="1"/>
        <v>212.60969229554553</v>
      </c>
      <c r="K20" s="154">
        <f t="shared" si="1"/>
        <v>211.54664383406779</v>
      </c>
      <c r="L20" s="154">
        <f t="shared" si="1"/>
        <v>210.48891061489746</v>
      </c>
      <c r="M20" s="154">
        <f t="shared" si="1"/>
        <v>209.43646606182295</v>
      </c>
    </row>
    <row r="21" spans="1:13" ht="16" thickBot="1">
      <c r="A21" s="156" t="s">
        <v>246</v>
      </c>
      <c r="B21" s="157"/>
      <c r="C21" s="158">
        <f>C20*1.07</f>
        <v>235.61626725225517</v>
      </c>
      <c r="D21" s="158">
        <f t="shared" ref="D21:M21" si="2">D20*1.07</f>
        <v>234.4381859159939</v>
      </c>
      <c r="E21" s="158">
        <f t="shared" si="2"/>
        <v>233.26599498641392</v>
      </c>
      <c r="F21" s="158">
        <f t="shared" si="2"/>
        <v>232.09966501148187</v>
      </c>
      <c r="G21" s="158">
        <f t="shared" si="2"/>
        <v>230.93916668642444</v>
      </c>
      <c r="H21" s="158">
        <f t="shared" si="2"/>
        <v>229.78447085299234</v>
      </c>
      <c r="I21" s="158">
        <f t="shared" si="2"/>
        <v>228.63554849872736</v>
      </c>
      <c r="J21" s="158">
        <f t="shared" si="2"/>
        <v>227.49237075623373</v>
      </c>
      <c r="K21" s="158">
        <f t="shared" si="2"/>
        <v>226.35490890245256</v>
      </c>
      <c r="L21" s="158">
        <f t="shared" si="2"/>
        <v>225.2231343579403</v>
      </c>
      <c r="M21" s="158">
        <f t="shared" si="2"/>
        <v>224.09701868615056</v>
      </c>
    </row>
    <row r="22" spans="1:13">
      <c r="A22" s="156" t="s">
        <v>240</v>
      </c>
      <c r="B22" s="153" t="s">
        <v>245</v>
      </c>
      <c r="C22" s="154">
        <f>(C8+C9)/2</f>
        <v>227.41730903176588</v>
      </c>
      <c r="D22" s="154">
        <f t="shared" ref="D22:M22" si="3">(D8+D9)/2</f>
        <v>226.28022248660704</v>
      </c>
      <c r="E22" s="154">
        <f t="shared" si="3"/>
        <v>225.14882137417402</v>
      </c>
      <c r="F22" s="154">
        <f t="shared" si="3"/>
        <v>224.02307726730314</v>
      </c>
      <c r="G22" s="154">
        <f t="shared" si="3"/>
        <v>222.90296188096661</v>
      </c>
      <c r="H22" s="154">
        <f t="shared" si="3"/>
        <v>221.78844707156179</v>
      </c>
      <c r="I22" s="154">
        <f t="shared" si="3"/>
        <v>220.67950483620396</v>
      </c>
      <c r="J22" s="154">
        <f t="shared" si="3"/>
        <v>219.57610731202294</v>
      </c>
      <c r="K22" s="154">
        <f t="shared" si="3"/>
        <v>218.47822677546282</v>
      </c>
      <c r="L22" s="154">
        <f t="shared" si="3"/>
        <v>217.38583564158552</v>
      </c>
      <c r="M22" s="154">
        <f t="shared" si="3"/>
        <v>216.29890646337759</v>
      </c>
    </row>
    <row r="23" spans="1:13" ht="16" thickBot="1">
      <c r="A23" s="156" t="s">
        <v>246</v>
      </c>
      <c r="B23" s="157"/>
      <c r="C23" s="158">
        <f>C22*1.07</f>
        <v>243.33652066398952</v>
      </c>
      <c r="D23" s="158">
        <f t="shared" ref="D23:M23" si="4">D22*1.07</f>
        <v>242.11983806066957</v>
      </c>
      <c r="E23" s="158">
        <f t="shared" si="4"/>
        <v>240.90923887036621</v>
      </c>
      <c r="F23" s="158">
        <f t="shared" si="4"/>
        <v>239.70469267601436</v>
      </c>
      <c r="G23" s="158">
        <f t="shared" si="4"/>
        <v>238.50616921263429</v>
      </c>
      <c r="H23" s="158">
        <f t="shared" si="4"/>
        <v>237.31363836657113</v>
      </c>
      <c r="I23" s="158">
        <f t="shared" si="4"/>
        <v>236.12707017473826</v>
      </c>
      <c r="J23" s="158">
        <f t="shared" si="4"/>
        <v>234.94643482386456</v>
      </c>
      <c r="K23" s="158">
        <f t="shared" si="4"/>
        <v>233.77170264974524</v>
      </c>
      <c r="L23" s="158">
        <f t="shared" si="4"/>
        <v>232.60284413649651</v>
      </c>
      <c r="M23" s="158">
        <f t="shared" si="4"/>
        <v>231.43982991581404</v>
      </c>
    </row>
    <row r="24" spans="1:13">
      <c r="A24" s="156" t="s">
        <v>241</v>
      </c>
      <c r="B24" s="153" t="s">
        <v>245</v>
      </c>
      <c r="C24" s="154">
        <f>(C10+C11)/2</f>
        <v>236.90949315365674</v>
      </c>
      <c r="D24" s="154">
        <f t="shared" ref="D24:M24" si="5">(D10+D11)/2</f>
        <v>235.72494568788846</v>
      </c>
      <c r="E24" s="154">
        <f t="shared" si="5"/>
        <v>234.54632095944902</v>
      </c>
      <c r="F24" s="154">
        <f t="shared" si="5"/>
        <v>233.37358935465176</v>
      </c>
      <c r="G24" s="154">
        <f t="shared" si="5"/>
        <v>232.20672140787849</v>
      </c>
      <c r="H24" s="154">
        <f t="shared" si="5"/>
        <v>231.04568780083912</v>
      </c>
      <c r="I24" s="154">
        <f t="shared" si="5"/>
        <v>229.89045936183493</v>
      </c>
      <c r="J24" s="154">
        <f t="shared" si="5"/>
        <v>228.74100706502577</v>
      </c>
      <c r="K24" s="154">
        <f t="shared" si="5"/>
        <v>227.59730202970061</v>
      </c>
      <c r="L24" s="154">
        <f t="shared" si="5"/>
        <v>226.45931551955212</v>
      </c>
      <c r="M24" s="154">
        <f t="shared" si="5"/>
        <v>225.32701894195435</v>
      </c>
    </row>
    <row r="25" spans="1:13" ht="16" thickBot="1">
      <c r="A25" s="156" t="s">
        <v>246</v>
      </c>
      <c r="B25" s="157"/>
      <c r="C25" s="158">
        <f>C24*1.07</f>
        <v>253.49315767441271</v>
      </c>
      <c r="D25" s="158">
        <f t="shared" ref="D25:M25" si="6">D24*1.07</f>
        <v>252.22569188604066</v>
      </c>
      <c r="E25" s="158">
        <f t="shared" si="6"/>
        <v>250.96456342661045</v>
      </c>
      <c r="F25" s="158">
        <f t="shared" si="6"/>
        <v>249.70974060947739</v>
      </c>
      <c r="G25" s="158">
        <f t="shared" si="6"/>
        <v>248.46119190643</v>
      </c>
      <c r="H25" s="158">
        <f t="shared" si="6"/>
        <v>247.21888594689787</v>
      </c>
      <c r="I25" s="158">
        <f t="shared" si="6"/>
        <v>245.98279151716338</v>
      </c>
      <c r="J25" s="158">
        <f t="shared" si="6"/>
        <v>244.7528775595776</v>
      </c>
      <c r="K25" s="158">
        <f t="shared" si="6"/>
        <v>243.52911317177967</v>
      </c>
      <c r="L25" s="158">
        <f t="shared" si="6"/>
        <v>242.3114676059208</v>
      </c>
      <c r="M25" s="158">
        <f t="shared" si="6"/>
        <v>241.09991026789118</v>
      </c>
    </row>
    <row r="26" spans="1:13">
      <c r="A26" s="156" t="s">
        <v>242</v>
      </c>
      <c r="B26" s="153" t="s">
        <v>245</v>
      </c>
      <c r="C26" s="154">
        <f>(C12+C13)/2</f>
        <v>286.23126670294937</v>
      </c>
      <c r="D26" s="154">
        <f t="shared" ref="D26:M26" si="7">(D12+D13)/2</f>
        <v>284.80011036943461</v>
      </c>
      <c r="E26" s="154">
        <f t="shared" si="7"/>
        <v>283.37610981758746</v>
      </c>
      <c r="F26" s="154">
        <f t="shared" si="7"/>
        <v>281.95922926849948</v>
      </c>
      <c r="G26" s="154">
        <f t="shared" si="7"/>
        <v>280.54943312215698</v>
      </c>
      <c r="H26" s="154">
        <f t="shared" si="7"/>
        <v>279.14668595654621</v>
      </c>
      <c r="I26" s="154">
        <f t="shared" si="7"/>
        <v>277.75095252676346</v>
      </c>
      <c r="J26" s="154">
        <f t="shared" si="7"/>
        <v>276.36219776412963</v>
      </c>
      <c r="K26" s="154">
        <f t="shared" si="7"/>
        <v>274.980386775309</v>
      </c>
      <c r="L26" s="154">
        <f t="shared" si="7"/>
        <v>273.60548484143249</v>
      </c>
      <c r="M26" s="154">
        <f t="shared" si="7"/>
        <v>272.2374574172253</v>
      </c>
    </row>
    <row r="27" spans="1:13" ht="16" thickBot="1">
      <c r="A27" s="156" t="s">
        <v>246</v>
      </c>
      <c r="B27" s="157"/>
      <c r="C27" s="158">
        <f>C26*1.07</f>
        <v>306.26745537215584</v>
      </c>
      <c r="D27" s="158">
        <f t="shared" ref="D27:M27" si="8">D26*1.07</f>
        <v>304.73611809529507</v>
      </c>
      <c r="E27" s="158">
        <f t="shared" si="8"/>
        <v>303.21243750481858</v>
      </c>
      <c r="F27" s="158">
        <f t="shared" si="8"/>
        <v>301.69637531729444</v>
      </c>
      <c r="G27" s="158">
        <f t="shared" si="8"/>
        <v>300.18789344070797</v>
      </c>
      <c r="H27" s="158">
        <f t="shared" si="8"/>
        <v>298.68695397350444</v>
      </c>
      <c r="I27" s="158">
        <f t="shared" si="8"/>
        <v>297.19351920363692</v>
      </c>
      <c r="J27" s="158">
        <f t="shared" si="8"/>
        <v>295.70755160761871</v>
      </c>
      <c r="K27" s="158">
        <f t="shared" si="8"/>
        <v>294.22901384958067</v>
      </c>
      <c r="L27" s="158">
        <f t="shared" si="8"/>
        <v>292.75786878033279</v>
      </c>
      <c r="M27" s="158">
        <f t="shared" si="8"/>
        <v>291.2940794364311</v>
      </c>
    </row>
    <row r="28" spans="1:13">
      <c r="A28" s="156" t="s">
        <v>243</v>
      </c>
      <c r="B28" s="153" t="s">
        <v>245</v>
      </c>
      <c r="C28" s="154">
        <f>(C14+C15)/2</f>
        <v>365.43006056232144</v>
      </c>
      <c r="D28" s="154">
        <f t="shared" ref="D28:M28" si="9">(D14+D15)/2</f>
        <v>363.60291025950983</v>
      </c>
      <c r="E28" s="154">
        <f t="shared" si="9"/>
        <v>361.78489570821228</v>
      </c>
      <c r="F28" s="154">
        <f t="shared" si="9"/>
        <v>359.97597122967125</v>
      </c>
      <c r="G28" s="154">
        <f t="shared" si="9"/>
        <v>358.17609137352292</v>
      </c>
      <c r="H28" s="154">
        <f t="shared" si="9"/>
        <v>356.3852109166553</v>
      </c>
      <c r="I28" s="154">
        <f t="shared" si="9"/>
        <v>354.60328486207197</v>
      </c>
      <c r="J28" s="154">
        <f t="shared" si="9"/>
        <v>352.83026843776167</v>
      </c>
      <c r="K28" s="154">
        <f t="shared" si="9"/>
        <v>351.06611709557285</v>
      </c>
      <c r="L28" s="154">
        <f t="shared" si="9"/>
        <v>349.31078651009494</v>
      </c>
      <c r="M28" s="154">
        <f t="shared" si="9"/>
        <v>347.56423257754443</v>
      </c>
    </row>
    <row r="29" spans="1:13">
      <c r="A29" s="156" t="s">
        <v>246</v>
      </c>
      <c r="B29" s="157"/>
      <c r="C29" s="158">
        <f>C28*1.07</f>
        <v>391.01016480168397</v>
      </c>
      <c r="D29" s="158">
        <f t="shared" ref="D29:M29" si="10">D28*1.07</f>
        <v>389.05511397767555</v>
      </c>
      <c r="E29" s="158">
        <f t="shared" si="10"/>
        <v>387.10983840778715</v>
      </c>
      <c r="F29" s="158">
        <f t="shared" si="10"/>
        <v>385.17428921574827</v>
      </c>
      <c r="G29" s="158">
        <f t="shared" si="10"/>
        <v>383.24841776966957</v>
      </c>
      <c r="H29" s="158">
        <f t="shared" si="10"/>
        <v>381.33217568082119</v>
      </c>
      <c r="I29" s="158">
        <f t="shared" si="10"/>
        <v>379.42551480241701</v>
      </c>
      <c r="J29" s="158">
        <f t="shared" si="10"/>
        <v>377.52838722840499</v>
      </c>
      <c r="K29" s="158">
        <f t="shared" si="10"/>
        <v>375.64074529226298</v>
      </c>
      <c r="L29" s="158">
        <f t="shared" si="10"/>
        <v>373.7625415658016</v>
      </c>
      <c r="M29" s="158">
        <f t="shared" si="10"/>
        <v>371.89372885797258</v>
      </c>
    </row>
    <row r="31" spans="1:13" ht="16" thickBot="1">
      <c r="A31" t="s">
        <v>247</v>
      </c>
    </row>
    <row r="32" spans="1:13">
      <c r="A32" s="298"/>
      <c r="B32" s="299"/>
      <c r="C32" s="299"/>
      <c r="D32" s="299"/>
      <c r="E32" s="299"/>
      <c r="F32" s="299"/>
      <c r="G32" s="299"/>
      <c r="H32" s="299"/>
      <c r="I32" s="299"/>
      <c r="J32" s="299"/>
      <c r="K32" s="299"/>
      <c r="L32" s="299"/>
      <c r="M32" s="300"/>
    </row>
    <row r="33" spans="1:14" ht="16" thickBot="1">
      <c r="A33" s="148" t="s">
        <v>224</v>
      </c>
      <c r="B33" s="149" t="s">
        <v>225</v>
      </c>
      <c r="C33" s="150" t="s">
        <v>226</v>
      </c>
      <c r="D33" s="150" t="s">
        <v>227</v>
      </c>
      <c r="E33" s="150" t="s">
        <v>228</v>
      </c>
      <c r="F33" s="150" t="s">
        <v>229</v>
      </c>
      <c r="G33" s="150" t="s">
        <v>230</v>
      </c>
      <c r="H33" s="150" t="s">
        <v>231</v>
      </c>
      <c r="I33" s="150" t="s">
        <v>232</v>
      </c>
      <c r="J33" s="150" t="s">
        <v>233</v>
      </c>
      <c r="K33" s="150" t="s">
        <v>234</v>
      </c>
      <c r="L33" s="150" t="s">
        <v>235</v>
      </c>
      <c r="M33" s="151" t="s">
        <v>236</v>
      </c>
    </row>
    <row r="34" spans="1:14" ht="16" thickBot="1">
      <c r="A34" s="152" t="s">
        <v>237</v>
      </c>
      <c r="B34" s="153" t="s">
        <v>248</v>
      </c>
      <c r="C34" s="154">
        <f>C21/1000/0.000293071</f>
        <v>803.95626743094738</v>
      </c>
      <c r="D34" s="154">
        <f t="shared" ref="D34:M34" si="11">D21/1000/0.000293071</f>
        <v>799.93648609379261</v>
      </c>
      <c r="E34" s="154">
        <f t="shared" si="11"/>
        <v>795.93680366332364</v>
      </c>
      <c r="F34" s="154">
        <f t="shared" si="11"/>
        <v>791.95711964500708</v>
      </c>
      <c r="G34" s="154">
        <f t="shared" si="11"/>
        <v>787.99733404678204</v>
      </c>
      <c r="H34" s="154">
        <f t="shared" si="11"/>
        <v>784.05734737654814</v>
      </c>
      <c r="I34" s="154">
        <f t="shared" si="11"/>
        <v>780.13706063966538</v>
      </c>
      <c r="J34" s="154">
        <f t="shared" si="11"/>
        <v>776.23637533646695</v>
      </c>
      <c r="K34" s="154">
        <f t="shared" si="11"/>
        <v>772.35519345978469</v>
      </c>
      <c r="L34" s="154">
        <f t="shared" si="11"/>
        <v>768.49341749248583</v>
      </c>
      <c r="M34" s="154">
        <f t="shared" si="11"/>
        <v>764.6509504050232</v>
      </c>
    </row>
    <row r="35" spans="1:14" ht="16" thickBot="1">
      <c r="A35" s="156" t="s">
        <v>240</v>
      </c>
      <c r="B35" s="153" t="s">
        <v>248</v>
      </c>
      <c r="C35" s="158">
        <f>C23/1000/0.000293071</f>
        <v>830.29887182283312</v>
      </c>
      <c r="D35" s="158">
        <f t="shared" ref="D35:M35" si="12">D23/1000/0.000293071</f>
        <v>826.14737746371884</v>
      </c>
      <c r="E35" s="158">
        <f t="shared" si="12"/>
        <v>822.01664057640028</v>
      </c>
      <c r="F35" s="158">
        <f t="shared" si="12"/>
        <v>817.90655737351824</v>
      </c>
      <c r="G35" s="158">
        <f t="shared" si="12"/>
        <v>813.81702458665063</v>
      </c>
      <c r="H35" s="158">
        <f t="shared" si="12"/>
        <v>809.74793946371744</v>
      </c>
      <c r="I35" s="158">
        <f t="shared" si="12"/>
        <v>805.69919976639881</v>
      </c>
      <c r="J35" s="158">
        <f t="shared" si="12"/>
        <v>801.67070376756681</v>
      </c>
      <c r="K35" s="158">
        <f t="shared" si="12"/>
        <v>797.6623502487289</v>
      </c>
      <c r="L35" s="158">
        <f t="shared" si="12"/>
        <v>793.6740384974853</v>
      </c>
      <c r="M35" s="158">
        <f t="shared" si="12"/>
        <v>789.70566830499797</v>
      </c>
    </row>
    <row r="36" spans="1:14" ht="16" thickBot="1">
      <c r="A36" s="156" t="s">
        <v>241</v>
      </c>
      <c r="B36" s="153" t="s">
        <v>248</v>
      </c>
      <c r="C36" s="158">
        <f>C25/1000/0.000293071</f>
        <v>864.95476411658854</v>
      </c>
      <c r="D36" s="158">
        <f t="shared" ref="D36:M36" si="13">D25/1000/0.000293071</f>
        <v>860.62999029600564</v>
      </c>
      <c r="E36" s="158">
        <f t="shared" si="13"/>
        <v>856.32684034452552</v>
      </c>
      <c r="F36" s="158">
        <f t="shared" si="13"/>
        <v>852.04520614280295</v>
      </c>
      <c r="G36" s="158">
        <f t="shared" si="13"/>
        <v>847.78498011208887</v>
      </c>
      <c r="H36" s="158">
        <f t="shared" si="13"/>
        <v>843.54605521152848</v>
      </c>
      <c r="I36" s="158">
        <f t="shared" si="13"/>
        <v>839.32832493547085</v>
      </c>
      <c r="J36" s="158">
        <f t="shared" si="13"/>
        <v>835.13168331079362</v>
      </c>
      <c r="K36" s="158">
        <f t="shared" si="13"/>
        <v>830.95602489423948</v>
      </c>
      <c r="L36" s="158">
        <f t="shared" si="13"/>
        <v>826.80124476976835</v>
      </c>
      <c r="M36" s="158">
        <f t="shared" si="13"/>
        <v>822.66723854591953</v>
      </c>
    </row>
    <row r="37" spans="1:14" ht="16" thickBot="1">
      <c r="A37" s="156" t="s">
        <v>242</v>
      </c>
      <c r="B37" s="153" t="s">
        <v>248</v>
      </c>
      <c r="C37" s="158">
        <f>C27/1000/0.000293071</f>
        <v>1045.0281855664866</v>
      </c>
      <c r="D37" s="158">
        <f t="shared" ref="D37:M37" si="14">D27/1000/0.000293071</f>
        <v>1039.8030446386542</v>
      </c>
      <c r="E37" s="158">
        <f t="shared" si="14"/>
        <v>1034.6040294154611</v>
      </c>
      <c r="F37" s="158">
        <f t="shared" si="14"/>
        <v>1029.4310092683836</v>
      </c>
      <c r="G37" s="158">
        <f t="shared" si="14"/>
        <v>1024.2838542220416</v>
      </c>
      <c r="H37" s="158">
        <f t="shared" si="14"/>
        <v>1019.1624349509315</v>
      </c>
      <c r="I37" s="158">
        <f t="shared" si="14"/>
        <v>1014.0666227761768</v>
      </c>
      <c r="J37" s="158">
        <f t="shared" si="14"/>
        <v>1008.9962896622958</v>
      </c>
      <c r="K37" s="158">
        <f t="shared" si="14"/>
        <v>1003.9513082139846</v>
      </c>
      <c r="L37" s="158">
        <f t="shared" si="14"/>
        <v>998.93155167291468</v>
      </c>
      <c r="M37" s="158">
        <f t="shared" si="14"/>
        <v>993.93689391455007</v>
      </c>
    </row>
    <row r="38" spans="1:14">
      <c r="A38" s="156" t="s">
        <v>243</v>
      </c>
      <c r="B38" s="153" t="s">
        <v>248</v>
      </c>
      <c r="C38" s="158">
        <f>C29/1000/0.000293071</f>
        <v>1334.1823817494189</v>
      </c>
      <c r="D38" s="158">
        <f t="shared" ref="D38:M38" si="15">D29/1000/0.000293071</f>
        <v>1327.5114698406719</v>
      </c>
      <c r="E38" s="158">
        <f t="shared" si="15"/>
        <v>1320.8739124914684</v>
      </c>
      <c r="F38" s="158">
        <f t="shared" si="15"/>
        <v>1314.2695429290113</v>
      </c>
      <c r="G38" s="158">
        <f t="shared" si="15"/>
        <v>1307.6981952143663</v>
      </c>
      <c r="H38" s="158">
        <f t="shared" si="15"/>
        <v>1301.1597042382944</v>
      </c>
      <c r="I38" s="158">
        <f t="shared" si="15"/>
        <v>1294.6539057171026</v>
      </c>
      <c r="J38" s="158">
        <f t="shared" si="15"/>
        <v>1288.1806361885174</v>
      </c>
      <c r="K38" s="158">
        <f t="shared" si="15"/>
        <v>1281.7397330075748</v>
      </c>
      <c r="L38" s="158">
        <f t="shared" si="15"/>
        <v>1275.3310343425367</v>
      </c>
      <c r="M38" s="158">
        <f t="shared" si="15"/>
        <v>1268.954379170824</v>
      </c>
    </row>
    <row r="39" spans="1:14">
      <c r="A39" s="156" t="s">
        <v>245</v>
      </c>
      <c r="B39" s="157"/>
      <c r="C39" s="158">
        <f>(C34+C35+C36+C37+C38)/5</f>
        <v>975.68409413725499</v>
      </c>
      <c r="D39" s="158">
        <f t="shared" ref="D39:M39" si="16">(D34+D35+D36+D37+D38)/5</f>
        <v>970.80567366656874</v>
      </c>
      <c r="E39" s="158">
        <f t="shared" si="16"/>
        <v>965.9516452982358</v>
      </c>
      <c r="F39" s="158">
        <f t="shared" si="16"/>
        <v>961.1218870717446</v>
      </c>
      <c r="G39" s="158">
        <f t="shared" si="16"/>
        <v>956.31627763638585</v>
      </c>
      <c r="H39" s="158">
        <f t="shared" si="16"/>
        <v>951.53469624820389</v>
      </c>
      <c r="I39" s="158">
        <f t="shared" si="16"/>
        <v>946.77702276696289</v>
      </c>
      <c r="J39" s="158">
        <f t="shared" si="16"/>
        <v>942.04313765312816</v>
      </c>
      <c r="K39" s="158">
        <f t="shared" si="16"/>
        <v>937.33292196486252</v>
      </c>
      <c r="L39" s="158">
        <f t="shared" si="16"/>
        <v>932.64625735503819</v>
      </c>
      <c r="M39" s="158">
        <f t="shared" si="16"/>
        <v>927.98302606826292</v>
      </c>
    </row>
    <row r="40" spans="1:14">
      <c r="A40" s="156" t="s">
        <v>249</v>
      </c>
      <c r="B40" s="157"/>
      <c r="C40" s="160">
        <f>E47/C39</f>
        <v>4.6312809293076898</v>
      </c>
      <c r="D40" s="158"/>
      <c r="E40" s="158"/>
      <c r="F40" s="158"/>
      <c r="G40" s="158"/>
      <c r="H40" s="160">
        <f>E52/H39</f>
        <v>4.3004228323236049</v>
      </c>
      <c r="I40" s="158"/>
      <c r="J40" s="158"/>
      <c r="K40" s="158"/>
      <c r="L40" s="158"/>
      <c r="M40" s="161">
        <f>E57/M39</f>
        <v>4.1194029778691217</v>
      </c>
    </row>
    <row r="41" spans="1:14">
      <c r="A41" s="8"/>
      <c r="B41" s="140"/>
      <c r="C41" s="162"/>
      <c r="D41" s="163"/>
      <c r="E41" s="163"/>
      <c r="F41" s="163"/>
      <c r="G41" s="163"/>
      <c r="H41" s="162"/>
      <c r="I41" s="163"/>
      <c r="J41" s="163"/>
      <c r="K41" s="163"/>
      <c r="L41" s="163"/>
      <c r="M41" s="162"/>
    </row>
    <row r="42" spans="1:14">
      <c r="A42" t="s">
        <v>250</v>
      </c>
      <c r="I42" s="281" t="s">
        <v>273</v>
      </c>
      <c r="J42" s="281"/>
      <c r="K42" s="281" t="s">
        <v>275</v>
      </c>
      <c r="L42" s="281"/>
      <c r="N42" s="69" t="s">
        <v>276</v>
      </c>
    </row>
    <row r="43" spans="1:14">
      <c r="A43" t="s">
        <v>254</v>
      </c>
      <c r="F43" s="33" t="s">
        <v>0</v>
      </c>
      <c r="G43" s="33" t="s">
        <v>1</v>
      </c>
      <c r="H43" s="33" t="s">
        <v>271</v>
      </c>
      <c r="I43" s="33" t="s">
        <v>48</v>
      </c>
      <c r="J43" s="33" t="s">
        <v>274</v>
      </c>
      <c r="K43" s="33" t="s">
        <v>48</v>
      </c>
      <c r="L43" s="33" t="s">
        <v>274</v>
      </c>
      <c r="N43" s="171" t="s">
        <v>277</v>
      </c>
    </row>
    <row r="44" spans="1:14">
      <c r="A44" t="s">
        <v>0</v>
      </c>
      <c r="B44" t="s">
        <v>1</v>
      </c>
      <c r="C44" t="s">
        <v>22</v>
      </c>
      <c r="D44" t="s">
        <v>75</v>
      </c>
      <c r="E44" t="s">
        <v>251</v>
      </c>
      <c r="F44">
        <v>2025</v>
      </c>
      <c r="G44" t="s">
        <v>109</v>
      </c>
      <c r="H44" s="143">
        <f>C40</f>
        <v>4.6312809293076898</v>
      </c>
      <c r="I44" s="16">
        <f>1-0.5*'CARB ZEV counts'!M5</f>
        <v>0.99077323796605243</v>
      </c>
      <c r="J44" s="16">
        <f>1-0.5*'CARB ZEV counts'!M45</f>
        <v>0.99077323796605243</v>
      </c>
      <c r="K44" s="16">
        <f>H44*I44</f>
        <v>4.5885492022606078</v>
      </c>
      <c r="L44" s="16">
        <f>H44*J44</f>
        <v>4.5885492022606078</v>
      </c>
      <c r="N44" s="6"/>
    </row>
    <row r="45" spans="1:14">
      <c r="A45">
        <v>2025</v>
      </c>
      <c r="B45">
        <v>20</v>
      </c>
      <c r="C45">
        <v>60408500</v>
      </c>
      <c r="D45">
        <v>15603900000</v>
      </c>
      <c r="F45">
        <v>2026</v>
      </c>
      <c r="G45" t="s">
        <v>109</v>
      </c>
      <c r="H45" s="143">
        <f t="shared" ref="H45" si="17">H44+(H49-H44)/5</f>
        <v>4.5651093099108726</v>
      </c>
      <c r="I45" s="16">
        <f>1-0.5*'CARB ZEV counts'!M6</f>
        <v>0.99004737057998826</v>
      </c>
      <c r="J45" s="16">
        <f>1-0.5*'CARB ZEV counts'!M46</f>
        <v>0.99004931789783146</v>
      </c>
      <c r="K45" s="16">
        <f t="shared" ref="K45:K59" si="18">H45*I45</f>
        <v>4.5196744686874846</v>
      </c>
      <c r="L45" s="16">
        <f t="shared" ref="L45:L59" si="19">H45*J45</f>
        <v>4.5196833584062999</v>
      </c>
    </row>
    <row r="46" spans="1:14">
      <c r="A46">
        <v>2025</v>
      </c>
      <c r="B46">
        <v>30</v>
      </c>
      <c r="C46">
        <v>101860000</v>
      </c>
      <c r="D46">
        <v>20306800000</v>
      </c>
      <c r="F46">
        <v>2027</v>
      </c>
      <c r="G46" t="s">
        <v>109</v>
      </c>
      <c r="H46" s="143">
        <f t="shared" ref="H46" si="20">H44+(H49-H44)/5*2</f>
        <v>4.4989376905140555</v>
      </c>
      <c r="I46" s="16">
        <f>1-0.5*'CARB ZEV counts'!M7</f>
        <v>0.98936637082551349</v>
      </c>
      <c r="J46" s="16">
        <f>1-0.5*'CARB ZEV counts'!M47</f>
        <v>0.98937005177598103</v>
      </c>
      <c r="K46" s="16">
        <f t="shared" si="18"/>
        <v>4.4510976554340083</v>
      </c>
      <c r="L46" s="16">
        <f t="shared" si="19"/>
        <v>4.4511142158008035</v>
      </c>
      <c r="N46" s="6"/>
    </row>
    <row r="47" spans="1:14">
      <c r="A47">
        <v>2025</v>
      </c>
      <c r="B47" t="s">
        <v>252</v>
      </c>
      <c r="C47">
        <f>C45+C46</f>
        <v>162268500</v>
      </c>
      <c r="D47">
        <f>D45+D46</f>
        <v>35910700000</v>
      </c>
      <c r="E47">
        <f>C47*1000000/D47</f>
        <v>4518.6671382067179</v>
      </c>
      <c r="F47">
        <v>2028</v>
      </c>
      <c r="G47" t="s">
        <v>109</v>
      </c>
      <c r="H47" s="143">
        <f t="shared" ref="H47" si="21">H44+(H49-H44)/5*3</f>
        <v>4.4327660711172392</v>
      </c>
      <c r="I47" s="16">
        <f>1-0.5*'CARB ZEV counts'!M8</f>
        <v>0.98873613832164686</v>
      </c>
      <c r="J47" s="16">
        <f>1-0.5*'CARB ZEV counts'!M48</f>
        <v>0.98855348268451282</v>
      </c>
      <c r="K47" s="16">
        <f t="shared" si="18"/>
        <v>4.3828360072396775</v>
      </c>
      <c r="L47" s="16">
        <f t="shared" si="19"/>
        <v>4.3820263375286919</v>
      </c>
    </row>
    <row r="48" spans="1:14">
      <c r="F48">
        <v>2029</v>
      </c>
      <c r="G48" t="s">
        <v>109</v>
      </c>
      <c r="H48" s="143">
        <f t="shared" ref="H48" si="22">H44+(H49-H44)/5*4</f>
        <v>4.366594451720422</v>
      </c>
      <c r="I48" s="16">
        <f>1-0.5*'CARB ZEV counts'!M9</f>
        <v>0.98815428395808291</v>
      </c>
      <c r="J48" s="16">
        <f>1-0.5*'CARB ZEV counts'!M49</f>
        <v>0.98780855567644854</v>
      </c>
      <c r="K48" s="16">
        <f t="shared" si="18"/>
        <v>4.3148690137751311</v>
      </c>
      <c r="L48" s="16">
        <f t="shared" si="19"/>
        <v>4.3133593585787438</v>
      </c>
      <c r="N48" s="6"/>
    </row>
    <row r="49" spans="1:12">
      <c r="A49" t="s">
        <v>0</v>
      </c>
      <c r="B49" t="s">
        <v>1</v>
      </c>
      <c r="C49" t="s">
        <v>22</v>
      </c>
      <c r="D49" t="s">
        <v>75</v>
      </c>
      <c r="F49">
        <v>2030</v>
      </c>
      <c r="G49" t="s">
        <v>109</v>
      </c>
      <c r="H49" s="143">
        <f>H40</f>
        <v>4.3004228323236049</v>
      </c>
      <c r="I49" s="16">
        <f>1-0.5*'CARB ZEV counts'!M10</f>
        <v>0.98762194164773576</v>
      </c>
      <c r="J49" s="16">
        <f>1-0.5*'CARB ZEV counts'!M50</f>
        <v>0.98711647482908504</v>
      </c>
      <c r="K49" s="16">
        <f t="shared" si="18"/>
        <v>4.2471919475656934</v>
      </c>
      <c r="L49" s="16">
        <f t="shared" si="19"/>
        <v>4.2450182265177867</v>
      </c>
    </row>
    <row r="50" spans="1:12">
      <c r="A50">
        <v>2030</v>
      </c>
      <c r="B50">
        <v>20</v>
      </c>
      <c r="C50">
        <v>57299300</v>
      </c>
      <c r="D50">
        <v>16509400000</v>
      </c>
      <c r="F50">
        <v>2031</v>
      </c>
      <c r="G50" t="s">
        <v>109</v>
      </c>
      <c r="H50" s="143">
        <f t="shared" ref="H50" si="23">H49+(H54-H49)/5</f>
        <v>4.2642188614327079</v>
      </c>
      <c r="I50" s="16">
        <f>1-0.5*'CARB ZEV counts'!M11</f>
        <v>0.98713821070559038</v>
      </c>
      <c r="J50" s="16">
        <f>1-0.5*'CARB ZEV counts'!M51</f>
        <v>0.98647828837784246</v>
      </c>
      <c r="K50" s="16">
        <f t="shared" si="18"/>
        <v>4.2093733769317128</v>
      </c>
      <c r="L50" s="16">
        <f t="shared" si="19"/>
        <v>4.2065593236946501</v>
      </c>
    </row>
    <row r="51" spans="1:12">
      <c r="A51">
        <v>2030</v>
      </c>
      <c r="B51">
        <v>30</v>
      </c>
      <c r="C51">
        <v>94266800</v>
      </c>
      <c r="D51">
        <v>20530200000</v>
      </c>
      <c r="F51">
        <v>2032</v>
      </c>
      <c r="G51" t="s">
        <v>109</v>
      </c>
      <c r="H51" s="143">
        <f t="shared" ref="H51" si="24">H49+(H54-H49)/5*2</f>
        <v>4.2280148905418118</v>
      </c>
      <c r="I51" s="16">
        <f>1-0.5*'CARB ZEV counts'!M12</f>
        <v>0.98670249156485557</v>
      </c>
      <c r="J51" s="16">
        <f>1-0.5*'CARB ZEV counts'!M52</f>
        <v>0.98589229066811024</v>
      </c>
      <c r="K51" s="16">
        <f t="shared" si="18"/>
        <v>4.1717928268709157</v>
      </c>
      <c r="L51" s="16">
        <f t="shared" si="19"/>
        <v>4.1683672854151466</v>
      </c>
    </row>
    <row r="52" spans="1:12">
      <c r="A52">
        <v>2030</v>
      </c>
      <c r="B52" t="s">
        <v>252</v>
      </c>
      <c r="C52">
        <f>C50+C51</f>
        <v>151566100</v>
      </c>
      <c r="D52">
        <f>D50+D51</f>
        <v>37039600000</v>
      </c>
      <c r="E52">
        <f>C52*1000000/D52</f>
        <v>4092.0015334938821</v>
      </c>
      <c r="F52">
        <v>2033</v>
      </c>
      <c r="G52" t="s">
        <v>109</v>
      </c>
      <c r="H52" s="143">
        <f t="shared" ref="H52" si="25">H49+(H54-H49)/5*3</f>
        <v>4.1918109196509148</v>
      </c>
      <c r="I52" s="16">
        <f>1-0.5*'CARB ZEV counts'!M13</f>
        <v>0.98631289964001778</v>
      </c>
      <c r="J52" s="16">
        <f>1-0.5*'CARB ZEV counts'!M53</f>
        <v>0.98535718432258934</v>
      </c>
      <c r="K52" s="16">
        <f t="shared" si="18"/>
        <v>4.1344371829035831</v>
      </c>
      <c r="L52" s="16">
        <f t="shared" si="19"/>
        <v>4.1304310049999096</v>
      </c>
    </row>
    <row r="53" spans="1:12">
      <c r="F53">
        <v>2034</v>
      </c>
      <c r="G53" t="s">
        <v>109</v>
      </c>
      <c r="H53" s="143">
        <f t="shared" ref="H53" si="26">H49+(H54-H49)/5*4</f>
        <v>4.1556069487600187</v>
      </c>
      <c r="I53" s="16">
        <f>1-0.5*'CARB ZEV counts'!M14</f>
        <v>0.9859659509874581</v>
      </c>
      <c r="J53" s="16">
        <f>1-0.5*'CARB ZEV counts'!M54</f>
        <v>0.98457265159230622</v>
      </c>
      <c r="K53" s="16">
        <f t="shared" si="18"/>
        <v>4.0972869571642612</v>
      </c>
      <c r="L53" s="16">
        <f t="shared" si="19"/>
        <v>4.0914969525160645</v>
      </c>
    </row>
    <row r="54" spans="1:12">
      <c r="A54" t="s">
        <v>0</v>
      </c>
      <c r="B54" t="s">
        <v>1</v>
      </c>
      <c r="C54" t="s">
        <v>22</v>
      </c>
      <c r="D54" t="s">
        <v>75</v>
      </c>
      <c r="F54">
        <v>2035</v>
      </c>
      <c r="G54" t="s">
        <v>109</v>
      </c>
      <c r="H54" s="143">
        <f>M40</f>
        <v>4.1194029778691217</v>
      </c>
      <c r="I54" s="16">
        <f>1-0.5*'CARB ZEV counts'!M15</f>
        <v>0.98566121292601072</v>
      </c>
      <c r="J54" s="16">
        <f>1-0.5*'CARB ZEV counts'!M55</f>
        <v>0.98228772242204487</v>
      </c>
      <c r="K54" s="16">
        <f t="shared" si="18"/>
        <v>4.0603357356974987</v>
      </c>
      <c r="L54" s="16">
        <f t="shared" si="19"/>
        <v>4.0464389688696487</v>
      </c>
    </row>
    <row r="55" spans="1:12">
      <c r="A55">
        <v>2035</v>
      </c>
      <c r="B55">
        <v>20</v>
      </c>
      <c r="C55">
        <v>57006600</v>
      </c>
      <c r="D55">
        <v>17602700000</v>
      </c>
      <c r="F55">
        <v>2036</v>
      </c>
      <c r="G55" t="s">
        <v>109</v>
      </c>
      <c r="H55" s="143">
        <f>H54</f>
        <v>4.1194029778691217</v>
      </c>
      <c r="I55" s="16">
        <f>1-0.5*'CARB ZEV counts'!M16</f>
        <v>0.98539563169589472</v>
      </c>
      <c r="J55" s="16">
        <f>1-0.5*'CARB ZEV counts'!M56</f>
        <v>0.98019970495166531</v>
      </c>
      <c r="K55" s="16">
        <f t="shared" si="18"/>
        <v>4.0592416995872931</v>
      </c>
      <c r="L55" s="16">
        <f t="shared" si="19"/>
        <v>4.0378375834843245</v>
      </c>
    </row>
    <row r="56" spans="1:12">
      <c r="A56">
        <v>2035</v>
      </c>
      <c r="B56">
        <v>30</v>
      </c>
      <c r="C56">
        <v>87855600</v>
      </c>
      <c r="D56">
        <v>20292200000</v>
      </c>
      <c r="F56">
        <v>2037</v>
      </c>
      <c r="G56" t="s">
        <v>109</v>
      </c>
      <c r="H56" s="143">
        <f t="shared" ref="H56:H59" si="27">H55</f>
        <v>4.1194029778691217</v>
      </c>
      <c r="I56" s="16">
        <f>1-0.5*'CARB ZEV counts'!M17</f>
        <v>0.98516829761422497</v>
      </c>
      <c r="J56" s="16">
        <f>1-0.5*'CARB ZEV counts'!M57</f>
        <v>0.97819707547491686</v>
      </c>
      <c r="K56" s="16">
        <f t="shared" si="18"/>
        <v>4.0583052188942919</v>
      </c>
      <c r="L56" s="16">
        <f t="shared" si="19"/>
        <v>4.0295879456542387</v>
      </c>
    </row>
    <row r="57" spans="1:12">
      <c r="A57">
        <v>2035</v>
      </c>
      <c r="B57" t="s">
        <v>252</v>
      </c>
      <c r="C57">
        <f>C55+C56</f>
        <v>144862200</v>
      </c>
      <c r="D57">
        <f>D55+D56</f>
        <v>37894900000</v>
      </c>
      <c r="E57">
        <f>C57*1000000/D57</f>
        <v>3822.7360409976013</v>
      </c>
      <c r="F57">
        <v>2038</v>
      </c>
      <c r="G57" t="s">
        <v>109</v>
      </c>
      <c r="H57" s="143">
        <f t="shared" si="27"/>
        <v>4.1194029778691217</v>
      </c>
      <c r="I57" s="16">
        <f>1-0.5*'CARB ZEV counts'!M18</f>
        <v>0.98497512235534934</v>
      </c>
      <c r="J57" s="16">
        <f>1-0.5*'CARB ZEV counts'!M58</f>
        <v>0.97628341260436857</v>
      </c>
      <c r="K57" s="16">
        <f t="shared" si="18"/>
        <v>4.0575094521576283</v>
      </c>
      <c r="L57" s="16">
        <f t="shared" si="19"/>
        <v>4.021704797126664</v>
      </c>
    </row>
    <row r="58" spans="1:12">
      <c r="F58">
        <v>2039</v>
      </c>
      <c r="G58" t="s">
        <v>109</v>
      </c>
      <c r="H58" s="143">
        <f t="shared" si="27"/>
        <v>4.1194029778691217</v>
      </c>
      <c r="I58" s="16">
        <f>1-0.5*'CARB ZEV counts'!M19</f>
        <v>0.98481154164049578</v>
      </c>
      <c r="J58" s="16">
        <f>1-0.5*'CARB ZEV counts'!M59</f>
        <v>0.97443979487467991</v>
      </c>
      <c r="K58" s="16">
        <f t="shared" si="18"/>
        <v>4.0568355972737384</v>
      </c>
      <c r="L58" s="16">
        <f t="shared" si="19"/>
        <v>4.0141101927609322</v>
      </c>
    </row>
    <row r="59" spans="1:12">
      <c r="F59">
        <v>2040</v>
      </c>
      <c r="G59" t="s">
        <v>109</v>
      </c>
      <c r="H59" s="143">
        <f t="shared" si="27"/>
        <v>4.1194029778691217</v>
      </c>
      <c r="I59" s="16">
        <f>1-0.5*'CARB ZEV counts'!M20</f>
        <v>0.98467416201208302</v>
      </c>
      <c r="J59" s="16">
        <f>1-0.5*'CARB ZEV counts'!M60</f>
        <v>0.97266716175967904</v>
      </c>
      <c r="K59" s="16">
        <f t="shared" si="18"/>
        <v>4.0562696752233567</v>
      </c>
      <c r="L59" s="16">
        <f t="shared" si="19"/>
        <v>4.0068080026283281</v>
      </c>
    </row>
  </sheetData>
  <sheetProtection algorithmName="SHA-512" hashValue="jQEeWbclWE/XDW1+Y0tlHUkPxrFOcqsCgABMr3Ws4rwlnU9t3FqAfUcNh97dkCUB2ETq755poTlAN9nzXWl23A==" saltValue="MP0gOhuB4bMDnmb/qAvwlA==" spinCount="100000" sheet="1" objects="1" scenarios="1"/>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V72"/>
  <sheetViews>
    <sheetView topLeftCell="A24" workbookViewId="0">
      <selection activeCell="D7" sqref="D7"/>
    </sheetView>
  </sheetViews>
  <sheetFormatPr baseColWidth="10" defaultColWidth="8.83203125" defaultRowHeight="15"/>
  <cols>
    <col min="3" max="3" width="18.6640625" customWidth="1"/>
    <col min="4" max="4" width="12.5" customWidth="1"/>
    <col min="5" max="5" width="10.33203125" customWidth="1"/>
    <col min="6" max="6" width="13.6640625" customWidth="1"/>
    <col min="7" max="7" width="12.1640625" customWidth="1"/>
    <col min="8" max="14" width="11.5" customWidth="1"/>
    <col min="15" max="16" width="11.83203125" customWidth="1"/>
    <col min="17" max="17" width="10" customWidth="1"/>
    <col min="18" max="18" width="8.83203125" customWidth="1"/>
    <col min="19" max="19" width="11.1640625" customWidth="1"/>
  </cols>
  <sheetData>
    <row r="1" spans="1:22" ht="16" thickBot="1">
      <c r="A1" s="2" t="s">
        <v>454</v>
      </c>
      <c r="C1" s="2"/>
      <c r="D1" s="2"/>
      <c r="E1" s="2"/>
      <c r="F1" s="68"/>
      <c r="J1" s="2"/>
      <c r="N1" s="2"/>
    </row>
    <row r="2" spans="1:22" ht="16" thickBot="1">
      <c r="B2" s="2"/>
      <c r="C2" s="2"/>
      <c r="D2" s="2"/>
      <c r="E2" s="2"/>
      <c r="F2" s="301" t="s">
        <v>453</v>
      </c>
      <c r="G2" s="301"/>
      <c r="H2" s="301"/>
      <c r="I2" s="301"/>
      <c r="J2" s="301" t="s">
        <v>130</v>
      </c>
      <c r="K2" s="301"/>
      <c r="L2" s="301"/>
      <c r="M2" s="301"/>
      <c r="N2" s="301" t="s">
        <v>131</v>
      </c>
      <c r="O2" s="301"/>
      <c r="P2" s="301"/>
      <c r="Q2" s="301"/>
    </row>
    <row r="3" spans="1:22" ht="16" thickBot="1">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U3" s="3"/>
      <c r="V3" s="3"/>
    </row>
    <row r="4" spans="1:22">
      <c r="A4">
        <f>'ZEV Sales'!S10</f>
        <v>2025</v>
      </c>
      <c r="B4">
        <f>'ZEV Sales'!T10</f>
        <v>20</v>
      </c>
      <c r="C4" s="3">
        <f>'Combined MOVES output'!AE18</f>
        <v>459068.60438575386</v>
      </c>
      <c r="D4" s="3">
        <f>'ZEV Sales'!D4</f>
        <v>26991.140951504749</v>
      </c>
      <c r="E4" s="3"/>
      <c r="F4" s="85"/>
      <c r="G4" s="3"/>
      <c r="H4" s="3"/>
      <c r="I4" s="89"/>
      <c r="J4" s="85"/>
      <c r="K4" s="3"/>
      <c r="L4" s="3"/>
      <c r="M4" s="89"/>
      <c r="N4" s="99"/>
      <c r="O4" s="3"/>
      <c r="P4" s="3"/>
      <c r="Q4" s="100"/>
      <c r="U4" s="3"/>
      <c r="V4" s="3"/>
    </row>
    <row r="5" spans="1:22">
      <c r="A5">
        <f>'ZEV Sales'!S11</f>
        <v>2025</v>
      </c>
      <c r="B5">
        <f>'ZEV Sales'!T11</f>
        <v>30</v>
      </c>
      <c r="C5" s="3">
        <f>'Combined MOVES output'!AE19</f>
        <v>680571.07784049539</v>
      </c>
      <c r="D5" s="3">
        <f>'ZEV Sales'!D5</f>
        <v>37393.752638535167</v>
      </c>
      <c r="E5" s="3">
        <f>D4+D5</f>
        <v>64384.893590039916</v>
      </c>
      <c r="F5" s="85"/>
      <c r="G5" s="3"/>
      <c r="H5" s="3"/>
      <c r="I5" s="89"/>
      <c r="J5" s="85"/>
      <c r="K5" s="3"/>
      <c r="L5" s="3"/>
      <c r="M5" s="89"/>
      <c r="N5" s="85"/>
      <c r="O5" s="3"/>
      <c r="P5" s="3"/>
      <c r="Q5" s="90"/>
      <c r="U5" s="3"/>
      <c r="V5" s="3"/>
    </row>
    <row r="6" spans="1:22">
      <c r="A6">
        <f>'ZEV Sales'!S12</f>
        <v>2025</v>
      </c>
      <c r="B6">
        <f>'ZEV Sales'!T12</f>
        <v>41</v>
      </c>
      <c r="C6" s="3"/>
      <c r="D6" s="3">
        <f>'ZEV Sales'!D6</f>
        <v>3214.1817381616788</v>
      </c>
      <c r="E6" s="3"/>
      <c r="F6" s="85"/>
      <c r="G6" s="3"/>
      <c r="H6" s="3"/>
      <c r="I6" s="89"/>
      <c r="J6" s="85"/>
      <c r="K6" s="3"/>
      <c r="L6" s="3"/>
      <c r="M6" s="89"/>
      <c r="N6" s="85"/>
      <c r="O6" s="3"/>
      <c r="P6" s="3"/>
      <c r="Q6" s="90"/>
      <c r="U6" s="3"/>
      <c r="V6" s="3"/>
    </row>
    <row r="7" spans="1:22">
      <c r="A7" s="91">
        <f>A6</f>
        <v>2025</v>
      </c>
      <c r="B7" s="209" t="s">
        <v>33</v>
      </c>
      <c r="C7" s="92">
        <f>C4+C5</f>
        <v>1139639.6822262492</v>
      </c>
      <c r="D7" s="3">
        <f>'ZEV Sales'!D7</f>
        <v>67887.906607175653</v>
      </c>
      <c r="E7" s="92"/>
      <c r="F7" s="93">
        <f>C7-I7</f>
        <v>1111585.0712497139</v>
      </c>
      <c r="G7" s="92">
        <f>'Fleet ZEV fractions'!V17</f>
        <v>19402.254320220742</v>
      </c>
      <c r="H7" s="92">
        <f>'Fleet ZEV fractions'!X17</f>
        <v>8652.356656314656</v>
      </c>
      <c r="I7" s="94">
        <f>'Fleet ZEV fractions'!Z17</f>
        <v>28054.610976535398</v>
      </c>
      <c r="J7" s="253">
        <f>F7</f>
        <v>1111585.0712497139</v>
      </c>
      <c r="K7" s="254">
        <f t="shared" ref="K7:M7" si="0">G7</f>
        <v>19402.254320220742</v>
      </c>
      <c r="L7" s="254">
        <f t="shared" si="0"/>
        <v>8652.356656314656</v>
      </c>
      <c r="M7" s="254">
        <f t="shared" si="0"/>
        <v>28054.610976535398</v>
      </c>
      <c r="N7" s="253">
        <f>F7</f>
        <v>1111585.0712497139</v>
      </c>
      <c r="O7" s="254">
        <f t="shared" ref="O7:Q7" si="1">G7</f>
        <v>19402.254320220742</v>
      </c>
      <c r="P7" s="254">
        <f t="shared" si="1"/>
        <v>8652.356656314656</v>
      </c>
      <c r="Q7" s="255">
        <f t="shared" si="1"/>
        <v>28054.610976535398</v>
      </c>
      <c r="U7" s="3"/>
      <c r="V7" s="3"/>
    </row>
    <row r="8" spans="1:22">
      <c r="A8">
        <v>2026</v>
      </c>
      <c r="B8">
        <f>'ZEV Sales'!T14</f>
        <v>20</v>
      </c>
      <c r="C8" s="3">
        <f>C4+(C24-C4)/5</f>
        <v>462738.71762022306</v>
      </c>
      <c r="D8" s="3">
        <f>'ZEV Sales'!D8</f>
        <v>27444.067799289416</v>
      </c>
      <c r="E8" s="3"/>
      <c r="F8" s="85"/>
      <c r="G8" s="3"/>
      <c r="H8" s="3"/>
      <c r="I8" s="3"/>
      <c r="J8" s="85"/>
      <c r="K8" s="3"/>
      <c r="L8" s="3"/>
      <c r="M8" s="3"/>
      <c r="N8" s="85"/>
      <c r="O8" s="3"/>
      <c r="P8" s="3"/>
      <c r="Q8" s="86"/>
      <c r="U8" s="3"/>
      <c r="V8" s="3"/>
    </row>
    <row r="9" spans="1:22">
      <c r="A9">
        <v>2026</v>
      </c>
      <c r="B9">
        <f>'ZEV Sales'!T15</f>
        <v>30</v>
      </c>
      <c r="C9" s="3">
        <f t="shared" ref="C9:C11" si="2">C5+(C25-C5)/5</f>
        <v>683567.74732243235</v>
      </c>
      <c r="D9" s="3">
        <f>'ZEV Sales'!D9</f>
        <v>37077.105689242082</v>
      </c>
      <c r="E9" s="3">
        <f>D8+D9</f>
        <v>64521.173488531495</v>
      </c>
      <c r="F9" s="85"/>
      <c r="G9" s="3"/>
      <c r="H9" s="3"/>
      <c r="I9" s="3"/>
      <c r="J9" s="85"/>
      <c r="K9" s="3"/>
      <c r="L9" s="3"/>
      <c r="M9" s="3"/>
      <c r="N9" s="85"/>
      <c r="O9" s="3"/>
      <c r="P9" s="3"/>
      <c r="Q9" s="86"/>
      <c r="U9" s="3"/>
      <c r="V9" s="3"/>
    </row>
    <row r="10" spans="1:22">
      <c r="A10">
        <v>2026</v>
      </c>
      <c r="B10">
        <f>'ZEV Sales'!T16</f>
        <v>41</v>
      </c>
      <c r="C10" s="3"/>
      <c r="D10" s="3">
        <f>'ZEV Sales'!D10</f>
        <v>3181.6681374122609</v>
      </c>
      <c r="E10" s="3"/>
      <c r="F10" s="85"/>
      <c r="G10" s="3"/>
      <c r="H10" s="3"/>
      <c r="I10" s="3"/>
      <c r="J10" s="85"/>
      <c r="K10" s="3"/>
      <c r="L10" s="3"/>
      <c r="M10" s="3"/>
      <c r="N10" s="85"/>
      <c r="O10" s="3"/>
      <c r="P10" s="3"/>
      <c r="Q10" s="86"/>
      <c r="U10" s="3"/>
      <c r="V10" s="3"/>
    </row>
    <row r="11" spans="1:22">
      <c r="A11" s="91">
        <v>2026</v>
      </c>
      <c r="B11" s="209" t="s">
        <v>33</v>
      </c>
      <c r="C11" s="92">
        <f t="shared" si="2"/>
        <v>1146306.4649426555</v>
      </c>
      <c r="D11" s="3">
        <f>'ZEV Sales'!D11</f>
        <v>68092.851514377733</v>
      </c>
      <c r="E11" s="92"/>
      <c r="F11" s="93">
        <f>C11-I11</f>
        <v>1107154.2121260928</v>
      </c>
      <c r="G11" s="92">
        <f>'Fleet ZEV fractions'!V18</f>
        <v>30112.76911931697</v>
      </c>
      <c r="H11" s="92">
        <f>'Fleet ZEV fractions'!X18</f>
        <v>9039.483697245847</v>
      </c>
      <c r="I11" s="92">
        <f>'Fleet ZEV fractions'!Z18</f>
        <v>39152.252816562817</v>
      </c>
      <c r="J11" s="93">
        <f>C11-M11</f>
        <v>1095669.4432451341</v>
      </c>
      <c r="K11" s="92">
        <f>'Fleet ZEV fractions'!AB18</f>
        <v>39062.23541849092</v>
      </c>
      <c r="L11" s="92">
        <f>'Fleet ZEV fractions'!AD18</f>
        <v>11574.786279030493</v>
      </c>
      <c r="M11" s="92">
        <f>'Fleet ZEV fractions'!AF18</f>
        <v>50637.021697521421</v>
      </c>
      <c r="N11" s="93">
        <f>C11-Q11</f>
        <v>1100185.9253893313</v>
      </c>
      <c r="O11" s="92">
        <f>'Fleet ZEV fractions'!AH18</f>
        <v>35130.239198836891</v>
      </c>
      <c r="P11" s="92">
        <f>'Fleet ZEV fractions'!AJ18</f>
        <v>10990.300354487326</v>
      </c>
      <c r="Q11" s="95">
        <f>'Fleet ZEV fractions'!AL18</f>
        <v>46120.539553324212</v>
      </c>
      <c r="U11" s="3"/>
      <c r="V11" s="3"/>
    </row>
    <row r="12" spans="1:22">
      <c r="A12">
        <v>2027</v>
      </c>
      <c r="B12">
        <f>'ZEV Sales'!T18</f>
        <v>20</v>
      </c>
      <c r="C12" s="3">
        <f>C4+2*(C24-C4)/5</f>
        <v>466408.83085469232</v>
      </c>
      <c r="D12" s="3">
        <f>'ZEV Sales'!D12</f>
        <v>27900.756312154343</v>
      </c>
      <c r="E12" s="3"/>
      <c r="F12" s="85"/>
      <c r="G12" s="3"/>
      <c r="H12" s="3"/>
      <c r="I12" s="3"/>
      <c r="J12" s="85"/>
      <c r="K12" s="3"/>
      <c r="L12" s="3"/>
      <c r="M12" s="3"/>
      <c r="N12" s="85"/>
      <c r="O12" s="3"/>
      <c r="P12" s="3"/>
      <c r="Q12" s="86"/>
      <c r="U12" s="3"/>
      <c r="V12" s="3"/>
    </row>
    <row r="13" spans="1:22">
      <c r="A13">
        <v>2027</v>
      </c>
      <c r="B13">
        <f>'ZEV Sales'!T19</f>
        <v>30</v>
      </c>
      <c r="C13" s="3">
        <f t="shared" ref="C13:C15" si="3">C5+2*(C25-C5)/5</f>
        <v>686564.41680436931</v>
      </c>
      <c r="D13" s="3">
        <f>'ZEV Sales'!D13</f>
        <v>36756.238848297275</v>
      </c>
      <c r="E13" s="3">
        <f>D12+D13</f>
        <v>64656.995160451617</v>
      </c>
      <c r="F13" s="85"/>
      <c r="G13" s="3"/>
      <c r="H13" s="3"/>
      <c r="I13" s="3"/>
      <c r="J13" s="85"/>
      <c r="K13" s="3"/>
      <c r="L13" s="3"/>
      <c r="M13" s="3"/>
      <c r="N13" s="85"/>
      <c r="O13" s="3"/>
      <c r="P13" s="3"/>
      <c r="Q13" s="86"/>
      <c r="U13" s="3"/>
      <c r="V13" s="3"/>
    </row>
    <row r="14" spans="1:22">
      <c r="A14">
        <v>2027</v>
      </c>
      <c r="B14">
        <f>'ZEV Sales'!T20</f>
        <v>41</v>
      </c>
      <c r="C14" s="3"/>
      <c r="D14" s="3">
        <f>'ZEV Sales'!D14</f>
        <v>3149.3181823426617</v>
      </c>
      <c r="E14" s="3"/>
      <c r="F14" s="85"/>
      <c r="G14" s="3"/>
      <c r="H14" s="3"/>
      <c r="I14" s="3"/>
      <c r="J14" s="85"/>
      <c r="K14" s="3"/>
      <c r="L14" s="3"/>
      <c r="M14" s="3"/>
      <c r="N14" s="85"/>
      <c r="O14" s="3"/>
      <c r="P14" s="3"/>
      <c r="Q14" s="86"/>
      <c r="U14" s="3"/>
      <c r="V14" s="3"/>
    </row>
    <row r="15" spans="1:22">
      <c r="A15" s="91">
        <v>2027</v>
      </c>
      <c r="B15" s="209" t="s">
        <v>33</v>
      </c>
      <c r="C15" s="92">
        <f t="shared" si="3"/>
        <v>1152973.2476590616</v>
      </c>
      <c r="D15" s="3">
        <f>'ZEV Sales'!D15</f>
        <v>68296.185019922894</v>
      </c>
      <c r="E15" s="92"/>
      <c r="F15" s="93">
        <f>C15-I15</f>
        <v>1102699.991674901</v>
      </c>
      <c r="G15" s="92">
        <f>'Fleet ZEV fractions'!V19</f>
        <v>40845.830315951942</v>
      </c>
      <c r="H15" s="92">
        <f>'Fleet ZEV fractions'!X19</f>
        <v>9427.4256682085543</v>
      </c>
      <c r="I15" s="92">
        <f>'Fleet ZEV fractions'!Z19</f>
        <v>50273.255984160496</v>
      </c>
      <c r="J15" s="93">
        <f>C15-M15</f>
        <v>1074533.718042546</v>
      </c>
      <c r="K15" s="92">
        <f>'Fleet ZEV fractions'!AB19</f>
        <v>64166.264627700381</v>
      </c>
      <c r="L15" s="92">
        <f>'Fleet ZEV fractions'!AD19</f>
        <v>14273.264988815225</v>
      </c>
      <c r="M15" s="92">
        <f>'Fleet ZEV fractions'!AF19</f>
        <v>78439.529616515618</v>
      </c>
      <c r="N15" s="93">
        <f>C15-Q15</f>
        <v>1084610.701770542</v>
      </c>
      <c r="O15" s="92">
        <f>'Fleet ZEV fractions'!AH19</f>
        <v>55213.462566204464</v>
      </c>
      <c r="P15" s="92">
        <f>'Fleet ZEV fractions'!AJ19</f>
        <v>13149.083322315111</v>
      </c>
      <c r="Q15" s="95">
        <f>'Fleet ZEV fractions'!AL19</f>
        <v>68362.545888519569</v>
      </c>
      <c r="U15" s="3"/>
      <c r="V15" s="3"/>
    </row>
    <row r="16" spans="1:22">
      <c r="A16">
        <v>2028</v>
      </c>
      <c r="B16">
        <f>'ZEV Sales'!T22</f>
        <v>20</v>
      </c>
      <c r="C16" s="3">
        <f>C4+3*(C24-C4)/5</f>
        <v>470078.94408916152</v>
      </c>
      <c r="D16" s="3">
        <f>'ZEV Sales'!D16</f>
        <v>28361.206490099525</v>
      </c>
      <c r="E16" s="3"/>
      <c r="F16" s="85"/>
      <c r="G16" s="3"/>
      <c r="H16" s="3"/>
      <c r="I16" s="3"/>
      <c r="J16" s="85"/>
      <c r="K16" s="3"/>
      <c r="L16" s="3"/>
      <c r="M16" s="3"/>
      <c r="N16" s="85"/>
      <c r="O16" s="3"/>
      <c r="P16" s="3"/>
      <c r="Q16" s="86"/>
      <c r="U16" s="3"/>
      <c r="V16" s="3"/>
    </row>
    <row r="17" spans="1:22">
      <c r="A17">
        <v>2028</v>
      </c>
      <c r="B17">
        <f>'ZEV Sales'!T23</f>
        <v>30</v>
      </c>
      <c r="C17" s="3">
        <f>C5+3*(C25-C5)/5</f>
        <v>689561.08628630615</v>
      </c>
      <c r="D17" s="3">
        <f>'ZEV Sales'!D17</f>
        <v>36431.152115700745</v>
      </c>
      <c r="E17" s="3">
        <f>D16+D17</f>
        <v>64792.358605800269</v>
      </c>
      <c r="F17" s="85"/>
      <c r="G17" s="3"/>
      <c r="H17" s="3"/>
      <c r="I17" s="3"/>
      <c r="J17" s="85"/>
      <c r="K17" s="3"/>
      <c r="L17" s="3"/>
      <c r="M17" s="3"/>
      <c r="N17" s="85"/>
      <c r="O17" s="3"/>
      <c r="P17" s="3"/>
      <c r="Q17" s="86"/>
      <c r="U17" s="3"/>
      <c r="V17" s="3"/>
    </row>
    <row r="18" spans="1:22">
      <c r="A18">
        <v>2028</v>
      </c>
      <c r="B18">
        <f>'ZEV Sales'!T24</f>
        <v>41</v>
      </c>
      <c r="C18" s="3"/>
      <c r="D18" s="3">
        <f>'ZEV Sales'!D18</f>
        <v>3117.1318729528807</v>
      </c>
      <c r="E18" s="3"/>
      <c r="F18" s="85"/>
      <c r="G18" s="3"/>
      <c r="H18" s="3"/>
      <c r="I18" s="3"/>
      <c r="J18" s="85"/>
      <c r="K18" s="3"/>
      <c r="L18" s="3"/>
      <c r="M18" s="3"/>
      <c r="N18" s="85"/>
      <c r="O18" s="3"/>
      <c r="P18" s="3"/>
      <c r="Q18" s="86"/>
      <c r="U18" s="3"/>
      <c r="V18" s="3"/>
    </row>
    <row r="19" spans="1:22">
      <c r="A19" s="91">
        <v>2028</v>
      </c>
      <c r="B19" s="209" t="s">
        <v>33</v>
      </c>
      <c r="C19" s="92">
        <f>C7+3*(C27-C7)/5</f>
        <v>1159640.0303754678</v>
      </c>
      <c r="D19" s="3">
        <f>'ZEV Sales'!D19</f>
        <v>67430.064665576327</v>
      </c>
      <c r="E19" s="92"/>
      <c r="F19" s="93">
        <f>C19-I19</f>
        <v>1098222.4887111096</v>
      </c>
      <c r="G19" s="92">
        <f>'Fleet ZEV fractions'!V20</f>
        <v>51601.361844514788</v>
      </c>
      <c r="H19" s="92">
        <f>'Fleet ZEV fractions'!X20</f>
        <v>9816.1798198433535</v>
      </c>
      <c r="I19" s="92">
        <f>'Fleet ZEV fractions'!Z20</f>
        <v>61417.541664358141</v>
      </c>
      <c r="J19" s="93">
        <f>C19-M19</f>
        <v>1048156.397869994</v>
      </c>
      <c r="K19" s="92">
        <f>'Fleet ZEV fractions'!AB20</f>
        <v>94566.839285541864</v>
      </c>
      <c r="L19" s="92">
        <f>'Fleet ZEV fractions'!AD20</f>
        <v>16916.793219931875</v>
      </c>
      <c r="M19" s="92">
        <f>'Fleet ZEV fractions'!AF20</f>
        <v>111483.63250547375</v>
      </c>
      <c r="N19" s="93">
        <f>C19-Q19</f>
        <v>1064842.2021757818</v>
      </c>
      <c r="O19" s="92">
        <f>'Fleet ZEV fractions'!AH20</f>
        <v>79533.922292477655</v>
      </c>
      <c r="P19" s="92">
        <f>'Fleet ZEV fractions'!AJ20</f>
        <v>15263.905907208433</v>
      </c>
      <c r="Q19" s="95">
        <f>'Fleet ZEV fractions'!AL20</f>
        <v>94797.828199686075</v>
      </c>
      <c r="U19" s="3"/>
      <c r="V19" s="3"/>
    </row>
    <row r="20" spans="1:22">
      <c r="A20">
        <v>2029</v>
      </c>
      <c r="B20">
        <v>20</v>
      </c>
      <c r="C20" s="3">
        <f>C4+4*(C24-C4)/5</f>
        <v>473749.05732363078</v>
      </c>
      <c r="D20" s="3">
        <f>'ZEV Sales'!D20</f>
        <v>28825.41833312497</v>
      </c>
      <c r="E20" s="3"/>
      <c r="F20" s="85"/>
      <c r="G20" s="3"/>
      <c r="H20" s="3"/>
      <c r="I20" s="3"/>
      <c r="J20" s="85"/>
      <c r="K20" s="3"/>
      <c r="L20" s="3"/>
      <c r="M20" s="3"/>
      <c r="N20" s="85"/>
      <c r="O20" s="3"/>
      <c r="P20" s="3"/>
      <c r="Q20" s="86"/>
      <c r="U20" s="3"/>
      <c r="V20" s="3"/>
    </row>
    <row r="21" spans="1:22">
      <c r="A21">
        <v>2029</v>
      </c>
      <c r="B21">
        <v>30</v>
      </c>
      <c r="C21" s="3">
        <f t="shared" ref="C21:C23" si="4">C5+4*(C25-C5)/5</f>
        <v>692557.75576824311</v>
      </c>
      <c r="D21" s="3">
        <f>'ZEV Sales'!D21</f>
        <v>36101.845491452506</v>
      </c>
      <c r="E21" s="3">
        <f>D20+D21</f>
        <v>64927.263824577472</v>
      </c>
      <c r="F21" s="85"/>
      <c r="G21" s="3"/>
      <c r="H21" s="3"/>
      <c r="I21" s="3"/>
      <c r="J21" s="85"/>
      <c r="K21" s="3"/>
      <c r="L21" s="3"/>
      <c r="M21" s="3"/>
      <c r="N21" s="85"/>
      <c r="O21" s="3"/>
      <c r="P21" s="3"/>
      <c r="Q21" s="86"/>
      <c r="U21" s="3"/>
      <c r="V21" s="3"/>
    </row>
    <row r="22" spans="1:22">
      <c r="A22">
        <v>2029</v>
      </c>
      <c r="B22">
        <v>41</v>
      </c>
      <c r="C22" s="3"/>
      <c r="D22" s="3">
        <f>'ZEV Sales'!D22</f>
        <v>3085.109209242918</v>
      </c>
      <c r="E22" s="3"/>
      <c r="F22" s="85"/>
      <c r="G22" s="3"/>
      <c r="H22" s="3"/>
      <c r="I22" s="3"/>
      <c r="J22" s="85"/>
      <c r="K22" s="3"/>
      <c r="L22" s="3"/>
      <c r="M22" s="3"/>
      <c r="N22" s="85"/>
      <c r="O22" s="3"/>
      <c r="P22" s="3"/>
      <c r="Q22" s="86"/>
      <c r="U22" s="3"/>
      <c r="V22" s="3"/>
    </row>
    <row r="23" spans="1:22">
      <c r="A23" s="91">
        <v>2029</v>
      </c>
      <c r="B23" s="209" t="s">
        <v>33</v>
      </c>
      <c r="C23" s="92">
        <f t="shared" si="4"/>
        <v>1166306.8130918739</v>
      </c>
      <c r="D23" s="3">
        <f>'ZEV Sales'!D23</f>
        <v>68698.017826042313</v>
      </c>
      <c r="E23" s="92"/>
      <c r="F23" s="93">
        <f>C23-I23</f>
        <v>1093721.7820496885</v>
      </c>
      <c r="G23" s="92">
        <f>'Fleet ZEV fractions'!V21</f>
        <v>62379.28763939465</v>
      </c>
      <c r="H23" s="92">
        <f>'Fleet ZEV fractions'!X21</f>
        <v>10205.743402790817</v>
      </c>
      <c r="I23" s="92">
        <f>'Fleet ZEV fractions'!Z21</f>
        <v>72585.031042185467</v>
      </c>
      <c r="J23" s="93">
        <f>C23-M23</f>
        <v>1016516.0949298994</v>
      </c>
      <c r="K23" s="92">
        <f>'Fleet ZEV fractions'!AB21</f>
        <v>130320.11923160919</v>
      </c>
      <c r="L23" s="92">
        <f>'Fleet ZEV fractions'!AD21</f>
        <v>19470.598930365253</v>
      </c>
      <c r="M23" s="92">
        <f>'Fleet ZEV fractions'!AF21</f>
        <v>149790.71816197445</v>
      </c>
      <c r="N23" s="93">
        <f>C23-Q23</f>
        <v>1040863.3163669873</v>
      </c>
      <c r="O23" s="92">
        <f>'Fleet ZEV fractions'!AH21</f>
        <v>108136.54624933151</v>
      </c>
      <c r="P23" s="92">
        <f>'Fleet ZEV fractions'!AJ21</f>
        <v>17306.950475555139</v>
      </c>
      <c r="Q23" s="95">
        <f>'Fleet ZEV fractions'!AL21</f>
        <v>125443.49672488665</v>
      </c>
      <c r="U23" s="3"/>
      <c r="V23" s="3"/>
    </row>
    <row r="24" spans="1:22">
      <c r="A24">
        <v>2030</v>
      </c>
      <c r="B24">
        <v>20</v>
      </c>
      <c r="C24" s="3">
        <f>'Combined MOVES output'!AE23</f>
        <v>477419.17055809998</v>
      </c>
      <c r="D24" s="3">
        <f>'ZEV Sales'!D24</f>
        <v>29293.391841230663</v>
      </c>
      <c r="E24" s="3"/>
      <c r="F24" s="85"/>
      <c r="G24" s="3"/>
      <c r="H24" s="3"/>
      <c r="I24" s="89"/>
      <c r="J24" s="85"/>
      <c r="K24" s="3"/>
      <c r="L24" s="3"/>
      <c r="M24" s="89"/>
      <c r="N24" s="85"/>
      <c r="O24" s="3"/>
      <c r="P24" s="3"/>
      <c r="Q24" s="90"/>
      <c r="U24" s="3"/>
      <c r="V24" s="3"/>
    </row>
    <row r="25" spans="1:22">
      <c r="A25">
        <v>2030</v>
      </c>
      <c r="B25">
        <v>30</v>
      </c>
      <c r="C25" s="3">
        <f>'Combined MOVES output'!AE24</f>
        <v>695554.42525018007</v>
      </c>
      <c r="D25" s="3">
        <f>'ZEV Sales'!D25</f>
        <v>35768.318975552545</v>
      </c>
      <c r="E25" s="3">
        <f>D24+D25</f>
        <v>65061.710816783205</v>
      </c>
      <c r="F25" s="85"/>
      <c r="G25" s="3"/>
      <c r="H25" s="3"/>
      <c r="I25" s="89"/>
      <c r="J25" s="85"/>
      <c r="K25" s="3"/>
      <c r="L25" s="3"/>
      <c r="M25" s="89"/>
      <c r="N25" s="85"/>
      <c r="O25" s="3"/>
      <c r="P25" s="3"/>
      <c r="Q25" s="90"/>
      <c r="U25" s="3"/>
      <c r="V25" s="3"/>
    </row>
    <row r="26" spans="1:22">
      <c r="A26">
        <v>2030</v>
      </c>
      <c r="B26">
        <v>41</v>
      </c>
      <c r="C26" s="3"/>
      <c r="D26" s="3">
        <f>'ZEV Sales'!D26</f>
        <v>3053.2501912127736</v>
      </c>
      <c r="E26" s="3"/>
      <c r="F26" s="85"/>
      <c r="G26" s="3"/>
      <c r="H26" s="3"/>
      <c r="I26" s="89"/>
      <c r="J26" s="85"/>
      <c r="K26" s="3"/>
      <c r="L26" s="3"/>
      <c r="M26" s="89"/>
      <c r="N26" s="85"/>
      <c r="O26" s="3"/>
      <c r="P26" s="3"/>
      <c r="Q26" s="90"/>
      <c r="U26" s="3"/>
      <c r="V26" s="3"/>
    </row>
    <row r="27" spans="1:22">
      <c r="A27" s="91">
        <v>2030</v>
      </c>
      <c r="B27" s="209" t="s">
        <v>33</v>
      </c>
      <c r="C27" s="92">
        <f>C24+C25</f>
        <v>1172973.5958082802</v>
      </c>
      <c r="D27" s="3">
        <f>'ZEV Sales'!D27</f>
        <v>68896.5171266166</v>
      </c>
      <c r="E27" s="92"/>
      <c r="F27" s="93">
        <f>C27-I27</f>
        <v>1089197.950505608</v>
      </c>
      <c r="G27" s="92">
        <f>'Fleet ZEV fractions'!V22</f>
        <v>73179.531634980667</v>
      </c>
      <c r="H27" s="92">
        <f>'Fleet ZEV fractions'!X22</f>
        <v>10596.113667691505</v>
      </c>
      <c r="I27" s="94">
        <f>'Fleet ZEV fractions'!Z22</f>
        <v>83775.645302672172</v>
      </c>
      <c r="J27" s="93">
        <f>C27-M27</f>
        <v>978940.91429089312</v>
      </c>
      <c r="K27" s="92">
        <f>'Fleet ZEV fractions'!AB22</f>
        <v>172033.97039528392</v>
      </c>
      <c r="L27" s="92">
        <f>'Fleet ZEV fractions'!AD22</f>
        <v>21998.711122103115</v>
      </c>
      <c r="M27" s="92">
        <f>'Fleet ZEV fractions'!AF22</f>
        <v>194032.68151738704</v>
      </c>
      <c r="N27" s="93">
        <f>C27-Q27</f>
        <v>1012136.5283990635</v>
      </c>
      <c r="O27" s="92">
        <f>'Fleet ZEV fractions'!AH22</f>
        <v>141507.62718027129</v>
      </c>
      <c r="P27" s="92">
        <f>'Fleet ZEV fractions'!AJ22</f>
        <v>19329.44022894543</v>
      </c>
      <c r="Q27" s="95">
        <f>'Fleet ZEV fractions'!AL22</f>
        <v>160837.06740921672</v>
      </c>
      <c r="U27" s="3"/>
      <c r="V27" s="3"/>
    </row>
    <row r="28" spans="1:22">
      <c r="A28">
        <v>2031</v>
      </c>
      <c r="B28">
        <v>20</v>
      </c>
      <c r="C28" s="3">
        <f>C24+(C44-C24)/5</f>
        <v>482138.79843064997</v>
      </c>
      <c r="D28" s="3">
        <f>'ZEV Sales'!D28</f>
        <v>29824.669670819738</v>
      </c>
      <c r="E28" s="3"/>
      <c r="F28" s="85"/>
      <c r="G28" s="3"/>
      <c r="H28" s="3"/>
      <c r="I28" s="3"/>
      <c r="J28" s="85"/>
      <c r="K28" s="3"/>
      <c r="L28" s="3"/>
      <c r="M28" s="3"/>
      <c r="N28" s="85"/>
      <c r="O28" s="3"/>
      <c r="P28" s="3"/>
      <c r="Q28" s="86"/>
      <c r="U28" s="3"/>
      <c r="V28" s="3"/>
    </row>
    <row r="29" spans="1:22">
      <c r="A29">
        <v>2031</v>
      </c>
      <c r="B29">
        <v>30</v>
      </c>
      <c r="C29" s="3">
        <f t="shared" ref="C29:C31" si="5">C25+(C45-C25)/5</f>
        <v>693880.63256095361</v>
      </c>
      <c r="D29" s="3">
        <f>'ZEV Sales'!D29</f>
        <v>35609.443569394854</v>
      </c>
      <c r="E29" s="3">
        <f>D28+D29</f>
        <v>65434.113240214589</v>
      </c>
      <c r="F29" s="85"/>
      <c r="G29" s="3"/>
      <c r="H29" s="3"/>
      <c r="I29" s="3"/>
      <c r="J29" s="85"/>
      <c r="K29" s="3"/>
      <c r="L29" s="3"/>
      <c r="M29" s="3"/>
      <c r="N29" s="85"/>
      <c r="O29" s="3"/>
      <c r="P29" s="3"/>
      <c r="Q29" s="86"/>
      <c r="U29" s="3"/>
      <c r="V29" s="3"/>
    </row>
    <row r="30" spans="1:22">
      <c r="A30">
        <v>2031</v>
      </c>
      <c r="B30">
        <v>41</v>
      </c>
      <c r="C30" s="3"/>
      <c r="D30" s="3">
        <f>'ZEV Sales'!D30</f>
        <v>3095.3988040725858</v>
      </c>
      <c r="E30" s="3"/>
      <c r="F30" s="85"/>
      <c r="G30" s="3"/>
      <c r="H30" s="3"/>
      <c r="I30" s="3"/>
      <c r="J30" s="85"/>
      <c r="K30" s="3"/>
      <c r="L30" s="3"/>
      <c r="M30" s="3"/>
      <c r="N30" s="85"/>
      <c r="O30" s="3"/>
      <c r="P30" s="3"/>
      <c r="Q30" s="86"/>
      <c r="U30" s="3"/>
      <c r="V30" s="3"/>
    </row>
    <row r="31" spans="1:22">
      <c r="A31" s="91">
        <v>2031</v>
      </c>
      <c r="B31" s="209" t="s">
        <v>33</v>
      </c>
      <c r="C31" s="92">
        <f t="shared" si="5"/>
        <v>1176019.4309916038</v>
      </c>
      <c r="D31" s="3">
        <f>'ZEV Sales'!D31</f>
        <v>69369.117577971381</v>
      </c>
      <c r="E31" s="92"/>
      <c r="F31" s="93">
        <f>C31-I31</f>
        <v>1080989.1182116147</v>
      </c>
      <c r="G31" s="92">
        <f>'Fleet ZEV fractions'!V23</f>
        <v>84041.594432856291</v>
      </c>
      <c r="H31" s="92">
        <f>'Fleet ZEV fractions'!X23</f>
        <v>10988.718347132788</v>
      </c>
      <c r="I31" s="92">
        <f>'Fleet ZEV fractions'!Z23</f>
        <v>95030.312779989079</v>
      </c>
      <c r="J31" s="93">
        <f>C31-M31</f>
        <v>932256.82341165363</v>
      </c>
      <c r="K31" s="92">
        <f>'Fleet ZEV fractions'!AB23</f>
        <v>219539.13660767971</v>
      </c>
      <c r="L31" s="92">
        <f>'Fleet ZEV fractions'!AD23</f>
        <v>24223.47097227041</v>
      </c>
      <c r="M31" s="92">
        <f>'Fleet ZEV fractions'!AF23</f>
        <v>243762.60757995013</v>
      </c>
      <c r="N31" s="93">
        <f>C31-Q31</f>
        <v>965452.4375198239</v>
      </c>
      <c r="O31" s="92">
        <f>'Fleet ZEV fractions'!AH23</f>
        <v>189012.79339266708</v>
      </c>
      <c r="P31" s="92">
        <f>'Fleet ZEV fractions'!AJ23</f>
        <v>21554.200079112725</v>
      </c>
      <c r="Q31" s="95">
        <f>'Fleet ZEV fractions'!AL23</f>
        <v>210566.9934717798</v>
      </c>
      <c r="U31" s="3"/>
      <c r="V31" s="3"/>
    </row>
    <row r="32" spans="1:22">
      <c r="A32">
        <v>2032</v>
      </c>
      <c r="B32">
        <v>20</v>
      </c>
      <c r="C32" s="3">
        <f>C24+2*(C44-C24)/5</f>
        <v>486858.42630320002</v>
      </c>
      <c r="D32" s="3">
        <f>'ZEV Sales'!D32</f>
        <v>30360.679314120491</v>
      </c>
      <c r="E32" s="3"/>
      <c r="F32" s="85"/>
      <c r="G32" s="3"/>
      <c r="H32" s="3"/>
      <c r="I32" s="3"/>
      <c r="J32" s="85"/>
      <c r="K32" s="3"/>
      <c r="L32" s="3"/>
      <c r="M32" s="3"/>
      <c r="N32" s="85"/>
      <c r="O32" s="3"/>
      <c r="P32" s="3"/>
      <c r="Q32" s="86"/>
      <c r="U32" s="3"/>
      <c r="V32" s="3"/>
    </row>
    <row r="33" spans="1:22">
      <c r="A33">
        <v>2032</v>
      </c>
      <c r="B33">
        <v>30</v>
      </c>
      <c r="C33" s="3">
        <f t="shared" ref="C33:C35" si="6">C25+2*(C45-C25)/5</f>
        <v>692206.83987172705</v>
      </c>
      <c r="D33" s="3">
        <f>'ZEV Sales'!D33</f>
        <v>35450.919392022479</v>
      </c>
      <c r="E33" s="3">
        <f>D32+D33</f>
        <v>65811.598706142977</v>
      </c>
      <c r="F33" s="85"/>
      <c r="G33" s="3"/>
      <c r="H33" s="3"/>
      <c r="I33" s="3"/>
      <c r="J33" s="85"/>
      <c r="K33" s="3"/>
      <c r="L33" s="3"/>
      <c r="M33" s="3"/>
      <c r="N33" s="85"/>
      <c r="O33" s="3"/>
      <c r="P33" s="3"/>
      <c r="Q33" s="86"/>
      <c r="U33" s="3"/>
      <c r="V33" s="3"/>
    </row>
    <row r="34" spans="1:22">
      <c r="A34">
        <v>2032</v>
      </c>
      <c r="B34">
        <v>41</v>
      </c>
      <c r="C34" s="3"/>
      <c r="D34" s="3">
        <f>'ZEV Sales'!D34</f>
        <v>3137.7322113304417</v>
      </c>
      <c r="E34" s="3"/>
      <c r="F34" s="85"/>
      <c r="G34" s="3"/>
      <c r="H34" s="3"/>
      <c r="I34" s="3"/>
      <c r="J34" s="85"/>
      <c r="K34" s="3"/>
      <c r="L34" s="3"/>
      <c r="M34" s="3"/>
      <c r="N34" s="85"/>
      <c r="O34" s="3"/>
      <c r="P34" s="3"/>
      <c r="Q34" s="86"/>
      <c r="U34" s="3"/>
      <c r="V34" s="3"/>
    </row>
    <row r="35" spans="1:22">
      <c r="A35" s="91">
        <v>2032</v>
      </c>
      <c r="B35" s="209" t="s">
        <v>33</v>
      </c>
      <c r="C35" s="92">
        <f t="shared" si="6"/>
        <v>1179065.2661749271</v>
      </c>
      <c r="D35" s="3">
        <f>'ZEV Sales'!D35</f>
        <v>69843.308244810309</v>
      </c>
      <c r="E35" s="92"/>
      <c r="F35" s="93">
        <f>C35-I35</f>
        <v>1072715.3584174814</v>
      </c>
      <c r="G35" s="92">
        <f>'Fleet ZEV fractions'!V24</f>
        <v>94966.319818076023</v>
      </c>
      <c r="H35" s="92">
        <f>'Fleet ZEV fractions'!X24</f>
        <v>11383.587939369652</v>
      </c>
      <c r="I35" s="92">
        <f>'Fleet ZEV fractions'!Z24</f>
        <v>106349.90775744568</v>
      </c>
      <c r="J35" s="93">
        <f>C35-M35</f>
        <v>881337.14765593968</v>
      </c>
      <c r="K35" s="92">
        <f>'Fleet ZEV fractions'!AB24</f>
        <v>271267.0531907081</v>
      </c>
      <c r="L35" s="92">
        <f>'Fleet ZEV fractions'!AD24</f>
        <v>26461.06532827927</v>
      </c>
      <c r="M35" s="92">
        <f>'Fleet ZEV fractions'!AF24</f>
        <v>297728.11851898738</v>
      </c>
      <c r="N35" s="93">
        <f>C35-Q35</f>
        <v>914532.76176411007</v>
      </c>
      <c r="O35" s="92">
        <f>'Fleet ZEV fractions'!AH24</f>
        <v>240740.70997569547</v>
      </c>
      <c r="P35" s="92">
        <f>'Fleet ZEV fractions'!AJ24</f>
        <v>23791.794435121585</v>
      </c>
      <c r="Q35" s="95">
        <f>'Fleet ZEV fractions'!AL24</f>
        <v>264532.50441081706</v>
      </c>
      <c r="U35" s="3"/>
      <c r="V35" s="3"/>
    </row>
    <row r="36" spans="1:22">
      <c r="A36">
        <v>2033</v>
      </c>
      <c r="B36">
        <v>20</v>
      </c>
      <c r="C36" s="3">
        <f>C24+3*(C44-C24)/5</f>
        <v>491578.05417575</v>
      </c>
      <c r="D36" s="3">
        <f>'ZEV Sales'!D36</f>
        <v>30901.420771132929</v>
      </c>
      <c r="E36" s="3"/>
      <c r="F36" s="85"/>
      <c r="G36" s="3"/>
      <c r="H36" s="3"/>
      <c r="I36" s="3"/>
      <c r="J36" s="85"/>
      <c r="K36" s="3"/>
      <c r="L36" s="3"/>
      <c r="M36" s="3"/>
      <c r="N36" s="85"/>
      <c r="O36" s="3"/>
      <c r="P36" s="3"/>
      <c r="Q36" s="86"/>
      <c r="U36" s="3"/>
      <c r="V36" s="3"/>
    </row>
    <row r="37" spans="1:22">
      <c r="A37">
        <v>2033</v>
      </c>
      <c r="B37">
        <v>30</v>
      </c>
      <c r="C37" s="3">
        <f>C25+3*(C45-C25)/5</f>
        <v>690533.0471825006</v>
      </c>
      <c r="D37" s="3">
        <f>'ZEV Sales'!D37</f>
        <v>35292.746443435411</v>
      </c>
      <c r="E37" s="3">
        <f>D36+D37</f>
        <v>66194.167214568341</v>
      </c>
      <c r="F37" s="85"/>
      <c r="G37" s="3"/>
      <c r="H37" s="3"/>
      <c r="I37" s="3"/>
      <c r="J37" s="85"/>
      <c r="K37" s="3"/>
      <c r="L37" s="3"/>
      <c r="M37" s="3"/>
      <c r="N37" s="85"/>
      <c r="O37" s="3"/>
      <c r="P37" s="3"/>
      <c r="Q37" s="86"/>
      <c r="U37" s="3"/>
      <c r="V37" s="3"/>
    </row>
    <row r="38" spans="1:22">
      <c r="A38">
        <v>2033</v>
      </c>
      <c r="B38">
        <v>41</v>
      </c>
      <c r="C38" s="3"/>
      <c r="D38" s="3">
        <f>'ZEV Sales'!D38</f>
        <v>3180.2504129863423</v>
      </c>
      <c r="E38" s="3"/>
      <c r="F38" s="85"/>
      <c r="G38" s="3"/>
      <c r="H38" s="3"/>
      <c r="I38" s="3"/>
      <c r="J38" s="85"/>
      <c r="K38" s="3"/>
      <c r="L38" s="3"/>
      <c r="M38" s="3"/>
      <c r="N38" s="85"/>
      <c r="O38" s="3"/>
      <c r="P38" s="3"/>
      <c r="Q38" s="86"/>
      <c r="U38" s="3"/>
      <c r="V38" s="3"/>
    </row>
    <row r="39" spans="1:22">
      <c r="A39" s="91">
        <v>2033</v>
      </c>
      <c r="B39" s="209" t="s">
        <v>33</v>
      </c>
      <c r="C39" s="92">
        <f>C27+3*(C47-C27)/5</f>
        <v>1182111.1013582507</v>
      </c>
      <c r="D39" s="3">
        <f>'ZEV Sales'!D39</f>
        <v>70319.089127133353</v>
      </c>
      <c r="E39" s="92"/>
      <c r="F39" s="93">
        <f>C39-I39</f>
        <v>1064375.7968398994</v>
      </c>
      <c r="G39" s="92">
        <f>'Fleet ZEV fractions'!V25</f>
        <v>105954.55157569436</v>
      </c>
      <c r="H39" s="92">
        <f>'Fleet ZEV fractions'!X25</f>
        <v>11780.752942657069</v>
      </c>
      <c r="I39" s="92">
        <f>'Fleet ZEV fractions'!Z25</f>
        <v>117735.30451835143</v>
      </c>
      <c r="J39" s="93">
        <f>C39-M39</f>
        <v>826132.1156904432</v>
      </c>
      <c r="K39" s="92">
        <f>'Fleet ZEV fractions'!AB25</f>
        <v>325082.91113615216</v>
      </c>
      <c r="L39" s="92">
        <f>'Fleet ZEV fractions'!AD25</f>
        <v>30896.074531655351</v>
      </c>
      <c r="M39" s="92">
        <f>'Fleet ZEV fractions'!AF25</f>
        <v>355978.98566780752</v>
      </c>
      <c r="N39" s="93">
        <f>C39-Q39</f>
        <v>859327.72979861358</v>
      </c>
      <c r="O39" s="92">
        <f>'Fleet ZEV fractions'!AH25</f>
        <v>294556.56792113953</v>
      </c>
      <c r="P39" s="92">
        <f>'Fleet ZEV fractions'!AJ25</f>
        <v>28226.803638497666</v>
      </c>
      <c r="Q39" s="95">
        <f>'Fleet ZEV fractions'!AL25</f>
        <v>322783.37155963719</v>
      </c>
      <c r="U39" s="3"/>
      <c r="V39" s="3"/>
    </row>
    <row r="40" spans="1:22">
      <c r="A40">
        <v>2034</v>
      </c>
      <c r="B40">
        <v>20</v>
      </c>
      <c r="C40" s="3">
        <f>C24+4*(C44-C24)/5</f>
        <v>496297.68204830005</v>
      </c>
      <c r="D40" s="3">
        <f>'ZEV Sales'!D40</f>
        <v>31446.894041857042</v>
      </c>
      <c r="E40" s="3"/>
      <c r="F40" s="85"/>
      <c r="G40" s="3"/>
      <c r="H40" s="3"/>
      <c r="I40" s="3"/>
      <c r="J40" s="85"/>
      <c r="K40" s="3"/>
      <c r="L40" s="3"/>
      <c r="M40" s="3"/>
      <c r="N40" s="85"/>
      <c r="O40" s="3"/>
      <c r="P40" s="3"/>
      <c r="Q40" s="86"/>
      <c r="U40" s="3"/>
      <c r="V40" s="3"/>
    </row>
    <row r="41" spans="1:22">
      <c r="A41">
        <v>2034</v>
      </c>
      <c r="B41">
        <v>30</v>
      </c>
      <c r="C41" s="3">
        <f t="shared" ref="C41:C43" si="7">C25+4*(C45-C25)/5</f>
        <v>688859.25449327403</v>
      </c>
      <c r="D41" s="3">
        <f>'ZEV Sales'!D41</f>
        <v>35134.92472363366</v>
      </c>
      <c r="E41" s="3">
        <f>D40+D41</f>
        <v>66581.818765490694</v>
      </c>
      <c r="F41" s="85"/>
      <c r="G41" s="3"/>
      <c r="H41" s="3"/>
      <c r="I41" s="3"/>
      <c r="J41" s="85"/>
      <c r="K41" s="3"/>
      <c r="L41" s="3"/>
      <c r="M41" s="3"/>
      <c r="N41" s="85"/>
      <c r="O41" s="3"/>
      <c r="P41" s="3"/>
      <c r="Q41" s="86"/>
      <c r="U41" s="3"/>
      <c r="V41" s="3"/>
    </row>
    <row r="42" spans="1:22">
      <c r="A42">
        <v>2034</v>
      </c>
      <c r="B42">
        <v>41</v>
      </c>
      <c r="C42" s="3"/>
      <c r="D42" s="3">
        <f>'ZEV Sales'!D42</f>
        <v>3222.9534090402863</v>
      </c>
      <c r="E42" s="3"/>
      <c r="F42" s="85"/>
      <c r="G42" s="3"/>
      <c r="H42" s="3"/>
      <c r="I42" s="3"/>
      <c r="J42" s="85"/>
      <c r="K42" s="3"/>
      <c r="L42" s="3"/>
      <c r="M42" s="3"/>
      <c r="N42" s="85"/>
      <c r="O42" s="3"/>
      <c r="P42" s="3"/>
      <c r="Q42" s="86"/>
      <c r="U42" s="3"/>
      <c r="V42" s="3"/>
    </row>
    <row r="43" spans="1:22">
      <c r="A43" s="91">
        <v>2034</v>
      </c>
      <c r="B43" s="209" t="s">
        <v>33</v>
      </c>
      <c r="C43" s="92">
        <f t="shared" si="7"/>
        <v>1185156.9365415741</v>
      </c>
      <c r="D43" s="3">
        <f>'ZEV Sales'!D43</f>
        <v>70796.460224940558</v>
      </c>
      <c r="E43" s="92"/>
      <c r="F43" s="93">
        <f>C43-I43</f>
        <v>1055969.5591955583</v>
      </c>
      <c r="G43" s="92">
        <f>'Fleet ZEV fractions'!V26</f>
        <v>117007.13349076582</v>
      </c>
      <c r="H43" s="92">
        <f>'Fleet ZEV fractions'!X26</f>
        <v>12180.24385525001</v>
      </c>
      <c r="I43" s="92">
        <f>'Fleet ZEV fractions'!Z26</f>
        <v>129187.37734601583</v>
      </c>
      <c r="J43" s="93">
        <f>C43-M43</f>
        <v>766591.04123420524</v>
      </c>
      <c r="K43" s="92">
        <f>'Fleet ZEV fractions'!AB26</f>
        <v>380146.07525521296</v>
      </c>
      <c r="L43" s="92">
        <f>'Fleet ZEV fractions'!AD26</f>
        <v>38419.820052155803</v>
      </c>
      <c r="M43" s="92">
        <f>'Fleet ZEV fractions'!AF26</f>
        <v>418565.89530736877</v>
      </c>
      <c r="N43" s="93">
        <f>C43-Q43</f>
        <v>799786.65534237563</v>
      </c>
      <c r="O43" s="92">
        <f>'Fleet ZEV fractions'!AH26</f>
        <v>349619.73204020032</v>
      </c>
      <c r="P43" s="92">
        <f>'Fleet ZEV fractions'!AJ26</f>
        <v>35750.549158998117</v>
      </c>
      <c r="Q43" s="95">
        <f>'Fleet ZEV fractions'!AL26</f>
        <v>385370.28119919845</v>
      </c>
      <c r="U43" s="3"/>
      <c r="V43" s="3"/>
    </row>
    <row r="44" spans="1:22">
      <c r="A44">
        <v>2035</v>
      </c>
      <c r="B44">
        <v>20</v>
      </c>
      <c r="C44" s="3">
        <f>'Combined MOVES output'!AE28</f>
        <v>501017.30992085004</v>
      </c>
      <c r="D44" s="3">
        <f>'ZEV Sales'!D44</f>
        <v>31997.099126292833</v>
      </c>
      <c r="E44" s="3"/>
      <c r="F44" s="85"/>
      <c r="G44" s="3"/>
      <c r="H44" s="3"/>
      <c r="I44" s="89"/>
      <c r="J44" s="85"/>
      <c r="K44" s="3"/>
      <c r="L44" s="3"/>
      <c r="M44" s="89"/>
      <c r="N44" s="85"/>
      <c r="O44" s="3"/>
      <c r="P44" s="3"/>
      <c r="Q44" s="90"/>
      <c r="U44" s="3"/>
      <c r="V44" s="3"/>
    </row>
    <row r="45" spans="1:22">
      <c r="A45">
        <v>2035</v>
      </c>
      <c r="B45">
        <v>30</v>
      </c>
      <c r="C45" s="3">
        <f>'Combined MOVES output'!AE29</f>
        <v>687185.46180404758</v>
      </c>
      <c r="D45" s="3">
        <f>'ZEV Sales'!D45</f>
        <v>34977.45423261723</v>
      </c>
      <c r="E45" s="3">
        <f>D44+D45</f>
        <v>66974.553358910067</v>
      </c>
      <c r="F45" s="85"/>
      <c r="G45" s="3"/>
      <c r="H45" s="3"/>
      <c r="I45" s="89"/>
      <c r="J45" s="85"/>
      <c r="K45" s="3"/>
      <c r="L45" s="3"/>
      <c r="M45" s="89"/>
      <c r="N45" s="85"/>
      <c r="O45" s="3"/>
      <c r="P45" s="3"/>
      <c r="Q45" s="90"/>
      <c r="U45" s="3"/>
      <c r="V45" s="3"/>
    </row>
    <row r="46" spans="1:22">
      <c r="A46">
        <v>2035</v>
      </c>
      <c r="B46">
        <v>41</v>
      </c>
      <c r="C46" s="3"/>
      <c r="D46" s="3">
        <f>'ZEV Sales'!D46</f>
        <v>3265.8411994922744</v>
      </c>
      <c r="E46" s="3"/>
      <c r="F46" s="85"/>
      <c r="G46" s="3"/>
      <c r="H46" s="3"/>
      <c r="I46" s="89"/>
      <c r="J46" s="85"/>
      <c r="K46" s="3"/>
      <c r="L46" s="3"/>
      <c r="M46" s="89"/>
      <c r="N46" s="85"/>
      <c r="O46" s="3"/>
      <c r="P46" s="3"/>
      <c r="Q46" s="90"/>
      <c r="U46" s="3"/>
      <c r="V46" s="3"/>
    </row>
    <row r="47" spans="1:22">
      <c r="A47" s="91">
        <v>2035</v>
      </c>
      <c r="B47" s="209" t="s">
        <v>33</v>
      </c>
      <c r="C47" s="92">
        <f>C44+C45</f>
        <v>1188202.7717248977</v>
      </c>
      <c r="D47" s="3">
        <f>'ZEV Sales'!D47</f>
        <v>71275.421538231894</v>
      </c>
      <c r="E47" s="92"/>
      <c r="F47" s="93">
        <f>C47-I47</f>
        <v>1047495.7712011493</v>
      </c>
      <c r="G47" s="92">
        <f>'Fleet ZEV fractions'!V27</f>
        <v>128124.9093483449</v>
      </c>
      <c r="H47" s="92">
        <f>'Fleet ZEV fractions'!X27</f>
        <v>12582.091175403475</v>
      </c>
      <c r="I47" s="94">
        <f>'Fleet ZEV fractions'!Z27</f>
        <v>140707.00052374837</v>
      </c>
      <c r="J47" s="93">
        <f>C47-M47</f>
        <v>702662.32305861881</v>
      </c>
      <c r="K47" s="92">
        <f>'Fleet ZEV fractions'!AB27</f>
        <v>435534.03088303155</v>
      </c>
      <c r="L47" s="92">
        <f>'Fleet ZEV fractions'!AD27</f>
        <v>50006.417783247241</v>
      </c>
      <c r="M47" s="92">
        <f>'Fleet ZEV fractions'!AF27</f>
        <v>485540.44866627885</v>
      </c>
      <c r="N47" s="93">
        <f>C47-Q47</f>
        <v>735857.93716678908</v>
      </c>
      <c r="O47" s="92">
        <f>'Fleet ZEV fractions'!AH27</f>
        <v>405007.68766801897</v>
      </c>
      <c r="P47" s="92">
        <f>'Fleet ZEV fractions'!AJ27</f>
        <v>47337.146890089556</v>
      </c>
      <c r="Q47" s="95">
        <f>'Fleet ZEV fractions'!AL27</f>
        <v>452344.83455810853</v>
      </c>
      <c r="U47" s="3"/>
      <c r="V47" s="3"/>
    </row>
    <row r="48" spans="1:22">
      <c r="A48">
        <v>2040</v>
      </c>
      <c r="B48">
        <v>20</v>
      </c>
      <c r="C48" s="3">
        <f>'Combined MOVES output'!AE33</f>
        <v>530810.46752018004</v>
      </c>
      <c r="D48" s="3">
        <f>'ZEV Sales'!D48</f>
        <v>33530.973603711303</v>
      </c>
      <c r="E48" s="3"/>
      <c r="F48" s="85"/>
      <c r="G48" s="3"/>
      <c r="H48" s="3"/>
      <c r="I48" s="89"/>
      <c r="J48" s="85"/>
      <c r="K48" s="3"/>
      <c r="L48" s="3"/>
      <c r="M48" s="89"/>
      <c r="N48" s="85"/>
      <c r="O48" s="3"/>
      <c r="P48" s="3"/>
      <c r="Q48" s="90"/>
      <c r="U48" s="3"/>
      <c r="V48" s="3"/>
    </row>
    <row r="49" spans="1:22">
      <c r="A49">
        <v>2040</v>
      </c>
      <c r="B49">
        <v>30</v>
      </c>
      <c r="C49" s="3">
        <f>'Combined MOVES output'!AE34</f>
        <v>671325.97351000505</v>
      </c>
      <c r="D49" s="3">
        <f>'ZEV Sales'!D49</f>
        <v>34327.836192094852</v>
      </c>
      <c r="E49" s="3">
        <f>D48+D49</f>
        <v>67858.809795806155</v>
      </c>
      <c r="F49" s="85"/>
      <c r="G49" s="3"/>
      <c r="H49" s="3"/>
      <c r="I49" s="89"/>
      <c r="J49" s="85"/>
      <c r="K49" s="3"/>
      <c r="L49" s="3"/>
      <c r="M49" s="89"/>
      <c r="N49" s="85"/>
      <c r="O49" s="3"/>
      <c r="P49" s="3"/>
      <c r="Q49" s="90"/>
      <c r="U49" s="3"/>
      <c r="V49" s="3"/>
    </row>
    <row r="50" spans="1:22">
      <c r="A50">
        <v>2040</v>
      </c>
      <c r="B50">
        <v>41</v>
      </c>
      <c r="C50" s="3"/>
      <c r="D50" s="3">
        <f>'ZEV Sales'!D50</f>
        <v>3501.2568232343551</v>
      </c>
      <c r="E50" s="3"/>
      <c r="F50" s="85"/>
      <c r="G50" s="3"/>
      <c r="H50" s="3"/>
      <c r="I50" s="89"/>
      <c r="J50" s="85"/>
      <c r="K50" s="3"/>
      <c r="L50" s="3"/>
      <c r="M50" s="89"/>
      <c r="N50" s="85"/>
      <c r="O50" s="3"/>
      <c r="P50" s="3"/>
      <c r="Q50" s="90"/>
      <c r="U50" s="3"/>
      <c r="V50" s="3"/>
    </row>
    <row r="51" spans="1:22" ht="16" thickBot="1">
      <c r="A51" s="91">
        <v>2040</v>
      </c>
      <c r="B51" s="91" t="s">
        <v>133</v>
      </c>
      <c r="C51" s="92">
        <f>C48+C49</f>
        <v>1202136.4410301852</v>
      </c>
      <c r="D51" s="3">
        <f>'ZEV Sales'!D51</f>
        <v>72327.909126731945</v>
      </c>
      <c r="E51" s="92"/>
      <c r="F51" s="96">
        <f>C51-I51</f>
        <v>1003375.0482963359</v>
      </c>
      <c r="G51" s="97">
        <f>'Fleet ZEV fractions'!V32</f>
        <v>184154.14834181452</v>
      </c>
      <c r="H51" s="97">
        <f>'Fleet ZEV fractions'!X32</f>
        <v>14607.244392034889</v>
      </c>
      <c r="I51" s="98">
        <f>'Fleet ZEV fractions'!Z32</f>
        <v>198761.39273384941</v>
      </c>
      <c r="J51" s="96">
        <f>C51-M51</f>
        <v>379070.45625866775</v>
      </c>
      <c r="K51" s="97">
        <f>'Fleet ZEV fractions'!AB32</f>
        <v>714667.64924206387</v>
      </c>
      <c r="L51" s="97">
        <f>'Fleet ZEV fractions'!AD32</f>
        <v>108398.33552945353</v>
      </c>
      <c r="M51" s="97">
        <f>'Fleet ZEV fractions'!AF32</f>
        <v>823065.98477151745</v>
      </c>
      <c r="N51" s="96">
        <f>C51-Q51</f>
        <v>412266.07036683802</v>
      </c>
      <c r="O51" s="97">
        <f>'Fleet ZEV fractions'!AH32</f>
        <v>684141.30602705129</v>
      </c>
      <c r="P51" s="97">
        <f>'Fleet ZEV fractions'!AJ32</f>
        <v>105729.06463629584</v>
      </c>
      <c r="Q51" s="101">
        <f>'Fleet ZEV fractions'!AL32</f>
        <v>789870.37066334719</v>
      </c>
      <c r="U51" s="3"/>
      <c r="V51" s="3"/>
    </row>
    <row r="52" spans="1:22">
      <c r="C52" s="3"/>
      <c r="N52" s="79"/>
      <c r="U52" s="3"/>
      <c r="V52" s="3"/>
    </row>
    <row r="53" spans="1:22">
      <c r="N53" s="79"/>
      <c r="U53" s="3"/>
      <c r="V53" s="3"/>
    </row>
    <row r="54" spans="1:22">
      <c r="U54" s="3"/>
      <c r="V54" s="3"/>
    </row>
    <row r="55" spans="1:22">
      <c r="U55" s="3"/>
      <c r="V55" s="3"/>
    </row>
    <row r="56" spans="1:22">
      <c r="U56" s="3"/>
      <c r="V56" s="3"/>
    </row>
    <row r="57" spans="1:22">
      <c r="U57" s="3"/>
      <c r="V57" s="3"/>
    </row>
    <row r="58" spans="1:22">
      <c r="U58" s="3"/>
      <c r="V58" s="3"/>
    </row>
    <row r="59" spans="1:22">
      <c r="U59" s="3"/>
      <c r="V59" s="3"/>
    </row>
    <row r="60" spans="1:22">
      <c r="C60" s="3"/>
      <c r="D60" s="3"/>
      <c r="U60" s="3"/>
      <c r="V60" s="3"/>
    </row>
    <row r="61" spans="1:22">
      <c r="C61" s="3"/>
      <c r="D61" s="3"/>
      <c r="U61" s="3"/>
      <c r="V61" s="3"/>
    </row>
    <row r="62" spans="1:22">
      <c r="C62" s="3"/>
      <c r="D62" s="3"/>
      <c r="U62" s="3"/>
      <c r="V62" s="3"/>
    </row>
    <row r="63" spans="1:22">
      <c r="C63" s="3"/>
      <c r="D63" s="3"/>
      <c r="U63" s="3"/>
      <c r="V63" s="3"/>
    </row>
    <row r="64" spans="1:22">
      <c r="C64" s="3"/>
      <c r="D64" s="3"/>
      <c r="U64" s="3"/>
      <c r="V64" s="3"/>
    </row>
    <row r="65" spans="3:22">
      <c r="C65" s="3"/>
      <c r="D65" s="3"/>
      <c r="U65" s="3"/>
      <c r="V65" s="3"/>
    </row>
    <row r="66" spans="3:22">
      <c r="C66" s="3"/>
      <c r="D66" s="3"/>
      <c r="U66" s="3"/>
      <c r="V66" s="3"/>
    </row>
    <row r="67" spans="3:22">
      <c r="C67" s="3"/>
      <c r="D67" s="3"/>
      <c r="U67" s="3"/>
      <c r="V67" s="3"/>
    </row>
    <row r="68" spans="3:22">
      <c r="C68" s="3"/>
      <c r="D68" s="3"/>
      <c r="U68" s="3"/>
      <c r="V68" s="3"/>
    </row>
    <row r="69" spans="3:22">
      <c r="C69" s="3"/>
      <c r="D69" s="3"/>
      <c r="U69" s="3"/>
      <c r="V69" s="3"/>
    </row>
    <row r="70" spans="3:22">
      <c r="C70" s="3"/>
      <c r="D70" s="3"/>
      <c r="U70" s="3"/>
      <c r="V70" s="3"/>
    </row>
    <row r="71" spans="3:22">
      <c r="U71" s="3"/>
      <c r="V71" s="3"/>
    </row>
    <row r="72" spans="3:22">
      <c r="U72" s="3"/>
      <c r="V72" s="3"/>
    </row>
  </sheetData>
  <sheetProtection algorithmName="SHA-512" hashValue="4m5Sj2Y7znL+pBmC+1ie5k/4J+d4Y2Tx0oct2Up0EeOkRNsizu0ySD5iysyY8S9EhAmP5nbg+VLoID9pU4YhgQ==" saltValue="sKfoY0897loK5s9OR1GL8g==" spinCount="100000" sheet="1" objects="1" scenarios="1"/>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sheetPr codeName="Sheet15"/>
  <dimension ref="A1:AF53"/>
  <sheetViews>
    <sheetView workbookViewId="0">
      <selection activeCell="R11" sqref="R11"/>
    </sheetView>
  </sheetViews>
  <sheetFormatPr baseColWidth="10" defaultColWidth="8.83203125" defaultRowHeight="15"/>
  <cols>
    <col min="3" max="3" width="10.1640625" customWidth="1"/>
    <col min="4" max="5" width="10.33203125" customWidth="1"/>
    <col min="9" max="9" width="9.5" bestFit="1" customWidth="1"/>
  </cols>
  <sheetData>
    <row r="1" spans="1:32" ht="16" thickBot="1">
      <c r="A1" s="2" t="s">
        <v>456</v>
      </c>
      <c r="C1" s="2"/>
      <c r="D1" s="2"/>
      <c r="E1" s="2"/>
      <c r="F1" s="68"/>
      <c r="J1" s="2"/>
      <c r="N1" s="2"/>
      <c r="S1" s="34" t="s">
        <v>70</v>
      </c>
      <c r="T1" s="38"/>
      <c r="U1" s="38"/>
      <c r="V1" s="38"/>
      <c r="W1" s="38"/>
      <c r="X1" s="38"/>
      <c r="Y1" s="38"/>
      <c r="Z1" s="38"/>
      <c r="AA1" s="38"/>
      <c r="AB1" s="38"/>
      <c r="AC1" s="38"/>
      <c r="AD1" s="38"/>
      <c r="AE1" s="38"/>
      <c r="AF1" s="39"/>
    </row>
    <row r="2" spans="1:32" ht="16" thickBot="1">
      <c r="B2" s="2"/>
      <c r="C2" s="2"/>
      <c r="D2" s="2"/>
      <c r="E2" s="2"/>
      <c r="F2" s="301" t="s">
        <v>48</v>
      </c>
      <c r="G2" s="301"/>
      <c r="H2" s="301"/>
      <c r="I2" s="301"/>
      <c r="J2" s="301" t="s">
        <v>130</v>
      </c>
      <c r="K2" s="301"/>
      <c r="L2" s="301"/>
      <c r="M2" s="301"/>
      <c r="N2" s="301" t="s">
        <v>131</v>
      </c>
      <c r="O2" s="301"/>
      <c r="P2" s="301"/>
      <c r="Q2" s="301"/>
      <c r="S2" s="19" t="s">
        <v>71</v>
      </c>
      <c r="AF2" s="82"/>
    </row>
    <row r="3" spans="1:32" ht="16" thickBot="1">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S3" s="19"/>
      <c r="AF3" s="82"/>
    </row>
    <row r="4" spans="1:32">
      <c r="A4">
        <f>'ZEV Sales'!S10</f>
        <v>2025</v>
      </c>
      <c r="B4">
        <f>'ZEV Sales'!T10</f>
        <v>20</v>
      </c>
      <c r="C4" s="3">
        <f>'Combined MOVES output'!AE18</f>
        <v>459068.60438575386</v>
      </c>
      <c r="D4" s="3">
        <f>C4*U10</f>
        <v>26991.140951504749</v>
      </c>
      <c r="E4" s="3"/>
      <c r="F4" s="85"/>
      <c r="G4" s="3"/>
      <c r="H4" s="3"/>
      <c r="I4" s="89"/>
      <c r="J4" s="85"/>
      <c r="K4" s="3"/>
      <c r="L4" s="3"/>
      <c r="M4" s="89"/>
      <c r="N4" s="99"/>
      <c r="O4" s="3"/>
      <c r="P4" s="3"/>
      <c r="Q4" s="100"/>
      <c r="S4" s="19"/>
      <c r="AF4" s="82"/>
    </row>
    <row r="5" spans="1:32">
      <c r="A5">
        <f>'ZEV Sales'!S11</f>
        <v>2025</v>
      </c>
      <c r="B5">
        <f>'ZEV Sales'!T11</f>
        <v>30</v>
      </c>
      <c r="C5" s="3">
        <f>'Combined MOVES output'!AE19</f>
        <v>680571.07784049539</v>
      </c>
      <c r="D5" s="3">
        <f>C5*U11</f>
        <v>37393.752638535167</v>
      </c>
      <c r="E5" s="3">
        <f>D4+D5</f>
        <v>64384.893590039916</v>
      </c>
      <c r="F5" s="85"/>
      <c r="G5" s="3"/>
      <c r="H5" s="3"/>
      <c r="I5" s="89"/>
      <c r="J5" s="85"/>
      <c r="K5" s="3"/>
      <c r="L5" s="3"/>
      <c r="M5" s="89"/>
      <c r="N5" s="85"/>
      <c r="O5" s="3"/>
      <c r="P5" s="3"/>
      <c r="Q5" s="90"/>
      <c r="S5" s="19" t="s">
        <v>0</v>
      </c>
      <c r="T5" t="s">
        <v>136</v>
      </c>
      <c r="U5" t="s">
        <v>135</v>
      </c>
      <c r="AF5" s="82"/>
    </row>
    <row r="6" spans="1:32">
      <c r="A6">
        <f>'ZEV Sales'!S12</f>
        <v>2025</v>
      </c>
      <c r="B6">
        <f>'ZEV Sales'!T12</f>
        <v>41</v>
      </c>
      <c r="C6" s="3">
        <f>'Combined MOVES output'!AE20</f>
        <v>59953.681453076926</v>
      </c>
      <c r="D6" s="3">
        <f>C6*U12</f>
        <v>3214.1817381616788</v>
      </c>
      <c r="E6" s="3"/>
      <c r="F6" s="85"/>
      <c r="G6" s="3"/>
      <c r="H6" s="3"/>
      <c r="I6" s="89"/>
      <c r="J6" s="85"/>
      <c r="K6" s="3"/>
      <c r="L6" s="3"/>
      <c r="M6" s="89"/>
      <c r="N6" s="85"/>
      <c r="O6" s="3"/>
      <c r="P6" s="3"/>
      <c r="Q6" s="90"/>
      <c r="S6" s="19">
        <v>2020</v>
      </c>
      <c r="T6">
        <v>20</v>
      </c>
      <c r="U6">
        <v>6.0165773347153381E-2</v>
      </c>
      <c r="AF6" s="82"/>
    </row>
    <row r="7" spans="1:32">
      <c r="A7" s="91">
        <f>A6</f>
        <v>2025</v>
      </c>
      <c r="B7" s="91" t="s">
        <v>133</v>
      </c>
      <c r="C7" s="92">
        <f>'Combined MOVES output'!AE21</f>
        <v>1199593.3636793261</v>
      </c>
      <c r="D7" s="92">
        <f>C7*U13</f>
        <v>67887.906607175653</v>
      </c>
      <c r="E7" s="92">
        <f>E5</f>
        <v>64384.893590039916</v>
      </c>
      <c r="F7" s="93">
        <f>E7-I7</f>
        <v>55628.548061794485</v>
      </c>
      <c r="G7" s="94">
        <f>$E7*'Fleet ZEV fractions'!B17</f>
        <v>8305.6512731151488</v>
      </c>
      <c r="H7" s="94">
        <f>$E7*'Fleet ZEV fractions'!C17</f>
        <v>450.69425513027943</v>
      </c>
      <c r="I7" s="94">
        <f>$E7*'Fleet ZEV fractions'!D17</f>
        <v>8756.3455282454288</v>
      </c>
      <c r="J7" s="253">
        <f>F7</f>
        <v>55628.548061794485</v>
      </c>
      <c r="K7" s="254">
        <f t="shared" ref="K7:M7" si="0">G7</f>
        <v>8305.6512731151488</v>
      </c>
      <c r="L7" s="254">
        <f t="shared" si="0"/>
        <v>450.69425513027943</v>
      </c>
      <c r="M7" s="254">
        <f t="shared" si="0"/>
        <v>8756.3455282454288</v>
      </c>
      <c r="N7" s="253">
        <f>F7</f>
        <v>55628.548061794485</v>
      </c>
      <c r="O7" s="254">
        <f t="shared" ref="O7:Q7" si="1">G7</f>
        <v>8305.6512731151488</v>
      </c>
      <c r="P7" s="254">
        <f t="shared" si="1"/>
        <v>450.69425513027943</v>
      </c>
      <c r="Q7" s="255">
        <f t="shared" si="1"/>
        <v>8756.3455282454288</v>
      </c>
      <c r="S7" s="19">
        <v>2020</v>
      </c>
      <c r="T7">
        <v>30</v>
      </c>
      <c r="U7">
        <v>6.0448579796706946E-2</v>
      </c>
      <c r="AF7" s="82"/>
    </row>
    <row r="8" spans="1:32">
      <c r="A8">
        <v>2026</v>
      </c>
      <c r="B8">
        <f>'ZEV Sales'!T14</f>
        <v>20</v>
      </c>
      <c r="C8" s="3">
        <f>C4+(C24-C4)/5</f>
        <v>462738.71762022306</v>
      </c>
      <c r="D8" s="3">
        <f t="shared" ref="D8:D23" si="2">C8*AB10</f>
        <v>27444.067799289416</v>
      </c>
      <c r="E8" s="3"/>
      <c r="F8" s="85"/>
      <c r="G8" s="3"/>
      <c r="H8" s="3"/>
      <c r="I8" s="3"/>
      <c r="J8" s="85"/>
      <c r="K8" s="3"/>
      <c r="L8" s="3"/>
      <c r="M8" s="3"/>
      <c r="N8" s="85"/>
      <c r="O8" s="3"/>
      <c r="P8" s="3"/>
      <c r="Q8" s="86"/>
      <c r="S8" s="19">
        <v>2020</v>
      </c>
      <c r="T8">
        <v>41</v>
      </c>
      <c r="U8">
        <v>5.1021689276319594E-2</v>
      </c>
      <c r="Z8" t="s">
        <v>0</v>
      </c>
      <c r="AA8" t="s">
        <v>136</v>
      </c>
      <c r="AB8" t="s">
        <v>135</v>
      </c>
      <c r="AF8" s="82"/>
    </row>
    <row r="9" spans="1:32">
      <c r="A9">
        <v>2026</v>
      </c>
      <c r="B9">
        <f>'ZEV Sales'!T15</f>
        <v>30</v>
      </c>
      <c r="C9" s="3">
        <f t="shared" ref="C9:C11" si="3">C5+(C25-C5)/5</f>
        <v>683567.74732243235</v>
      </c>
      <c r="D9" s="3">
        <f t="shared" si="2"/>
        <v>37077.105689242082</v>
      </c>
      <c r="E9" s="3">
        <f>D8+D9</f>
        <v>64521.173488531495</v>
      </c>
      <c r="F9" s="85"/>
      <c r="G9" s="3"/>
      <c r="H9" s="3"/>
      <c r="I9" s="3"/>
      <c r="J9" s="85"/>
      <c r="K9" s="3"/>
      <c r="L9" s="3"/>
      <c r="M9" s="3"/>
      <c r="N9" s="85"/>
      <c r="O9" s="3"/>
      <c r="P9" s="3"/>
      <c r="Q9" s="86"/>
      <c r="S9" s="19">
        <v>2020</v>
      </c>
      <c r="T9" s="8" t="s">
        <v>109</v>
      </c>
      <c r="U9">
        <v>5.9864498528082767E-2</v>
      </c>
      <c r="Z9" t="s">
        <v>128</v>
      </c>
      <c r="AF9" s="83"/>
    </row>
    <row r="10" spans="1:32">
      <c r="A10">
        <v>2026</v>
      </c>
      <c r="B10">
        <f>'ZEV Sales'!T16</f>
        <v>41</v>
      </c>
      <c r="C10" s="3">
        <f t="shared" si="3"/>
        <v>59619.479098461539</v>
      </c>
      <c r="D10" s="3">
        <f t="shared" si="2"/>
        <v>3181.6681374122609</v>
      </c>
      <c r="E10" s="3"/>
      <c r="F10" s="85"/>
      <c r="G10" s="3"/>
      <c r="H10" s="3"/>
      <c r="I10" s="3"/>
      <c r="J10" s="85"/>
      <c r="K10" s="3"/>
      <c r="L10" s="3"/>
      <c r="M10" s="3"/>
      <c r="N10" s="85"/>
      <c r="O10" s="3"/>
      <c r="P10" s="3"/>
      <c r="Q10" s="86"/>
      <c r="S10" s="19">
        <v>2025</v>
      </c>
      <c r="T10">
        <v>20</v>
      </c>
      <c r="U10">
        <v>5.8795440798265049E-2</v>
      </c>
      <c r="X10">
        <f t="shared" ref="X10:X17" si="4">(U14-U10)/5</f>
        <v>5.124726186822526E-4</v>
      </c>
      <c r="Z10">
        <v>2026</v>
      </c>
      <c r="AA10">
        <v>20</v>
      </c>
      <c r="AB10">
        <f>U10+X10</f>
        <v>5.93079134169473E-2</v>
      </c>
      <c r="AD10">
        <v>2031</v>
      </c>
      <c r="AE10">
        <v>20</v>
      </c>
      <c r="AF10" s="82">
        <f>U14+X14</f>
        <v>6.1859094866246626E-2</v>
      </c>
    </row>
    <row r="11" spans="1:32">
      <c r="A11" s="91">
        <v>2026</v>
      </c>
      <c r="B11" s="91" t="s">
        <v>133</v>
      </c>
      <c r="C11" s="92">
        <f t="shared" si="3"/>
        <v>1205925.9440411169</v>
      </c>
      <c r="D11" s="92">
        <f t="shared" si="2"/>
        <v>68092.851514377733</v>
      </c>
      <c r="E11" s="92">
        <f>E9</f>
        <v>64521.173488531495</v>
      </c>
      <c r="F11" s="93">
        <f>E11-I11</f>
        <v>53423.531648504075</v>
      </c>
      <c r="G11" s="92">
        <f>$E11*'Fleet ZEV fractions'!B18</f>
        <v>10710.514799096229</v>
      </c>
      <c r="H11" s="92">
        <f>$E11*'Fleet ZEV fractions'!C18</f>
        <v>387.12704093118896</v>
      </c>
      <c r="I11" s="92">
        <f>$E11*'Fleet ZEV fractions'!D18</f>
        <v>11097.641840027418</v>
      </c>
      <c r="J11" s="93">
        <f>E11-M11</f>
        <v>41938.762767545471</v>
      </c>
      <c r="K11" s="92">
        <f>$E11*'Fleet ZEV fractions'!H18</f>
        <v>19659.981098270182</v>
      </c>
      <c r="L11" s="92">
        <f>$E11*'Fleet ZEV fractions'!I18</f>
        <v>2922.4296227158384</v>
      </c>
      <c r="M11" s="92">
        <f>$E11*'Fleet ZEV fractions'!J18</f>
        <v>22582.410720986023</v>
      </c>
      <c r="N11" s="93">
        <f>E11-Q11</f>
        <v>46455.244911742673</v>
      </c>
      <c r="O11" s="92">
        <f>$E11*'Fleet ZEV fractions'!K18</f>
        <v>15727.984878616147</v>
      </c>
      <c r="P11" s="92">
        <f>$E11*'Fleet ZEV fractions'!L18</f>
        <v>2337.9436981726708</v>
      </c>
      <c r="Q11" s="95">
        <f>$E11*'Fleet ZEV fractions'!M18</f>
        <v>18065.928576788818</v>
      </c>
      <c r="S11" s="19">
        <v>2025</v>
      </c>
      <c r="T11">
        <v>30</v>
      </c>
      <c r="U11">
        <v>5.494466905233239E-2</v>
      </c>
      <c r="X11">
        <f t="shared" si="4"/>
        <v>-7.040969444837078E-4</v>
      </c>
      <c r="Z11">
        <v>2026</v>
      </c>
      <c r="AA11">
        <v>30</v>
      </c>
      <c r="AB11">
        <f>U11+X11</f>
        <v>5.4240572107848682E-2</v>
      </c>
      <c r="AD11">
        <v>2031</v>
      </c>
      <c r="AE11">
        <v>30</v>
      </c>
      <c r="AF11" s="82">
        <f>U15+X15</f>
        <v>5.1319264291854641E-2</v>
      </c>
    </row>
    <row r="12" spans="1:32">
      <c r="A12">
        <v>2027</v>
      </c>
      <c r="B12">
        <f>'ZEV Sales'!T18</f>
        <v>20</v>
      </c>
      <c r="C12" s="3">
        <f>C4+2*(C24-C4)/5</f>
        <v>466408.83085469232</v>
      </c>
      <c r="D12" s="3">
        <f t="shared" si="2"/>
        <v>27900.756312154343</v>
      </c>
      <c r="E12" s="3"/>
      <c r="F12" s="85"/>
      <c r="G12" s="3"/>
      <c r="H12" s="3"/>
      <c r="I12" s="3"/>
      <c r="J12" s="85"/>
      <c r="K12" s="3"/>
      <c r="L12" s="3"/>
      <c r="M12" s="3"/>
      <c r="N12" s="85"/>
      <c r="O12" s="3"/>
      <c r="P12" s="3"/>
      <c r="Q12" s="86"/>
      <c r="S12" s="19">
        <v>2025</v>
      </c>
      <c r="T12">
        <v>41</v>
      </c>
      <c r="U12">
        <v>5.3611082093053375E-2</v>
      </c>
      <c r="X12">
        <f t="shared" si="4"/>
        <v>-2.4483023168206939E-4</v>
      </c>
      <c r="Z12">
        <v>2026</v>
      </c>
      <c r="AA12">
        <v>41</v>
      </c>
      <c r="AB12">
        <f>U12+X12</f>
        <v>5.3366251861371304E-2</v>
      </c>
      <c r="AD12">
        <v>2031</v>
      </c>
      <c r="AE12">
        <v>41</v>
      </c>
      <c r="AF12" s="82">
        <f>U16+X16</f>
        <v>5.2530648581707987E-2</v>
      </c>
    </row>
    <row r="13" spans="1:32">
      <c r="A13">
        <v>2027</v>
      </c>
      <c r="B13">
        <f>'ZEV Sales'!T19</f>
        <v>30</v>
      </c>
      <c r="C13" s="3">
        <f t="shared" ref="C13:C15" si="5">C5+2*(C25-C5)/5</f>
        <v>686564.41680436931</v>
      </c>
      <c r="D13" s="3">
        <f t="shared" si="2"/>
        <v>36756.238848297275</v>
      </c>
      <c r="E13" s="3">
        <f>D12+D13</f>
        <v>64656.995160451617</v>
      </c>
      <c r="F13" s="85"/>
      <c r="G13" s="3"/>
      <c r="H13" s="3"/>
      <c r="I13" s="3"/>
      <c r="J13" s="85"/>
      <c r="K13" s="3"/>
      <c r="L13" s="3"/>
      <c r="M13" s="3"/>
      <c r="N13" s="85"/>
      <c r="O13" s="3"/>
      <c r="P13" s="3"/>
      <c r="Q13" s="86"/>
      <c r="S13" s="19">
        <v>2025</v>
      </c>
      <c r="T13" s="8" t="s">
        <v>109</v>
      </c>
      <c r="U13">
        <v>5.6592432621462359E-2</v>
      </c>
      <c r="X13">
        <f t="shared" si="4"/>
        <v>-1.2723104681569287E-4</v>
      </c>
      <c r="Z13">
        <v>2026</v>
      </c>
      <c r="AA13" s="8" t="s">
        <v>109</v>
      </c>
      <c r="AB13">
        <f>U13+X13</f>
        <v>5.6465201574646663E-2</v>
      </c>
      <c r="AD13">
        <v>2031</v>
      </c>
      <c r="AE13" s="8" t="s">
        <v>109</v>
      </c>
      <c r="AF13" s="82">
        <f>U17+X17</f>
        <v>5.6171827167234449E-2</v>
      </c>
    </row>
    <row r="14" spans="1:32">
      <c r="A14">
        <v>2027</v>
      </c>
      <c r="B14">
        <f>'ZEV Sales'!T20</f>
        <v>41</v>
      </c>
      <c r="C14" s="3">
        <f t="shared" si="5"/>
        <v>59285.27674384616</v>
      </c>
      <c r="D14" s="3">
        <f t="shared" si="2"/>
        <v>3149.3181823426617</v>
      </c>
      <c r="E14" s="3"/>
      <c r="F14" s="85"/>
      <c r="G14" s="3"/>
      <c r="H14" s="3"/>
      <c r="I14" s="3"/>
      <c r="J14" s="85"/>
      <c r="K14" s="3"/>
      <c r="L14" s="3"/>
      <c r="M14" s="3"/>
      <c r="N14" s="85"/>
      <c r="O14" s="3"/>
      <c r="P14" s="3"/>
      <c r="Q14" s="86"/>
      <c r="S14" s="19">
        <v>2030</v>
      </c>
      <c r="T14">
        <v>20</v>
      </c>
      <c r="U14">
        <v>6.1357803891676312E-2</v>
      </c>
      <c r="X14">
        <f t="shared" si="4"/>
        <v>5.0129097457031621E-4</v>
      </c>
      <c r="Z14">
        <v>2027</v>
      </c>
      <c r="AA14">
        <v>20</v>
      </c>
      <c r="AB14">
        <f>U10+2*X10</f>
        <v>5.9820386035629551E-2</v>
      </c>
      <c r="AD14">
        <v>2032</v>
      </c>
      <c r="AE14">
        <v>20</v>
      </c>
      <c r="AF14" s="82">
        <f>U14+X14*2</f>
        <v>6.2360385840816941E-2</v>
      </c>
    </row>
    <row r="15" spans="1:32">
      <c r="A15" s="91">
        <v>2027</v>
      </c>
      <c r="B15" s="91" t="s">
        <v>133</v>
      </c>
      <c r="C15" s="92">
        <f t="shared" si="5"/>
        <v>1212258.5244029078</v>
      </c>
      <c r="D15" s="92">
        <f t="shared" si="2"/>
        <v>68296.185019922894</v>
      </c>
      <c r="E15" s="92">
        <f>E13</f>
        <v>64656.995160451617</v>
      </c>
      <c r="F15" s="93">
        <f>E15-I15</f>
        <v>53535.991992853938</v>
      </c>
      <c r="G15" s="92">
        <f>$E15*'Fleet ZEV fractions'!B19</f>
        <v>10733.06119663497</v>
      </c>
      <c r="H15" s="92">
        <f>$E15*'Fleet ZEV fractions'!C19</f>
        <v>387.94197096270972</v>
      </c>
      <c r="I15" s="92">
        <f>$E15*'Fleet ZEV fractions'!D19</f>
        <v>11121.003167597679</v>
      </c>
      <c r="J15" s="93">
        <f>E15-M15</f>
        <v>36854.48724145742</v>
      </c>
      <c r="K15" s="92">
        <f>$E15*'Fleet ZEV fractions'!H19</f>
        <v>25104.029209209464</v>
      </c>
      <c r="L15" s="92">
        <f>$E15*'Fleet ZEV fractions'!I19</f>
        <v>2698.4787097847311</v>
      </c>
      <c r="M15" s="92">
        <f>$E15*'Fleet ZEV fractions'!J19</f>
        <v>27802.507918994193</v>
      </c>
      <c r="N15" s="93">
        <f>E15-Q15</f>
        <v>42414.98882525626</v>
      </c>
      <c r="O15" s="92">
        <f>$E15*'Fleet ZEV fractions'!K19</f>
        <v>20083.223367367573</v>
      </c>
      <c r="P15" s="92">
        <f>$E15*'Fleet ZEV fractions'!L19</f>
        <v>2158.7829678277853</v>
      </c>
      <c r="Q15" s="95">
        <f>$E15*'Fleet ZEV fractions'!M19</f>
        <v>22242.006335195358</v>
      </c>
      <c r="S15" s="19">
        <v>2030</v>
      </c>
      <c r="T15">
        <v>30</v>
      </c>
      <c r="U15">
        <v>5.1424184329913851E-2</v>
      </c>
      <c r="X15">
        <f t="shared" si="4"/>
        <v>-1.0492003805921135E-4</v>
      </c>
      <c r="Z15">
        <v>2027</v>
      </c>
      <c r="AA15">
        <v>30</v>
      </c>
      <c r="AB15">
        <f>U11+2*X11</f>
        <v>5.3536475163364974E-2</v>
      </c>
      <c r="AD15">
        <v>2032</v>
      </c>
      <c r="AE15">
        <v>30</v>
      </c>
      <c r="AF15" s="82">
        <f>U15+X15*2</f>
        <v>5.1214344253795431E-2</v>
      </c>
    </row>
    <row r="16" spans="1:32">
      <c r="A16">
        <v>2028</v>
      </c>
      <c r="B16">
        <f>'ZEV Sales'!T22</f>
        <v>20</v>
      </c>
      <c r="C16" s="3">
        <f>C4+3*(C24-C4)/5</f>
        <v>470078.94408916152</v>
      </c>
      <c r="D16" s="3">
        <f t="shared" si="2"/>
        <v>28361.206490099525</v>
      </c>
      <c r="E16" s="3"/>
      <c r="F16" s="85"/>
      <c r="G16" s="3"/>
      <c r="H16" s="3"/>
      <c r="I16" s="3"/>
      <c r="J16" s="85"/>
      <c r="K16" s="3"/>
      <c r="L16" s="3"/>
      <c r="M16" s="3"/>
      <c r="N16" s="85"/>
      <c r="O16" s="3"/>
      <c r="P16" s="3"/>
      <c r="Q16" s="86"/>
      <c r="S16" s="19">
        <v>2030</v>
      </c>
      <c r="T16">
        <v>41</v>
      </c>
      <c r="U16">
        <v>5.2386930934643028E-2</v>
      </c>
      <c r="X16">
        <f t="shared" si="4"/>
        <v>1.4371764706495871E-4</v>
      </c>
      <c r="Z16">
        <v>2027</v>
      </c>
      <c r="AA16">
        <v>41</v>
      </c>
      <c r="AB16">
        <f>U12+2*X12</f>
        <v>5.3121421629689233E-2</v>
      </c>
      <c r="AD16">
        <v>2032</v>
      </c>
      <c r="AE16">
        <v>41</v>
      </c>
      <c r="AF16" s="82">
        <f>U16+X16*2</f>
        <v>5.2674366228772945E-2</v>
      </c>
    </row>
    <row r="17" spans="1:32">
      <c r="A17">
        <v>2028</v>
      </c>
      <c r="B17">
        <f>'ZEV Sales'!T23</f>
        <v>30</v>
      </c>
      <c r="C17" s="3">
        <f>C5+3*(C25-C5)/5</f>
        <v>689561.08628630615</v>
      </c>
      <c r="D17" s="3">
        <f t="shared" si="2"/>
        <v>36431.152115700745</v>
      </c>
      <c r="E17" s="3">
        <f>D16+D17</f>
        <v>64792.358605800269</v>
      </c>
      <c r="F17" s="85"/>
      <c r="G17" s="3"/>
      <c r="H17" s="3"/>
      <c r="I17" s="3"/>
      <c r="J17" s="85"/>
      <c r="K17" s="3"/>
      <c r="L17" s="3"/>
      <c r="M17" s="3"/>
      <c r="N17" s="85"/>
      <c r="O17" s="3"/>
      <c r="P17" s="3"/>
      <c r="Q17" s="86"/>
      <c r="S17" s="19">
        <v>2030</v>
      </c>
      <c r="T17" s="8" t="s">
        <v>109</v>
      </c>
      <c r="U17">
        <v>5.5956277387383895E-2</v>
      </c>
      <c r="X17">
        <f t="shared" si="4"/>
        <v>2.1554977985055457E-4</v>
      </c>
      <c r="Z17">
        <v>2027</v>
      </c>
      <c r="AA17" s="8" t="s">
        <v>109</v>
      </c>
      <c r="AB17">
        <f>U13+2*X13</f>
        <v>5.6337970527830974E-2</v>
      </c>
      <c r="AD17">
        <v>2032</v>
      </c>
      <c r="AE17" s="8" t="s">
        <v>109</v>
      </c>
      <c r="AF17" s="82">
        <f>U17+X17*2</f>
        <v>5.6387376947085004E-2</v>
      </c>
    </row>
    <row r="18" spans="1:32">
      <c r="A18">
        <v>2028</v>
      </c>
      <c r="B18">
        <f>'ZEV Sales'!T24</f>
        <v>41</v>
      </c>
      <c r="C18" s="3">
        <f>C6+3*(C26-C6)/5</f>
        <v>58951.074389230773</v>
      </c>
      <c r="D18" s="3">
        <f t="shared" si="2"/>
        <v>3117.1318729528807</v>
      </c>
      <c r="E18" s="3"/>
      <c r="F18" s="85"/>
      <c r="G18" s="3"/>
      <c r="H18" s="3"/>
      <c r="I18" s="3"/>
      <c r="J18" s="85"/>
      <c r="K18" s="3"/>
      <c r="L18" s="3"/>
      <c r="M18" s="3"/>
      <c r="N18" s="85"/>
      <c r="O18" s="3"/>
      <c r="P18" s="3"/>
      <c r="Q18" s="86"/>
      <c r="S18" s="19">
        <v>2035</v>
      </c>
      <c r="T18">
        <v>20</v>
      </c>
      <c r="U18">
        <v>6.3864258764527893E-2</v>
      </c>
      <c r="Z18">
        <v>2028</v>
      </c>
      <c r="AA18">
        <v>20</v>
      </c>
      <c r="AB18">
        <f>U10+3*X10</f>
        <v>6.0332858654311809E-2</v>
      </c>
      <c r="AD18">
        <v>2033</v>
      </c>
      <c r="AE18">
        <v>20</v>
      </c>
      <c r="AF18" s="82">
        <f>U14+X14*3</f>
        <v>6.2861676815387263E-2</v>
      </c>
    </row>
    <row r="19" spans="1:32">
      <c r="A19" s="91">
        <v>2028</v>
      </c>
      <c r="B19" s="91" t="s">
        <v>133</v>
      </c>
      <c r="C19" s="92">
        <f t="shared" ref="C19" si="6">C7+3*(C27/C7)/5</f>
        <v>1199593.9795161437</v>
      </c>
      <c r="D19" s="92">
        <f t="shared" si="2"/>
        <v>67430.064665576327</v>
      </c>
      <c r="E19" s="92">
        <f>E17</f>
        <v>64792.358605800269</v>
      </c>
      <c r="F19" s="93">
        <f>E19-I19</f>
        <v>53648.072925602624</v>
      </c>
      <c r="G19" s="92">
        <f>$E19*'Fleet ZEV fractions'!B20</f>
        <v>10755.531528562846</v>
      </c>
      <c r="H19" s="92">
        <f>$E19*'Fleet ZEV fractions'!C20</f>
        <v>388.75415163480164</v>
      </c>
      <c r="I19" s="92">
        <f>$E19*'Fleet ZEV fractions'!D20</f>
        <v>11144.285680197647</v>
      </c>
      <c r="J19" s="93">
        <f>E19-M19</f>
        <v>31748.255716842134</v>
      </c>
      <c r="K19" s="92">
        <f>$E19*'Fleet ZEV fractions'!H20</f>
        <v>30400.574657841487</v>
      </c>
      <c r="L19" s="92">
        <f>$E19*'Fleet ZEV fractions'!I20</f>
        <v>2643.5282311166511</v>
      </c>
      <c r="M19" s="92">
        <f>$E19*'Fleet ZEV fractions'!J20</f>
        <v>33044.102888958136</v>
      </c>
      <c r="N19" s="93">
        <f>E19-Q19</f>
        <v>38357.076294633756</v>
      </c>
      <c r="O19" s="92">
        <f>$E19*'Fleet ZEV fractions'!K20</f>
        <v>24320.459726273191</v>
      </c>
      <c r="P19" s="92">
        <f>$E19*'Fleet ZEV fractions'!L20</f>
        <v>2114.8225848933212</v>
      </c>
      <c r="Q19" s="95">
        <f>$E19*'Fleet ZEV fractions'!M20</f>
        <v>26435.282311166513</v>
      </c>
      <c r="S19" s="19">
        <v>2035</v>
      </c>
      <c r="T19">
        <v>30</v>
      </c>
      <c r="U19">
        <v>5.0899584139617794E-2</v>
      </c>
      <c r="Z19">
        <v>2028</v>
      </c>
      <c r="AA19">
        <v>30</v>
      </c>
      <c r="AB19">
        <f>U11+3*X11</f>
        <v>5.2832378218881267E-2</v>
      </c>
      <c r="AD19">
        <v>2033</v>
      </c>
      <c r="AE19">
        <v>30</v>
      </c>
      <c r="AF19" s="82">
        <f>U15+X15*3</f>
        <v>5.1109424215736214E-2</v>
      </c>
    </row>
    <row r="20" spans="1:32">
      <c r="A20">
        <v>2029</v>
      </c>
      <c r="B20">
        <v>20</v>
      </c>
      <c r="C20" s="3">
        <f>C4+4*(C24-C4)/5</f>
        <v>473749.05732363078</v>
      </c>
      <c r="D20" s="3">
        <f t="shared" si="2"/>
        <v>28825.41833312497</v>
      </c>
      <c r="E20" s="3"/>
      <c r="F20" s="85"/>
      <c r="G20" s="3"/>
      <c r="H20" s="3"/>
      <c r="I20" s="3"/>
      <c r="J20" s="85"/>
      <c r="K20" s="3"/>
      <c r="L20" s="3"/>
      <c r="M20" s="3"/>
      <c r="N20" s="85"/>
      <c r="O20" s="3"/>
      <c r="P20" s="3"/>
      <c r="Q20" s="86"/>
      <c r="S20" s="19">
        <v>2035</v>
      </c>
      <c r="T20">
        <v>41</v>
      </c>
      <c r="U20">
        <v>5.3105519169967821E-2</v>
      </c>
      <c r="Z20">
        <v>2028</v>
      </c>
      <c r="AA20">
        <v>41</v>
      </c>
      <c r="AB20">
        <f>U12+3*X12</f>
        <v>5.2876591398007169E-2</v>
      </c>
      <c r="AD20">
        <v>2033</v>
      </c>
      <c r="AE20">
        <v>41</v>
      </c>
      <c r="AF20" s="82">
        <f>U16+X16*3</f>
        <v>5.2818083875837904E-2</v>
      </c>
    </row>
    <row r="21" spans="1:32">
      <c r="A21">
        <v>2029</v>
      </c>
      <c r="B21">
        <v>30</v>
      </c>
      <c r="C21" s="3">
        <f t="shared" ref="C21:C23" si="7">C5+4*(C25-C5)/5</f>
        <v>692557.75576824311</v>
      </c>
      <c r="D21" s="3">
        <f t="shared" si="2"/>
        <v>36101.845491452506</v>
      </c>
      <c r="E21" s="3">
        <f>D20+D21</f>
        <v>64927.263824577472</v>
      </c>
      <c r="F21" s="85"/>
      <c r="G21" s="3"/>
      <c r="H21" s="3"/>
      <c r="I21" s="3"/>
      <c r="J21" s="85"/>
      <c r="K21" s="3"/>
      <c r="L21" s="3"/>
      <c r="M21" s="3"/>
      <c r="N21" s="85"/>
      <c r="O21" s="3"/>
      <c r="P21" s="3"/>
      <c r="Q21" s="86"/>
      <c r="S21" s="19">
        <v>2035</v>
      </c>
      <c r="T21" s="8" t="s">
        <v>109</v>
      </c>
      <c r="U21">
        <v>5.7034026286636667E-2</v>
      </c>
      <c r="Z21">
        <v>2028</v>
      </c>
      <c r="AA21" s="8" t="s">
        <v>109</v>
      </c>
      <c r="AB21">
        <f>U13+3*X13</f>
        <v>5.6210739481015279E-2</v>
      </c>
      <c r="AD21">
        <v>2033</v>
      </c>
      <c r="AE21" s="8" t="s">
        <v>109</v>
      </c>
      <c r="AF21" s="82">
        <f>U17+X17*3</f>
        <v>5.6602926726935558E-2</v>
      </c>
    </row>
    <row r="22" spans="1:32">
      <c r="A22">
        <v>2029</v>
      </c>
      <c r="B22">
        <v>41</v>
      </c>
      <c r="C22" s="3">
        <f t="shared" si="7"/>
        <v>58616.872034615393</v>
      </c>
      <c r="D22" s="3">
        <f t="shared" si="2"/>
        <v>3085.109209242918</v>
      </c>
      <c r="E22" s="3"/>
      <c r="F22" s="85"/>
      <c r="G22" s="3"/>
      <c r="H22" s="3"/>
      <c r="I22" s="3"/>
      <c r="J22" s="85"/>
      <c r="K22" s="3"/>
      <c r="L22" s="3"/>
      <c r="M22" s="3"/>
      <c r="N22" s="85"/>
      <c r="O22" s="3"/>
      <c r="P22" s="3"/>
      <c r="Q22" s="86"/>
      <c r="S22" s="19">
        <v>2040</v>
      </c>
      <c r="T22">
        <v>20</v>
      </c>
      <c r="U22">
        <v>6.3169390310556642E-2</v>
      </c>
      <c r="Z22">
        <v>2029</v>
      </c>
      <c r="AA22">
        <v>20</v>
      </c>
      <c r="AB22">
        <f>U10+4*X10</f>
        <v>6.084533127299406E-2</v>
      </c>
      <c r="AD22">
        <v>2034</v>
      </c>
      <c r="AE22">
        <v>20</v>
      </c>
      <c r="AF22" s="82">
        <f>U14+X14*4</f>
        <v>6.3362967789957578E-2</v>
      </c>
    </row>
    <row r="23" spans="1:32">
      <c r="A23" s="91">
        <v>2029</v>
      </c>
      <c r="B23" s="91" t="s">
        <v>133</v>
      </c>
      <c r="C23" s="92">
        <f t="shared" si="7"/>
        <v>1224923.6851264895</v>
      </c>
      <c r="D23" s="92">
        <f t="shared" si="2"/>
        <v>68698.017826042313</v>
      </c>
      <c r="E23" s="92">
        <f>E21</f>
        <v>64927.263824577472</v>
      </c>
      <c r="F23" s="93">
        <f>E23-I23</f>
        <v>53759.774446750147</v>
      </c>
      <c r="G23" s="92">
        <f>$E23*'Fleet ZEV fractions'!B21</f>
        <v>10777.92579487986</v>
      </c>
      <c r="H23" s="92">
        <f>$E23*'Fleet ZEV fractions'!C21</f>
        <v>389.56358294746485</v>
      </c>
      <c r="I23" s="92">
        <f>$E23*'Fleet ZEV fractions'!D21</f>
        <v>11167.489377827325</v>
      </c>
      <c r="J23" s="93">
        <f>E23-M23</f>
        <v>26620.178168076767</v>
      </c>
      <c r="K23" s="92">
        <f>$E23*'Fleet ZEV fractions'!H21</f>
        <v>35753.279946067327</v>
      </c>
      <c r="L23" s="92">
        <f>$E23*'Fleet ZEV fractions'!I21</f>
        <v>2553.8057104333802</v>
      </c>
      <c r="M23" s="92">
        <f>$E23*'Fleet ZEV fractions'!J21</f>
        <v>38307.085656500705</v>
      </c>
      <c r="N23" s="93">
        <f>E23-Q23</f>
        <v>34281.595299376902</v>
      </c>
      <c r="O23" s="92">
        <f>$E23*'Fleet ZEV fractions'!K21</f>
        <v>28602.623956853862</v>
      </c>
      <c r="P23" s="92">
        <f>$E23*'Fleet ZEV fractions'!L21</f>
        <v>2043.0445683467042</v>
      </c>
      <c r="Q23" s="95">
        <f>$E23*'Fleet ZEV fractions'!M21</f>
        <v>30645.668525200566</v>
      </c>
      <c r="S23" s="19">
        <v>2040</v>
      </c>
      <c r="T23">
        <v>30</v>
      </c>
      <c r="U23">
        <v>5.1134378151068589E-2</v>
      </c>
      <c r="Z23">
        <v>2029</v>
      </c>
      <c r="AA23">
        <v>30</v>
      </c>
      <c r="AB23">
        <f>U11+4*X11</f>
        <v>5.2128281274397559E-2</v>
      </c>
      <c r="AD23">
        <v>2034</v>
      </c>
      <c r="AE23">
        <v>30</v>
      </c>
      <c r="AF23" s="82">
        <f>U15+X15*4</f>
        <v>5.1004504177677004E-2</v>
      </c>
    </row>
    <row r="24" spans="1:32">
      <c r="A24">
        <v>2030</v>
      </c>
      <c r="B24">
        <v>20</v>
      </c>
      <c r="C24" s="3">
        <f>'Combined MOVES output'!AE23</f>
        <v>477419.17055809998</v>
      </c>
      <c r="D24" s="3">
        <f>C24*U14</f>
        <v>29293.391841230663</v>
      </c>
      <c r="E24" s="3"/>
      <c r="F24" s="85"/>
      <c r="G24" s="3"/>
      <c r="H24" s="3"/>
      <c r="I24" s="89"/>
      <c r="J24" s="85"/>
      <c r="K24" s="3"/>
      <c r="L24" s="3"/>
      <c r="M24" s="89"/>
      <c r="N24" s="85"/>
      <c r="O24" s="3"/>
      <c r="P24" s="3"/>
      <c r="Q24" s="90"/>
      <c r="S24" s="19">
        <v>2040</v>
      </c>
      <c r="T24">
        <v>41</v>
      </c>
      <c r="U24">
        <v>5.4174961614402543E-2</v>
      </c>
      <c r="Z24">
        <v>2029</v>
      </c>
      <c r="AA24">
        <v>41</v>
      </c>
      <c r="AB24">
        <f>U12+4*X12</f>
        <v>5.2631761166325099E-2</v>
      </c>
      <c r="AD24">
        <v>2034</v>
      </c>
      <c r="AE24">
        <v>41</v>
      </c>
      <c r="AF24" s="82">
        <f>U16+X16*4</f>
        <v>5.2961801522902863E-2</v>
      </c>
    </row>
    <row r="25" spans="1:32">
      <c r="A25">
        <v>2030</v>
      </c>
      <c r="B25">
        <v>30</v>
      </c>
      <c r="C25" s="3">
        <f>'Combined MOVES output'!AE24</f>
        <v>695554.42525018007</v>
      </c>
      <c r="D25" s="3">
        <f>C25*U15</f>
        <v>35768.318975552545</v>
      </c>
      <c r="E25" s="3">
        <f>D24+D25</f>
        <v>65061.710816783205</v>
      </c>
      <c r="F25" s="85"/>
      <c r="G25" s="3"/>
      <c r="H25" s="3"/>
      <c r="I25" s="89"/>
      <c r="J25" s="85"/>
      <c r="K25" s="3"/>
      <c r="L25" s="3"/>
      <c r="M25" s="89"/>
      <c r="N25" s="85"/>
      <c r="O25" s="3"/>
      <c r="P25" s="3"/>
      <c r="Q25" s="90"/>
      <c r="S25" s="20">
        <v>2040</v>
      </c>
      <c r="T25" s="67" t="s">
        <v>109</v>
      </c>
      <c r="U25" s="66">
        <v>5.7096542469052977E-2</v>
      </c>
      <c r="V25" s="66"/>
      <c r="W25" s="66"/>
      <c r="X25" s="66"/>
      <c r="Y25" s="66"/>
      <c r="Z25" s="66">
        <v>2029</v>
      </c>
      <c r="AA25" s="67" t="s">
        <v>109</v>
      </c>
      <c r="AB25" s="66">
        <f>U13+4*X13</f>
        <v>5.608350843419959E-2</v>
      </c>
      <c r="AC25" s="66"/>
      <c r="AD25" s="66">
        <v>2034</v>
      </c>
      <c r="AE25" s="67" t="s">
        <v>109</v>
      </c>
      <c r="AF25" s="84">
        <f>U17+X17*4</f>
        <v>5.6818476506786113E-2</v>
      </c>
    </row>
    <row r="26" spans="1:32">
      <c r="A26">
        <v>2030</v>
      </c>
      <c r="B26">
        <v>41</v>
      </c>
      <c r="C26" s="3">
        <f>'Combined MOVES output'!AE25</f>
        <v>58282.669680000006</v>
      </c>
      <c r="D26" s="3">
        <f>C26*U16</f>
        <v>3053.2501912127736</v>
      </c>
      <c r="E26" s="3"/>
      <c r="F26" s="85"/>
      <c r="G26" s="3"/>
      <c r="H26" s="3"/>
      <c r="I26" s="89"/>
      <c r="J26" s="85"/>
      <c r="K26" s="3"/>
      <c r="L26" s="3"/>
      <c r="M26" s="89"/>
      <c r="N26" s="85"/>
      <c r="O26" s="3"/>
      <c r="P26" s="3"/>
      <c r="Q26" s="90"/>
    </row>
    <row r="27" spans="1:32">
      <c r="A27" s="91">
        <v>2030</v>
      </c>
      <c r="B27" s="91" t="s">
        <v>133</v>
      </c>
      <c r="C27" s="92">
        <f>'Combined MOVES output'!AE26</f>
        <v>1231256.2654882802</v>
      </c>
      <c r="D27" s="92">
        <f>C27*U17</f>
        <v>68896.5171266166</v>
      </c>
      <c r="E27" s="92">
        <f>E25</f>
        <v>65061.710816783205</v>
      </c>
      <c r="F27" s="93">
        <f>E27-I27</f>
        <v>53871.096556296492</v>
      </c>
      <c r="G27" s="94">
        <f>$E27*'Fleet ZEV fractions'!B22</f>
        <v>10800.243995586012</v>
      </c>
      <c r="H27" s="94">
        <f>$E27*'Fleet ZEV fractions'!C22</f>
        <v>390.37026490069923</v>
      </c>
      <c r="I27" s="94">
        <f>$E27*'Fleet ZEV fractions'!D22</f>
        <v>11190.614260486713</v>
      </c>
      <c r="J27" s="93">
        <f>E27-M27</f>
        <v>20819.747461370622</v>
      </c>
      <c r="K27" s="92">
        <f>$E27*'Fleet ZEV fractions'!H22</f>
        <v>41713.851163674721</v>
      </c>
      <c r="L27" s="92">
        <f>$E27*'Fleet ZEV fractions'!I22</f>
        <v>2528.1121917378618</v>
      </c>
      <c r="M27" s="92">
        <f>$E27*'Fleet ZEV fractions'!J22</f>
        <v>44241.963355412583</v>
      </c>
      <c r="N27" s="93">
        <f>E27-Q27</f>
        <v>29668.14013245314</v>
      </c>
      <c r="O27" s="92">
        <f>$E27*'Fleet ZEV fractions'!K22</f>
        <v>33371.080930939781</v>
      </c>
      <c r="P27" s="92">
        <f>$E27*'Fleet ZEV fractions'!L22</f>
        <v>2022.4897533902895</v>
      </c>
      <c r="Q27" s="95">
        <f>$E27*'Fleet ZEV fractions'!M22</f>
        <v>35393.570684330065</v>
      </c>
    </row>
    <row r="28" spans="1:32">
      <c r="A28">
        <v>2031</v>
      </c>
      <c r="B28">
        <v>20</v>
      </c>
      <c r="C28" s="3">
        <f>C24+(C44-C24)/5</f>
        <v>482138.79843064997</v>
      </c>
      <c r="D28" s="3">
        <f t="shared" ref="D28:D43" si="8">C28*AF10</f>
        <v>29824.669670819738</v>
      </c>
      <c r="E28" s="3"/>
      <c r="F28" s="85"/>
      <c r="G28" s="3"/>
      <c r="H28" s="3"/>
      <c r="I28" s="3"/>
      <c r="J28" s="85"/>
      <c r="K28" s="3"/>
      <c r="L28" s="3"/>
      <c r="M28" s="3"/>
      <c r="N28" s="85"/>
      <c r="O28" s="3"/>
      <c r="P28" s="3"/>
      <c r="Q28" s="86"/>
    </row>
    <row r="29" spans="1:32">
      <c r="A29">
        <v>2031</v>
      </c>
      <c r="B29">
        <v>30</v>
      </c>
      <c r="C29" s="3">
        <f t="shared" ref="C29:C31" si="9">C25+(C45-C25)/5</f>
        <v>693880.63256095361</v>
      </c>
      <c r="D29" s="3">
        <f t="shared" si="8"/>
        <v>35609.443569394854</v>
      </c>
      <c r="E29" s="3">
        <f>D28+D29</f>
        <v>65434.113240214589</v>
      </c>
      <c r="F29" s="85"/>
      <c r="G29" s="3"/>
      <c r="H29" s="3"/>
      <c r="I29" s="3"/>
      <c r="J29" s="85"/>
      <c r="K29" s="3"/>
      <c r="L29" s="3"/>
      <c r="M29" s="3"/>
      <c r="N29" s="85"/>
      <c r="O29" s="3"/>
      <c r="P29" s="3"/>
      <c r="Q29" s="86"/>
    </row>
    <row r="30" spans="1:32">
      <c r="A30">
        <v>2031</v>
      </c>
      <c r="B30">
        <v>41</v>
      </c>
      <c r="C30" s="3">
        <f t="shared" si="9"/>
        <v>58925.577498969869</v>
      </c>
      <c r="D30" s="3">
        <f t="shared" si="8"/>
        <v>3095.3988040725858</v>
      </c>
      <c r="E30" s="3"/>
      <c r="F30" s="85"/>
      <c r="G30" s="3"/>
      <c r="H30" s="3"/>
      <c r="I30" s="3"/>
      <c r="J30" s="85"/>
      <c r="K30" s="3"/>
      <c r="L30" s="3"/>
      <c r="M30" s="3"/>
      <c r="N30" s="85"/>
      <c r="O30" s="3"/>
      <c r="P30" s="3"/>
      <c r="Q30" s="86"/>
    </row>
    <row r="31" spans="1:32">
      <c r="A31" s="91">
        <v>2031</v>
      </c>
      <c r="B31" s="91" t="s">
        <v>133</v>
      </c>
      <c r="C31" s="92">
        <f t="shared" si="9"/>
        <v>1234945.0084905736</v>
      </c>
      <c r="D31" s="92">
        <f t="shared" si="8"/>
        <v>69369.117577971381</v>
      </c>
      <c r="E31" s="92">
        <f>E29</f>
        <v>65434.113240214589</v>
      </c>
      <c r="F31" s="93">
        <f>E31-I31</f>
        <v>54179.445762897682</v>
      </c>
      <c r="G31" s="92">
        <f>$E31*'Fleet ZEV fractions'!B23</f>
        <v>10862.062797875622</v>
      </c>
      <c r="H31" s="92">
        <f>$E31*'Fleet ZEV fractions'!C23</f>
        <v>392.60467944128754</v>
      </c>
      <c r="I31" s="92">
        <f>$E31*'Fleet ZEV fractions'!D23</f>
        <v>11254.667477316911</v>
      </c>
      <c r="J31" s="93">
        <f>E31-M31</f>
        <v>15704.187177651504</v>
      </c>
      <c r="K31" s="92">
        <f>$E31*'Fleet ZEV fractions'!H23</f>
        <v>47505.166212395787</v>
      </c>
      <c r="L31" s="92">
        <f>$E31*'Fleet ZEV fractions'!I23</f>
        <v>2224.759850167296</v>
      </c>
      <c r="M31" s="92">
        <f>$E31*'Fleet ZEV fractions'!J23</f>
        <v>49729.926062563085</v>
      </c>
      <c r="N31" s="93">
        <f>E31-Q31</f>
        <v>15704.187177651504</v>
      </c>
      <c r="O31" s="92">
        <f>$E31*'Fleet ZEV fractions'!K23</f>
        <v>47505.166212395787</v>
      </c>
      <c r="P31" s="92">
        <f>$E31*'Fleet ZEV fractions'!L23</f>
        <v>2224.759850167296</v>
      </c>
      <c r="Q31" s="95">
        <f>$E31*'Fleet ZEV fractions'!M23</f>
        <v>49729.926062563085</v>
      </c>
    </row>
    <row r="32" spans="1:32">
      <c r="A32">
        <v>2032</v>
      </c>
      <c r="B32">
        <v>20</v>
      </c>
      <c r="C32" s="3">
        <f>C24+2*(C44-C24)/5</f>
        <v>486858.42630320002</v>
      </c>
      <c r="D32" s="3">
        <f t="shared" si="8"/>
        <v>30360.679314120491</v>
      </c>
      <c r="E32" s="3"/>
      <c r="F32" s="85"/>
      <c r="G32" s="3"/>
      <c r="H32" s="3"/>
      <c r="I32" s="3"/>
      <c r="J32" s="85"/>
      <c r="K32" s="3"/>
      <c r="L32" s="3"/>
      <c r="M32" s="3"/>
      <c r="N32" s="85"/>
      <c r="O32" s="3"/>
      <c r="P32" s="3"/>
      <c r="Q32" s="86"/>
    </row>
    <row r="33" spans="1:17">
      <c r="A33">
        <v>2032</v>
      </c>
      <c r="B33">
        <v>30</v>
      </c>
      <c r="C33" s="3">
        <f t="shared" ref="C33:C35" si="10">C25+2*(C45-C25)/5</f>
        <v>692206.83987172705</v>
      </c>
      <c r="D33" s="3">
        <f t="shared" si="8"/>
        <v>35450.919392022479</v>
      </c>
      <c r="E33" s="3">
        <f>D32+D33</f>
        <v>65811.598706142977</v>
      </c>
      <c r="F33" s="85"/>
      <c r="G33" s="3"/>
      <c r="H33" s="3"/>
      <c r="I33" s="3"/>
      <c r="J33" s="85"/>
      <c r="K33" s="3"/>
      <c r="L33" s="3"/>
      <c r="M33" s="3"/>
      <c r="N33" s="85"/>
      <c r="O33" s="3"/>
      <c r="P33" s="3"/>
      <c r="Q33" s="86"/>
    </row>
    <row r="34" spans="1:17">
      <c r="A34">
        <v>2032</v>
      </c>
      <c r="B34">
        <v>41</v>
      </c>
      <c r="C34" s="3">
        <f t="shared" si="10"/>
        <v>59568.485317939732</v>
      </c>
      <c r="D34" s="3">
        <f t="shared" si="8"/>
        <v>3137.7322113304417</v>
      </c>
      <c r="E34" s="3"/>
      <c r="F34" s="85"/>
      <c r="G34" s="3"/>
      <c r="H34" s="3"/>
      <c r="I34" s="3"/>
      <c r="J34" s="85"/>
      <c r="K34" s="3"/>
      <c r="L34" s="3"/>
      <c r="M34" s="3"/>
      <c r="N34" s="85"/>
      <c r="O34" s="3"/>
      <c r="P34" s="3"/>
      <c r="Q34" s="86"/>
    </row>
    <row r="35" spans="1:17">
      <c r="A35" s="91">
        <v>2032</v>
      </c>
      <c r="B35" s="91" t="s">
        <v>133</v>
      </c>
      <c r="C35" s="92">
        <f t="shared" si="10"/>
        <v>1238633.751492867</v>
      </c>
      <c r="D35" s="92">
        <f t="shared" si="8"/>
        <v>69843.308244810309</v>
      </c>
      <c r="E35" s="92">
        <f>E33</f>
        <v>65811.598706142977</v>
      </c>
      <c r="F35" s="93">
        <f>E35-I35</f>
        <v>54492.003728686381</v>
      </c>
      <c r="G35" s="92">
        <f>$E35*'Fleet ZEV fractions'!B24</f>
        <v>10924.725385219735</v>
      </c>
      <c r="H35" s="92">
        <f>$E35*'Fleet ZEV fractions'!C24</f>
        <v>394.8695922368579</v>
      </c>
      <c r="I35" s="92">
        <f>$E35*'Fleet ZEV fractions'!D24</f>
        <v>11319.594977456592</v>
      </c>
      <c r="J35" s="93">
        <f>E35-M35</f>
        <v>11846.087767105731</v>
      </c>
      <c r="K35" s="92">
        <f>$E35*'Fleet ZEV fractions'!H24</f>
        <v>51727.916583028382</v>
      </c>
      <c r="L35" s="92">
        <f>$E35*'Fleet ZEV fractions'!I24</f>
        <v>2237.5943560088613</v>
      </c>
      <c r="M35" s="92">
        <f>$E35*'Fleet ZEV fractions'!J24</f>
        <v>53965.510939037245</v>
      </c>
      <c r="N35" s="93">
        <f>E35-Q35</f>
        <v>11846.087767105731</v>
      </c>
      <c r="O35" s="92">
        <f>$E35*'Fleet ZEV fractions'!K24</f>
        <v>51727.916583028382</v>
      </c>
      <c r="P35" s="92">
        <f>$E35*'Fleet ZEV fractions'!L24</f>
        <v>2237.5943560088613</v>
      </c>
      <c r="Q35" s="95">
        <f>$E35*'Fleet ZEV fractions'!M24</f>
        <v>53965.510939037245</v>
      </c>
    </row>
    <row r="36" spans="1:17">
      <c r="A36">
        <v>2033</v>
      </c>
      <c r="B36">
        <v>20</v>
      </c>
      <c r="C36" s="3">
        <f>C24+3*(C44-C24)/5</f>
        <v>491578.05417575</v>
      </c>
      <c r="D36" s="3">
        <f t="shared" si="8"/>
        <v>30901.420771132929</v>
      </c>
      <c r="E36" s="3"/>
      <c r="F36" s="85"/>
      <c r="G36" s="3"/>
      <c r="H36" s="3"/>
      <c r="I36" s="3"/>
      <c r="J36" s="85"/>
      <c r="K36" s="3"/>
      <c r="L36" s="3"/>
      <c r="M36" s="3"/>
      <c r="N36" s="85"/>
      <c r="O36" s="3"/>
      <c r="P36" s="3"/>
      <c r="Q36" s="86"/>
    </row>
    <row r="37" spans="1:17">
      <c r="A37">
        <v>2033</v>
      </c>
      <c r="B37">
        <v>30</v>
      </c>
      <c r="C37" s="3">
        <f>C25+3*(C45-C25)/5</f>
        <v>690533.0471825006</v>
      </c>
      <c r="D37" s="3">
        <f t="shared" si="8"/>
        <v>35292.746443435411</v>
      </c>
      <c r="E37" s="3">
        <f>D36+D37</f>
        <v>66194.167214568341</v>
      </c>
      <c r="F37" s="85"/>
      <c r="G37" s="3"/>
      <c r="H37" s="3"/>
      <c r="I37" s="3"/>
      <c r="J37" s="85"/>
      <c r="K37" s="3"/>
      <c r="L37" s="3"/>
      <c r="M37" s="3"/>
      <c r="N37" s="85"/>
      <c r="O37" s="3"/>
      <c r="P37" s="3"/>
      <c r="Q37" s="86"/>
    </row>
    <row r="38" spans="1:17">
      <c r="A38">
        <v>2033</v>
      </c>
      <c r="B38">
        <v>41</v>
      </c>
      <c r="C38" s="3">
        <f>C26+3*(C46-C26)/5</f>
        <v>60211.393136909603</v>
      </c>
      <c r="D38" s="3">
        <f t="shared" si="8"/>
        <v>3180.2504129863423</v>
      </c>
      <c r="E38" s="3"/>
      <c r="F38" s="85"/>
      <c r="G38" s="3"/>
      <c r="H38" s="3"/>
      <c r="I38" s="3"/>
      <c r="J38" s="85"/>
      <c r="K38" s="3"/>
      <c r="L38" s="3"/>
      <c r="M38" s="3"/>
      <c r="N38" s="85"/>
      <c r="O38" s="3"/>
      <c r="P38" s="3"/>
      <c r="Q38" s="86"/>
    </row>
    <row r="39" spans="1:17">
      <c r="A39" s="91">
        <v>2033</v>
      </c>
      <c r="B39" s="91" t="s">
        <v>133</v>
      </c>
      <c r="C39" s="92">
        <f>C27+3*(C47-C27)/5</f>
        <v>1242322.4944951602</v>
      </c>
      <c r="D39" s="92">
        <f t="shared" si="8"/>
        <v>70319.089127133353</v>
      </c>
      <c r="E39" s="92">
        <f>E37</f>
        <v>66194.167214568341</v>
      </c>
      <c r="F39" s="93">
        <f>E39-I39</f>
        <v>54808.770453662582</v>
      </c>
      <c r="G39" s="92">
        <f>$E39*'Fleet ZEV fractions'!B25</f>
        <v>10988.231757618345</v>
      </c>
      <c r="H39" s="92">
        <f>$E39*'Fleet ZEV fractions'!C25</f>
        <v>397.16500328741006</v>
      </c>
      <c r="I39" s="92">
        <f>$E39*'Fleet ZEV fractions'!D25</f>
        <v>11385.396760905756</v>
      </c>
      <c r="J39" s="93">
        <f>E39-M39</f>
        <v>7943.3000657482044</v>
      </c>
      <c r="K39" s="92">
        <f>$E39*'Fleet ZEV fractions'!H25</f>
        <v>53815.857945444055</v>
      </c>
      <c r="L39" s="92">
        <f>$E39*'Fleet ZEV fractions'!I25</f>
        <v>4435.0092033760793</v>
      </c>
      <c r="M39" s="92">
        <f>$E39*'Fleet ZEV fractions'!J25</f>
        <v>58250.867148820136</v>
      </c>
      <c r="N39" s="93">
        <f>E39-Q39</f>
        <v>7943.3000657482044</v>
      </c>
      <c r="O39" s="92">
        <f>$E39*'Fleet ZEV fractions'!K25</f>
        <v>53815.857945444055</v>
      </c>
      <c r="P39" s="92">
        <f>$E39*'Fleet ZEV fractions'!L25</f>
        <v>4435.0092033760793</v>
      </c>
      <c r="Q39" s="95">
        <f>$E39*'Fleet ZEV fractions'!M25</f>
        <v>58250.867148820136</v>
      </c>
    </row>
    <row r="40" spans="1:17">
      <c r="A40">
        <v>2034</v>
      </c>
      <c r="B40">
        <v>20</v>
      </c>
      <c r="C40" s="3">
        <f>C24+4*(C44-C24)/5</f>
        <v>496297.68204830005</v>
      </c>
      <c r="D40" s="3">
        <f t="shared" si="8"/>
        <v>31446.894041857042</v>
      </c>
      <c r="E40" s="3"/>
      <c r="F40" s="85"/>
      <c r="G40" s="3"/>
      <c r="H40" s="3"/>
      <c r="I40" s="3"/>
      <c r="J40" s="85"/>
      <c r="K40" s="3"/>
      <c r="L40" s="3"/>
      <c r="M40" s="3"/>
      <c r="N40" s="85"/>
      <c r="O40" s="3"/>
      <c r="P40" s="3"/>
      <c r="Q40" s="86"/>
    </row>
    <row r="41" spans="1:17">
      <c r="A41">
        <v>2034</v>
      </c>
      <c r="B41">
        <v>30</v>
      </c>
      <c r="C41" s="3">
        <f t="shared" ref="C41:C43" si="11">C25+4*(C45-C25)/5</f>
        <v>688859.25449327403</v>
      </c>
      <c r="D41" s="3">
        <f t="shared" si="8"/>
        <v>35134.92472363366</v>
      </c>
      <c r="E41" s="3">
        <f>D40+D41</f>
        <v>66581.818765490694</v>
      </c>
      <c r="F41" s="85"/>
      <c r="G41" s="3"/>
      <c r="H41" s="3"/>
      <c r="I41" s="3"/>
      <c r="J41" s="85"/>
      <c r="K41" s="3"/>
      <c r="L41" s="3"/>
      <c r="M41" s="3"/>
      <c r="N41" s="85"/>
      <c r="O41" s="3"/>
      <c r="P41" s="3"/>
      <c r="Q41" s="86"/>
    </row>
    <row r="42" spans="1:17">
      <c r="A42">
        <v>2034</v>
      </c>
      <c r="B42">
        <v>41</v>
      </c>
      <c r="C42" s="3">
        <f t="shared" si="11"/>
        <v>60854.300955879466</v>
      </c>
      <c r="D42" s="3">
        <f t="shared" si="8"/>
        <v>3222.9534090402863</v>
      </c>
      <c r="E42" s="3"/>
      <c r="F42" s="85"/>
      <c r="G42" s="3"/>
      <c r="H42" s="3"/>
      <c r="I42" s="3"/>
      <c r="J42" s="85"/>
      <c r="K42" s="3"/>
      <c r="L42" s="3"/>
      <c r="M42" s="3"/>
      <c r="N42" s="85"/>
      <c r="O42" s="3"/>
      <c r="P42" s="3"/>
      <c r="Q42" s="86"/>
    </row>
    <row r="43" spans="1:17">
      <c r="A43" s="91">
        <v>2034</v>
      </c>
      <c r="B43" s="91" t="s">
        <v>133</v>
      </c>
      <c r="C43" s="92">
        <f t="shared" si="11"/>
        <v>1246011.2374974536</v>
      </c>
      <c r="D43" s="92">
        <f t="shared" si="8"/>
        <v>70796.460224940558</v>
      </c>
      <c r="E43" s="92">
        <f>E41</f>
        <v>66581.818765490694</v>
      </c>
      <c r="F43" s="93">
        <f>E43-I43</f>
        <v>55129.745937826294</v>
      </c>
      <c r="G43" s="92">
        <f>$E43*'Fleet ZEV fractions'!B26</f>
        <v>11052.581915071456</v>
      </c>
      <c r="H43" s="92">
        <f>$E43*'Fleet ZEV fractions'!C26</f>
        <v>399.4909125929442</v>
      </c>
      <c r="I43" s="92">
        <f>$E43*'Fleet ZEV fractions'!D26</f>
        <v>11452.0728276644</v>
      </c>
      <c r="J43" s="93">
        <f>E43-M43</f>
        <v>3994.9091259294437</v>
      </c>
      <c r="K43" s="92">
        <f>$E43*'Fleet ZEV fractions'!H26</f>
        <v>55063.164119060799</v>
      </c>
      <c r="L43" s="92">
        <f>$E43*'Fleet ZEV fractions'!I26</f>
        <v>7523.7455205004489</v>
      </c>
      <c r="M43" s="92">
        <f>$E43*'Fleet ZEV fractions'!J26</f>
        <v>62586.909639561251</v>
      </c>
      <c r="N43" s="93">
        <f>E43-Q43</f>
        <v>3994.9091259294437</v>
      </c>
      <c r="O43" s="92">
        <f>$E43*'Fleet ZEV fractions'!K26</f>
        <v>55063.164119060799</v>
      </c>
      <c r="P43" s="92">
        <f>$E43*'Fleet ZEV fractions'!L26</f>
        <v>7523.7455205004489</v>
      </c>
      <c r="Q43" s="95">
        <f>$E43*'Fleet ZEV fractions'!M26</f>
        <v>62586.909639561251</v>
      </c>
    </row>
    <row r="44" spans="1:17">
      <c r="A44">
        <v>2035</v>
      </c>
      <c r="B44">
        <v>20</v>
      </c>
      <c r="C44" s="3">
        <f>'Combined MOVES output'!AE28</f>
        <v>501017.30992085004</v>
      </c>
      <c r="D44" s="3">
        <f t="shared" ref="D44:D51" si="12">C44*U18</f>
        <v>31997.099126292833</v>
      </c>
      <c r="E44" s="3"/>
      <c r="F44" s="85"/>
      <c r="G44" s="3"/>
      <c r="H44" s="3"/>
      <c r="I44" s="89"/>
      <c r="J44" s="85"/>
      <c r="K44" s="3"/>
      <c r="L44" s="3"/>
      <c r="M44" s="89"/>
      <c r="N44" s="85"/>
      <c r="O44" s="3"/>
      <c r="P44" s="3"/>
      <c r="Q44" s="90"/>
    </row>
    <row r="45" spans="1:17">
      <c r="A45">
        <v>2035</v>
      </c>
      <c r="B45">
        <v>30</v>
      </c>
      <c r="C45" s="3">
        <f>'Combined MOVES output'!AE29</f>
        <v>687185.46180404758</v>
      </c>
      <c r="D45" s="3">
        <f t="shared" si="12"/>
        <v>34977.45423261723</v>
      </c>
      <c r="E45" s="3">
        <f>D44+D45</f>
        <v>66974.553358910067</v>
      </c>
      <c r="F45" s="85"/>
      <c r="G45" s="3"/>
      <c r="H45" s="3"/>
      <c r="I45" s="89"/>
      <c r="J45" s="85"/>
      <c r="K45" s="3"/>
      <c r="L45" s="3"/>
      <c r="M45" s="89"/>
      <c r="N45" s="85"/>
      <c r="O45" s="3"/>
      <c r="P45" s="3"/>
      <c r="Q45" s="90"/>
    </row>
    <row r="46" spans="1:17">
      <c r="A46">
        <v>2035</v>
      </c>
      <c r="B46">
        <v>41</v>
      </c>
      <c r="C46" s="3">
        <f>'Combined MOVES output'!AE30</f>
        <v>61497.208774849329</v>
      </c>
      <c r="D46" s="3">
        <f t="shared" si="12"/>
        <v>3265.8411994922744</v>
      </c>
      <c r="E46" s="3"/>
      <c r="F46" s="85"/>
      <c r="G46" s="3"/>
      <c r="H46" s="3"/>
      <c r="I46" s="89"/>
      <c r="J46" s="85"/>
      <c r="K46" s="3"/>
      <c r="L46" s="3"/>
      <c r="M46" s="89"/>
      <c r="N46" s="85"/>
      <c r="O46" s="3"/>
      <c r="P46" s="3"/>
      <c r="Q46" s="90"/>
    </row>
    <row r="47" spans="1:17">
      <c r="A47" s="91">
        <v>2035</v>
      </c>
      <c r="B47" s="91" t="s">
        <v>133</v>
      </c>
      <c r="C47" s="92">
        <f>'Combined MOVES output'!AE31</f>
        <v>1249699.980499747</v>
      </c>
      <c r="D47" s="92">
        <f t="shared" si="12"/>
        <v>71275.421538231894</v>
      </c>
      <c r="E47" s="92">
        <f>E45</f>
        <v>66974.553358910067</v>
      </c>
      <c r="F47" s="93">
        <f>E47-I47</f>
        <v>55454.930181177537</v>
      </c>
      <c r="G47" s="94">
        <f>$E47*'Fleet ZEV fractions'!B27</f>
        <v>11117.775857579072</v>
      </c>
      <c r="H47" s="94">
        <f>$E47*'Fleet ZEV fractions'!C27</f>
        <v>401.84732015346043</v>
      </c>
      <c r="I47" s="94">
        <f>$E47*'Fleet ZEV fractions'!D27</f>
        <v>11519.623177732532</v>
      </c>
      <c r="J47" s="93">
        <f>E47-M47</f>
        <v>0</v>
      </c>
      <c r="K47" s="92">
        <f>$E47*'Fleet ZEV fractions'!H27</f>
        <v>55387.955627818621</v>
      </c>
      <c r="L47" s="92">
        <f>$E47*'Fleet ZEV fractions'!I27</f>
        <v>11586.59773109144</v>
      </c>
      <c r="M47" s="92">
        <f>$E47*'Fleet ZEV fractions'!J27</f>
        <v>66974.553358910067</v>
      </c>
      <c r="N47" s="93">
        <f>E47-Q47</f>
        <v>0</v>
      </c>
      <c r="O47" s="92">
        <f>$E47*'Fleet ZEV fractions'!K27</f>
        <v>55387.955627818621</v>
      </c>
      <c r="P47" s="92">
        <f>$E47*'Fleet ZEV fractions'!L27</f>
        <v>11586.59773109144</v>
      </c>
      <c r="Q47" s="95">
        <f>$E47*'Fleet ZEV fractions'!M27</f>
        <v>66974.553358910067</v>
      </c>
    </row>
    <row r="48" spans="1:17">
      <c r="A48">
        <v>2040</v>
      </c>
      <c r="B48">
        <v>20</v>
      </c>
      <c r="C48" s="3">
        <f>'Combined MOVES output'!AE33</f>
        <v>530810.46752018004</v>
      </c>
      <c r="D48" s="3">
        <f t="shared" si="12"/>
        <v>33530.973603711303</v>
      </c>
      <c r="E48" s="3"/>
      <c r="F48" s="85"/>
      <c r="G48" s="3"/>
      <c r="H48" s="3"/>
      <c r="I48" s="89"/>
      <c r="J48" s="85"/>
      <c r="K48" s="3"/>
      <c r="L48" s="3"/>
      <c r="M48" s="89"/>
      <c r="N48" s="85"/>
      <c r="O48" s="3"/>
      <c r="P48" s="3"/>
      <c r="Q48" s="90"/>
    </row>
    <row r="49" spans="1:17">
      <c r="A49">
        <v>2040</v>
      </c>
      <c r="B49">
        <v>30</v>
      </c>
      <c r="C49" s="3">
        <f>'Combined MOVES output'!AE34</f>
        <v>671325.97351000505</v>
      </c>
      <c r="D49" s="3">
        <f t="shared" si="12"/>
        <v>34327.836192094852</v>
      </c>
      <c r="E49" s="3">
        <f>D48+D49</f>
        <v>67858.809795806155</v>
      </c>
      <c r="F49" s="85"/>
      <c r="G49" s="3"/>
      <c r="H49" s="3"/>
      <c r="I49" s="89"/>
      <c r="J49" s="85"/>
      <c r="K49" s="3"/>
      <c r="L49" s="3"/>
      <c r="M49" s="89"/>
      <c r="N49" s="85"/>
      <c r="O49" s="3"/>
      <c r="P49" s="3"/>
      <c r="Q49" s="90"/>
    </row>
    <row r="50" spans="1:17">
      <c r="A50">
        <v>2040</v>
      </c>
      <c r="B50">
        <v>41</v>
      </c>
      <c r="C50" s="3">
        <f>'Combined MOVES output'!AE35</f>
        <v>64628.690430000002</v>
      </c>
      <c r="D50" s="3">
        <f t="shared" si="12"/>
        <v>3501.2568232343551</v>
      </c>
      <c r="E50" s="3"/>
      <c r="F50" s="85"/>
      <c r="G50" s="3"/>
      <c r="H50" s="3"/>
      <c r="I50" s="89"/>
      <c r="J50" s="85"/>
      <c r="K50" s="3"/>
      <c r="L50" s="3"/>
      <c r="M50" s="89"/>
      <c r="N50" s="85"/>
      <c r="O50" s="3"/>
      <c r="P50" s="3"/>
      <c r="Q50" s="90"/>
    </row>
    <row r="51" spans="1:17" ht="16" thickBot="1">
      <c r="A51" s="91">
        <v>2040</v>
      </c>
      <c r="B51" s="91" t="s">
        <v>133</v>
      </c>
      <c r="C51" s="92">
        <f>'Combined MOVES output'!AE36</f>
        <v>1266765.1314601852</v>
      </c>
      <c r="D51" s="92">
        <f t="shared" si="12"/>
        <v>72327.909126731945</v>
      </c>
      <c r="E51" s="92">
        <f>E49</f>
        <v>67858.809795806155</v>
      </c>
      <c r="F51" s="93">
        <f>E51-I51</f>
        <v>56187.094510927498</v>
      </c>
      <c r="G51" s="98">
        <f>$E51*'Fleet ZEV fractions'!B32</f>
        <v>11264.562426103823</v>
      </c>
      <c r="H51" s="98">
        <f>$E51*'Fleet ZEV fractions'!C32</f>
        <v>407.15285877483694</v>
      </c>
      <c r="I51" s="98">
        <f>$E51*'Fleet ZEV fractions'!D32</f>
        <v>11671.715284878659</v>
      </c>
      <c r="J51" s="96">
        <f>E51-M51</f>
        <v>0</v>
      </c>
      <c r="K51" s="97">
        <f>$E51*'Fleet ZEV fractions'!H32</f>
        <v>56119.235701131685</v>
      </c>
      <c r="L51" s="97">
        <f>$E51*'Fleet ZEV fractions'!I32</f>
        <v>11739.574094674465</v>
      </c>
      <c r="M51" s="97">
        <f>$E51*'Fleet ZEV fractions'!J32</f>
        <v>67858.809795806155</v>
      </c>
      <c r="N51" s="96">
        <f>E51-Q51</f>
        <v>0</v>
      </c>
      <c r="O51" s="97">
        <f>$E51*'Fleet ZEV fractions'!K32</f>
        <v>56119.235701131685</v>
      </c>
      <c r="P51" s="97">
        <f>$E51*'Fleet ZEV fractions'!L32</f>
        <v>11739.574094674465</v>
      </c>
      <c r="Q51" s="101">
        <f>$E51*'Fleet ZEV fractions'!M32</f>
        <v>67858.809795806155</v>
      </c>
    </row>
    <row r="52" spans="1:17">
      <c r="N52" s="250" t="s">
        <v>138</v>
      </c>
    </row>
    <row r="53" spans="1:17">
      <c r="N53" s="250" t="s">
        <v>455</v>
      </c>
    </row>
  </sheetData>
  <sheetProtection algorithmName="SHA-512" hashValue="3yX9INrVIYu/z1wnEgRSB1rnPy42dpMztTVl1dzGeyC96kDNn7GGtpbYgso01oxDkkauArIUVz3BVkpBIeSB4w==" saltValue="ECaJmPmBb1qqBSKr/rfx7Q==" spinCount="100000" sheet="1" objects="1" scenarios="1"/>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A47"/>
  <sheetViews>
    <sheetView topLeftCell="A7" workbookViewId="0">
      <selection activeCell="H29" sqref="H29"/>
    </sheetView>
  </sheetViews>
  <sheetFormatPr baseColWidth="10" defaultColWidth="8.83203125" defaultRowHeight="15"/>
  <cols>
    <col min="3" max="3" width="12" bestFit="1" customWidth="1"/>
    <col min="4" max="4" width="15.6640625" customWidth="1"/>
    <col min="5" max="6" width="11.6640625" customWidth="1"/>
    <col min="7" max="7" width="12.83203125" customWidth="1"/>
    <col min="8" max="9" width="12.5" customWidth="1"/>
    <col min="11" max="11" width="14.5" customWidth="1"/>
    <col min="12" max="12" width="15.33203125" customWidth="1"/>
    <col min="13" max="14" width="11.6640625" customWidth="1"/>
    <col min="18" max="18" width="16.6640625" bestFit="1" customWidth="1"/>
    <col min="19" max="19" width="11.6640625" customWidth="1"/>
    <col min="20" max="20" width="12.6640625" customWidth="1"/>
    <col min="21" max="22" width="14.6640625" customWidth="1"/>
    <col min="23" max="23" width="10.33203125" customWidth="1"/>
    <col min="24" max="24" width="13.6640625" customWidth="1"/>
    <col min="25" max="25" width="11" customWidth="1"/>
    <col min="26" max="32" width="13.33203125" customWidth="1"/>
    <col min="33" max="33" width="13.1640625" bestFit="1" customWidth="1"/>
    <col min="34" max="35" width="8.83203125" customWidth="1"/>
    <col min="36" max="36" width="12" customWidth="1"/>
    <col min="37" max="46" width="8.83203125" customWidth="1"/>
  </cols>
  <sheetData>
    <row r="1" spans="1:53">
      <c r="A1" s="2" t="s">
        <v>4</v>
      </c>
      <c r="P1" s="2"/>
      <c r="U1" s="6"/>
      <c r="V1" s="6"/>
    </row>
    <row r="2" spans="1:53">
      <c r="A2" t="s">
        <v>5</v>
      </c>
    </row>
    <row r="3" spans="1:53">
      <c r="A3" t="s">
        <v>113</v>
      </c>
    </row>
    <row r="4" spans="1:53">
      <c r="A4" t="s">
        <v>114</v>
      </c>
    </row>
    <row r="5" spans="1:53">
      <c r="A5" t="s">
        <v>205</v>
      </c>
      <c r="AH5" s="281" t="s">
        <v>46</v>
      </c>
      <c r="AI5" s="281"/>
    </row>
    <row r="6" spans="1:53">
      <c r="C6" s="3"/>
      <c r="P6" s="116" t="str">
        <f>'County Scale Output 2017-2040'!A3</f>
        <v>yearID</v>
      </c>
      <c r="Q6" s="81" t="str">
        <f>'County Scale Output 2017-2040'!B3</f>
        <v>regClassID</v>
      </c>
      <c r="R6" s="81" t="str">
        <f>'County Scale Output 2017-2040'!C3</f>
        <v>NOx</v>
      </c>
      <c r="S6" s="81" t="str">
        <f>'County Scale Output 2017-2040'!D3</f>
        <v>CH4</v>
      </c>
      <c r="T6" s="81" t="str">
        <f>'County Scale Output 2017-2040'!E3</f>
        <v>N2O</v>
      </c>
      <c r="U6" s="81" t="str">
        <f>'County Scale Output 2017-2040'!F3</f>
        <v>CO2</v>
      </c>
      <c r="V6" s="81" t="s">
        <v>47</v>
      </c>
      <c r="W6" s="81" t="str">
        <f>'County Scale Output 2017-2040'!G3</f>
        <v>Energy</v>
      </c>
      <c r="X6" s="81" t="str">
        <f>'County Scale Output 2017-2040'!H3</f>
        <v>PM25 Exh</v>
      </c>
      <c r="Y6" s="81" t="str">
        <f>'County Scale Output 2017-2040'!I3</f>
        <v>PM25 BW</v>
      </c>
      <c r="Z6" s="81" t="str">
        <f>'County Scale Output 2017-2040'!J3</f>
        <v>PM25 TW</v>
      </c>
      <c r="AA6" s="81" t="s">
        <v>24</v>
      </c>
      <c r="AB6" s="81" t="s">
        <v>115</v>
      </c>
      <c r="AC6" s="81" t="s">
        <v>116</v>
      </c>
      <c r="AD6" s="81" t="s">
        <v>117</v>
      </c>
      <c r="AE6" s="81" t="str">
        <f>'County Scale Output 2017-2040'!N3</f>
        <v>POP</v>
      </c>
      <c r="AF6" s="117" t="str">
        <f>'County Scale Output 2017-2040'!O3</f>
        <v>VMT</v>
      </c>
      <c r="AH6" t="s">
        <v>26</v>
      </c>
      <c r="AI6" t="s">
        <v>21</v>
      </c>
      <c r="AJ6" t="s">
        <v>47</v>
      </c>
    </row>
    <row r="7" spans="1:53">
      <c r="A7" s="116" t="s">
        <v>0</v>
      </c>
      <c r="B7" s="81" t="s">
        <v>1</v>
      </c>
      <c r="C7" s="81" t="s">
        <v>2</v>
      </c>
      <c r="D7" s="81" t="s">
        <v>47</v>
      </c>
      <c r="E7" s="81" t="s">
        <v>611</v>
      </c>
      <c r="F7" s="81" t="s">
        <v>24</v>
      </c>
      <c r="G7" s="81" t="s">
        <v>115</v>
      </c>
      <c r="H7" s="81" t="s">
        <v>116</v>
      </c>
      <c r="I7" s="81" t="s">
        <v>117</v>
      </c>
      <c r="J7" s="81" t="s">
        <v>74</v>
      </c>
      <c r="K7" s="117" t="s">
        <v>75</v>
      </c>
      <c r="L7" s="208" t="s">
        <v>3</v>
      </c>
      <c r="M7" s="208" t="s">
        <v>26</v>
      </c>
      <c r="N7" s="208" t="s">
        <v>21</v>
      </c>
      <c r="O7" s="29"/>
      <c r="P7" s="107">
        <f>'County Scale Output 2017-2040'!A4</f>
        <v>2017</v>
      </c>
      <c r="Q7" s="108">
        <f>'County Scale Output 2017-2040'!B4</f>
        <v>20</v>
      </c>
      <c r="R7" s="109">
        <f>'County Scale Output 2017-2040'!C4</f>
        <v>1232610098</v>
      </c>
      <c r="S7" s="109">
        <f>'County Scale Output 2017-2040'!D4</f>
        <v>144048969.59375</v>
      </c>
      <c r="T7" s="109">
        <f>'County Scale Output 2017-2040'!E4</f>
        <v>28972156.856933601</v>
      </c>
      <c r="U7" s="109">
        <f>'County Scale Output 2017-2040'!F4</f>
        <v>1861618470400</v>
      </c>
      <c r="V7" s="109">
        <f>AJ7</f>
        <v>1873853397383.21</v>
      </c>
      <c r="W7" s="109">
        <f>'County Scale Output 2017-2040'!G4</f>
        <v>24545217.605468798</v>
      </c>
      <c r="X7" s="109">
        <f>'County Scale Output 2017-2040'!H4</f>
        <v>25667036.046875</v>
      </c>
      <c r="Y7" s="109">
        <f>'County Scale Output 2017-2040'!I4</f>
        <v>11914135.9990234</v>
      </c>
      <c r="Z7" s="109">
        <f>'County Scale Output 2017-2040'!J4</f>
        <v>6853892.28662109</v>
      </c>
      <c r="AA7" s="109">
        <f>X7+Y7+Z7</f>
        <v>44435064.332519487</v>
      </c>
      <c r="AB7" s="109">
        <f>'County Scale Output 2017-2040'!K4</f>
        <v>1385682855.75</v>
      </c>
      <c r="AC7" s="109">
        <f>'County Scale Output 2017-2040'!L4</f>
        <v>31885658.5615234</v>
      </c>
      <c r="AD7" s="109">
        <f>'County Scale Output 2017-2040'!M4</f>
        <v>139974812.11328101</v>
      </c>
      <c r="AE7" s="109">
        <f>'County Scale Output 2017-2040'!N4</f>
        <v>429707.69851000002</v>
      </c>
      <c r="AF7" s="110">
        <f>'County Scale Output 2017-2040'!O4</f>
        <v>5368678950</v>
      </c>
      <c r="AH7">
        <v>25</v>
      </c>
      <c r="AI7">
        <v>298</v>
      </c>
      <c r="AJ7">
        <f>U7+(S7*AH7)+(T7*AI7)</f>
        <v>1873853397383.21</v>
      </c>
      <c r="AM7" s="6"/>
    </row>
    <row r="8" spans="1:53">
      <c r="A8">
        <v>2020</v>
      </c>
      <c r="B8" s="33" t="s">
        <v>109</v>
      </c>
      <c r="C8" s="3">
        <f>R16</f>
        <v>3348300856.6532669</v>
      </c>
      <c r="D8" s="3">
        <f>V16</f>
        <v>5494922033793.6426</v>
      </c>
      <c r="E8" s="3">
        <f>W17*(1-J27)</f>
        <v>54839424.501843609</v>
      </c>
      <c r="F8" s="3">
        <f t="shared" ref="F8:K8" si="0">AA16</f>
        <v>167033652.26804411</v>
      </c>
      <c r="G8" s="3">
        <f t="shared" si="0"/>
        <v>3206042582.6384683</v>
      </c>
      <c r="H8" s="3">
        <f t="shared" si="0"/>
        <v>75509179.190248311</v>
      </c>
      <c r="I8" s="3">
        <f t="shared" si="0"/>
        <v>344616598.6111145</v>
      </c>
      <c r="J8" s="3">
        <f t="shared" si="0"/>
        <v>1167930.4618703723</v>
      </c>
      <c r="K8" s="35">
        <f t="shared" si="0"/>
        <v>13882425512.266293</v>
      </c>
      <c r="L8" s="207"/>
      <c r="M8" s="207"/>
      <c r="N8" s="207"/>
      <c r="P8" s="107">
        <f>'County Scale Output 2017-2040'!A5</f>
        <v>2017</v>
      </c>
      <c r="Q8" s="108">
        <f>'County Scale Output 2017-2040'!B5</f>
        <v>30</v>
      </c>
      <c r="R8" s="109">
        <f>'County Scale Output 2017-2040'!C5</f>
        <v>2301457917</v>
      </c>
      <c r="S8" s="109">
        <f>'County Scale Output 2017-2040'!D5</f>
        <v>220331726.921875</v>
      </c>
      <c r="T8" s="109">
        <f>'County Scale Output 2017-2040'!E5</f>
        <v>67081497.605224602</v>
      </c>
      <c r="U8" s="109">
        <f>'County Scale Output 2017-2040'!F5</f>
        <v>3451835467392</v>
      </c>
      <c r="V8" s="109">
        <f t="shared" ref="V8:V10" si="1">AJ8</f>
        <v>3477334046851.4038</v>
      </c>
      <c r="W8" s="109">
        <f>'County Scale Output 2017-2040'!G5</f>
        <v>45520005.6484375</v>
      </c>
      <c r="X8" s="109">
        <f>'County Scale Output 2017-2040'!H5</f>
        <v>50330606.083984397</v>
      </c>
      <c r="Y8" s="109">
        <f>'County Scale Output 2017-2040'!I5</f>
        <v>18366523.333984401</v>
      </c>
      <c r="Z8" s="109">
        <f>'County Scale Output 2017-2040'!J5</f>
        <v>9766233.3417968806</v>
      </c>
      <c r="AA8" s="109">
        <f t="shared" ref="AA8:AA10" si="2">X8+Y8+Z8</f>
        <v>78463362.75976567</v>
      </c>
      <c r="AB8" s="109">
        <f>'County Scale Output 2017-2040'!K5</f>
        <v>2099131422.25</v>
      </c>
      <c r="AC8" s="109">
        <f>'County Scale Output 2017-2040'!L5</f>
        <v>58317925.582031198</v>
      </c>
      <c r="AD8" s="109">
        <f>'County Scale Output 2017-2040'!M5</f>
        <v>199583403.93164101</v>
      </c>
      <c r="AE8" s="109">
        <f>'County Scale Output 2017-2040'!N5</f>
        <v>656597.72198499995</v>
      </c>
      <c r="AF8" s="110">
        <f>'County Scale Output 2017-2040'!O5</f>
        <v>7653990264</v>
      </c>
      <c r="AH8">
        <v>25</v>
      </c>
      <c r="AI8">
        <v>298</v>
      </c>
      <c r="AJ8">
        <f>U8+(S8*AH8)+(T8*AI8)</f>
        <v>3477334046851.4038</v>
      </c>
      <c r="AN8" s="6"/>
    </row>
    <row r="9" spans="1:53">
      <c r="A9">
        <v>2025</v>
      </c>
      <c r="B9" s="33" t="s">
        <v>109</v>
      </c>
      <c r="C9" s="3">
        <f>R21</f>
        <v>1966240803.1918268</v>
      </c>
      <c r="D9" s="3">
        <f>V21</f>
        <v>4952985707848.1484</v>
      </c>
      <c r="E9" s="3">
        <f>W22*(1-J32)</f>
        <v>54636730.791605599</v>
      </c>
      <c r="F9" s="3">
        <f t="shared" ref="F9:K9" si="3">AA21</f>
        <v>148573445.75571996</v>
      </c>
      <c r="G9" s="3">
        <f t="shared" si="3"/>
        <v>2626016298.8532996</v>
      </c>
      <c r="H9" s="3">
        <f t="shared" si="3"/>
        <v>74470419.910997838</v>
      </c>
      <c r="I9" s="3">
        <f t="shared" si="3"/>
        <v>331147559.17934775</v>
      </c>
      <c r="J9" s="3">
        <f t="shared" si="3"/>
        <v>1199593.3636793261</v>
      </c>
      <c r="K9" s="35">
        <f t="shared" si="3"/>
        <v>14201837716.043446</v>
      </c>
      <c r="L9" s="207">
        <f>U21</f>
        <v>4923001463139.5596</v>
      </c>
      <c r="M9" s="207">
        <f>S21</f>
        <v>276919427.56133509</v>
      </c>
      <c r="N9" s="207">
        <f>T21</f>
        <v>77386775.233405903</v>
      </c>
      <c r="P9" s="107">
        <f>'County Scale Output 2017-2040'!A6</f>
        <v>2017</v>
      </c>
      <c r="Q9" s="108">
        <f>'County Scale Output 2017-2040'!B6</f>
        <v>41</v>
      </c>
      <c r="R9" s="109">
        <f>'County Scale Output 2017-2040'!C6</f>
        <v>1684870848</v>
      </c>
      <c r="S9" s="109">
        <f>'County Scale Output 2017-2040'!D6</f>
        <v>60254015.5</v>
      </c>
      <c r="T9" s="109">
        <f>'County Scale Output 2017-2040'!E6</f>
        <v>16714116</v>
      </c>
      <c r="U9" s="109">
        <f>'County Scale Output 2017-2040'!F6</f>
        <v>507678525440</v>
      </c>
      <c r="V9" s="109">
        <f t="shared" si="1"/>
        <v>514165682395.5</v>
      </c>
      <c r="W9" s="109">
        <f>'County Scale Output 2017-2040'!G6</f>
        <v>6604106.875</v>
      </c>
      <c r="X9" s="109">
        <f>'County Scale Output 2017-2040'!H6</f>
        <v>59661856.125</v>
      </c>
      <c r="Y9" s="109">
        <f>'County Scale Output 2017-2040'!I6</f>
        <v>1613576.2421875</v>
      </c>
      <c r="Z9" s="109">
        <f>'County Scale Output 2017-2040'!J6</f>
        <v>1172436.765625</v>
      </c>
      <c r="AA9" s="109">
        <f t="shared" si="2"/>
        <v>62447869.1328125</v>
      </c>
      <c r="AB9" s="109">
        <f>'County Scale Output 2017-2040'!K6</f>
        <v>496623010</v>
      </c>
      <c r="AC9" s="109">
        <f>'County Scale Output 2017-2040'!L6</f>
        <v>6133055.734375</v>
      </c>
      <c r="AD9" s="109">
        <f>'County Scale Output 2017-2040'!M6</f>
        <v>28539951.125</v>
      </c>
      <c r="AE9" s="109">
        <f>'County Scale Output 2017-2040'!N6</f>
        <v>62627.300289999999</v>
      </c>
      <c r="AF9" s="110">
        <f>'County Scale Output 2017-2040'!O6</f>
        <v>668108976</v>
      </c>
      <c r="AH9">
        <v>25</v>
      </c>
      <c r="AI9">
        <v>298</v>
      </c>
      <c r="AJ9">
        <f>U9+(S9*AH9)+(T9*AI9)</f>
        <v>514165682395.5</v>
      </c>
      <c r="AN9" s="6"/>
    </row>
    <row r="10" spans="1:53">
      <c r="A10">
        <v>2026</v>
      </c>
      <c r="B10" s="33" t="s">
        <v>109</v>
      </c>
      <c r="C10">
        <f t="shared" ref="C10:K10" si="4">C9+(C14-C9)/5</f>
        <v>1805621954.0604928</v>
      </c>
      <c r="D10" s="3">
        <f t="shared" si="4"/>
        <v>4869960123068.3994</v>
      </c>
      <c r="E10" s="3">
        <f t="shared" si="4"/>
        <v>54606336.602324665</v>
      </c>
      <c r="F10">
        <f t="shared" si="4"/>
        <v>146496528.07475668</v>
      </c>
      <c r="G10">
        <f t="shared" si="4"/>
        <v>2535415464.3662333</v>
      </c>
      <c r="H10" s="3">
        <f t="shared" si="4"/>
        <v>74311281.049391538</v>
      </c>
      <c r="I10">
        <f t="shared" si="4"/>
        <v>328955048.93566579</v>
      </c>
      <c r="J10">
        <f t="shared" si="4"/>
        <v>1205925.9440411169</v>
      </c>
      <c r="K10" s="82">
        <f t="shared" si="4"/>
        <v>14265720156.798876</v>
      </c>
      <c r="L10" s="207">
        <f t="shared" ref="L10:N10" si="5">L9+(L14-L9)/5</f>
        <v>4840691931022.0479</v>
      </c>
      <c r="M10" s="207">
        <f t="shared" si="5"/>
        <v>269633693.92953694</v>
      </c>
      <c r="N10" s="207">
        <f t="shared" si="5"/>
        <v>75595133.215142682</v>
      </c>
      <c r="P10" s="111">
        <f>P9</f>
        <v>2017</v>
      </c>
      <c r="Q10" s="112" t="s">
        <v>109</v>
      </c>
      <c r="R10" s="113">
        <f t="shared" ref="R10:Z10" si="6">SUM(R7:R9)</f>
        <v>5218938863</v>
      </c>
      <c r="S10" s="113">
        <f t="shared" si="6"/>
        <v>424634712.015625</v>
      </c>
      <c r="T10" s="113">
        <f t="shared" si="6"/>
        <v>112767770.4621582</v>
      </c>
      <c r="U10" s="113">
        <f t="shared" si="6"/>
        <v>5821132463232</v>
      </c>
      <c r="V10" s="114">
        <f t="shared" si="1"/>
        <v>5865353126630.1133</v>
      </c>
      <c r="W10" s="113">
        <f t="shared" si="6"/>
        <v>76669330.128906295</v>
      </c>
      <c r="X10" s="137">
        <f t="shared" si="6"/>
        <v>135659498.2558594</v>
      </c>
      <c r="Y10" s="113">
        <f t="shared" si="6"/>
        <v>31894235.575195301</v>
      </c>
      <c r="Z10" s="113">
        <f t="shared" si="6"/>
        <v>17792562.394042969</v>
      </c>
      <c r="AA10" s="114">
        <f t="shared" si="2"/>
        <v>185346296.22509769</v>
      </c>
      <c r="AB10" s="113">
        <f>SUM(AB7:AB9)</f>
        <v>3981437288</v>
      </c>
      <c r="AC10" s="113">
        <f t="shared" ref="AC10:AD10" si="7">SUM(AC7:AC9)</f>
        <v>96336639.877929598</v>
      </c>
      <c r="AD10" s="113">
        <f t="shared" si="7"/>
        <v>368098167.16992199</v>
      </c>
      <c r="AE10" s="113">
        <f>SUM(AE7:AE9)</f>
        <v>1148932.7207849999</v>
      </c>
      <c r="AF10" s="115">
        <f>SUM(AF7:AF9)</f>
        <v>13690778190</v>
      </c>
      <c r="AJ10">
        <f>SUM(AJ7:AJ9)</f>
        <v>5865353126630.1133</v>
      </c>
      <c r="AM10" s="2" t="s">
        <v>79</v>
      </c>
    </row>
    <row r="11" spans="1:53">
      <c r="A11">
        <v>2027</v>
      </c>
      <c r="B11" s="33" t="s">
        <v>109</v>
      </c>
      <c r="C11">
        <f t="shared" ref="C11:K11" si="8">C9+(C14-C9)/5*2</f>
        <v>1645003104.9291584</v>
      </c>
      <c r="D11" s="3">
        <f t="shared" si="8"/>
        <v>4786934538288.6494</v>
      </c>
      <c r="E11" s="3">
        <f t="shared" si="8"/>
        <v>54575942.413043723</v>
      </c>
      <c r="F11">
        <f t="shared" si="8"/>
        <v>144419610.3937934</v>
      </c>
      <c r="G11">
        <f t="shared" si="8"/>
        <v>2444814629.8791671</v>
      </c>
      <c r="H11" s="3">
        <f t="shared" si="8"/>
        <v>74152142.187785223</v>
      </c>
      <c r="I11">
        <f t="shared" si="8"/>
        <v>326762538.69198382</v>
      </c>
      <c r="J11">
        <f t="shared" si="8"/>
        <v>1212258.5244029078</v>
      </c>
      <c r="K11" s="82">
        <f t="shared" si="8"/>
        <v>14329602597.554306</v>
      </c>
      <c r="L11" s="207">
        <f t="shared" ref="L11:N11" si="9">L9+(L14-L9)/5*2</f>
        <v>4758382398904.5361</v>
      </c>
      <c r="M11" s="207">
        <f t="shared" si="9"/>
        <v>262347960.29773873</v>
      </c>
      <c r="N11" s="207">
        <f t="shared" si="9"/>
        <v>73803491.196879461</v>
      </c>
      <c r="P11" s="38"/>
      <c r="R11" s="3"/>
      <c r="S11" s="3"/>
      <c r="T11" s="3"/>
      <c r="U11" s="3"/>
      <c r="V11" s="3"/>
      <c r="W11" s="3"/>
      <c r="X11" s="3"/>
      <c r="Y11" s="3"/>
      <c r="Z11" s="3"/>
      <c r="AA11" s="3"/>
      <c r="AB11" s="3"/>
      <c r="AC11" s="3"/>
      <c r="AD11" s="3"/>
      <c r="AE11" s="3"/>
      <c r="AF11" s="3"/>
      <c r="AH11" s="281"/>
      <c r="AI11" s="281"/>
      <c r="AM11" s="6"/>
    </row>
    <row r="12" spans="1:53">
      <c r="A12">
        <v>2028</v>
      </c>
      <c r="B12" s="33" t="s">
        <v>109</v>
      </c>
      <c r="C12">
        <f t="shared" ref="C12:K12" si="10">C9+(C14-C9)/5*3</f>
        <v>1484384255.7978244</v>
      </c>
      <c r="D12" s="3">
        <f t="shared" si="10"/>
        <v>4703908953508.9004</v>
      </c>
      <c r="E12" s="3">
        <f t="shared" si="10"/>
        <v>54545548.223762788</v>
      </c>
      <c r="F12">
        <f t="shared" si="10"/>
        <v>142342692.71283013</v>
      </c>
      <c r="G12">
        <f t="shared" si="10"/>
        <v>2354213795.3921013</v>
      </c>
      <c r="H12" s="3">
        <f t="shared" si="10"/>
        <v>73993003.326178923</v>
      </c>
      <c r="I12">
        <f t="shared" si="10"/>
        <v>324570028.44830191</v>
      </c>
      <c r="J12">
        <f t="shared" si="10"/>
        <v>1218591.1047646985</v>
      </c>
      <c r="K12" s="82">
        <f t="shared" si="10"/>
        <v>14393485038.309738</v>
      </c>
      <c r="L12" s="207">
        <f t="shared" ref="L12:N12" si="11">L9+(L14-L9)/5*3</f>
        <v>4676072866787.0234</v>
      </c>
      <c r="M12" s="207">
        <f t="shared" si="11"/>
        <v>255062226.66594058</v>
      </c>
      <c r="N12" s="207">
        <f t="shared" si="11"/>
        <v>72011849.178616241</v>
      </c>
      <c r="P12" s="6"/>
      <c r="AH12" t="s">
        <v>26</v>
      </c>
      <c r="AI12" t="s">
        <v>21</v>
      </c>
      <c r="AJ12" t="s">
        <v>47</v>
      </c>
      <c r="AM12" t="str">
        <f>'Output Interpolation'!AC8</f>
        <v>yearID</v>
      </c>
      <c r="AN12" t="str">
        <f>'Output Interpolation'!AD8</f>
        <v>regClassID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c r="A13">
        <v>2029</v>
      </c>
      <c r="B13" s="33" t="s">
        <v>109</v>
      </c>
      <c r="C13">
        <f t="shared" ref="C13:K13" si="12">C9+(C14-C9)/5*4</f>
        <v>1323765406.6664901</v>
      </c>
      <c r="D13" s="3">
        <f t="shared" si="12"/>
        <v>4620883368729.1504</v>
      </c>
      <c r="E13" s="3">
        <f t="shared" si="12"/>
        <v>54515154.034481846</v>
      </c>
      <c r="F13">
        <f t="shared" si="12"/>
        <v>140265775.03186685</v>
      </c>
      <c r="G13">
        <f t="shared" si="12"/>
        <v>2263612960.905035</v>
      </c>
      <c r="H13" s="3">
        <f t="shared" si="12"/>
        <v>73833864.464572608</v>
      </c>
      <c r="I13">
        <f t="shared" si="12"/>
        <v>322377518.20461994</v>
      </c>
      <c r="J13">
        <f t="shared" si="12"/>
        <v>1224923.6851264895</v>
      </c>
      <c r="K13" s="82">
        <f t="shared" si="12"/>
        <v>14457367479.065168</v>
      </c>
      <c r="L13" s="207">
        <f t="shared" ref="L13:N13" si="13">L9+(L14-L9)/5*4</f>
        <v>4593763334669.5117</v>
      </c>
      <c r="M13" s="207">
        <f t="shared" si="13"/>
        <v>247776493.0341424</v>
      </c>
      <c r="N13" s="207">
        <f t="shared" si="13"/>
        <v>70220207.16035302</v>
      </c>
      <c r="P13">
        <f t="shared" ref="P13:P15" si="14">AM13</f>
        <v>2020</v>
      </c>
      <c r="Q13">
        <f t="shared" ref="Q13:Q15" si="15">AN13</f>
        <v>20</v>
      </c>
      <c r="R13" s="31">
        <f t="shared" ref="R13:U15" si="16">R7-AO13*(R7-R23)</f>
        <v>812523369.04226744</v>
      </c>
      <c r="S13" s="31">
        <f t="shared" si="16"/>
        <v>112582646.4129447</v>
      </c>
      <c r="T13" s="31">
        <f t="shared" si="16"/>
        <v>25513506.501132425</v>
      </c>
      <c r="U13" s="31">
        <f t="shared" si="16"/>
        <v>1756210149510.7446</v>
      </c>
      <c r="V13" s="3">
        <f>AJ13</f>
        <v>1766627740608.4058</v>
      </c>
      <c r="W13" s="31">
        <f t="shared" ref="W13:X15" si="17">W7-AS13*(W7-W23)</f>
        <v>19168689.182833113</v>
      </c>
      <c r="X13" s="43">
        <f t="shared" si="17"/>
        <v>26527682.590401214</v>
      </c>
      <c r="Y13" s="43">
        <f t="shared" ref="Y13:Z15" si="18">IF(Y7&lt;Y23,Y7+AU13*(Y23-Y7),Y7+AU13*(Y7-Y23))</f>
        <v>12095592.074641278</v>
      </c>
      <c r="Z13" s="43">
        <f t="shared" si="18"/>
        <v>6955714.9867577143</v>
      </c>
      <c r="AA13" s="3">
        <f>X13+Y13+Z13</f>
        <v>45578989.6518002</v>
      </c>
      <c r="AB13" s="31">
        <f>AB7-AW13*(AB7-AB23)</f>
        <v>1164136613.1479387</v>
      </c>
      <c r="AC13" s="31">
        <f t="shared" ref="AC13:AD13" si="19">AC7-AX13*(AC7-AC23)</f>
        <v>25327631.404753476</v>
      </c>
      <c r="AD13" s="31">
        <f t="shared" si="19"/>
        <v>129776300.10993989</v>
      </c>
      <c r="AE13" s="43">
        <f>IF(AE7&lt;AE23,AE7+AZ13*(AE23-AE7),AE7+AZ13*(AE7-AE23))</f>
        <v>440718.03821340768</v>
      </c>
      <c r="AF13" s="43">
        <f>IF(AF7&lt;AF23,AF7+BA13*(AF23-AF7),AF7+BA13*(AF7-AF23))</f>
        <v>5447950272.6761541</v>
      </c>
      <c r="AH13">
        <v>25</v>
      </c>
      <c r="AI13">
        <v>298</v>
      </c>
      <c r="AJ13">
        <f>U13+(S13*AH13)+(T13*AI13)</f>
        <v>1766627740608.4058</v>
      </c>
      <c r="AM13">
        <f>'Output Interpolation'!AC9</f>
        <v>2020</v>
      </c>
      <c r="AN13">
        <f>'Output Interpolation'!AD9</f>
        <v>20</v>
      </c>
      <c r="AO13">
        <f>'Output Interpolation'!AE9</f>
        <v>0.45566796927691655</v>
      </c>
      <c r="AP13">
        <f>'Output Interpolation'!AF9</f>
        <v>0.51319451378416625</v>
      </c>
      <c r="AQ13">
        <f>'Output Interpolation'!AG9</f>
        <v>0.41551981139560268</v>
      </c>
      <c r="AR13">
        <f>'Output Interpolation'!AH9</f>
        <v>0.25224154951599254</v>
      </c>
      <c r="AS13">
        <f>'Output Interpolation'!AI9</f>
        <v>0.97726369502710475</v>
      </c>
      <c r="AT13">
        <f>'Output Interpolation'!AJ9</f>
        <v>0.61928569710096604</v>
      </c>
      <c r="AU13">
        <f>'Output Interpolation'!AN9</f>
        <v>0.23076923076923078</v>
      </c>
      <c r="AV13">
        <f>'Output Interpolation'!AO9</f>
        <v>0.23076923076923078</v>
      </c>
      <c r="AW13">
        <f>'Output Interpolation'!AK9</f>
        <v>0.41169414436270135</v>
      </c>
      <c r="AX13">
        <f>'Output Interpolation'!AL9</f>
        <v>0.91816163687936947</v>
      </c>
      <c r="AY13">
        <f>'Output Interpolation'!AM9</f>
        <v>0.55020203952942903</v>
      </c>
      <c r="AZ13">
        <f>'Output Interpolation'!AP9</f>
        <v>0.23076923076923078</v>
      </c>
      <c r="BA13">
        <f>'Output Interpolation'!AQ9</f>
        <v>0.23076923076923078</v>
      </c>
    </row>
    <row r="14" spans="1:53">
      <c r="A14">
        <v>2030</v>
      </c>
      <c r="B14" s="33" t="s">
        <v>109</v>
      </c>
      <c r="C14" s="3">
        <f>R26</f>
        <v>1163146557.535156</v>
      </c>
      <c r="D14" s="3">
        <f>V26</f>
        <v>4537857783949.4014</v>
      </c>
      <c r="E14" s="3">
        <f>W27*(1-J37)</f>
        <v>54484759.845200911</v>
      </c>
      <c r="F14" s="3">
        <f t="shared" ref="F14:K14" si="20">AA26</f>
        <v>138188857.35090357</v>
      </c>
      <c r="G14" s="3">
        <f t="shared" si="20"/>
        <v>2173012126.4179688</v>
      </c>
      <c r="H14" s="3">
        <f t="shared" si="20"/>
        <v>73674725.602966309</v>
      </c>
      <c r="I14" s="3">
        <f t="shared" si="20"/>
        <v>320185007.96093798</v>
      </c>
      <c r="J14" s="3">
        <f t="shared" si="20"/>
        <v>1231256.2654882802</v>
      </c>
      <c r="K14" s="35">
        <f t="shared" si="20"/>
        <v>14521249919.820599</v>
      </c>
      <c r="L14" s="207">
        <f>U26</f>
        <v>4511453802552</v>
      </c>
      <c r="M14" s="207">
        <f>S26</f>
        <v>240490759.40234423</v>
      </c>
      <c r="N14" s="207">
        <f>T26</f>
        <v>68428565.142089799</v>
      </c>
      <c r="P14">
        <f t="shared" si="14"/>
        <v>2020</v>
      </c>
      <c r="Q14">
        <f t="shared" si="15"/>
        <v>30</v>
      </c>
      <c r="R14" s="31">
        <f t="shared" si="16"/>
        <v>1481012874.4572721</v>
      </c>
      <c r="S14" s="31">
        <f t="shared" si="16"/>
        <v>170300357.1432445</v>
      </c>
      <c r="T14" s="31">
        <f t="shared" si="16"/>
        <v>56594589.500564747</v>
      </c>
      <c r="U14" s="31">
        <f t="shared" si="16"/>
        <v>3218347309731.4492</v>
      </c>
      <c r="V14" s="3">
        <f t="shared" ref="V14:V16" si="21">AJ14</f>
        <v>3239470006331.1987</v>
      </c>
      <c r="W14" s="31">
        <f t="shared" si="17"/>
        <v>35672792.199552618</v>
      </c>
      <c r="X14" s="43">
        <f t="shared" si="17"/>
        <v>50797786.383316845</v>
      </c>
      <c r="Y14" s="43">
        <f t="shared" si="18"/>
        <v>18651939.960348893</v>
      </c>
      <c r="Z14" s="43">
        <f t="shared" si="18"/>
        <v>9915094.5147680845</v>
      </c>
      <c r="AA14" s="3">
        <f t="shared" ref="AA14:AA16" si="22">X14+Y14+Z14</f>
        <v>79364820.858433813</v>
      </c>
      <c r="AB14" s="31">
        <f>AB8-AW14*(AB8-AB24)</f>
        <v>1690634475.1892414</v>
      </c>
      <c r="AC14" s="31">
        <f t="shared" ref="AC14:AD14" si="23">AC8-AX14*(AC8-AC24)</f>
        <v>45929970.785496481</v>
      </c>
      <c r="AD14" s="31">
        <f t="shared" si="23"/>
        <v>189154418.40150854</v>
      </c>
      <c r="AE14" s="43">
        <f>IF(AE8&lt;AE24,AE8+AZ14*(AE24-AE8),AE8+AZ14*(AE8-AE24))</f>
        <v>665587.73043081071</v>
      </c>
      <c r="AF14" s="43">
        <f>IF(AF8&lt;AF24,AF8+BA14*(AF24-AF8),AF8+BA14*(AF8-AF24))</f>
        <v>7770192146.0516768</v>
      </c>
      <c r="AH14">
        <v>25</v>
      </c>
      <c r="AI14">
        <v>298</v>
      </c>
      <c r="AJ14">
        <f>U14+(S14*AH14)+(T14*AI14)</f>
        <v>3239470006331.1987</v>
      </c>
      <c r="AM14">
        <f>'Output Interpolation'!AC10</f>
        <v>2020</v>
      </c>
      <c r="AN14">
        <f>'Output Interpolation'!AD10</f>
        <v>30</v>
      </c>
      <c r="AO14">
        <f>'Output Interpolation'!AE10</f>
        <v>0.46800426474379964</v>
      </c>
      <c r="AP14">
        <f>'Output Interpolation'!AF10</f>
        <v>0.53207270047342847</v>
      </c>
      <c r="AQ14">
        <f>'Output Interpolation'!AG10</f>
        <v>0.42135908956121226</v>
      </c>
      <c r="AR14">
        <f>'Output Interpolation'!AH10</f>
        <v>0.30621599641388336</v>
      </c>
      <c r="AS14">
        <f>'Output Interpolation'!AI10</f>
        <v>0.97787699004323925</v>
      </c>
      <c r="AT14">
        <f>'Output Interpolation'!AJ10</f>
        <v>0.3164114728348868</v>
      </c>
      <c r="AU14">
        <f>'Output Interpolation'!AN10</f>
        <v>0.23076923076923078</v>
      </c>
      <c r="AV14">
        <f>'Output Interpolation'!AO10</f>
        <v>0.23076923076923078</v>
      </c>
      <c r="AW14">
        <f>'Output Interpolation'!AK10</f>
        <v>0.45298465108163238</v>
      </c>
      <c r="AX14">
        <f>'Output Interpolation'!AL10</f>
        <v>0.92727738417218541</v>
      </c>
      <c r="AY14">
        <f>'Output Interpolation'!AM10</f>
        <v>0.49162394067651694</v>
      </c>
      <c r="AZ14">
        <f>'Output Interpolation'!AP10</f>
        <v>0.23076923076923078</v>
      </c>
      <c r="BA14">
        <f>'Output Interpolation'!AQ10</f>
        <v>0.23076923076923078</v>
      </c>
    </row>
    <row r="15" spans="1:53">
      <c r="A15">
        <v>2031</v>
      </c>
      <c r="B15" s="33" t="s">
        <v>109</v>
      </c>
      <c r="C15">
        <f t="shared" ref="C15:K15" si="24">C14+(C19-C14)/5</f>
        <v>1074434828.7874286</v>
      </c>
      <c r="D15" s="3">
        <f t="shared" si="24"/>
        <v>4502384257607.9941</v>
      </c>
      <c r="E15" s="3">
        <f t="shared" si="24"/>
        <v>54046269.656911105</v>
      </c>
      <c r="F15">
        <f t="shared" si="24"/>
        <v>134657782.55226147</v>
      </c>
      <c r="G15">
        <f t="shared" si="24"/>
        <v>2139813795.9981863</v>
      </c>
      <c r="H15" s="3">
        <f t="shared" si="24"/>
        <v>73271115.680753261</v>
      </c>
      <c r="I15">
        <f t="shared" si="24"/>
        <v>318354546.69926363</v>
      </c>
      <c r="J15">
        <f t="shared" si="24"/>
        <v>1234945.0084905736</v>
      </c>
      <c r="K15" s="82">
        <f t="shared" si="24"/>
        <v>14576428833.11355</v>
      </c>
      <c r="L15" s="226">
        <f t="shared" ref="L15:N15" si="25">L14+(L19-L14)/5</f>
        <v>4476329836740.5117</v>
      </c>
      <c r="M15" s="207">
        <f t="shared" si="25"/>
        <v>234182086.31058791</v>
      </c>
      <c r="N15" s="207">
        <f t="shared" si="25"/>
        <v>67784794.327911943</v>
      </c>
      <c r="P15">
        <f t="shared" si="14"/>
        <v>2020</v>
      </c>
      <c r="Q15">
        <f t="shared" si="15"/>
        <v>41</v>
      </c>
      <c r="R15" s="31">
        <f t="shared" si="16"/>
        <v>1054764613.1537273</v>
      </c>
      <c r="S15" s="31">
        <f t="shared" si="16"/>
        <v>46790484.82912533</v>
      </c>
      <c r="T15" s="31">
        <f t="shared" si="16"/>
        <v>12633011.258908331</v>
      </c>
      <c r="U15" s="31">
        <f t="shared" si="16"/>
        <v>483889887378.15558</v>
      </c>
      <c r="V15" s="3">
        <f t="shared" si="21"/>
        <v>488824286854.03839</v>
      </c>
      <c r="W15" s="31">
        <f t="shared" si="17"/>
        <v>4936323.2814136883</v>
      </c>
      <c r="X15" s="43">
        <f t="shared" si="17"/>
        <v>39281369.634913474</v>
      </c>
      <c r="Y15" s="43">
        <f t="shared" si="18"/>
        <v>1629798.9008413462</v>
      </c>
      <c r="Z15" s="43">
        <f t="shared" si="18"/>
        <v>1178673.2220552885</v>
      </c>
      <c r="AA15" s="3">
        <f t="shared" si="22"/>
        <v>42089841.757810108</v>
      </c>
      <c r="AB15" s="31">
        <f>AB9-AW15*(AB9-AB25)</f>
        <v>351271494.30128807</v>
      </c>
      <c r="AC15" s="31">
        <f t="shared" ref="AC15:AD15" si="26">AC9-AX15*(AC9-AC25)</f>
        <v>4251576.9999983609</v>
      </c>
      <c r="AD15" s="31">
        <f t="shared" si="26"/>
        <v>25685880.099666063</v>
      </c>
      <c r="AE15" s="43">
        <f>IF(AE9&lt;AE25,AE9+AZ15*(AE25-AE9),AE9-AZ15*(AE9-AE25))</f>
        <v>61624.693226153846</v>
      </c>
      <c r="AF15" s="43">
        <f>IF(AF9&lt;AF25,AF9+BA15*(AF25-AF9),AF9-BA15*(AF9-AF25))</f>
        <v>664283093.53846157</v>
      </c>
      <c r="AH15">
        <v>25</v>
      </c>
      <c r="AI15">
        <v>298</v>
      </c>
      <c r="AJ15">
        <f>U15+(S15*AH15)+(T15*AI15)</f>
        <v>488824286854.03839</v>
      </c>
      <c r="AM15">
        <f>'Output Interpolation'!AC11</f>
        <v>2020</v>
      </c>
      <c r="AN15">
        <f>'Output Interpolation'!AD11</f>
        <v>41</v>
      </c>
      <c r="AO15">
        <f>'Output Interpolation'!AE11</f>
        <v>0.4563320391367231</v>
      </c>
      <c r="AP15">
        <f>'Output Interpolation'!AF11</f>
        <v>0.46751193414401537</v>
      </c>
      <c r="AQ15">
        <f>'Output Interpolation'!AG11</f>
        <v>0.36676696690869187</v>
      </c>
      <c r="AR15">
        <f>'Output Interpolation'!AH11</f>
        <v>0.18398408850238732</v>
      </c>
      <c r="AS15">
        <f>'Output Interpolation'!AI11</f>
        <v>0.98035971310400816</v>
      </c>
      <c r="AT15">
        <f>'Output Interpolation'!AJ11</f>
        <v>0.38326215060315205</v>
      </c>
      <c r="AU15">
        <f>'Output Interpolation'!AN11</f>
        <v>0.23076923076923078</v>
      </c>
      <c r="AV15">
        <f>'Output Interpolation'!AO11</f>
        <v>0.23076923076923078</v>
      </c>
      <c r="AW15">
        <f>'Output Interpolation'!AK11</f>
        <v>0.39443861115830892</v>
      </c>
      <c r="AX15">
        <f>'Output Interpolation'!AL11</f>
        <v>0.87111164480785785</v>
      </c>
      <c r="AY15">
        <f>'Output Interpolation'!AM11</f>
        <v>0.34959738662661449</v>
      </c>
      <c r="AZ15">
        <f>'Output Interpolation'!AP11</f>
        <v>0.23076923076923078</v>
      </c>
      <c r="BA15">
        <f>'Output Interpolation'!AQ11</f>
        <v>0.23076923076923078</v>
      </c>
    </row>
    <row r="16" spans="1:53">
      <c r="A16">
        <v>2032</v>
      </c>
      <c r="B16" s="33" t="s">
        <v>109</v>
      </c>
      <c r="C16">
        <f t="shared" ref="C16:K16" si="27">C14+(C19-C14)/5*2</f>
        <v>985723100.0397011</v>
      </c>
      <c r="D16" s="3">
        <f t="shared" si="27"/>
        <v>4466910731266.5879</v>
      </c>
      <c r="E16" s="3">
        <f t="shared" si="27"/>
        <v>53607779.468621306</v>
      </c>
      <c r="F16">
        <f t="shared" si="27"/>
        <v>131126707.7536194</v>
      </c>
      <c r="G16">
        <f t="shared" si="27"/>
        <v>2106615465.5784037</v>
      </c>
      <c r="H16" s="3">
        <f t="shared" si="27"/>
        <v>72867505.758540228</v>
      </c>
      <c r="I16">
        <f t="shared" si="27"/>
        <v>316524085.43758929</v>
      </c>
      <c r="J16">
        <f t="shared" si="27"/>
        <v>1238633.751492867</v>
      </c>
      <c r="K16" s="82">
        <f t="shared" si="27"/>
        <v>14631607746.406504</v>
      </c>
      <c r="L16" s="226">
        <f t="shared" ref="L16:N16" si="28">L14+(L19-L14)/5*2</f>
        <v>4441205870929.0244</v>
      </c>
      <c r="M16" s="207">
        <f t="shared" si="28"/>
        <v>227873413.2188316</v>
      </c>
      <c r="N16" s="207">
        <f t="shared" si="28"/>
        <v>67141023.513734087</v>
      </c>
      <c r="P16">
        <v>2020</v>
      </c>
      <c r="Q16" s="8" t="s">
        <v>109</v>
      </c>
      <c r="R16" s="31">
        <f t="shared" ref="R16:Z16" si="29">SUM(R13:R15)</f>
        <v>3348300856.6532669</v>
      </c>
      <c r="S16" s="31">
        <f t="shared" si="29"/>
        <v>329673488.38531452</v>
      </c>
      <c r="T16" s="31">
        <f t="shared" si="29"/>
        <v>94741107.260605499</v>
      </c>
      <c r="U16" s="31">
        <f t="shared" si="29"/>
        <v>5458447346620.3486</v>
      </c>
      <c r="V16" s="3">
        <f t="shared" si="21"/>
        <v>5494922033793.6426</v>
      </c>
      <c r="W16" s="31">
        <f t="shared" si="29"/>
        <v>59777804.66379942</v>
      </c>
      <c r="X16" s="43">
        <f t="shared" si="29"/>
        <v>116606838.60863154</v>
      </c>
      <c r="Y16" s="31">
        <f t="shared" si="29"/>
        <v>32377330.935831517</v>
      </c>
      <c r="Z16" s="31">
        <f t="shared" si="29"/>
        <v>18049482.723581087</v>
      </c>
      <c r="AA16" s="3">
        <f t="shared" si="22"/>
        <v>167033652.26804411</v>
      </c>
      <c r="AB16" s="31">
        <f t="shared" ref="AB16:AD16" si="30">SUM(AB13:AB15)</f>
        <v>3206042582.6384683</v>
      </c>
      <c r="AC16" s="31">
        <f t="shared" si="30"/>
        <v>75509179.190248311</v>
      </c>
      <c r="AD16" s="31">
        <f t="shared" si="30"/>
        <v>344616598.6111145</v>
      </c>
      <c r="AE16" s="31">
        <f>SUM(AE13:AE15)</f>
        <v>1167930.4618703723</v>
      </c>
      <c r="AF16" s="43">
        <f>SUM(AF13:AF15)</f>
        <v>13882425512.266293</v>
      </c>
      <c r="AG16" s="207">
        <f>AE13+AE14</f>
        <v>1106305.7686442183</v>
      </c>
      <c r="AJ16">
        <f>SUM(AJ13:AJ15)</f>
        <v>5494922033793.6426</v>
      </c>
    </row>
    <row r="17" spans="1:53">
      <c r="A17">
        <v>2033</v>
      </c>
      <c r="B17" s="33" t="s">
        <v>109</v>
      </c>
      <c r="C17">
        <f t="shared" ref="C17:K17" si="31">C14+(C19-C14)/5*3</f>
        <v>897011371.29197359</v>
      </c>
      <c r="D17" s="3">
        <f t="shared" si="31"/>
        <v>4431437204925.1807</v>
      </c>
      <c r="E17" s="3">
        <f t="shared" si="31"/>
        <v>53169289.2803315</v>
      </c>
      <c r="F17">
        <f t="shared" si="31"/>
        <v>127595632.95497732</v>
      </c>
      <c r="G17">
        <f t="shared" si="31"/>
        <v>2073417135.1586213</v>
      </c>
      <c r="H17" s="3">
        <f t="shared" si="31"/>
        <v>72463895.83632718</v>
      </c>
      <c r="I17">
        <f t="shared" si="31"/>
        <v>314693624.17591494</v>
      </c>
      <c r="J17">
        <f t="shared" si="31"/>
        <v>1242322.4944951602</v>
      </c>
      <c r="K17" s="82">
        <f t="shared" si="31"/>
        <v>14686786659.699455</v>
      </c>
      <c r="L17" s="226">
        <f t="shared" ref="L17:N17" si="32">L14+(L19-L14)/5*3</f>
        <v>4406081905117.5361</v>
      </c>
      <c r="M17" s="207">
        <f t="shared" si="32"/>
        <v>221564740.12707531</v>
      </c>
      <c r="N17" s="207">
        <f t="shared" si="32"/>
        <v>66497252.699556231</v>
      </c>
      <c r="P17" s="6"/>
      <c r="R17" s="3"/>
      <c r="S17" s="3"/>
      <c r="T17" s="3"/>
      <c r="U17" s="3"/>
      <c r="V17" s="3"/>
      <c r="W17" s="3">
        <f>W16-W15</f>
        <v>54841481.382385731</v>
      </c>
      <c r="X17" s="3"/>
      <c r="Y17" s="3"/>
      <c r="Z17" s="3"/>
      <c r="AA17" s="3"/>
      <c r="AB17" s="3"/>
      <c r="AC17" s="3"/>
      <c r="AD17" s="3"/>
      <c r="AE17" s="31">
        <f>AE13+AE14</f>
        <v>1106305.7686442183</v>
      </c>
      <c r="AF17" s="31"/>
      <c r="AG17" s="208">
        <f>AG16/AE16</f>
        <v>0.94723599115013613</v>
      </c>
      <c r="AM17" t="str">
        <f>'Output Interpolation'!AC13</f>
        <v>yearID</v>
      </c>
      <c r="AN17" t="str">
        <f>'Output Interpolation'!AD13</f>
        <v>regClassID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c r="A18">
        <v>2034</v>
      </c>
      <c r="B18" s="33" t="s">
        <v>109</v>
      </c>
      <c r="C18">
        <f t="shared" ref="C18:K18" si="33">C14+(C19-C14)/5*4</f>
        <v>808299642.5442462</v>
      </c>
      <c r="D18" s="3">
        <f t="shared" si="33"/>
        <v>4395963678583.7739</v>
      </c>
      <c r="E18" s="3">
        <f t="shared" si="33"/>
        <v>52730799.092041701</v>
      </c>
      <c r="F18" s="3">
        <f t="shared" si="33"/>
        <v>124064558.15633523</v>
      </c>
      <c r="G18">
        <f t="shared" si="33"/>
        <v>2040218804.7388387</v>
      </c>
      <c r="H18" s="3">
        <f t="shared" si="33"/>
        <v>72060285.914114147</v>
      </c>
      <c r="I18">
        <f t="shared" si="33"/>
        <v>312863162.9142406</v>
      </c>
      <c r="J18">
        <f t="shared" si="33"/>
        <v>1246011.2374974536</v>
      </c>
      <c r="K18" s="82">
        <f t="shared" si="33"/>
        <v>14741965572.992409</v>
      </c>
      <c r="L18" s="226">
        <f t="shared" ref="L18:N18" si="34">L14+(L19-L14)/5*4</f>
        <v>4370957939306.0483</v>
      </c>
      <c r="M18" s="207">
        <f t="shared" si="34"/>
        <v>215256067.035319</v>
      </c>
      <c r="N18" s="207">
        <f t="shared" si="34"/>
        <v>65853481.885378376</v>
      </c>
      <c r="P18">
        <v>2025</v>
      </c>
      <c r="Q18">
        <v>20</v>
      </c>
      <c r="R18" s="3">
        <f t="shared" ref="R18:U20" si="35">R13-AO18*(R7-R23)</f>
        <v>485594478.85190868</v>
      </c>
      <c r="S18" s="3">
        <f t="shared" si="35"/>
        <v>95027515.893125296</v>
      </c>
      <c r="T18" s="3">
        <f t="shared" si="35"/>
        <v>22275260.970737144</v>
      </c>
      <c r="U18" s="3">
        <f t="shared" si="35"/>
        <v>1582656336369.3711</v>
      </c>
      <c r="V18" s="3">
        <f>AJ18</f>
        <v>1591670052035.979</v>
      </c>
      <c r="W18" s="3">
        <f t="shared" ref="W18:X20" si="36">W13-AS18*(W7-W23)</f>
        <v>19099236.093438219</v>
      </c>
      <c r="X18" s="3">
        <f t="shared" si="36"/>
        <v>26917451.013914738</v>
      </c>
      <c r="Y18" s="43">
        <f t="shared" ref="Y18:Z20" si="37">IF(Y7&lt;Y23,Y7+AU18*(Y23-Y7),Y7+AU18*(Y7-Y23))</f>
        <v>12398018.867337739</v>
      </c>
      <c r="Z18" s="43">
        <f t="shared" si="37"/>
        <v>7125419.4869854227</v>
      </c>
      <c r="AA18" s="3">
        <f>X18+Y18+Z18</f>
        <v>46440889.368237898</v>
      </c>
      <c r="AB18" s="3">
        <f>AB13-AW18*(AB7-AB23)</f>
        <v>999632887.07260585</v>
      </c>
      <c r="AC18" s="3">
        <f t="shared" ref="AC18:AD18" si="38">AC13-AX18*(AC7-AC23)</f>
        <v>25004911.452482622</v>
      </c>
      <c r="AD18" s="3">
        <f t="shared" si="38"/>
        <v>125883739.91633178</v>
      </c>
      <c r="AE18" s="43">
        <f>IF(AE7&lt;AE23,AE7+AZ18*(AE23-AE7),AE7+AZ18*(AE7-AE23))</f>
        <v>459068.60438575386</v>
      </c>
      <c r="AF18" s="43">
        <f>IF(AF7&lt;AF23,AF7+BA18*(AF23-AF7),AF7+BA18*(AF7-AF23))</f>
        <v>5580069143.8030767</v>
      </c>
      <c r="AH18">
        <v>25</v>
      </c>
      <c r="AI18">
        <v>298</v>
      </c>
      <c r="AJ18">
        <f>U18+(S18*AH18)+(T18*AI18)</f>
        <v>1591670052035.979</v>
      </c>
      <c r="AM18">
        <f>'Output Interpolation'!AC14</f>
        <v>2025</v>
      </c>
      <c r="AN18">
        <f>'Output Interpolation'!AD14</f>
        <v>20</v>
      </c>
      <c r="AO18">
        <f>'Output Interpolation'!AE14</f>
        <v>0.35461968498887209</v>
      </c>
      <c r="AP18">
        <f>'Output Interpolation'!AF14</f>
        <v>0.28631234160310104</v>
      </c>
      <c r="AQ18">
        <f>'Output Interpolation'!AG14</f>
        <v>0.38904053131176058</v>
      </c>
      <c r="AR18">
        <f>'Output Interpolation'!AH14</f>
        <v>0.41531334890708227</v>
      </c>
      <c r="AS18">
        <f>'Output Interpolation'!AI14</f>
        <v>1.2624127957242326E-2</v>
      </c>
      <c r="AT18">
        <f>'Output Interpolation'!AJ14</f>
        <v>0.2804612551797997</v>
      </c>
      <c r="AU18">
        <f>'Output Interpolation'!AN14</f>
        <v>0.61538461538461542</v>
      </c>
      <c r="AV18">
        <f>'Output Interpolation'!AO14</f>
        <v>0.61538461538461542</v>
      </c>
      <c r="AW18">
        <f>'Output Interpolation'!AK14</f>
        <v>0.30569338462086937</v>
      </c>
      <c r="AX18">
        <f>'Output Interpolation'!AL14</f>
        <v>4.5182655171648371E-2</v>
      </c>
      <c r="AY18">
        <f>'Output Interpolation'!AM14</f>
        <v>0.21000068998424593</v>
      </c>
      <c r="AZ18">
        <f>'Output Interpolation'!AP14</f>
        <v>0.61538461538461542</v>
      </c>
      <c r="BA18">
        <f>'Output Interpolation'!AQ14</f>
        <v>0.61538461538461542</v>
      </c>
    </row>
    <row r="19" spans="1:53">
      <c r="A19">
        <v>2035</v>
      </c>
      <c r="B19" s="33" t="s">
        <v>109</v>
      </c>
      <c r="C19" s="3">
        <f>R31</f>
        <v>719587913.79651868</v>
      </c>
      <c r="D19" s="3">
        <f>V31</f>
        <v>4360490152242.3672</v>
      </c>
      <c r="E19" s="3">
        <f>W32*(1-J42)</f>
        <v>52292308.903751895</v>
      </c>
      <c r="F19" s="3">
        <f t="shared" ref="F19:K19" si="39">AA31</f>
        <v>120533483.35769315</v>
      </c>
      <c r="G19" s="3">
        <f t="shared" si="39"/>
        <v>2007020474.3190563</v>
      </c>
      <c r="H19" s="3">
        <f t="shared" si="39"/>
        <v>71656675.9919011</v>
      </c>
      <c r="I19" s="3">
        <f t="shared" si="39"/>
        <v>311032701.65256625</v>
      </c>
      <c r="J19" s="3">
        <f t="shared" si="39"/>
        <v>1249699.980499747</v>
      </c>
      <c r="K19" s="35">
        <f t="shared" si="39"/>
        <v>14797144486.28536</v>
      </c>
      <c r="L19" s="226">
        <f>U31</f>
        <v>4335833973494.5605</v>
      </c>
      <c r="M19" s="207">
        <f>S31</f>
        <v>208947393.94356269</v>
      </c>
      <c r="N19" s="207">
        <f>T31</f>
        <v>65209711.07120052</v>
      </c>
      <c r="P19">
        <v>2025</v>
      </c>
      <c r="Q19">
        <v>30</v>
      </c>
      <c r="R19" s="3">
        <f t="shared" si="35"/>
        <v>912473538.81262672</v>
      </c>
      <c r="S19" s="3">
        <f t="shared" si="35"/>
        <v>144368801.67302316</v>
      </c>
      <c r="T19" s="3">
        <f t="shared" si="35"/>
        <v>47126711.278241262</v>
      </c>
      <c r="U19" s="3">
        <f t="shared" si="35"/>
        <v>2910071746165.3389</v>
      </c>
      <c r="V19" s="3">
        <f t="shared" ref="V19:V21" si="40">AJ19</f>
        <v>2927724726168.0806</v>
      </c>
      <c r="W19" s="3">
        <f t="shared" si="36"/>
        <v>35542959.781246349</v>
      </c>
      <c r="X19" s="3">
        <f t="shared" si="36"/>
        <v>51362267.809541345</v>
      </c>
      <c r="Y19" s="43">
        <f t="shared" si="37"/>
        <v>19127634.337623049</v>
      </c>
      <c r="Z19" s="43">
        <f t="shared" si="37"/>
        <v>10163196.469720094</v>
      </c>
      <c r="AA19" s="3">
        <f t="shared" ref="AA19:AA21" si="41">X19+Y19+Z19</f>
        <v>80653098.616884485</v>
      </c>
      <c r="AB19" s="3">
        <f>AB14-AW19*(AB8-AB24)</f>
        <v>1406958579.1202993</v>
      </c>
      <c r="AC19" s="3">
        <f t="shared" ref="AC19:AD19" si="42">AC14-AX19*(AC8-AC24)</f>
        <v>45363060.960064828</v>
      </c>
      <c r="AD19" s="3">
        <f t="shared" si="42"/>
        <v>183138903.43528935</v>
      </c>
      <c r="AE19" s="43">
        <f>IF(AE8&lt;AE24,AE8+AZ19*(AE24-AE8),AE8+AZ19*(AE8-AE24))</f>
        <v>680571.07784049539</v>
      </c>
      <c r="AF19" s="43">
        <f>IF(AF8&lt;AF24,AF8+BA19*(AF24-AF8),AF8+BA19*(AF8-AF24))</f>
        <v>7963861949.471139</v>
      </c>
      <c r="AG19">
        <f>AE18/(AE18+AE19)</f>
        <v>0.40281907654266497</v>
      </c>
      <c r="AH19">
        <v>25</v>
      </c>
      <c r="AI19">
        <v>298</v>
      </c>
      <c r="AJ19">
        <f>U19+(S19*AH19)+(T19*AI19)</f>
        <v>2927724726168.0806</v>
      </c>
      <c r="AM19">
        <f>'Output Interpolation'!AC15</f>
        <v>2025</v>
      </c>
      <c r="AN19">
        <f>'Output Interpolation'!AD15</f>
        <v>30</v>
      </c>
      <c r="AO19">
        <f>'Output Interpolation'!AE15</f>
        <v>0.324310368104203</v>
      </c>
      <c r="AP19">
        <f>'Output Interpolation'!AF15</f>
        <v>0.27577643401661145</v>
      </c>
      <c r="AQ19">
        <f>'Output Interpolation'!AG15</f>
        <v>0.38041494290027916</v>
      </c>
      <c r="AR19">
        <f>'Output Interpolation'!AH15</f>
        <v>0.4042984869694623</v>
      </c>
      <c r="AS19">
        <f>'Output Interpolation'!AI15</f>
        <v>1.2893001160418961E-2</v>
      </c>
      <c r="AT19">
        <f>'Output Interpolation'!AJ15</f>
        <v>0.38231149668520903</v>
      </c>
      <c r="AU19">
        <f>'Output Interpolation'!AN15</f>
        <v>0.61538461538461542</v>
      </c>
      <c r="AV19">
        <f>'Output Interpolation'!AO15</f>
        <v>0.61538461538461542</v>
      </c>
      <c r="AW19">
        <f>'Output Interpolation'!AK15</f>
        <v>0.31456985841792912</v>
      </c>
      <c r="AX19">
        <f>'Output Interpolation'!AL15</f>
        <v>4.2434983709725954E-2</v>
      </c>
      <c r="AY19">
        <f>'Output Interpolation'!AM15</f>
        <v>0.28357227693398401</v>
      </c>
      <c r="AZ19">
        <f>'Output Interpolation'!AP15</f>
        <v>0.61538461538461542</v>
      </c>
      <c r="BA19">
        <f>'Output Interpolation'!AQ15</f>
        <v>0.61538461538461542</v>
      </c>
    </row>
    <row r="20" spans="1:53">
      <c r="A20">
        <v>2036</v>
      </c>
      <c r="B20" s="33" t="s">
        <v>109</v>
      </c>
      <c r="C20">
        <f t="shared" ref="C20:K20" si="43">C19+(C24-C19)/5</f>
        <v>707770867.32920718</v>
      </c>
      <c r="D20" s="3">
        <f t="shared" si="43"/>
        <v>4358031518088.2495</v>
      </c>
      <c r="E20" s="3">
        <f t="shared" si="43"/>
        <v>52254617.700019009</v>
      </c>
      <c r="F20" s="3">
        <f t="shared" si="43"/>
        <v>118033809.63809657</v>
      </c>
      <c r="G20">
        <f t="shared" si="43"/>
        <v>1977440491.8224325</v>
      </c>
      <c r="H20" s="3">
        <f t="shared" si="43"/>
        <v>71367189.152224481</v>
      </c>
      <c r="I20">
        <f t="shared" si="43"/>
        <v>314496847.48767823</v>
      </c>
      <c r="J20">
        <f t="shared" si="43"/>
        <v>1253113.0106918346</v>
      </c>
      <c r="K20" s="82">
        <f t="shared" si="43"/>
        <v>14879211904.289175</v>
      </c>
      <c r="L20" s="226">
        <f t="shared" ref="L20:N20" si="44">L19+(L24-L19)/5</f>
        <v>4333294655008.4482</v>
      </c>
      <c r="M20" s="207">
        <f t="shared" si="44"/>
        <v>208032345.54313141</v>
      </c>
      <c r="N20" s="207">
        <f t="shared" si="44"/>
        <v>65557229.668532677</v>
      </c>
      <c r="P20">
        <v>2025</v>
      </c>
      <c r="Q20">
        <v>41</v>
      </c>
      <c r="R20" s="3">
        <f t="shared" si="35"/>
        <v>568172785.52729142</v>
      </c>
      <c r="S20" s="3">
        <f t="shared" si="35"/>
        <v>37523109.995186642</v>
      </c>
      <c r="T20" s="3">
        <f t="shared" si="35"/>
        <v>7984802.9844275024</v>
      </c>
      <c r="U20" s="3">
        <f t="shared" si="35"/>
        <v>430273380604.84967</v>
      </c>
      <c r="V20" s="3">
        <f t="shared" si="40"/>
        <v>433590929644.08868</v>
      </c>
      <c r="W20" s="3">
        <f t="shared" si="36"/>
        <v>4919310.1869050041</v>
      </c>
      <c r="X20" s="3">
        <f t="shared" si="36"/>
        <v>18633553.789227381</v>
      </c>
      <c r="Y20" s="43">
        <f t="shared" si="37"/>
        <v>1656836.665264423</v>
      </c>
      <c r="Z20" s="43">
        <f t="shared" si="37"/>
        <v>1189067.3161057692</v>
      </c>
      <c r="AA20" s="3">
        <f t="shared" si="41"/>
        <v>21479457.770597573</v>
      </c>
      <c r="AB20" s="3">
        <f>AB15-AW20*(AB9-AB25)</f>
        <v>219424832.66039407</v>
      </c>
      <c r="AC20" s="3">
        <f t="shared" ref="AC20:AD20" si="45">AC15-AX20*(AC9-AC25)</f>
        <v>4102447.4984503849</v>
      </c>
      <c r="AD20" s="3">
        <f t="shared" si="45"/>
        <v>22124915.827726625</v>
      </c>
      <c r="AE20" s="43">
        <f>IF(AE9&lt;AE25,AE9+AZ20*(AE25-AE9),AE9-AZ20*(AE9-AE25))</f>
        <v>59953.681453076926</v>
      </c>
      <c r="AF20" s="43">
        <f>IF(AF9&lt;AF25,AF9+BA20*(AF25-AF9),AF9-BA20*(AF9-AF25))</f>
        <v>657906622.76923072</v>
      </c>
      <c r="AH20">
        <v>25</v>
      </c>
      <c r="AI20">
        <v>298</v>
      </c>
      <c r="AJ20">
        <f>U20+(S20*AH20)+(T20*AI20)</f>
        <v>433590929644.08868</v>
      </c>
      <c r="AM20">
        <f>'Output Interpolation'!AC16</f>
        <v>2025</v>
      </c>
      <c r="AN20">
        <f>'Output Interpolation'!AD16</f>
        <v>41</v>
      </c>
      <c r="AO20">
        <f>'Output Interpolation'!AE16</f>
        <v>0.35239683191233517</v>
      </c>
      <c r="AP20">
        <f>'Output Interpolation'!AF16</f>
        <v>0.32180328020679411</v>
      </c>
      <c r="AQ20">
        <f>'Output Interpolation'!AG16</f>
        <v>0.4177322951861297</v>
      </c>
      <c r="AR20">
        <f>'Output Interpolation'!AH16</f>
        <v>0.41467628797089412</v>
      </c>
      <c r="AS20">
        <f>'Output Interpolation'!AI16</f>
        <v>1.0000669460766153E-2</v>
      </c>
      <c r="AT20">
        <f>'Output Interpolation'!AJ16</f>
        <v>0.38828937229367855</v>
      </c>
      <c r="AU20">
        <f>'Output Interpolation'!AN16</f>
        <v>0.61538461538461542</v>
      </c>
      <c r="AV20">
        <f>'Output Interpolation'!AO16</f>
        <v>0.61538461538461542</v>
      </c>
      <c r="AW20">
        <f>'Output Interpolation'!AK16</f>
        <v>0.35779065566328017</v>
      </c>
      <c r="AX20">
        <f>'Output Interpolation'!AL16</f>
        <v>6.9045928082665173E-2</v>
      </c>
      <c r="AY20">
        <f>'Output Interpolation'!AM16</f>
        <v>0.43618529191827432</v>
      </c>
      <c r="AZ20">
        <f>'Output Interpolation'!AP16</f>
        <v>0.61538461538461542</v>
      </c>
      <c r="BA20">
        <f>'Output Interpolation'!AQ16</f>
        <v>0.61538461538461542</v>
      </c>
    </row>
    <row r="21" spans="1:53">
      <c r="A21">
        <v>2037</v>
      </c>
      <c r="B21" s="33" t="s">
        <v>109</v>
      </c>
      <c r="C21">
        <f t="shared" ref="C21:K21" si="46">C19+(C24-C19)/5*2</f>
        <v>695953820.86189556</v>
      </c>
      <c r="D21" s="3">
        <f t="shared" si="46"/>
        <v>4355572883934.1313</v>
      </c>
      <c r="E21" s="3">
        <f t="shared" si="46"/>
        <v>52216926.496286124</v>
      </c>
      <c r="F21" s="3">
        <f t="shared" si="46"/>
        <v>115534135.91850001</v>
      </c>
      <c r="G21">
        <f t="shared" si="46"/>
        <v>1947860509.325809</v>
      </c>
      <c r="H21" s="3">
        <f t="shared" si="46"/>
        <v>71077702.312547863</v>
      </c>
      <c r="I21">
        <f t="shared" si="46"/>
        <v>317960993.32279015</v>
      </c>
      <c r="J21">
        <f t="shared" si="46"/>
        <v>1256526.0408839223</v>
      </c>
      <c r="K21" s="82">
        <f t="shared" si="46"/>
        <v>14961279322.292988</v>
      </c>
      <c r="L21" s="226">
        <f t="shared" ref="L21:N21" si="47">L19+(L24-L19)/5*2</f>
        <v>4330755336522.3364</v>
      </c>
      <c r="M21" s="207">
        <f t="shared" si="47"/>
        <v>207117297.14270014</v>
      </c>
      <c r="N21" s="207">
        <f t="shared" si="47"/>
        <v>65904748.265864834</v>
      </c>
      <c r="P21">
        <v>2025</v>
      </c>
      <c r="Q21" s="8" t="s">
        <v>109</v>
      </c>
      <c r="R21" s="3">
        <f t="shared" ref="R21:Z21" si="48">SUM(R18:R20)</f>
        <v>1966240803.1918268</v>
      </c>
      <c r="S21" s="3">
        <f t="shared" si="48"/>
        <v>276919427.56133509</v>
      </c>
      <c r="T21" s="3">
        <f t="shared" si="48"/>
        <v>77386775.233405903</v>
      </c>
      <c r="U21" s="3">
        <f t="shared" si="48"/>
        <v>4923001463139.5596</v>
      </c>
      <c r="V21" s="3">
        <f t="shared" si="40"/>
        <v>4952985707848.1484</v>
      </c>
      <c r="W21" s="3">
        <f t="shared" si="48"/>
        <v>59561506.061589576</v>
      </c>
      <c r="X21" s="3">
        <f t="shared" si="48"/>
        <v>96913272.61268346</v>
      </c>
      <c r="Y21" s="3">
        <f t="shared" si="48"/>
        <v>33182489.87022521</v>
      </c>
      <c r="Z21" s="3">
        <f t="shared" si="48"/>
        <v>18477683.272811286</v>
      </c>
      <c r="AA21" s="3">
        <f t="shared" si="41"/>
        <v>148573445.75571996</v>
      </c>
      <c r="AB21" s="3">
        <f t="shared" ref="AB21:AD21" si="49">SUM(AB18:AB20)</f>
        <v>2626016298.8532996</v>
      </c>
      <c r="AC21" s="3">
        <f t="shared" si="49"/>
        <v>74470419.910997838</v>
      </c>
      <c r="AD21" s="3">
        <f t="shared" si="49"/>
        <v>331147559.17934775</v>
      </c>
      <c r="AE21" s="3">
        <f>SUM(AE18:AE20)</f>
        <v>1199593.3636793261</v>
      </c>
      <c r="AF21" s="3">
        <f>SUM(AF18:AF20)</f>
        <v>14201837716.043446</v>
      </c>
      <c r="AJ21">
        <f>SUM(AJ18:AJ20)</f>
        <v>4952985707848.1484</v>
      </c>
    </row>
    <row r="22" spans="1:53">
      <c r="A22">
        <v>2038</v>
      </c>
      <c r="B22" s="33" t="s">
        <v>109</v>
      </c>
      <c r="C22">
        <f t="shared" ref="C22:K22" si="50">C19+(C24-C19)/5*3</f>
        <v>684136774.39458406</v>
      </c>
      <c r="D22" s="3">
        <f t="shared" si="50"/>
        <v>4353114249780.0137</v>
      </c>
      <c r="E22" s="3">
        <f t="shared" si="50"/>
        <v>52179235.292553231</v>
      </c>
      <c r="F22" s="3">
        <f t="shared" si="50"/>
        <v>113034462.19890343</v>
      </c>
      <c r="G22">
        <f t="shared" si="50"/>
        <v>1918280526.8291852</v>
      </c>
      <c r="H22" s="3">
        <f t="shared" si="50"/>
        <v>70788215.472871229</v>
      </c>
      <c r="I22">
        <f t="shared" si="50"/>
        <v>321425139.15790212</v>
      </c>
      <c r="J22">
        <f t="shared" si="50"/>
        <v>1259939.0710760099</v>
      </c>
      <c r="K22" s="82">
        <f t="shared" si="50"/>
        <v>15043346740.296803</v>
      </c>
      <c r="L22" s="226">
        <f t="shared" ref="L22:N22" si="51">L19+(L24-L19)/5*3</f>
        <v>4328216018036.2241</v>
      </c>
      <c r="M22" s="207">
        <f t="shared" si="51"/>
        <v>206202248.74226886</v>
      </c>
      <c r="N22" s="207">
        <f t="shared" si="51"/>
        <v>66252266.863196984</v>
      </c>
      <c r="R22" s="3"/>
      <c r="S22" s="3"/>
      <c r="T22" s="3"/>
      <c r="U22" s="3"/>
      <c r="V22" s="3"/>
      <c r="W22" s="3">
        <f>W21-W20</f>
        <v>54642195.874684572</v>
      </c>
      <c r="X22" s="3"/>
      <c r="Y22" s="3"/>
      <c r="Z22" s="3"/>
      <c r="AA22" s="3"/>
      <c r="AB22" s="3"/>
      <c r="AC22" s="3"/>
      <c r="AD22" s="3"/>
      <c r="AE22" s="3"/>
      <c r="AF22" s="3"/>
    </row>
    <row r="23" spans="1:53">
      <c r="A23">
        <v>2039</v>
      </c>
      <c r="B23" s="33" t="s">
        <v>109</v>
      </c>
      <c r="C23">
        <f t="shared" ref="C23:K23" si="52">C19+(C24-C19)/5*4</f>
        <v>672319727.92727244</v>
      </c>
      <c r="D23" s="3">
        <f t="shared" si="52"/>
        <v>4350655615625.8955</v>
      </c>
      <c r="E23" s="3">
        <f t="shared" si="52"/>
        <v>52141544.088820346</v>
      </c>
      <c r="F23" s="3">
        <f t="shared" si="52"/>
        <v>110534788.47930686</v>
      </c>
      <c r="G23">
        <f t="shared" si="52"/>
        <v>1888700544.3325617</v>
      </c>
      <c r="H23" s="3">
        <f t="shared" si="52"/>
        <v>70498728.63319461</v>
      </c>
      <c r="I23">
        <f t="shared" si="52"/>
        <v>324889284.99301404</v>
      </c>
      <c r="J23">
        <f t="shared" si="52"/>
        <v>1263352.1012680975</v>
      </c>
      <c r="K23" s="82">
        <f t="shared" si="52"/>
        <v>15125414158.300615</v>
      </c>
      <c r="L23" s="226">
        <f t="shared" ref="L23:N23" si="53">L19+(L24-L19)/5*4</f>
        <v>4325676699550.1123</v>
      </c>
      <c r="M23" s="207">
        <f t="shared" si="53"/>
        <v>205287200.34183758</v>
      </c>
      <c r="N23" s="207">
        <f t="shared" si="53"/>
        <v>66599785.460529141</v>
      </c>
      <c r="P23" s="18">
        <f>'County Scale Output 2017-2040'!A9</f>
        <v>2030</v>
      </c>
      <c r="Q23" s="38">
        <f>'County Scale Output 2017-2040'!B9</f>
        <v>20</v>
      </c>
      <c r="R23" s="40">
        <f>'County Scale Output 2017-2040'!C9</f>
        <v>310695991.05859399</v>
      </c>
      <c r="S23" s="40">
        <f>'County Scale Output 2017-2040'!D9</f>
        <v>82734356.253906205</v>
      </c>
      <c r="T23" s="40">
        <f>'County Scale Output 2017-2040'!E9</f>
        <v>20648485.4916992</v>
      </c>
      <c r="U23" s="40">
        <f>'County Scale Output 2017-2040'!F9</f>
        <v>1443732039352</v>
      </c>
      <c r="V23" s="40">
        <f>AJ23</f>
        <v>1451953646934.874</v>
      </c>
      <c r="W23" s="40">
        <f>'County Scale Output 2017-2040'!G9</f>
        <v>19043602.790557899</v>
      </c>
      <c r="X23" s="40">
        <f>'County Scale Output 2017-2040'!H9</f>
        <v>27056776.755493201</v>
      </c>
      <c r="Y23" s="40">
        <f>'County Scale Output 2017-2040'!I9</f>
        <v>12700445.6600342</v>
      </c>
      <c r="Z23" s="40">
        <f>'County Scale Output 2017-2040'!J9</f>
        <v>7295123.9872131301</v>
      </c>
      <c r="AA23" s="40">
        <f>X23+Y23+Z23</f>
        <v>47052346.402740531</v>
      </c>
      <c r="AB23" s="40">
        <f>'County Scale Output 2017-2040'!K9</f>
        <v>847549764.38671899</v>
      </c>
      <c r="AC23" s="40">
        <f>'County Scale Output 2017-2040'!L9</f>
        <v>24743095.756286599</v>
      </c>
      <c r="AD23" s="40">
        <f>'County Scale Output 2017-2040'!M9</f>
        <v>121438872.09375</v>
      </c>
      <c r="AE23" s="40">
        <f>'County Scale Output 2017-2040'!N9</f>
        <v>477419.17055809998</v>
      </c>
      <c r="AF23" s="41">
        <f>'County Scale Output 2017-2040'!O9</f>
        <v>5712188014.9299994</v>
      </c>
      <c r="AH23">
        <v>25</v>
      </c>
      <c r="AI23">
        <v>298</v>
      </c>
      <c r="AJ23">
        <f>U23+(S23*AH23)+(T23*AI23)</f>
        <v>1451953646934.874</v>
      </c>
    </row>
    <row r="24" spans="1:53">
      <c r="A24" s="66">
        <v>2040</v>
      </c>
      <c r="B24" s="136" t="s">
        <v>109</v>
      </c>
      <c r="C24" s="32">
        <f>R36</f>
        <v>660502681.45996094</v>
      </c>
      <c r="D24" s="32">
        <f>V36</f>
        <v>4348196981471.7778</v>
      </c>
      <c r="E24" s="32">
        <f>W37*(1-J47)</f>
        <v>52103852.88508746</v>
      </c>
      <c r="F24" s="32">
        <f t="shared" ref="F24:K24" si="54">AA36</f>
        <v>108035114.75971028</v>
      </c>
      <c r="G24" s="32">
        <f t="shared" si="54"/>
        <v>1859120561.835938</v>
      </c>
      <c r="H24" s="32">
        <f t="shared" si="54"/>
        <v>70209241.793517992</v>
      </c>
      <c r="I24" s="32">
        <f t="shared" si="54"/>
        <v>328353430.82812601</v>
      </c>
      <c r="J24" s="32">
        <f t="shared" si="54"/>
        <v>1266765.1314601852</v>
      </c>
      <c r="K24" s="36">
        <f t="shared" si="54"/>
        <v>15207481576.30443</v>
      </c>
      <c r="L24" s="207">
        <f>U36</f>
        <v>4323137381064</v>
      </c>
      <c r="M24" s="207">
        <f>S36</f>
        <v>204372151.94140631</v>
      </c>
      <c r="N24" s="207">
        <f>T36</f>
        <v>66947304.057861298</v>
      </c>
      <c r="P24" s="19">
        <f>'County Scale Output 2017-2040'!A10</f>
        <v>2030</v>
      </c>
      <c r="Q24">
        <f>'County Scale Output 2017-2040'!B10</f>
        <v>30</v>
      </c>
      <c r="R24" s="3">
        <f>'County Scale Output 2017-2040'!C10</f>
        <v>548386194.47656202</v>
      </c>
      <c r="S24" s="3">
        <f>'County Scale Output 2017-2040'!D10</f>
        <v>126300648.58593801</v>
      </c>
      <c r="T24" s="3">
        <f>'County Scale Output 2017-2040'!E10</f>
        <v>42193205.494140603</v>
      </c>
      <c r="U24" s="3">
        <f>'County Scale Output 2017-2040'!F10</f>
        <v>2689340495232</v>
      </c>
      <c r="V24" s="3">
        <f t="shared" ref="V24:V26" si="55">AJ24</f>
        <v>2705071586683.9023</v>
      </c>
      <c r="W24" s="3">
        <f>'County Scale Output 2017-2040'!G10</f>
        <v>35450013.666675597</v>
      </c>
      <c r="X24" s="3">
        <f>'County Scale Output 2017-2040'!H10</f>
        <v>51807102.1640625</v>
      </c>
      <c r="Y24" s="3">
        <f>'County Scale Output 2017-2040'!I10</f>
        <v>19603328.7148972</v>
      </c>
      <c r="Z24" s="3">
        <f>'County Scale Output 2017-2040'!J10</f>
        <v>10411298.424672101</v>
      </c>
      <c r="AA24" s="3">
        <f t="shared" ref="AA24:AA26" si="56">X24+Y24+Z24</f>
        <v>81821729.303631797</v>
      </c>
      <c r="AB24" s="3">
        <f>'County Scale Output 2017-2040'!K10</f>
        <v>1197341602.03125</v>
      </c>
      <c r="AC24" s="3">
        <f>'County Scale Output 2017-2040'!L10</f>
        <v>44958433.581054702</v>
      </c>
      <c r="AD24" s="3">
        <f>'County Scale Output 2017-2040'!M10</f>
        <v>178370064.49218801</v>
      </c>
      <c r="AE24" s="3">
        <f>'County Scale Output 2017-2040'!N10</f>
        <v>695554.42525018007</v>
      </c>
      <c r="AF24" s="35">
        <f>'County Scale Output 2017-2040'!O10</f>
        <v>8157531752.8906002</v>
      </c>
      <c r="AG24">
        <f>AE23/(AE23+AE24)</f>
        <v>0.40701612744242288</v>
      </c>
      <c r="AH24">
        <v>25</v>
      </c>
      <c r="AI24">
        <v>298</v>
      </c>
      <c r="AJ24">
        <f>U24+(S24*AH24)+(T24*AI24)</f>
        <v>2705071586683.9023</v>
      </c>
    </row>
    <row r="25" spans="1:53">
      <c r="P25" s="19">
        <f>'County Scale Output 2017-2040'!A11</f>
        <v>2030</v>
      </c>
      <c r="Q25" s="8">
        <v>41</v>
      </c>
      <c r="R25" s="3">
        <f>'County Scale Output 2017-2040'!C11</f>
        <v>304064372</v>
      </c>
      <c r="S25" s="3">
        <f>'County Scale Output 2017-2040'!D11</f>
        <v>31455754.5625</v>
      </c>
      <c r="T25" s="3">
        <f>'County Scale Output 2017-2040'!E11</f>
        <v>5586874.15625</v>
      </c>
      <c r="U25" s="3">
        <f>'County Scale Output 2017-2040'!F11</f>
        <v>378381267968</v>
      </c>
      <c r="V25" s="3">
        <f t="shared" si="55"/>
        <v>380832550330.625</v>
      </c>
      <c r="W25" s="3">
        <f>'County Scale Output 2017-2040'!G11</f>
        <v>4902911.3125</v>
      </c>
      <c r="X25" s="3">
        <f>'County Scale Output 2017-2040'!H11</f>
        <v>6485495.09375</v>
      </c>
      <c r="Y25" s="3">
        <f>'County Scale Output 2017-2040'!I11</f>
        <v>1683874.4296875</v>
      </c>
      <c r="Z25" s="3">
        <f>'County Scale Output 2017-2040'!J11</f>
        <v>1145412.12109375</v>
      </c>
      <c r="AA25" s="3">
        <f t="shared" si="56"/>
        <v>9314781.64453125</v>
      </c>
      <c r="AB25" s="3">
        <f>'County Scale Output 2017-2040'!K11</f>
        <v>128120760</v>
      </c>
      <c r="AC25" s="3">
        <f>'County Scale Output 2017-2040'!L11</f>
        <v>3973196.265625</v>
      </c>
      <c r="AD25" s="3">
        <f>'County Scale Output 2017-2040'!M11</f>
        <v>20376071.375</v>
      </c>
      <c r="AE25" s="3">
        <f>'County Scale Output 2017-2040'!N11</f>
        <v>58282.669680000006</v>
      </c>
      <c r="AF25" s="35">
        <f>'County Scale Output 2017-2040'!O11</f>
        <v>651530152</v>
      </c>
      <c r="AH25">
        <v>25</v>
      </c>
      <c r="AI25">
        <v>298</v>
      </c>
      <c r="AJ25">
        <f>U25+(S25*AH25)+(T25*AI25)</f>
        <v>380832550330.625</v>
      </c>
    </row>
    <row r="26" spans="1:53">
      <c r="A26" t="s">
        <v>206</v>
      </c>
      <c r="I26" t="str">
        <f>'Fleet ZEV fractions'!AF38</f>
        <v>State MOVES output ZEV VMT fraction by year (interpolated):</v>
      </c>
      <c r="P26" s="20">
        <v>2030</v>
      </c>
      <c r="Q26" s="67" t="s">
        <v>109</v>
      </c>
      <c r="R26" s="32">
        <f t="shared" ref="R26:Z26" si="57">SUM(R23:R25)</f>
        <v>1163146557.535156</v>
      </c>
      <c r="S26" s="32">
        <f t="shared" si="57"/>
        <v>240490759.40234423</v>
      </c>
      <c r="T26" s="32">
        <f t="shared" si="57"/>
        <v>68428565.142089799</v>
      </c>
      <c r="U26" s="32">
        <f t="shared" si="57"/>
        <v>4511453802552</v>
      </c>
      <c r="V26" s="32">
        <f t="shared" si="55"/>
        <v>4537857783949.4014</v>
      </c>
      <c r="W26" s="32">
        <f t="shared" si="57"/>
        <v>59396527.769733496</v>
      </c>
      <c r="X26" s="32">
        <f t="shared" si="57"/>
        <v>85349374.013305694</v>
      </c>
      <c r="Y26" s="32">
        <f t="shared" si="57"/>
        <v>33987648.804618903</v>
      </c>
      <c r="Z26" s="32">
        <f t="shared" si="57"/>
        <v>18851834.532978982</v>
      </c>
      <c r="AA26" s="32">
        <f t="shared" si="56"/>
        <v>138188857.35090357</v>
      </c>
      <c r="AB26" s="32">
        <f>SUM(AB23:AB25)</f>
        <v>2173012126.4179688</v>
      </c>
      <c r="AC26" s="32">
        <f t="shared" ref="AC26:AD26" si="58">SUM(AC23:AC25)</f>
        <v>73674725.602966309</v>
      </c>
      <c r="AD26" s="32">
        <f t="shared" si="58"/>
        <v>320185007.96093798</v>
      </c>
      <c r="AE26" s="32">
        <f>SUM(AE23:AE25)</f>
        <v>1231256.2654882802</v>
      </c>
      <c r="AF26" s="36">
        <f>SUM(AF23:AF25)</f>
        <v>14521249919.820599</v>
      </c>
      <c r="AJ26">
        <f>SUM(AJ23:AJ25)</f>
        <v>4537857783949.4014</v>
      </c>
    </row>
    <row r="27" spans="1:53">
      <c r="I27">
        <f>'Fleet ZEV fractions'!AF39</f>
        <v>2020</v>
      </c>
      <c r="J27">
        <f>'Fleet ZEV fractions'!AG39</f>
        <v>3.7505925993834685E-5</v>
      </c>
      <c r="P27" s="6"/>
      <c r="R27" s="3"/>
      <c r="S27" s="3"/>
      <c r="T27" s="3"/>
      <c r="U27" s="3"/>
      <c r="V27" s="3"/>
      <c r="W27" s="3">
        <f>W26-W25</f>
        <v>54493616.457233496</v>
      </c>
      <c r="X27" s="3"/>
      <c r="Y27" s="3"/>
      <c r="Z27" s="3"/>
      <c r="AA27" s="3"/>
      <c r="AB27" s="3"/>
      <c r="AC27" s="3"/>
      <c r="AD27" s="3"/>
      <c r="AE27" s="3"/>
      <c r="AF27" s="3"/>
      <c r="AM27" t="str">
        <f>'Output Interpolation'!AC23</f>
        <v>yearID</v>
      </c>
      <c r="AN27" t="str">
        <f>'Output Interpolation'!AD23</f>
        <v>regClassID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c r="A28" t="s">
        <v>0</v>
      </c>
      <c r="B28" t="s">
        <v>1</v>
      </c>
      <c r="C28" t="s">
        <v>24</v>
      </c>
      <c r="D28" t="s">
        <v>207</v>
      </c>
      <c r="E28" t="s">
        <v>208</v>
      </c>
      <c r="I28">
        <f>'Fleet ZEV fractions'!AF40</f>
        <v>2021</v>
      </c>
      <c r="J28">
        <f>'Fleet ZEV fractions'!AG40</f>
        <v>5.4175226435538982E-5</v>
      </c>
      <c r="P28">
        <v>2035</v>
      </c>
      <c r="Q28">
        <v>20</v>
      </c>
      <c r="R28" s="3">
        <f t="shared" ref="R28:U30" si="59">AO28*(R23+R33)</f>
        <v>200658059.88826284</v>
      </c>
      <c r="S28" s="3">
        <f t="shared" si="59"/>
        <v>72787370.319725871</v>
      </c>
      <c r="T28" s="3">
        <f t="shared" si="59"/>
        <v>20613974.807204563</v>
      </c>
      <c r="U28" s="3">
        <f t="shared" si="59"/>
        <v>1371045571966.825</v>
      </c>
      <c r="V28" s="3">
        <f>AJ28</f>
        <v>1379008220717.365</v>
      </c>
      <c r="W28" s="3">
        <f t="shared" ref="W28:Z30" si="60">AS28*(W23+W33)</f>
        <v>18078209.085758664</v>
      </c>
      <c r="X28" s="3">
        <f t="shared" si="60"/>
        <v>22698784.839750629</v>
      </c>
      <c r="Y28" s="3">
        <f t="shared" si="60"/>
        <v>12881675.685556147</v>
      </c>
      <c r="Z28" s="3">
        <f t="shared" si="60"/>
        <v>7395019.9516962878</v>
      </c>
      <c r="AA28" s="3">
        <f>X28+Y28+Z28</f>
        <v>42975480.477003068</v>
      </c>
      <c r="AB28" s="3">
        <f>AW28*(AB23+AB33)</f>
        <v>804351216.52930892</v>
      </c>
      <c r="AC28" s="3">
        <f t="shared" ref="AC28:AD28" si="61">AX28*(AC23+AC33)</f>
        <v>23826107.246144153</v>
      </c>
      <c r="AD28" s="3">
        <f t="shared" si="61"/>
        <v>119359510.02339071</v>
      </c>
      <c r="AE28" s="3">
        <f t="shared" ref="AE28:AF30" si="62">AZ28*(AE23+AE33)</f>
        <v>501017.30992085004</v>
      </c>
      <c r="AF28" s="3">
        <f t="shared" si="62"/>
        <v>5789604345.0974646</v>
      </c>
      <c r="AH28">
        <v>25</v>
      </c>
      <c r="AI28">
        <v>298</v>
      </c>
      <c r="AJ28">
        <f>U28+(S28*AH28)+(T28*AI28)</f>
        <v>1379008220717.365</v>
      </c>
      <c r="AM28">
        <f>'Output Interpolation'!AC24</f>
        <v>2035</v>
      </c>
      <c r="AN28">
        <f>'Output Interpolation'!AD24</f>
        <v>20</v>
      </c>
      <c r="AO28">
        <f>'Output Interpolation'!AE24</f>
        <v>0.40316572290917496</v>
      </c>
      <c r="AP28">
        <f>'Output Interpolation'!AF24</f>
        <v>0.46835325115582727</v>
      </c>
      <c r="AQ28">
        <f>'Output Interpolation'!AG24</f>
        <v>0.4858494170450478</v>
      </c>
      <c r="AR28">
        <f>'Output Interpolation'!AH24</f>
        <v>0.48683072190714216</v>
      </c>
      <c r="AS28">
        <f>'Output Interpolation'!AI24</f>
        <v>0.48681829989108294</v>
      </c>
      <c r="AT28">
        <f>'Output Interpolation'!AJ24</f>
        <v>0.48783727107507341</v>
      </c>
      <c r="AU28">
        <f>'Output Interpolation'!AN24</f>
        <v>0.49484911711426816</v>
      </c>
      <c r="AV28">
        <f>'Output Interpolation'!AO24</f>
        <v>0.49485059616871041</v>
      </c>
      <c r="AW28">
        <f>'Output Interpolation'!AK24</f>
        <v>0.49484911711426816</v>
      </c>
      <c r="AX28">
        <f>'Output Interpolation'!AL24</f>
        <v>0.49485059616871041</v>
      </c>
      <c r="AY28">
        <f>'Output Interpolation'!AM24</f>
        <v>0.48562506036508807</v>
      </c>
      <c r="AZ28">
        <f>'Output Interpolation'!AP24</f>
        <v>0.49692777418823558</v>
      </c>
      <c r="BA28">
        <f>'Output Interpolation'!AQ24</f>
        <v>0.49485081781128881</v>
      </c>
    </row>
    <row r="29" spans="1:53">
      <c r="A29">
        <v>2020</v>
      </c>
      <c r="B29" t="s">
        <v>109</v>
      </c>
      <c r="C29" s="3">
        <f>F8</f>
        <v>167033652.26804411</v>
      </c>
      <c r="D29" s="3">
        <f>X16</f>
        <v>116606838.60863154</v>
      </c>
      <c r="E29" s="42">
        <f>D29/C29</f>
        <v>0.69810386724651696</v>
      </c>
      <c r="I29">
        <f>'Fleet ZEV fractions'!AF41</f>
        <v>2022</v>
      </c>
      <c r="J29">
        <f>'Fleet ZEV fractions'!AG41</f>
        <v>6.2509876656391137E-5</v>
      </c>
      <c r="P29">
        <v>2035</v>
      </c>
      <c r="Q29">
        <v>30</v>
      </c>
      <c r="R29" s="3">
        <f t="shared" si="59"/>
        <v>300539665.70990866</v>
      </c>
      <c r="S29" s="3">
        <f t="shared" si="59"/>
        <v>105496380.63081472</v>
      </c>
      <c r="T29" s="3">
        <f t="shared" si="59"/>
        <v>39625510.500524513</v>
      </c>
      <c r="U29" s="3">
        <f t="shared" si="59"/>
        <v>2596185457241.5703</v>
      </c>
      <c r="V29" s="3">
        <f t="shared" ref="V29:V31" si="63">AJ29</f>
        <v>2610631268886.4971</v>
      </c>
      <c r="W29" s="3">
        <f t="shared" si="60"/>
        <v>34218825.745553136</v>
      </c>
      <c r="X29" s="3">
        <f t="shared" si="60"/>
        <v>39946385.206637636</v>
      </c>
      <c r="Y29" s="3">
        <f t="shared" si="60"/>
        <v>20020711.876165356</v>
      </c>
      <c r="Z29" s="3">
        <f t="shared" si="60"/>
        <v>10626437.852165177</v>
      </c>
      <c r="AA29" s="3">
        <f t="shared" ref="AA29:AA31" si="64">X29+Y29+Z29</f>
        <v>70593534.934968174</v>
      </c>
      <c r="AB29" s="3">
        <f>AW29*(AB24+AB34)</f>
        <v>1087604128.7709851</v>
      </c>
      <c r="AC29" s="3">
        <f t="shared" ref="AC29:AD29" si="65">AX29*(AC24+AC34)</f>
        <v>43980661.772263385</v>
      </c>
      <c r="AD29" s="3">
        <f t="shared" si="65"/>
        <v>173260352.71140763</v>
      </c>
      <c r="AE29" s="3">
        <f t="shared" si="62"/>
        <v>687185.46180404758</v>
      </c>
      <c r="AF29" s="3">
        <f t="shared" si="62"/>
        <v>8324969274.7209768</v>
      </c>
      <c r="AG29">
        <f>AE28/(AE28+AE29)</f>
        <v>0.42165977208884142</v>
      </c>
      <c r="AH29">
        <v>25</v>
      </c>
      <c r="AI29">
        <v>298</v>
      </c>
      <c r="AJ29">
        <f>U29+(S29*AH29)+(T29*AI29)</f>
        <v>2610631268886.4971</v>
      </c>
      <c r="AM29">
        <f>'Output Interpolation'!AC25</f>
        <v>2035</v>
      </c>
      <c r="AN29">
        <f>'Output Interpolation'!AD25</f>
        <v>30</v>
      </c>
      <c r="AO29">
        <f>'Output Interpolation'!AE25</f>
        <v>0.36815977750291051</v>
      </c>
      <c r="AP29">
        <f>'Output Interpolation'!AF25</f>
        <v>0.46691147835702074</v>
      </c>
      <c r="AQ29">
        <f>'Output Interpolation'!AG25</f>
        <v>0.48200889037562161</v>
      </c>
      <c r="AR29">
        <f>'Output Interpolation'!AH25</f>
        <v>0.49263199879266112</v>
      </c>
      <c r="AS29">
        <f>'Output Interpolation'!AI25</f>
        <v>0.49261957917290222</v>
      </c>
      <c r="AT29">
        <f>'Output Interpolation'!AJ25</f>
        <v>0.49024912606985643</v>
      </c>
      <c r="AU29">
        <f>'Output Interpolation'!AN25</f>
        <v>0.4995788462857535</v>
      </c>
      <c r="AV29">
        <f>'Output Interpolation'!AO25</f>
        <v>0.49959358204470106</v>
      </c>
      <c r="AW29">
        <f>'Output Interpolation'!AK25</f>
        <v>0.4995788462857535</v>
      </c>
      <c r="AX29">
        <f>'Output Interpolation'!AL25</f>
        <v>0.49959358204470106</v>
      </c>
      <c r="AY29">
        <f>'Output Interpolation'!AM25</f>
        <v>0.47999331682532065</v>
      </c>
      <c r="AZ29">
        <f>'Output Interpolation'!AP25</f>
        <v>0.50274000741202529</v>
      </c>
      <c r="BA29">
        <f>'Output Interpolation'!AQ25</f>
        <v>0.49959860756730368</v>
      </c>
    </row>
    <row r="30" spans="1:53">
      <c r="A30">
        <v>2025</v>
      </c>
      <c r="B30" t="s">
        <v>109</v>
      </c>
      <c r="C30" s="3">
        <f t="shared" ref="C30:C45" si="66">F9</f>
        <v>148573445.75571996</v>
      </c>
      <c r="D30" s="3">
        <f>X21</f>
        <v>96913272.61268346</v>
      </c>
      <c r="E30" s="42">
        <f t="shared" ref="E30:E45" si="67">D30/C30</f>
        <v>0.65229201705414697</v>
      </c>
      <c r="I30">
        <f>'Fleet ZEV fractions'!AF42</f>
        <v>2023</v>
      </c>
      <c r="J30">
        <f>'Fleet ZEV fractions'!AG42</f>
        <v>7.501185198766937E-5</v>
      </c>
      <c r="P30">
        <v>2035</v>
      </c>
      <c r="Q30">
        <v>41</v>
      </c>
      <c r="R30" s="3">
        <f t="shared" si="59"/>
        <v>218390188.19834718</v>
      </c>
      <c r="S30" s="3">
        <f t="shared" si="59"/>
        <v>30663642.993022092</v>
      </c>
      <c r="T30" s="3">
        <f t="shared" si="59"/>
        <v>4970225.7634714367</v>
      </c>
      <c r="U30" s="3">
        <f t="shared" si="59"/>
        <v>368602944286.16504</v>
      </c>
      <c r="V30" s="3">
        <f t="shared" si="63"/>
        <v>370850662638.50507</v>
      </c>
      <c r="W30" s="3">
        <f t="shared" si="60"/>
        <v>4772790.9414056949</v>
      </c>
      <c r="X30" s="3">
        <f t="shared" si="60"/>
        <v>3980184.7299286877</v>
      </c>
      <c r="Y30" s="3">
        <f t="shared" si="60"/>
        <v>1783985.5735676312</v>
      </c>
      <c r="Z30" s="3">
        <f t="shared" si="60"/>
        <v>1200297.6422255952</v>
      </c>
      <c r="AA30" s="3">
        <f t="shared" si="64"/>
        <v>6964467.9457219141</v>
      </c>
      <c r="AB30" s="3">
        <f>AW30*(AB25+AB35)</f>
        <v>115065129.01876231</v>
      </c>
      <c r="AC30" s="3">
        <f t="shared" ref="AC30:AD30" si="68">AX30*(AC25+AC35)</f>
        <v>3849906.9734935542</v>
      </c>
      <c r="AD30" s="3">
        <f t="shared" si="68"/>
        <v>18412838.917767964</v>
      </c>
      <c r="AE30" s="3">
        <f t="shared" si="62"/>
        <v>61497.208774849329</v>
      </c>
      <c r="AF30" s="3">
        <f t="shared" si="62"/>
        <v>682570866.46691978</v>
      </c>
      <c r="AH30">
        <v>25</v>
      </c>
      <c r="AI30">
        <v>298</v>
      </c>
      <c r="AJ30">
        <f>U30+(S30*AH30)+(T30*AI30)</f>
        <v>370850662638.50507</v>
      </c>
      <c r="AM30">
        <f>'Output Interpolation'!AC26</f>
        <v>2035</v>
      </c>
      <c r="AN30">
        <f>'Output Interpolation'!AD26</f>
        <v>41</v>
      </c>
      <c r="AO30">
        <f>'Output Interpolation'!AE26</f>
        <v>0.42854069860786587</v>
      </c>
      <c r="AP30">
        <f>'Output Interpolation'!AF26</f>
        <v>0.48284254875169069</v>
      </c>
      <c r="AQ30">
        <f>'Output Interpolation'!AG26</f>
        <v>0.46286108503715834</v>
      </c>
      <c r="AR30">
        <f>'Output Interpolation'!AH26</f>
        <v>0.49259138388117396</v>
      </c>
      <c r="AS30">
        <f>'Output Interpolation'!AI26</f>
        <v>0.49251787659231899</v>
      </c>
      <c r="AT30">
        <f>'Output Interpolation'!AJ26</f>
        <v>0.40082736154131865</v>
      </c>
      <c r="AU30">
        <f>'Output Interpolation'!AN26</f>
        <v>0.50106029128408269</v>
      </c>
      <c r="AV30">
        <f>'Output Interpolation'!AO26</f>
        <v>0.4997928543931367</v>
      </c>
      <c r="AW30">
        <f>'Output Interpolation'!AK26</f>
        <v>0.50106029128408269</v>
      </c>
      <c r="AX30">
        <f>'Output Interpolation'!AL26</f>
        <v>0.4997928543931367</v>
      </c>
      <c r="AY30">
        <f>'Output Interpolation'!AM26</f>
        <v>0.44061420981485594</v>
      </c>
      <c r="AZ30">
        <f>'Output Interpolation'!AP26</f>
        <v>0.5003378753584059</v>
      </c>
      <c r="BA30">
        <f>'Output Interpolation'!AQ26</f>
        <v>0.49978848911425983</v>
      </c>
    </row>
    <row r="31" spans="1:53">
      <c r="A31">
        <v>2026</v>
      </c>
      <c r="B31" t="s">
        <v>109</v>
      </c>
      <c r="C31" s="3">
        <f t="shared" si="66"/>
        <v>146496528.07475668</v>
      </c>
      <c r="D31" s="3">
        <f>D30+(D35-D30)/5</f>
        <v>94600492.892807901</v>
      </c>
      <c r="E31" s="42">
        <f t="shared" si="67"/>
        <v>0.6457524566352425</v>
      </c>
      <c r="I31">
        <f>'Fleet ZEV fractions'!AF43</f>
        <v>2024</v>
      </c>
      <c r="J31">
        <f>'Fleet ZEV fractions'!AG43</f>
        <v>8.7513827318947589E-5</v>
      </c>
      <c r="P31">
        <v>2035</v>
      </c>
      <c r="Q31" s="8" t="s">
        <v>109</v>
      </c>
      <c r="R31" s="3">
        <f t="shared" ref="R31:Z31" si="69">SUM(R28:R30)</f>
        <v>719587913.79651868</v>
      </c>
      <c r="S31" s="3">
        <f t="shared" si="69"/>
        <v>208947393.94356269</v>
      </c>
      <c r="T31" s="3">
        <f t="shared" si="69"/>
        <v>65209711.07120052</v>
      </c>
      <c r="U31" s="3">
        <f t="shared" si="69"/>
        <v>4335833973494.5605</v>
      </c>
      <c r="V31" s="3">
        <f t="shared" si="63"/>
        <v>4360490152242.3672</v>
      </c>
      <c r="W31" s="3">
        <f t="shared" si="69"/>
        <v>57069825.772717491</v>
      </c>
      <c r="X31" s="3">
        <f t="shared" si="69"/>
        <v>66625354.776316956</v>
      </c>
      <c r="Y31" s="3">
        <f t="shared" si="69"/>
        <v>34686373.135289133</v>
      </c>
      <c r="Z31" s="3">
        <f t="shared" si="69"/>
        <v>19221755.446087062</v>
      </c>
      <c r="AA31" s="3">
        <f t="shared" si="64"/>
        <v>120533483.35769315</v>
      </c>
      <c r="AB31" s="3">
        <f t="shared" ref="AB31:AD31" si="70">SUM(AB28:AB30)</f>
        <v>2007020474.3190563</v>
      </c>
      <c r="AC31" s="3">
        <f t="shared" si="70"/>
        <v>71656675.9919011</v>
      </c>
      <c r="AD31" s="3">
        <f t="shared" si="70"/>
        <v>311032701.65256625</v>
      </c>
      <c r="AE31" s="3">
        <f>SUM(AE28:AE30)</f>
        <v>1249699.980499747</v>
      </c>
      <c r="AF31" s="3">
        <f>SUM(AF28:AF30)</f>
        <v>14797144486.28536</v>
      </c>
      <c r="AJ31">
        <f>SUM(AJ28:AJ30)</f>
        <v>4360490152242.3672</v>
      </c>
    </row>
    <row r="32" spans="1:53">
      <c r="A32">
        <v>2027</v>
      </c>
      <c r="B32" t="s">
        <v>109</v>
      </c>
      <c r="C32" s="3">
        <f t="shared" si="66"/>
        <v>144419610.3937934</v>
      </c>
      <c r="D32" s="3">
        <f>D30+(D35-D30)/5*2</f>
        <v>92287713.172932357</v>
      </c>
      <c r="E32" s="42">
        <f t="shared" si="67"/>
        <v>0.63902480363496761</v>
      </c>
      <c r="I32">
        <f>'Fleet ZEV fractions'!AF44</f>
        <v>2025</v>
      </c>
      <c r="J32">
        <f>'Fleet ZEV fractions'!AG44</f>
        <v>1.0001580265022582E-4</v>
      </c>
      <c r="P32" s="6"/>
      <c r="R32" s="3"/>
      <c r="S32" s="3"/>
      <c r="T32" s="3"/>
      <c r="U32" s="3"/>
      <c r="V32" s="3"/>
      <c r="W32" s="3">
        <f>W31-W30</f>
        <v>52297034.831311792</v>
      </c>
      <c r="X32" s="3"/>
      <c r="Y32" s="3"/>
      <c r="Z32" s="3"/>
      <c r="AA32" s="3"/>
      <c r="AB32" s="3"/>
      <c r="AC32" s="3"/>
      <c r="AD32" s="3"/>
      <c r="AE32" s="3"/>
      <c r="AF32" s="3"/>
    </row>
    <row r="33" spans="1:36">
      <c r="A33">
        <v>2028</v>
      </c>
      <c r="B33" t="s">
        <v>109</v>
      </c>
      <c r="C33" s="3">
        <f t="shared" si="66"/>
        <v>142342692.71283013</v>
      </c>
      <c r="D33" s="3">
        <f>D30+(D35-D30)/5*3</f>
        <v>89974933.453056797</v>
      </c>
      <c r="E33" s="42">
        <f t="shared" si="67"/>
        <v>0.63210082469478857</v>
      </c>
      <c r="I33">
        <f>'Fleet ZEV fractions'!AF45</f>
        <v>2026</v>
      </c>
      <c r="J33">
        <f>'Fleet ZEV fractions'!AG45</f>
        <v>1.1251777798150404E-4</v>
      </c>
      <c r="P33" s="18">
        <f>'County Scale Output 2017-2040'!A14</f>
        <v>2040</v>
      </c>
      <c r="Q33" s="38">
        <f>'County Scale Output 2017-2040'!B14</f>
        <v>20</v>
      </c>
      <c r="R33" s="40">
        <f>'County Scale Output 2017-2040'!C14</f>
        <v>187010159.256836</v>
      </c>
      <c r="S33" s="40">
        <f>'County Scale Output 2017-2040'!D14</f>
        <v>72676906.8046875</v>
      </c>
      <c r="T33" s="40">
        <f>'County Scale Output 2017-2040'!E14</f>
        <v>21780246.712158199</v>
      </c>
      <c r="U33" s="40">
        <f>'County Scale Output 2017-2040'!F14</f>
        <v>1372535526088</v>
      </c>
      <c r="V33" s="40">
        <f>AJ33</f>
        <v>1380842962278.3403</v>
      </c>
      <c r="W33" s="40">
        <f>'County Scale Output 2017-2040'!G14</f>
        <v>18091831.7027702</v>
      </c>
      <c r="X33" s="40">
        <f>'County Scale Output 2017-2040'!H14</f>
        <v>19472642.347167999</v>
      </c>
      <c r="Y33" s="40">
        <f>'County Scale Output 2017-2040'!I14</f>
        <v>13331076.3535366</v>
      </c>
      <c r="Z33" s="40">
        <f>'County Scale Output 2017-2040'!J14</f>
        <v>7648820.72852707</v>
      </c>
      <c r="AA33" s="40">
        <f>X33+Y33+Z33</f>
        <v>40452539.429231666</v>
      </c>
      <c r="AB33" s="40">
        <f>'County Scale Output 2017-2040'!K14</f>
        <v>777897647.17968798</v>
      </c>
      <c r="AC33" s="40">
        <f>'County Scale Output 2017-2040'!L14</f>
        <v>23404986.575256299</v>
      </c>
      <c r="AD33" s="40">
        <f>'County Scale Output 2017-2040'!M14</f>
        <v>124346446.17968801</v>
      </c>
      <c r="AE33" s="40">
        <f>'County Scale Output 2017-2040'!N14</f>
        <v>530810.46752018004</v>
      </c>
      <c r="AF33" s="41">
        <f>'County Scale Output 2017-2040'!O14</f>
        <v>5987508412.1765003</v>
      </c>
      <c r="AH33">
        <v>25</v>
      </c>
      <c r="AI33">
        <v>298</v>
      </c>
      <c r="AJ33">
        <f>U33+(S33*AH33)+(T33*AI33)</f>
        <v>1380842962278.3403</v>
      </c>
    </row>
    <row r="34" spans="1:36">
      <c r="A34">
        <v>2029</v>
      </c>
      <c r="B34" t="s">
        <v>109</v>
      </c>
      <c r="C34" s="3">
        <f t="shared" si="66"/>
        <v>140265775.03186685</v>
      </c>
      <c r="D34" s="3">
        <f>D30+(D35-D30)/5*4</f>
        <v>87662153.733181253</v>
      </c>
      <c r="E34" s="42">
        <f t="shared" si="67"/>
        <v>0.62497179881026121</v>
      </c>
      <c r="I34">
        <f>'Fleet ZEV fractions'!AF46</f>
        <v>2027</v>
      </c>
      <c r="J34">
        <f>'Fleet ZEV fractions'!AG46</f>
        <v>1.2501975331278227E-4</v>
      </c>
      <c r="P34" s="19">
        <f>'County Scale Output 2017-2040'!A15</f>
        <v>2040</v>
      </c>
      <c r="Q34">
        <f>'County Scale Output 2017-2040'!B15</f>
        <v>30</v>
      </c>
      <c r="R34" s="3">
        <f>'County Scale Output 2017-2040'!C15</f>
        <v>267943247.453125</v>
      </c>
      <c r="S34" s="3">
        <f>'County Scale Output 2017-2040'!D15</f>
        <v>99644494.167968795</v>
      </c>
      <c r="T34" s="3">
        <f>'County Scale Output 2017-2040'!E15</f>
        <v>40015880.876953103</v>
      </c>
      <c r="U34" s="3">
        <f>'County Scale Output 2017-2040'!F15</f>
        <v>2580689595392</v>
      </c>
      <c r="V34" s="3">
        <f t="shared" ref="V34:V36" si="71">AJ34</f>
        <v>2595105440247.5312</v>
      </c>
      <c r="W34" s="3">
        <f>'County Scale Output 2017-2040'!G15</f>
        <v>34012969.926071197</v>
      </c>
      <c r="X34" s="3">
        <f>'County Scale Output 2017-2040'!H15</f>
        <v>29674705.925781202</v>
      </c>
      <c r="Y34" s="3">
        <f>'County Scale Output 2017-2040'!I15</f>
        <v>20471850.658718102</v>
      </c>
      <c r="Z34" s="3">
        <f>'County Scale Output 2017-2040'!J15</f>
        <v>10858866.4334793</v>
      </c>
      <c r="AA34" s="3">
        <f t="shared" ref="AA34:AA36" si="72">X34+Y34+Z34</f>
        <v>61005423.017978601</v>
      </c>
      <c r="AB34" s="3">
        <f>'County Scale Output 2017-2040'!K15</f>
        <v>979700394.15625</v>
      </c>
      <c r="AC34" s="3">
        <f>'County Scale Output 2017-2040'!L15</f>
        <v>43074446.249511696</v>
      </c>
      <c r="AD34" s="3">
        <f>'County Scale Output 2017-2040'!M15</f>
        <v>182594029.46093801</v>
      </c>
      <c r="AE34" s="3">
        <f>'County Scale Output 2017-2040'!N15</f>
        <v>671325.97351000505</v>
      </c>
      <c r="AF34" s="35">
        <f>'County Scale Output 2017-2040'!O15</f>
        <v>8505783854.1279297</v>
      </c>
      <c r="AG34">
        <f>AE33/(AE33+AE34)</f>
        <v>0.44155592443840708</v>
      </c>
      <c r="AH34">
        <v>25</v>
      </c>
      <c r="AI34">
        <v>298</v>
      </c>
      <c r="AJ34">
        <f>U34+(S34*AH34)+(T34*AI34)</f>
        <v>2595105440247.5312</v>
      </c>
    </row>
    <row r="35" spans="1:36">
      <c r="A35">
        <v>2030</v>
      </c>
      <c r="B35" t="s">
        <v>109</v>
      </c>
      <c r="C35" s="3">
        <f t="shared" si="66"/>
        <v>138188857.35090357</v>
      </c>
      <c r="D35" s="3">
        <f>X26</f>
        <v>85349374.013305694</v>
      </c>
      <c r="E35" s="42">
        <f t="shared" si="67"/>
        <v>0.61762848068551324</v>
      </c>
      <c r="I35">
        <f>'Fleet ZEV fractions'!AF47</f>
        <v>2028</v>
      </c>
      <c r="J35">
        <f>'Fleet ZEV fractions'!AG47</f>
        <v>1.3752172864406049E-4</v>
      </c>
      <c r="P35" s="19">
        <f>'County Scale Output 2017-2040'!A16</f>
        <v>2040</v>
      </c>
      <c r="Q35">
        <f>'County Scale Output 2017-2040'!B16</f>
        <v>41</v>
      </c>
      <c r="R35" s="3">
        <f>'County Scale Output 2017-2040'!C16</f>
        <v>205549274.75</v>
      </c>
      <c r="S35" s="3">
        <f>'County Scale Output 2017-2040'!D16</f>
        <v>32050750.96875</v>
      </c>
      <c r="T35" s="3">
        <f>'County Scale Output 2017-2040'!E16</f>
        <v>5151176.46875</v>
      </c>
      <c r="U35" s="3">
        <f>'County Scale Output 2017-2040'!F16</f>
        <v>369912259584</v>
      </c>
      <c r="V35" s="3">
        <f t="shared" si="71"/>
        <v>372248578945.90625</v>
      </c>
      <c r="W35" s="3">
        <f>'County Scale Output 2017-2040'!G16</f>
        <v>4787683.015625</v>
      </c>
      <c r="X35" s="3">
        <f>'County Scale Output 2017-2040'!H16</f>
        <v>3444427.640625</v>
      </c>
      <c r="Y35" s="3">
        <f>'County Scale Output 2017-2040'!I16</f>
        <v>1876546.55078125</v>
      </c>
      <c r="Z35" s="3">
        <f>'County Scale Output 2017-2040'!J16</f>
        <v>1256178.12109375</v>
      </c>
      <c r="AA35" s="3">
        <f t="shared" si="72"/>
        <v>6577152.3125</v>
      </c>
      <c r="AB35" s="3">
        <f>'County Scale Output 2017-2040'!K16</f>
        <v>101522520.5</v>
      </c>
      <c r="AC35" s="3">
        <f>'County Scale Output 2017-2040'!L16</f>
        <v>3729808.96875</v>
      </c>
      <c r="AD35" s="3">
        <f>'County Scale Output 2017-2040'!M16</f>
        <v>21412955.1875</v>
      </c>
      <c r="AE35" s="3">
        <f>'County Scale Output 2017-2040'!N16</f>
        <v>64628.690430000002</v>
      </c>
      <c r="AF35" s="35">
        <f>'County Scale Output 2017-2040'!O16</f>
        <v>714189310</v>
      </c>
      <c r="AH35">
        <v>25</v>
      </c>
      <c r="AI35">
        <v>298</v>
      </c>
      <c r="AJ35">
        <f>U35+(S35*AH35)+(T35*AI35)</f>
        <v>372248578945.90625</v>
      </c>
    </row>
    <row r="36" spans="1:36">
      <c r="A36">
        <v>2031</v>
      </c>
      <c r="B36" t="s">
        <v>109</v>
      </c>
      <c r="C36" s="3">
        <f t="shared" si="66"/>
        <v>134657782.55226147</v>
      </c>
      <c r="D36" s="3">
        <f>D35+(D40-D35)/5</f>
        <v>81604570.165907949</v>
      </c>
      <c r="E36" s="42">
        <f t="shared" si="67"/>
        <v>0.60601451040705157</v>
      </c>
      <c r="I36">
        <f>'Fleet ZEV fractions'!AF48</f>
        <v>2029</v>
      </c>
      <c r="J36">
        <f>'Fleet ZEV fractions'!AG48</f>
        <v>1.5002370397533874E-4</v>
      </c>
      <c r="P36" s="20">
        <v>2040</v>
      </c>
      <c r="Q36" s="67" t="s">
        <v>109</v>
      </c>
      <c r="R36" s="32">
        <f t="shared" ref="R36:Z36" si="73">SUM(R33:R35)</f>
        <v>660502681.45996094</v>
      </c>
      <c r="S36" s="32">
        <f t="shared" si="73"/>
        <v>204372151.94140631</v>
      </c>
      <c r="T36" s="32">
        <f t="shared" si="73"/>
        <v>66947304.057861298</v>
      </c>
      <c r="U36" s="32">
        <f t="shared" si="73"/>
        <v>4323137381064</v>
      </c>
      <c r="V36" s="32">
        <f t="shared" si="71"/>
        <v>4348196981471.7778</v>
      </c>
      <c r="W36" s="32">
        <f t="shared" si="73"/>
        <v>56892484.6444664</v>
      </c>
      <c r="X36" s="32">
        <f t="shared" si="73"/>
        <v>52591775.913574204</v>
      </c>
      <c r="Y36" s="32">
        <f t="shared" si="73"/>
        <v>35679473.56303595</v>
      </c>
      <c r="Z36" s="32">
        <f t="shared" si="73"/>
        <v>19763865.283100121</v>
      </c>
      <c r="AA36" s="32">
        <f t="shared" si="72"/>
        <v>108035114.75971028</v>
      </c>
      <c r="AB36" s="32">
        <f>SUM(AB33:AB35)</f>
        <v>1859120561.835938</v>
      </c>
      <c r="AC36" s="32">
        <f t="shared" ref="AC36:AD36" si="74">SUM(AC33:AC35)</f>
        <v>70209241.793517992</v>
      </c>
      <c r="AD36" s="32">
        <f t="shared" si="74"/>
        <v>328353430.82812601</v>
      </c>
      <c r="AE36" s="32">
        <f>SUM(AE33:AE35)</f>
        <v>1266765.1314601852</v>
      </c>
      <c r="AF36" s="36">
        <f>SUM(AF33:AF35)</f>
        <v>15207481576.30443</v>
      </c>
      <c r="AJ36">
        <f>SUM(AJ33:AJ35)</f>
        <v>4348196981471.7778</v>
      </c>
    </row>
    <row r="37" spans="1:36">
      <c r="A37">
        <v>2032</v>
      </c>
      <c r="B37" t="s">
        <v>109</v>
      </c>
      <c r="C37" s="3">
        <f t="shared" si="66"/>
        <v>131126707.7536194</v>
      </c>
      <c r="D37" s="3">
        <f>D35+(D40-D35)/5*2</f>
        <v>77859766.318510205</v>
      </c>
      <c r="E37" s="42">
        <f t="shared" si="67"/>
        <v>0.59377504135011805</v>
      </c>
      <c r="I37">
        <f>'Fleet ZEV fractions'!AF49</f>
        <v>2030</v>
      </c>
      <c r="J37">
        <f>'Fleet ZEV fractions'!AG49</f>
        <v>1.6252567930661696E-4</v>
      </c>
      <c r="W37" s="3">
        <f>W36-W35</f>
        <v>52104801.6288414</v>
      </c>
    </row>
    <row r="38" spans="1:36">
      <c r="A38">
        <v>2033</v>
      </c>
      <c r="B38" t="s">
        <v>109</v>
      </c>
      <c r="C38" s="3">
        <f t="shared" si="66"/>
        <v>127595632.95497732</v>
      </c>
      <c r="D38" s="3">
        <f>D35+(D40-D35)/5*3</f>
        <v>74114962.47111246</v>
      </c>
      <c r="E38" s="42">
        <f t="shared" si="67"/>
        <v>0.58085814345436293</v>
      </c>
      <c r="I38">
        <f>'Fleet ZEV fractions'!AF50</f>
        <v>2031</v>
      </c>
      <c r="J38">
        <f>'Fleet ZEV fractions'!AG50</f>
        <v>1.4809394885019857E-4</v>
      </c>
      <c r="AG38">
        <f>(AG19+AG24+AG29+AG34)/4</f>
        <v>0.4182627251280841</v>
      </c>
    </row>
    <row r="39" spans="1:36">
      <c r="A39">
        <v>2034</v>
      </c>
      <c r="B39" t="s">
        <v>109</v>
      </c>
      <c r="C39" s="3">
        <f t="shared" si="66"/>
        <v>124064558.15633523</v>
      </c>
      <c r="D39" s="3">
        <f>D35+(D40-D35)/5*4</f>
        <v>70370158.6237147</v>
      </c>
      <c r="E39" s="42">
        <f t="shared" si="67"/>
        <v>0.56720597461073796</v>
      </c>
      <c r="I39">
        <f>'Fleet ZEV fractions'!AF51</f>
        <v>2032</v>
      </c>
      <c r="J39">
        <f>'Fleet ZEV fractions'!AG51</f>
        <v>1.3366221839378021E-4</v>
      </c>
    </row>
    <row r="40" spans="1:36">
      <c r="A40">
        <v>2035</v>
      </c>
      <c r="B40" t="s">
        <v>109</v>
      </c>
      <c r="C40" s="3">
        <f t="shared" si="66"/>
        <v>120533483.35769315</v>
      </c>
      <c r="D40" s="3">
        <f>X31</f>
        <v>66625354.776316956</v>
      </c>
      <c r="E40" s="42">
        <f t="shared" si="67"/>
        <v>0.5527539146827829</v>
      </c>
      <c r="I40">
        <f>'Fleet ZEV fractions'!AF52</f>
        <v>2033</v>
      </c>
      <c r="J40">
        <f>'Fleet ZEV fractions'!AG52</f>
        <v>1.1923048793736183E-4</v>
      </c>
    </row>
    <row r="41" spans="1:36">
      <c r="A41">
        <v>2036</v>
      </c>
      <c r="B41" t="s">
        <v>109</v>
      </c>
      <c r="C41" s="3">
        <f t="shared" si="66"/>
        <v>118033809.63809657</v>
      </c>
      <c r="D41" s="3">
        <f>D40+(D45-D40)/5</f>
        <v>63818639.003768407</v>
      </c>
      <c r="E41" s="42">
        <f t="shared" si="67"/>
        <v>0.54068100656449802</v>
      </c>
      <c r="I41">
        <f>'Fleet ZEV fractions'!AF53</f>
        <v>2034</v>
      </c>
      <c r="J41">
        <f>'Fleet ZEV fractions'!AG53</f>
        <v>1.0479875748094346E-4</v>
      </c>
    </row>
    <row r="42" spans="1:36">
      <c r="A42">
        <v>2037</v>
      </c>
      <c r="B42" t="s">
        <v>109</v>
      </c>
      <c r="C42" s="3">
        <f t="shared" si="66"/>
        <v>115534135.91850001</v>
      </c>
      <c r="D42" s="3">
        <f>D40+(D45-D40)/5*2</f>
        <v>61011923.231219858</v>
      </c>
      <c r="E42" s="42">
        <f t="shared" si="67"/>
        <v>0.52808568434059033</v>
      </c>
      <c r="I42">
        <f>'Fleet ZEV fractions'!AF54</f>
        <v>2035</v>
      </c>
      <c r="J42">
        <f>'Fleet ZEV fractions'!AG54</f>
        <v>9.0367027024525085E-5</v>
      </c>
    </row>
    <row r="43" spans="1:36">
      <c r="A43">
        <v>2038</v>
      </c>
      <c r="B43" t="s">
        <v>109</v>
      </c>
      <c r="C43" s="3">
        <f t="shared" si="66"/>
        <v>113034462.19890343</v>
      </c>
      <c r="D43" s="3">
        <f>D40+(D45-D40)/5*3</f>
        <v>58205207.458671302</v>
      </c>
      <c r="E43" s="42">
        <f t="shared" si="67"/>
        <v>0.51493328960374318</v>
      </c>
      <c r="I43">
        <f>'Fleet ZEV fractions'!AF55</f>
        <v>2036</v>
      </c>
      <c r="J43">
        <f>'Fleet ZEV fractions'!AG55</f>
        <v>7.5935296568106712E-5</v>
      </c>
    </row>
    <row r="44" spans="1:36">
      <c r="A44">
        <v>2039</v>
      </c>
      <c r="B44" t="s">
        <v>109</v>
      </c>
      <c r="C44" s="3">
        <f t="shared" si="66"/>
        <v>110534788.47930686</v>
      </c>
      <c r="D44" s="3">
        <f>D40+(D45-D40)/5*4</f>
        <v>55398491.686122753</v>
      </c>
      <c r="E44" s="42">
        <f t="shared" si="67"/>
        <v>0.50118602883556307</v>
      </c>
      <c r="I44">
        <f>'Fleet ZEV fractions'!AF56</f>
        <v>2037</v>
      </c>
      <c r="J44">
        <f>'Fleet ZEV fractions'!AG56</f>
        <v>6.150356611168834E-5</v>
      </c>
    </row>
    <row r="45" spans="1:36">
      <c r="A45">
        <v>2040</v>
      </c>
      <c r="B45" t="s">
        <v>109</v>
      </c>
      <c r="C45" s="3">
        <f t="shared" si="66"/>
        <v>108035114.75971028</v>
      </c>
      <c r="D45" s="3">
        <f>X36</f>
        <v>52591775.913574204</v>
      </c>
      <c r="E45" s="42">
        <f t="shared" si="67"/>
        <v>0.48680261071178443</v>
      </c>
      <c r="I45">
        <f>'Fleet ZEV fractions'!AF57</f>
        <v>2038</v>
      </c>
      <c r="J45">
        <f>'Fleet ZEV fractions'!AG57</f>
        <v>4.7071835655269954E-5</v>
      </c>
    </row>
    <row r="46" spans="1:36">
      <c r="I46">
        <f>'Fleet ZEV fractions'!AF58</f>
        <v>2039</v>
      </c>
      <c r="J46">
        <f>'Fleet ZEV fractions'!AG58</f>
        <v>3.2640105198851569E-5</v>
      </c>
    </row>
    <row r="47" spans="1:36">
      <c r="I47">
        <f>'Fleet ZEV fractions'!AF59</f>
        <v>2040</v>
      </c>
      <c r="J47">
        <f>'Fleet ZEV fractions'!AG59</f>
        <v>1.8208374742433213E-5</v>
      </c>
    </row>
  </sheetData>
  <sheetProtection algorithmName="SHA-512" hashValue="yPK3cyWvvt2JOPCO3q4x9znL7+IpkmTijlN+HVB1aM7k+P6/5XhGJTG3vfZxKJTLDurRT1mMdSdpLq9yaOhTHw==" saltValue="Y33x8qlkgTfI4m0P8HQUXQ==" spinCount="100000" sheet="1" objects="1" scenarios="1"/>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U31"/>
  <sheetViews>
    <sheetView topLeftCell="F1" workbookViewId="0">
      <selection activeCell="Q1" sqref="Q1:U31"/>
    </sheetView>
  </sheetViews>
  <sheetFormatPr baseColWidth="10" defaultColWidth="8.83203125" defaultRowHeight="15"/>
  <cols>
    <col min="3" max="3" width="12.1640625" bestFit="1" customWidth="1"/>
    <col min="4" max="4" width="9.5" bestFit="1" customWidth="1"/>
    <col min="5" max="5" width="11.1640625" bestFit="1" customWidth="1"/>
    <col min="6" max="6" width="13.6640625" bestFit="1" customWidth="1"/>
    <col min="7" max="7" width="10.1640625" bestFit="1" customWidth="1"/>
    <col min="8" max="8" width="9.33203125" bestFit="1" customWidth="1"/>
    <col min="9" max="9" width="10.1640625" bestFit="1" customWidth="1"/>
    <col min="10" max="10" width="9.33203125" bestFit="1" customWidth="1"/>
    <col min="11" max="11" width="10.6640625" customWidth="1"/>
    <col min="12" max="12" width="9.33203125" customWidth="1"/>
    <col min="13" max="13" width="10.5" customWidth="1"/>
    <col min="14" max="14" width="9.33203125" bestFit="1" customWidth="1"/>
    <col min="15" max="15" width="12.83203125" customWidth="1"/>
  </cols>
  <sheetData>
    <row r="1" spans="1:21">
      <c r="A1" s="2" t="s">
        <v>76</v>
      </c>
      <c r="C1" s="6"/>
      <c r="E1" t="s">
        <v>520</v>
      </c>
      <c r="H1" s="6"/>
      <c r="I1" s="6"/>
      <c r="Q1" s="30" t="s">
        <v>521</v>
      </c>
      <c r="R1" t="s">
        <v>0</v>
      </c>
      <c r="S1" t="s">
        <v>31</v>
      </c>
      <c r="T1" t="s">
        <v>522</v>
      </c>
      <c r="U1" t="s">
        <v>75</v>
      </c>
    </row>
    <row r="2" spans="1:21">
      <c r="Q2">
        <v>23</v>
      </c>
      <c r="R2">
        <v>2017</v>
      </c>
      <c r="S2">
        <v>20</v>
      </c>
      <c r="T2">
        <v>1</v>
      </c>
      <c r="U2">
        <v>5316814208</v>
      </c>
    </row>
    <row r="3" spans="1:21">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c r="Q3">
        <v>23</v>
      </c>
      <c r="R3">
        <v>2017</v>
      </c>
      <c r="S3">
        <v>20</v>
      </c>
      <c r="T3">
        <v>2</v>
      </c>
      <c r="U3">
        <v>51864742</v>
      </c>
    </row>
    <row r="4" spans="1:21">
      <c r="A4">
        <v>2017</v>
      </c>
      <c r="B4">
        <v>20</v>
      </c>
      <c r="C4" s="3">
        <v>1232610098</v>
      </c>
      <c r="D4" s="3">
        <v>144048969.59375</v>
      </c>
      <c r="E4" s="3">
        <v>28972156.856933601</v>
      </c>
      <c r="F4" s="3">
        <v>1861618470400</v>
      </c>
      <c r="G4" s="3">
        <v>24545217.605468798</v>
      </c>
      <c r="H4" s="3">
        <v>25667036.046875</v>
      </c>
      <c r="I4" s="3">
        <v>11914135.9990234</v>
      </c>
      <c r="J4" s="3">
        <v>6853892.28662109</v>
      </c>
      <c r="K4" s="3">
        <v>1385682855.75</v>
      </c>
      <c r="L4" s="3">
        <v>31885658.5615234</v>
      </c>
      <c r="M4" s="3">
        <v>139974812.11328101</v>
      </c>
      <c r="N4" s="3">
        <v>429707.69851000002</v>
      </c>
      <c r="O4">
        <v>5368678950</v>
      </c>
      <c r="Q4">
        <v>23</v>
      </c>
      <c r="R4">
        <v>2017</v>
      </c>
      <c r="S4">
        <v>20</v>
      </c>
      <c r="T4">
        <v>5</v>
      </c>
      <c r="U4">
        <v>0</v>
      </c>
    </row>
    <row r="5" spans="1:21">
      <c r="A5">
        <v>2017</v>
      </c>
      <c r="B5">
        <v>30</v>
      </c>
      <c r="C5" s="3">
        <v>2301457917</v>
      </c>
      <c r="D5" s="3">
        <v>220331726.921875</v>
      </c>
      <c r="E5" s="3">
        <v>67081497.605224602</v>
      </c>
      <c r="F5" s="3">
        <v>3451835467392</v>
      </c>
      <c r="G5" s="3">
        <v>45520005.6484375</v>
      </c>
      <c r="H5" s="3">
        <v>50330606.083984397</v>
      </c>
      <c r="I5" s="3">
        <v>18366523.333984401</v>
      </c>
      <c r="J5" s="3">
        <v>9766233.3417968806</v>
      </c>
      <c r="K5" s="3">
        <v>2099131422.25</v>
      </c>
      <c r="L5" s="3">
        <v>58317925.582031198</v>
      </c>
      <c r="M5" s="3">
        <v>199583403.93164101</v>
      </c>
      <c r="N5" s="3">
        <v>656597.72198499995</v>
      </c>
      <c r="O5">
        <v>7653990264</v>
      </c>
      <c r="Q5">
        <v>23</v>
      </c>
      <c r="R5">
        <v>2017</v>
      </c>
      <c r="S5">
        <v>20</v>
      </c>
      <c r="T5">
        <v>9</v>
      </c>
      <c r="U5">
        <v>0</v>
      </c>
    </row>
    <row r="6" spans="1:21">
      <c r="A6">
        <v>2017</v>
      </c>
      <c r="B6">
        <v>41</v>
      </c>
      <c r="C6" s="3">
        <v>1684870848</v>
      </c>
      <c r="D6" s="3">
        <v>60254015.5</v>
      </c>
      <c r="E6" s="3">
        <v>16714116</v>
      </c>
      <c r="F6" s="3">
        <v>507678525440</v>
      </c>
      <c r="G6" s="3">
        <v>6604106.875</v>
      </c>
      <c r="H6" s="3">
        <v>59661856.125</v>
      </c>
      <c r="I6" s="3">
        <v>1613576.2421875</v>
      </c>
      <c r="J6" s="3">
        <v>1172436.765625</v>
      </c>
      <c r="K6" s="3">
        <v>496623010</v>
      </c>
      <c r="L6" s="3">
        <v>6133055.734375</v>
      </c>
      <c r="M6" s="3">
        <v>28539951.125</v>
      </c>
      <c r="N6" s="3">
        <v>62627.300289999999</v>
      </c>
      <c r="O6">
        <v>668108976</v>
      </c>
      <c r="Q6">
        <v>23</v>
      </c>
      <c r="R6">
        <v>2017</v>
      </c>
      <c r="S6">
        <v>30</v>
      </c>
      <c r="T6">
        <v>1</v>
      </c>
      <c r="U6">
        <v>7623563584</v>
      </c>
    </row>
    <row r="7" spans="1:21">
      <c r="C7" s="3"/>
      <c r="D7" s="3"/>
      <c r="E7" s="3"/>
      <c r="F7" s="3"/>
      <c r="G7" s="3"/>
      <c r="H7" s="3"/>
      <c r="I7" s="3"/>
      <c r="J7" s="3"/>
      <c r="K7" s="3"/>
      <c r="L7" s="3"/>
      <c r="M7" s="3"/>
      <c r="N7" s="3"/>
      <c r="Q7">
        <v>23</v>
      </c>
      <c r="R7">
        <v>2017</v>
      </c>
      <c r="S7">
        <v>30</v>
      </c>
      <c r="T7">
        <v>2</v>
      </c>
      <c r="U7">
        <v>30426680</v>
      </c>
    </row>
    <row r="8" spans="1:21">
      <c r="A8" t="s">
        <v>0</v>
      </c>
      <c r="B8" t="s">
        <v>31</v>
      </c>
      <c r="C8" s="3" t="s">
        <v>2</v>
      </c>
      <c r="D8" s="3" t="s">
        <v>26</v>
      </c>
      <c r="E8" s="3" t="s">
        <v>21</v>
      </c>
      <c r="F8" s="3" t="s">
        <v>3</v>
      </c>
      <c r="G8" s="3" t="s">
        <v>22</v>
      </c>
      <c r="H8" s="3" t="s">
        <v>43</v>
      </c>
      <c r="I8" s="3" t="s">
        <v>44</v>
      </c>
      <c r="J8" s="3" t="s">
        <v>45</v>
      </c>
      <c r="K8" s="3" t="s">
        <v>115</v>
      </c>
      <c r="L8" s="3" t="s">
        <v>116</v>
      </c>
      <c r="M8" s="3" t="s">
        <v>117</v>
      </c>
      <c r="N8" s="3" t="s">
        <v>74</v>
      </c>
      <c r="O8" t="s">
        <v>75</v>
      </c>
      <c r="Q8">
        <v>23</v>
      </c>
      <c r="R8">
        <v>2017</v>
      </c>
      <c r="S8">
        <v>30</v>
      </c>
      <c r="T8">
        <v>5</v>
      </c>
      <c r="U8">
        <v>0</v>
      </c>
    </row>
    <row r="9" spans="1:21">
      <c r="A9">
        <v>2030</v>
      </c>
      <c r="B9">
        <v>20</v>
      </c>
      <c r="C9" s="3">
        <v>310695991.05859399</v>
      </c>
      <c r="D9" s="3">
        <v>82734356.253906205</v>
      </c>
      <c r="E9" s="3">
        <v>20648485.4916992</v>
      </c>
      <c r="F9" s="3">
        <v>1443732039352</v>
      </c>
      <c r="G9" s="3">
        <v>19043602.790557899</v>
      </c>
      <c r="H9" s="3">
        <v>27056776.755493201</v>
      </c>
      <c r="I9" s="3">
        <v>12700445.6600342</v>
      </c>
      <c r="J9" s="3">
        <v>7295123.9872131301</v>
      </c>
      <c r="K9" s="3">
        <v>847549764.38671899</v>
      </c>
      <c r="L9" s="3">
        <v>24743095.756286599</v>
      </c>
      <c r="M9" s="3">
        <v>121438872.09375</v>
      </c>
      <c r="N9" s="3">
        <v>477419.17055809998</v>
      </c>
      <c r="O9">
        <v>5712188014.9299994</v>
      </c>
      <c r="Q9">
        <v>23</v>
      </c>
      <c r="R9">
        <v>2017</v>
      </c>
      <c r="S9">
        <v>30</v>
      </c>
      <c r="T9">
        <v>9</v>
      </c>
      <c r="U9">
        <v>0</v>
      </c>
    </row>
    <row r="10" spans="1:21">
      <c r="A10">
        <v>2030</v>
      </c>
      <c r="B10">
        <v>30</v>
      </c>
      <c r="C10" s="3">
        <v>548386194.47656202</v>
      </c>
      <c r="D10" s="3">
        <v>126300648.58593801</v>
      </c>
      <c r="E10" s="3">
        <v>42193205.494140603</v>
      </c>
      <c r="F10" s="3">
        <v>2689340495232</v>
      </c>
      <c r="G10" s="3">
        <v>35450013.666675597</v>
      </c>
      <c r="H10" s="3">
        <v>51807102.1640625</v>
      </c>
      <c r="I10" s="3">
        <v>19603328.7148972</v>
      </c>
      <c r="J10" s="3">
        <v>10411298.424672101</v>
      </c>
      <c r="K10" s="3">
        <v>1197341602.03125</v>
      </c>
      <c r="L10" s="3">
        <v>44958433.581054702</v>
      </c>
      <c r="M10" s="3">
        <v>178370064.49218801</v>
      </c>
      <c r="N10" s="3">
        <v>695554.42525018007</v>
      </c>
      <c r="O10">
        <v>8157531752.8906002</v>
      </c>
      <c r="Q10">
        <v>23</v>
      </c>
      <c r="R10">
        <v>2017</v>
      </c>
      <c r="S10">
        <v>41</v>
      </c>
      <c r="T10">
        <v>1</v>
      </c>
      <c r="U10">
        <v>350169272</v>
      </c>
    </row>
    <row r="11" spans="1:21">
      <c r="A11">
        <v>2030</v>
      </c>
      <c r="B11">
        <v>41</v>
      </c>
      <c r="C11" s="3">
        <v>304064372</v>
      </c>
      <c r="D11" s="3">
        <v>31455754.5625</v>
      </c>
      <c r="E11" s="3">
        <v>5586874.15625</v>
      </c>
      <c r="F11" s="3">
        <v>378381267968</v>
      </c>
      <c r="G11" s="3">
        <v>4902911.3125</v>
      </c>
      <c r="H11" s="3">
        <v>6485495.09375</v>
      </c>
      <c r="I11" s="3">
        <v>1683874.4296875</v>
      </c>
      <c r="J11" s="3">
        <v>1145412.12109375</v>
      </c>
      <c r="K11" s="3">
        <v>128120760</v>
      </c>
      <c r="L11" s="3">
        <v>3973196.265625</v>
      </c>
      <c r="M11" s="3">
        <v>20376071.375</v>
      </c>
      <c r="N11" s="3">
        <v>58282.669680000006</v>
      </c>
      <c r="O11">
        <v>651530152</v>
      </c>
      <c r="Q11">
        <v>23</v>
      </c>
      <c r="R11">
        <v>2017</v>
      </c>
      <c r="S11">
        <v>41</v>
      </c>
      <c r="T11">
        <v>2</v>
      </c>
      <c r="U11">
        <v>317939704</v>
      </c>
    </row>
    <row r="12" spans="1:21">
      <c r="C12" s="3"/>
      <c r="D12" s="3"/>
      <c r="E12" s="3"/>
      <c r="F12" s="3"/>
      <c r="G12" s="3"/>
      <c r="H12" s="3"/>
      <c r="I12" s="3"/>
      <c r="J12" s="3"/>
      <c r="K12" s="3"/>
      <c r="L12" s="3"/>
      <c r="M12" s="3"/>
      <c r="N12" s="3"/>
      <c r="Q12">
        <v>23</v>
      </c>
      <c r="R12">
        <v>2030</v>
      </c>
      <c r="S12">
        <v>20</v>
      </c>
      <c r="T12">
        <v>1</v>
      </c>
      <c r="U12">
        <v>5640645760</v>
      </c>
    </row>
    <row r="13" spans="1:21">
      <c r="A13" t="s">
        <v>0</v>
      </c>
      <c r="B13" t="s">
        <v>31</v>
      </c>
      <c r="C13" s="3" t="s">
        <v>2</v>
      </c>
      <c r="D13" s="3" t="s">
        <v>26</v>
      </c>
      <c r="E13" s="3" t="s">
        <v>21</v>
      </c>
      <c r="F13" s="3" t="s">
        <v>3</v>
      </c>
      <c r="G13" s="3" t="s">
        <v>22</v>
      </c>
      <c r="H13" s="3" t="s">
        <v>43</v>
      </c>
      <c r="I13" s="3" t="s">
        <v>44</v>
      </c>
      <c r="J13" s="3" t="s">
        <v>45</v>
      </c>
      <c r="K13" s="3" t="s">
        <v>115</v>
      </c>
      <c r="L13" s="3" t="s">
        <v>116</v>
      </c>
      <c r="M13" s="3" t="s">
        <v>117</v>
      </c>
      <c r="N13" s="3" t="s">
        <v>74</v>
      </c>
      <c r="O13" t="s">
        <v>75</v>
      </c>
      <c r="Q13">
        <v>23</v>
      </c>
      <c r="R13">
        <v>2030</v>
      </c>
      <c r="S13">
        <v>20</v>
      </c>
      <c r="T13">
        <v>2</v>
      </c>
      <c r="U13">
        <v>66234650</v>
      </c>
    </row>
    <row r="14" spans="1:21">
      <c r="A14">
        <v>2040</v>
      </c>
      <c r="B14">
        <v>20</v>
      </c>
      <c r="C14" s="3">
        <v>187010159.256836</v>
      </c>
      <c r="D14" s="3">
        <v>72676906.8046875</v>
      </c>
      <c r="E14" s="3">
        <v>21780246.712158199</v>
      </c>
      <c r="F14" s="3">
        <v>1372535526088</v>
      </c>
      <c r="G14" s="3">
        <v>18091831.7027702</v>
      </c>
      <c r="H14" s="3">
        <v>19472642.347167999</v>
      </c>
      <c r="I14" s="3">
        <v>13331076.3535366</v>
      </c>
      <c r="J14" s="3">
        <v>7648820.72852707</v>
      </c>
      <c r="K14" s="3">
        <v>777897647.17968798</v>
      </c>
      <c r="L14" s="3">
        <v>23404986.575256299</v>
      </c>
      <c r="M14" s="3">
        <v>124346446.17968801</v>
      </c>
      <c r="N14" s="3">
        <v>530810.46752018004</v>
      </c>
      <c r="O14">
        <v>5987508412.1765003</v>
      </c>
      <c r="Q14">
        <v>23</v>
      </c>
      <c r="R14">
        <v>2030</v>
      </c>
      <c r="S14">
        <v>20</v>
      </c>
      <c r="T14">
        <v>5</v>
      </c>
      <c r="U14">
        <v>3102041.8130000001</v>
      </c>
    </row>
    <row r="15" spans="1:21">
      <c r="A15">
        <v>2040</v>
      </c>
      <c r="B15">
        <v>30</v>
      </c>
      <c r="C15" s="3">
        <v>267943247.453125</v>
      </c>
      <c r="D15" s="3">
        <v>99644494.167968795</v>
      </c>
      <c r="E15" s="3">
        <v>40015880.876953103</v>
      </c>
      <c r="F15" s="3">
        <v>2580689595392</v>
      </c>
      <c r="G15" s="3">
        <v>34012969.926071197</v>
      </c>
      <c r="H15" s="3">
        <v>29674705.925781202</v>
      </c>
      <c r="I15" s="3">
        <v>20471850.658718102</v>
      </c>
      <c r="J15" s="3">
        <v>10858866.4334793</v>
      </c>
      <c r="K15" s="3">
        <v>979700394.15625</v>
      </c>
      <c r="L15" s="3">
        <v>43074446.249511696</v>
      </c>
      <c r="M15" s="3">
        <v>182594029.46093801</v>
      </c>
      <c r="N15" s="3">
        <v>671325.97351000505</v>
      </c>
      <c r="O15">
        <v>8505783854.1279297</v>
      </c>
      <c r="Q15">
        <v>23</v>
      </c>
      <c r="R15">
        <v>2030</v>
      </c>
      <c r="S15">
        <v>20</v>
      </c>
      <c r="T15">
        <v>9</v>
      </c>
      <c r="U15">
        <v>2205563.1170000001</v>
      </c>
    </row>
    <row r="16" spans="1:21">
      <c r="A16">
        <v>2040</v>
      </c>
      <c r="B16">
        <v>41</v>
      </c>
      <c r="C16" s="3">
        <v>205549274.75</v>
      </c>
      <c r="D16" s="3">
        <v>32050750.96875</v>
      </c>
      <c r="E16" s="3">
        <v>5151176.46875</v>
      </c>
      <c r="F16" s="3">
        <v>369912259584</v>
      </c>
      <c r="G16" s="3">
        <v>4787683.015625</v>
      </c>
      <c r="H16" s="3">
        <v>3444427.640625</v>
      </c>
      <c r="I16" s="3">
        <v>1876546.55078125</v>
      </c>
      <c r="J16" s="3">
        <v>1256178.12109375</v>
      </c>
      <c r="K16" s="3">
        <v>101522520.5</v>
      </c>
      <c r="L16" s="3">
        <v>3729808.96875</v>
      </c>
      <c r="M16" s="3">
        <v>21412955.1875</v>
      </c>
      <c r="N16" s="3">
        <v>64628.690430000002</v>
      </c>
      <c r="O16">
        <v>714189310</v>
      </c>
      <c r="Q16">
        <v>23</v>
      </c>
      <c r="R16">
        <v>2030</v>
      </c>
      <c r="S16">
        <v>30</v>
      </c>
      <c r="T16">
        <v>1</v>
      </c>
      <c r="U16">
        <v>7960385344</v>
      </c>
    </row>
    <row r="17" spans="1:21">
      <c r="F17" s="37"/>
      <c r="Q17">
        <v>23</v>
      </c>
      <c r="R17">
        <v>2030</v>
      </c>
      <c r="S17">
        <v>30</v>
      </c>
      <c r="T17">
        <v>2</v>
      </c>
      <c r="U17">
        <v>178128368</v>
      </c>
    </row>
    <row r="18" spans="1:21">
      <c r="K18" s="3"/>
      <c r="L18" s="3"/>
      <c r="M18" s="3"/>
      <c r="Q18">
        <v>23</v>
      </c>
      <c r="R18">
        <v>2030</v>
      </c>
      <c r="S18">
        <v>30</v>
      </c>
      <c r="T18">
        <v>5</v>
      </c>
      <c r="U18">
        <v>18863528</v>
      </c>
    </row>
    <row r="19" spans="1:21">
      <c r="A19" t="s">
        <v>77</v>
      </c>
      <c r="Q19">
        <v>23</v>
      </c>
      <c r="R19">
        <v>2030</v>
      </c>
      <c r="S19">
        <v>30</v>
      </c>
      <c r="T19">
        <v>9</v>
      </c>
      <c r="U19">
        <v>154512.89060000001</v>
      </c>
    </row>
    <row r="20" spans="1:21">
      <c r="F20" s="37"/>
      <c r="Q20">
        <v>23</v>
      </c>
      <c r="R20">
        <v>2030</v>
      </c>
      <c r="S20">
        <v>41</v>
      </c>
      <c r="T20">
        <v>1</v>
      </c>
      <c r="U20">
        <v>174302812</v>
      </c>
    </row>
    <row r="21" spans="1:21">
      <c r="F21" s="37"/>
      <c r="Q21">
        <v>23</v>
      </c>
      <c r="R21">
        <v>2030</v>
      </c>
      <c r="S21">
        <v>41</v>
      </c>
      <c r="T21">
        <v>2</v>
      </c>
      <c r="U21">
        <v>477227340</v>
      </c>
    </row>
    <row r="22" spans="1:21">
      <c r="F22" s="37"/>
      <c r="Q22">
        <v>23</v>
      </c>
      <c r="R22">
        <v>2040</v>
      </c>
      <c r="S22">
        <v>20</v>
      </c>
      <c r="T22">
        <v>1</v>
      </c>
      <c r="U22">
        <v>5852484544</v>
      </c>
    </row>
    <row r="23" spans="1:21">
      <c r="F23" s="37"/>
      <c r="Q23">
        <v>23</v>
      </c>
      <c r="R23">
        <v>2040</v>
      </c>
      <c r="S23">
        <v>20</v>
      </c>
      <c r="T23">
        <v>2</v>
      </c>
      <c r="U23">
        <v>130892120</v>
      </c>
    </row>
    <row r="24" spans="1:21">
      <c r="F24" s="37"/>
      <c r="Q24">
        <v>23</v>
      </c>
      <c r="R24">
        <v>2040</v>
      </c>
      <c r="S24">
        <v>20</v>
      </c>
      <c r="T24">
        <v>5</v>
      </c>
      <c r="U24">
        <v>3948812.781</v>
      </c>
    </row>
    <row r="25" spans="1:21">
      <c r="F25" s="37"/>
      <c r="Q25">
        <v>23</v>
      </c>
      <c r="R25">
        <v>2040</v>
      </c>
      <c r="S25">
        <v>20</v>
      </c>
      <c r="T25">
        <v>9</v>
      </c>
      <c r="U25">
        <v>182935.39550000001</v>
      </c>
    </row>
    <row r="26" spans="1:21">
      <c r="F26" s="37"/>
      <c r="Q26">
        <v>23</v>
      </c>
      <c r="R26">
        <v>2040</v>
      </c>
      <c r="S26">
        <v>30</v>
      </c>
      <c r="T26">
        <v>1</v>
      </c>
      <c r="U26">
        <v>8259350912</v>
      </c>
    </row>
    <row r="27" spans="1:21">
      <c r="F27" s="37"/>
      <c r="Q27">
        <v>23</v>
      </c>
      <c r="R27">
        <v>2040</v>
      </c>
      <c r="S27">
        <v>30</v>
      </c>
      <c r="T27">
        <v>2</v>
      </c>
      <c r="U27">
        <v>222541868</v>
      </c>
    </row>
    <row r="28" spans="1:21">
      <c r="C28" s="3"/>
      <c r="D28" s="3"/>
      <c r="E28" s="3"/>
      <c r="F28" s="3"/>
      <c r="G28" s="3"/>
      <c r="H28" s="3"/>
      <c r="I28" s="3"/>
      <c r="J28" s="3"/>
      <c r="K28" s="3"/>
      <c r="L28" s="3"/>
      <c r="M28" s="3"/>
      <c r="N28" s="3"/>
      <c r="O28" s="3"/>
      <c r="Q28">
        <v>23</v>
      </c>
      <c r="R28">
        <v>2040</v>
      </c>
      <c r="S28">
        <v>30</v>
      </c>
      <c r="T28">
        <v>5</v>
      </c>
      <c r="U28">
        <v>23797106</v>
      </c>
    </row>
    <row r="29" spans="1:21">
      <c r="Q29">
        <v>23</v>
      </c>
      <c r="R29">
        <v>2040</v>
      </c>
      <c r="S29">
        <v>30</v>
      </c>
      <c r="T29">
        <v>9</v>
      </c>
      <c r="U29">
        <v>93968.127930000002</v>
      </c>
    </row>
    <row r="30" spans="1:21">
      <c r="Q30">
        <v>23</v>
      </c>
      <c r="R30">
        <v>2040</v>
      </c>
      <c r="S30">
        <v>41</v>
      </c>
      <c r="T30">
        <v>1</v>
      </c>
      <c r="U30">
        <v>162851422</v>
      </c>
    </row>
    <row r="31" spans="1:21">
      <c r="Q31">
        <v>23</v>
      </c>
      <c r="R31">
        <v>2040</v>
      </c>
      <c r="S31">
        <v>41</v>
      </c>
      <c r="T31">
        <v>2</v>
      </c>
      <c r="U31">
        <v>551337888</v>
      </c>
    </row>
  </sheetData>
  <sheetProtection algorithmName="SHA-512" hashValue="PO7B8wo2RL9Atxstyrc+UkYiwGLoYp9WknE3i9tZD758YjOFnTce69bI1TxnfHE+CnmJsMHg+CiH+FQZMUD6SQ==" saltValue="5uyKoQ4rYNzemr+kTL+snA==" spinCount="100000" sheet="1" objects="1" scenarios="1"/>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O54"/>
  <sheetViews>
    <sheetView zoomScale="85" zoomScaleNormal="85" workbookViewId="0">
      <selection activeCell="I17" sqref="I17"/>
    </sheetView>
  </sheetViews>
  <sheetFormatPr baseColWidth="10" defaultColWidth="8.83203125" defaultRowHeight="15"/>
  <cols>
    <col min="3" max="3" width="16" style="3" customWidth="1"/>
    <col min="4" max="4" width="12" customWidth="1"/>
    <col min="5" max="5" width="13" customWidth="1"/>
    <col min="6" max="6" width="17.6640625" style="3" customWidth="1"/>
    <col min="7" max="7" width="14.1640625" customWidth="1"/>
    <col min="8" max="8" width="12.33203125" customWidth="1"/>
    <col min="9" max="9" width="13.5" customWidth="1"/>
    <col min="10" max="13" width="13.33203125" customWidth="1"/>
    <col min="15" max="15" width="13.5" customWidth="1"/>
  </cols>
  <sheetData>
    <row r="1" spans="1:15">
      <c r="A1" s="2" t="s">
        <v>73</v>
      </c>
      <c r="C1" s="6"/>
      <c r="E1" t="s">
        <v>520</v>
      </c>
      <c r="G1" s="6"/>
      <c r="K1" s="6"/>
    </row>
    <row r="3" spans="1:15">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1804630000</v>
      </c>
      <c r="D4">
        <v>165264000</v>
      </c>
      <c r="E4">
        <v>34931200</v>
      </c>
      <c r="F4" s="3">
        <v>1912250000000</v>
      </c>
      <c r="G4">
        <v>25215000</v>
      </c>
      <c r="H4">
        <v>28362200</v>
      </c>
      <c r="I4">
        <v>11785900</v>
      </c>
      <c r="J4">
        <v>6693230</v>
      </c>
      <c r="K4">
        <v>1811490000</v>
      </c>
      <c r="L4">
        <v>39675200</v>
      </c>
      <c r="M4">
        <v>153698000</v>
      </c>
      <c r="N4">
        <v>505019</v>
      </c>
      <c r="O4">
        <v>5510590000</v>
      </c>
    </row>
    <row r="5" spans="1:15">
      <c r="A5">
        <v>2017</v>
      </c>
      <c r="B5">
        <v>30</v>
      </c>
      <c r="C5" s="3">
        <v>4795480000</v>
      </c>
      <c r="D5">
        <v>293568000</v>
      </c>
      <c r="E5">
        <v>79961100</v>
      </c>
      <c r="F5" s="3">
        <v>3602600000000</v>
      </c>
      <c r="G5">
        <v>47506600</v>
      </c>
      <c r="H5">
        <v>49927800</v>
      </c>
      <c r="I5">
        <v>17108700</v>
      </c>
      <c r="J5">
        <v>9530180</v>
      </c>
      <c r="K5">
        <v>2892790000</v>
      </c>
      <c r="L5">
        <v>74693300</v>
      </c>
      <c r="M5">
        <v>246370000</v>
      </c>
      <c r="N5">
        <v>665849</v>
      </c>
      <c r="O5">
        <v>8000720000</v>
      </c>
    </row>
    <row r="6" spans="1:15">
      <c r="A6">
        <v>2017</v>
      </c>
      <c r="B6">
        <v>41</v>
      </c>
      <c r="C6" s="3">
        <v>2021950000</v>
      </c>
      <c r="D6">
        <v>59674900</v>
      </c>
      <c r="E6">
        <v>16329300</v>
      </c>
      <c r="F6" s="3">
        <v>577768000000</v>
      </c>
      <c r="G6">
        <v>7515940</v>
      </c>
      <c r="H6">
        <v>66572300</v>
      </c>
      <c r="I6">
        <v>1760670</v>
      </c>
      <c r="J6">
        <v>1292590</v>
      </c>
      <c r="K6">
        <v>559206000</v>
      </c>
      <c r="L6">
        <v>6417790</v>
      </c>
      <c r="M6">
        <v>33341000</v>
      </c>
      <c r="N6">
        <v>68712</v>
      </c>
      <c r="O6">
        <v>785315000</v>
      </c>
    </row>
    <row r="8" spans="1:15">
      <c r="A8" t="s">
        <v>0</v>
      </c>
      <c r="B8" t="s">
        <v>31</v>
      </c>
      <c r="C8" t="s">
        <v>2</v>
      </c>
      <c r="D8" t="s">
        <v>26</v>
      </c>
      <c r="E8" t="s">
        <v>21</v>
      </c>
      <c r="F8" t="s">
        <v>3</v>
      </c>
      <c r="G8" t="s">
        <v>22</v>
      </c>
      <c r="H8" t="s">
        <v>43</v>
      </c>
      <c r="I8" t="s">
        <v>44</v>
      </c>
      <c r="J8" t="s">
        <v>45</v>
      </c>
      <c r="K8" s="3" t="s">
        <v>115</v>
      </c>
      <c r="L8" s="3" t="s">
        <v>116</v>
      </c>
      <c r="M8" s="3" t="s">
        <v>117</v>
      </c>
      <c r="N8" t="s">
        <v>74</v>
      </c>
      <c r="O8" t="s">
        <v>75</v>
      </c>
    </row>
    <row r="9" spans="1:15">
      <c r="A9">
        <v>2020</v>
      </c>
      <c r="B9">
        <v>20</v>
      </c>
      <c r="C9" s="3">
        <v>1188880000</v>
      </c>
      <c r="D9">
        <v>115829000</v>
      </c>
      <c r="E9">
        <v>30580100</v>
      </c>
      <c r="F9" s="3">
        <v>1874950000000</v>
      </c>
      <c r="G9">
        <v>24723500</v>
      </c>
      <c r="H9">
        <v>25181500</v>
      </c>
      <c r="I9">
        <v>12356300</v>
      </c>
      <c r="J9">
        <v>7017110</v>
      </c>
      <c r="K9">
        <v>1488830000</v>
      </c>
      <c r="L9">
        <v>12525500</v>
      </c>
      <c r="M9">
        <v>143369000</v>
      </c>
      <c r="N9">
        <v>518677</v>
      </c>
      <c r="O9">
        <v>5777240000</v>
      </c>
    </row>
    <row r="10" spans="1:15">
      <c r="A10">
        <v>2020</v>
      </c>
      <c r="B10">
        <v>30</v>
      </c>
      <c r="C10" s="3">
        <v>2977620000</v>
      </c>
      <c r="D10">
        <v>191290000</v>
      </c>
      <c r="E10">
        <v>65143300</v>
      </c>
      <c r="F10" s="3">
        <v>3481400000000</v>
      </c>
      <c r="G10">
        <v>45904900</v>
      </c>
      <c r="H10">
        <v>48047400</v>
      </c>
      <c r="I10">
        <v>17856100</v>
      </c>
      <c r="J10">
        <v>9945470</v>
      </c>
      <c r="K10">
        <v>2211990000</v>
      </c>
      <c r="L10">
        <v>23219600</v>
      </c>
      <c r="M10">
        <v>228055000</v>
      </c>
      <c r="N10">
        <v>679583</v>
      </c>
      <c r="O10">
        <v>8349100000</v>
      </c>
    </row>
    <row r="11" spans="1:15">
      <c r="A11">
        <v>2020</v>
      </c>
      <c r="B11">
        <v>41</v>
      </c>
      <c r="C11" s="3">
        <v>1249350000</v>
      </c>
      <c r="D11">
        <v>44000500</v>
      </c>
      <c r="E11">
        <v>12166300</v>
      </c>
      <c r="F11" s="3">
        <v>538581000000</v>
      </c>
      <c r="G11">
        <v>7003180</v>
      </c>
      <c r="H11">
        <v>43790900</v>
      </c>
      <c r="I11">
        <v>1709910</v>
      </c>
      <c r="J11">
        <v>1248860</v>
      </c>
      <c r="K11">
        <v>388235000</v>
      </c>
      <c r="L11">
        <v>2585650</v>
      </c>
      <c r="M11">
        <v>29695600</v>
      </c>
      <c r="N11">
        <v>65465.9</v>
      </c>
      <c r="O11">
        <v>759269000</v>
      </c>
    </row>
    <row r="13" spans="1:15">
      <c r="A13" t="s">
        <v>0</v>
      </c>
      <c r="B13" t="s">
        <v>31</v>
      </c>
      <c r="C13" t="s">
        <v>2</v>
      </c>
      <c r="D13" t="s">
        <v>26</v>
      </c>
      <c r="E13" t="s">
        <v>21</v>
      </c>
      <c r="F13" t="s">
        <v>3</v>
      </c>
      <c r="G13" t="s">
        <v>22</v>
      </c>
      <c r="H13" t="s">
        <v>43</v>
      </c>
      <c r="I13" t="s">
        <v>44</v>
      </c>
      <c r="J13" t="s">
        <v>45</v>
      </c>
      <c r="K13" s="3" t="s">
        <v>115</v>
      </c>
      <c r="L13" s="3" t="s">
        <v>116</v>
      </c>
      <c r="M13" s="3" t="s">
        <v>117</v>
      </c>
      <c r="N13" t="s">
        <v>74</v>
      </c>
      <c r="O13" t="s">
        <v>75</v>
      </c>
    </row>
    <row r="14" spans="1:15">
      <c r="A14">
        <v>2025</v>
      </c>
      <c r="B14">
        <v>20</v>
      </c>
      <c r="C14" s="3">
        <v>662767000</v>
      </c>
      <c r="D14">
        <v>86535800</v>
      </c>
      <c r="E14">
        <v>25741200</v>
      </c>
      <c r="F14" s="3">
        <v>1715670000000</v>
      </c>
      <c r="G14">
        <v>22622800</v>
      </c>
      <c r="H14">
        <v>23877800</v>
      </c>
      <c r="I14">
        <v>12761500</v>
      </c>
      <c r="J14">
        <v>7247260</v>
      </c>
      <c r="K14">
        <v>1223000000</v>
      </c>
      <c r="L14">
        <v>11458900</v>
      </c>
      <c r="M14">
        <v>141068000</v>
      </c>
      <c r="N14">
        <v>538592</v>
      </c>
      <c r="O14">
        <v>5966730000</v>
      </c>
    </row>
    <row r="15" spans="1:15">
      <c r="A15">
        <v>2025</v>
      </c>
      <c r="B15">
        <v>30</v>
      </c>
      <c r="C15" s="3">
        <v>1605350000</v>
      </c>
      <c r="D15">
        <v>134343000</v>
      </c>
      <c r="E15">
        <v>49615300</v>
      </c>
      <c r="F15" s="3">
        <v>3177890000000</v>
      </c>
      <c r="G15">
        <v>41897100</v>
      </c>
      <c r="H15">
        <v>44030100</v>
      </c>
      <c r="I15">
        <v>18221500</v>
      </c>
      <c r="J15">
        <v>10148700</v>
      </c>
      <c r="K15">
        <v>1685490000</v>
      </c>
      <c r="L15">
        <v>21138400</v>
      </c>
      <c r="M15">
        <v>215620000</v>
      </c>
      <c r="N15">
        <v>700182</v>
      </c>
      <c r="O15">
        <v>8519680000</v>
      </c>
    </row>
    <row r="16" spans="1:15">
      <c r="A16">
        <v>2025</v>
      </c>
      <c r="B16">
        <v>41</v>
      </c>
      <c r="C16" s="3">
        <v>704684000</v>
      </c>
      <c r="D16">
        <v>34582400</v>
      </c>
      <c r="E16">
        <v>8043690</v>
      </c>
      <c r="F16" s="3">
        <v>493573000000</v>
      </c>
      <c r="G16">
        <v>6412000</v>
      </c>
      <c r="H16">
        <v>22953400</v>
      </c>
      <c r="I16">
        <v>1723670</v>
      </c>
      <c r="J16">
        <v>1248030</v>
      </c>
      <c r="K16">
        <v>250036000</v>
      </c>
      <c r="L16">
        <v>2299360</v>
      </c>
      <c r="M16">
        <v>26533700</v>
      </c>
      <c r="N16">
        <v>63638.400000000001</v>
      </c>
      <c r="O16">
        <v>759461000</v>
      </c>
    </row>
    <row r="18" spans="1:15">
      <c r="A18" t="s">
        <v>0</v>
      </c>
      <c r="B18" t="s">
        <v>31</v>
      </c>
      <c r="C18" t="s">
        <v>2</v>
      </c>
      <c r="D18" t="s">
        <v>26</v>
      </c>
      <c r="E18" t="s">
        <v>21</v>
      </c>
      <c r="F18" t="s">
        <v>3</v>
      </c>
      <c r="G18" t="s">
        <v>22</v>
      </c>
      <c r="H18" t="s">
        <v>43</v>
      </c>
      <c r="I18" t="s">
        <v>44</v>
      </c>
      <c r="J18" t="s">
        <v>45</v>
      </c>
      <c r="K18" s="3" t="s">
        <v>115</v>
      </c>
      <c r="L18" s="3" t="s">
        <v>116</v>
      </c>
      <c r="M18" s="3" t="s">
        <v>117</v>
      </c>
      <c r="N18" t="s">
        <v>74</v>
      </c>
      <c r="O18" t="s">
        <v>75</v>
      </c>
    </row>
    <row r="19" spans="1:15">
      <c r="A19">
        <v>2030</v>
      </c>
      <c r="B19">
        <v>20</v>
      </c>
      <c r="C19" s="3">
        <v>381366000</v>
      </c>
      <c r="D19">
        <v>67039500</v>
      </c>
      <c r="E19">
        <v>24129900</v>
      </c>
      <c r="F19" s="3">
        <v>1628250000000</v>
      </c>
      <c r="G19">
        <v>21468000</v>
      </c>
      <c r="H19">
        <v>24458000</v>
      </c>
      <c r="I19">
        <v>13502100</v>
      </c>
      <c r="J19">
        <v>7667810</v>
      </c>
      <c r="K19">
        <v>986185000</v>
      </c>
      <c r="L19">
        <v>10855700</v>
      </c>
      <c r="M19">
        <v>140793000</v>
      </c>
      <c r="N19">
        <v>560648</v>
      </c>
      <c r="O19">
        <v>6312980000</v>
      </c>
    </row>
    <row r="20" spans="1:15">
      <c r="A20">
        <v>2030</v>
      </c>
      <c r="B20">
        <v>30</v>
      </c>
      <c r="C20" s="3">
        <v>695176000</v>
      </c>
      <c r="D20">
        <v>92954000</v>
      </c>
      <c r="E20">
        <v>41280200</v>
      </c>
      <c r="F20" s="3">
        <v>2941690000000</v>
      </c>
      <c r="G20">
        <v>38779000</v>
      </c>
      <c r="H20">
        <v>40532300</v>
      </c>
      <c r="I20">
        <v>18421800</v>
      </c>
      <c r="J20">
        <v>10260500</v>
      </c>
      <c r="K20">
        <v>1276960000</v>
      </c>
      <c r="L20">
        <v>19527100</v>
      </c>
      <c r="M20">
        <v>204294000</v>
      </c>
      <c r="N20">
        <v>705948</v>
      </c>
      <c r="O20">
        <v>8613520000</v>
      </c>
    </row>
    <row r="21" spans="1:15">
      <c r="A21">
        <v>2030</v>
      </c>
      <c r="B21">
        <v>41</v>
      </c>
      <c r="C21" s="3">
        <v>428574000</v>
      </c>
      <c r="D21">
        <v>29777200</v>
      </c>
      <c r="E21">
        <v>6200190</v>
      </c>
      <c r="F21" s="3">
        <v>471546000000</v>
      </c>
      <c r="G21">
        <v>6121720</v>
      </c>
      <c r="H21">
        <v>11201900</v>
      </c>
      <c r="I21">
        <v>1805510</v>
      </c>
      <c r="J21">
        <v>1307300</v>
      </c>
      <c r="K21">
        <v>161694000</v>
      </c>
      <c r="L21">
        <v>2149420</v>
      </c>
      <c r="M21">
        <v>26180000</v>
      </c>
      <c r="N21">
        <v>63345.4</v>
      </c>
      <c r="O21">
        <v>796035000</v>
      </c>
    </row>
    <row r="23" spans="1:15">
      <c r="A23" t="s">
        <v>0</v>
      </c>
      <c r="B23" t="s">
        <v>31</v>
      </c>
      <c r="C23" t="s">
        <v>2</v>
      </c>
      <c r="D23" t="s">
        <v>26</v>
      </c>
      <c r="E23" t="s">
        <v>21</v>
      </c>
      <c r="F23" t="s">
        <v>3</v>
      </c>
      <c r="G23" t="s">
        <v>22</v>
      </c>
      <c r="H23" t="s">
        <v>43</v>
      </c>
      <c r="I23" t="s">
        <v>44</v>
      </c>
      <c r="J23" t="s">
        <v>45</v>
      </c>
      <c r="K23" s="3" t="s">
        <v>115</v>
      </c>
      <c r="L23" s="3" t="s">
        <v>116</v>
      </c>
      <c r="M23" s="3" t="s">
        <v>117</v>
      </c>
      <c r="N23" t="s">
        <v>74</v>
      </c>
      <c r="O23" t="s">
        <v>75</v>
      </c>
    </row>
    <row r="24" spans="1:15">
      <c r="A24">
        <v>2035</v>
      </c>
      <c r="B24">
        <v>20</v>
      </c>
      <c r="C24" s="3">
        <v>237234000</v>
      </c>
      <c r="D24">
        <v>56810500</v>
      </c>
      <c r="E24">
        <v>24161000</v>
      </c>
      <c r="F24" s="3">
        <v>1620640000000</v>
      </c>
      <c r="G24">
        <v>21364800</v>
      </c>
      <c r="H24">
        <v>24426500</v>
      </c>
      <c r="I24">
        <v>14396200</v>
      </c>
      <c r="J24">
        <v>8175590</v>
      </c>
      <c r="K24">
        <v>905040000</v>
      </c>
      <c r="L24">
        <v>10776300</v>
      </c>
      <c r="M24">
        <v>142662000</v>
      </c>
      <c r="N24">
        <v>588360</v>
      </c>
      <c r="O24">
        <v>6731040000</v>
      </c>
    </row>
    <row r="25" spans="1:15">
      <c r="A25">
        <v>2035</v>
      </c>
      <c r="B25">
        <v>30</v>
      </c>
      <c r="C25" s="3">
        <v>354497000</v>
      </c>
      <c r="D25">
        <v>73135800</v>
      </c>
      <c r="E25">
        <v>37463900</v>
      </c>
      <c r="F25" s="3">
        <v>2741970000000</v>
      </c>
      <c r="G25">
        <v>36143400</v>
      </c>
      <c r="H25">
        <v>37220400</v>
      </c>
      <c r="I25">
        <v>18208400</v>
      </c>
      <c r="J25">
        <v>10141400</v>
      </c>
      <c r="K25">
        <v>1120410000</v>
      </c>
      <c r="L25">
        <v>18174700</v>
      </c>
      <c r="M25">
        <v>194541000</v>
      </c>
      <c r="N25">
        <v>699981</v>
      </c>
      <c r="O25">
        <v>8513500000</v>
      </c>
    </row>
    <row r="26" spans="1:15">
      <c r="A26">
        <v>2035</v>
      </c>
      <c r="B26">
        <v>41</v>
      </c>
      <c r="C26" s="3">
        <v>274923000</v>
      </c>
      <c r="D26">
        <v>27951900</v>
      </c>
      <c r="E26">
        <v>5246660</v>
      </c>
      <c r="F26" s="3">
        <v>464891000000</v>
      </c>
      <c r="G26">
        <v>6032290</v>
      </c>
      <c r="H26">
        <v>5881400</v>
      </c>
      <c r="I26">
        <v>1861920</v>
      </c>
      <c r="J26">
        <v>1363210</v>
      </c>
      <c r="K26">
        <v>117017000</v>
      </c>
      <c r="L26">
        <v>2084970</v>
      </c>
      <c r="M26">
        <v>26509500</v>
      </c>
      <c r="N26">
        <v>63972.1</v>
      </c>
      <c r="O26">
        <v>830575000</v>
      </c>
    </row>
    <row r="28" spans="1:15">
      <c r="A28" t="s">
        <v>0</v>
      </c>
      <c r="B28" t="s">
        <v>31</v>
      </c>
      <c r="C28" t="s">
        <v>2</v>
      </c>
      <c r="D28" t="s">
        <v>26</v>
      </c>
      <c r="E28" t="s">
        <v>21</v>
      </c>
      <c r="F28" t="s">
        <v>3</v>
      </c>
      <c r="G28" t="s">
        <v>22</v>
      </c>
      <c r="H28" t="s">
        <v>43</v>
      </c>
      <c r="I28" t="s">
        <v>44</v>
      </c>
      <c r="J28" t="s">
        <v>45</v>
      </c>
      <c r="K28" s="3" t="s">
        <v>115</v>
      </c>
      <c r="L28" s="3" t="s">
        <v>116</v>
      </c>
      <c r="M28" s="3" t="s">
        <v>117</v>
      </c>
      <c r="N28" t="s">
        <v>74</v>
      </c>
      <c r="O28" t="s">
        <v>75</v>
      </c>
    </row>
    <row r="29" spans="1:15">
      <c r="A29">
        <v>2040</v>
      </c>
      <c r="B29">
        <v>20</v>
      </c>
      <c r="C29" s="3">
        <v>207062000</v>
      </c>
      <c r="D29">
        <v>54258900</v>
      </c>
      <c r="E29">
        <v>25599500</v>
      </c>
      <c r="F29" s="3">
        <v>1700710000000</v>
      </c>
      <c r="G29">
        <v>22418600</v>
      </c>
      <c r="H29">
        <v>25613000</v>
      </c>
      <c r="I29">
        <v>15590000</v>
      </c>
      <c r="J29">
        <v>8853520</v>
      </c>
      <c r="K29">
        <v>877475000</v>
      </c>
      <c r="L29">
        <v>11289200</v>
      </c>
      <c r="M29">
        <v>153775000</v>
      </c>
      <c r="N29">
        <v>623347</v>
      </c>
      <c r="O29">
        <v>7289180000</v>
      </c>
    </row>
    <row r="30" spans="1:15">
      <c r="A30">
        <v>2040</v>
      </c>
      <c r="B30">
        <v>30</v>
      </c>
      <c r="C30" s="3">
        <v>267713000</v>
      </c>
      <c r="D30">
        <v>63683400</v>
      </c>
      <c r="E30">
        <v>36444300</v>
      </c>
      <c r="F30" s="3">
        <v>2624270000000</v>
      </c>
      <c r="G30">
        <v>34590800</v>
      </c>
      <c r="H30">
        <v>35389100</v>
      </c>
      <c r="I30">
        <v>18025700</v>
      </c>
      <c r="J30">
        <v>10038800</v>
      </c>
      <c r="K30">
        <v>1057260000</v>
      </c>
      <c r="L30">
        <v>17383200</v>
      </c>
      <c r="M30">
        <v>192405000</v>
      </c>
      <c r="N30">
        <v>686384</v>
      </c>
      <c r="O30">
        <v>8427160000</v>
      </c>
    </row>
    <row r="31" spans="1:15">
      <c r="A31">
        <v>2040</v>
      </c>
      <c r="B31">
        <v>41</v>
      </c>
      <c r="C31" s="3">
        <v>212959000</v>
      </c>
      <c r="D31">
        <v>28113100</v>
      </c>
      <c r="E31">
        <v>5135090</v>
      </c>
      <c r="F31" s="3">
        <v>472220000000</v>
      </c>
      <c r="G31">
        <v>6126140</v>
      </c>
      <c r="H31">
        <v>3471250</v>
      </c>
      <c r="I31">
        <v>1910450</v>
      </c>
      <c r="J31">
        <v>1420250</v>
      </c>
      <c r="K31">
        <v>103883000</v>
      </c>
      <c r="L31">
        <v>2103270</v>
      </c>
      <c r="M31">
        <v>27330100</v>
      </c>
      <c r="N31">
        <v>64512.4</v>
      </c>
      <c r="O31">
        <v>865818000</v>
      </c>
    </row>
    <row r="33" spans="3:6">
      <c r="C33"/>
      <c r="F33"/>
    </row>
    <row r="44" spans="3:6">
      <c r="C44"/>
      <c r="F44"/>
    </row>
    <row r="54" spans="1:1">
      <c r="A54" s="6"/>
    </row>
  </sheetData>
  <sheetProtection algorithmName="SHA-512" hashValue="ogJCAxo9Y1nd6fi8js2Ba5/mZWeAlog8UM5t57DtrWsYyUlPBNmgR1m7aT276qza6OK3PWBw8prMCQvYOmwv7Q==" saltValue="9lQzzH56rcf8myQ3ei1GaA=="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T32"/>
  <sheetViews>
    <sheetView workbookViewId="0">
      <selection activeCell="R28" sqref="R28"/>
    </sheetView>
  </sheetViews>
  <sheetFormatPr baseColWidth="10" defaultColWidth="8.83203125" defaultRowHeight="15"/>
  <cols>
    <col min="3" max="3" width="15.5" customWidth="1"/>
    <col min="4" max="4" width="13.33203125" customWidth="1"/>
    <col min="5" max="5" width="9.1640625" customWidth="1"/>
    <col min="6" max="6" width="14.1640625" customWidth="1"/>
    <col min="7" max="13" width="9.1640625" customWidth="1"/>
    <col min="32" max="39" width="9.1640625" customWidth="1"/>
  </cols>
  <sheetData>
    <row r="1" spans="1:46">
      <c r="A1" s="2" t="s">
        <v>73</v>
      </c>
      <c r="D1" s="6"/>
      <c r="AC1" t="s">
        <v>78</v>
      </c>
      <c r="AG1">
        <v>2020</v>
      </c>
    </row>
    <row r="2" spans="1:46">
      <c r="A2" s="2"/>
      <c r="Q2" t="s">
        <v>81</v>
      </c>
      <c r="AG2">
        <v>2025</v>
      </c>
    </row>
    <row r="3" spans="1:46">
      <c r="A3" t="str">
        <f>'Default Output 2017-2040'!A3</f>
        <v>yearID</v>
      </c>
      <c r="B3" t="str">
        <f>'Default Output 2017-2040'!B3</f>
        <v>regClassID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9" t="s">
        <v>115</v>
      </c>
      <c r="L3" s="29" t="s">
        <v>116</v>
      </c>
      <c r="M3" s="29" t="s">
        <v>117</v>
      </c>
      <c r="N3" t="str">
        <f>'Default Output 2017-2040'!N3</f>
        <v>POP</v>
      </c>
      <c r="O3" t="str">
        <f>'Default Output 2017-2040'!O3</f>
        <v>VMT</v>
      </c>
      <c r="Q3" t="s">
        <v>0</v>
      </c>
      <c r="R3" t="s">
        <v>1</v>
      </c>
      <c r="S3" t="s">
        <v>2</v>
      </c>
      <c r="T3" t="s">
        <v>26</v>
      </c>
      <c r="U3" t="s">
        <v>21</v>
      </c>
      <c r="V3" t="s">
        <v>3</v>
      </c>
      <c r="W3" t="s">
        <v>22</v>
      </c>
      <c r="X3" t="s">
        <v>43</v>
      </c>
      <c r="Y3" s="29" t="s">
        <v>115</v>
      </c>
      <c r="Z3" s="29" t="s">
        <v>116</v>
      </c>
      <c r="AA3" s="29" t="s">
        <v>117</v>
      </c>
      <c r="AG3">
        <v>2035</v>
      </c>
    </row>
    <row r="4" spans="1:46">
      <c r="A4">
        <f>'Default Output 2017-2040'!A4</f>
        <v>2017</v>
      </c>
      <c r="B4">
        <f>'Default Output 2017-2040'!B4</f>
        <v>20</v>
      </c>
      <c r="C4">
        <f>'Default Output 2017-2040'!C4</f>
        <v>1804630000</v>
      </c>
      <c r="D4">
        <f>'Default Output 2017-2040'!D4</f>
        <v>165264000</v>
      </c>
      <c r="E4">
        <f>'Default Output 2017-2040'!E4</f>
        <v>34931200</v>
      </c>
      <c r="F4">
        <f>'Default Output 2017-2040'!F4</f>
        <v>1912250000000</v>
      </c>
      <c r="G4">
        <v>231746646.53983399</v>
      </c>
      <c r="H4">
        <f>'Default Output 2017-2040'!H4</f>
        <v>28362200</v>
      </c>
      <c r="I4">
        <f>'Default Output 2017-2040'!I4</f>
        <v>11785900</v>
      </c>
      <c r="J4">
        <f>'Default Output 2017-2040'!J4</f>
        <v>6693230</v>
      </c>
      <c r="K4">
        <f>'Default Output 2017-2040'!K4</f>
        <v>1811490000</v>
      </c>
      <c r="L4">
        <f>'Default Output 2017-2040'!L4</f>
        <v>39675200</v>
      </c>
      <c r="M4">
        <f>'Default Output 2017-2040'!M4</f>
        <v>153698000</v>
      </c>
      <c r="N4">
        <f>'Default Output 2017-2040'!N4</f>
        <v>505019</v>
      </c>
      <c r="O4">
        <f>'Default Output 2017-2040'!O4</f>
        <v>5510590000</v>
      </c>
      <c r="Q4">
        <v>2017</v>
      </c>
      <c r="R4">
        <v>20</v>
      </c>
      <c r="S4">
        <f t="shared" ref="S4:S6" si="0">C4/$O4</f>
        <v>0.32748398991759503</v>
      </c>
      <c r="T4">
        <f t="shared" ref="T4:T6" si="1">D4/$O4</f>
        <v>2.9990255126946478E-2</v>
      </c>
      <c r="U4">
        <f t="shared" ref="U4:U6" si="2">E4/$O4</f>
        <v>6.3389219666133752E-3</v>
      </c>
      <c r="V4">
        <f t="shared" ref="V4:V6" si="3">F4/$O4</f>
        <v>347.01365915446439</v>
      </c>
      <c r="W4">
        <f t="shared" ref="W4:W6" si="4">G4/$O4</f>
        <v>4.2054779350275379E-2</v>
      </c>
      <c r="X4">
        <f t="shared" ref="X4" si="5">H4/$O4</f>
        <v>5.1468536036976074E-3</v>
      </c>
      <c r="Y4">
        <f>K4/$O4</f>
        <v>0.32872886569314719</v>
      </c>
      <c r="Z4">
        <f t="shared" ref="Z4:AA4" si="6">L4/$O4</f>
        <v>7.199809820727E-3</v>
      </c>
      <c r="AA4">
        <f t="shared" si="6"/>
        <v>2.7891387310614652E-2</v>
      </c>
    </row>
    <row r="5" spans="1:46">
      <c r="A5">
        <f>'Default Output 2017-2040'!A5</f>
        <v>2017</v>
      </c>
      <c r="B5">
        <f>'Default Output 2017-2040'!B5</f>
        <v>30</v>
      </c>
      <c r="C5">
        <f>'Default Output 2017-2040'!C5</f>
        <v>4795480000</v>
      </c>
      <c r="D5">
        <f>'Default Output 2017-2040'!D5</f>
        <v>293568000</v>
      </c>
      <c r="E5">
        <f>'Default Output 2017-2040'!E5</f>
        <v>79961100</v>
      </c>
      <c r="F5">
        <f>'Default Output 2017-2040'!F5</f>
        <v>3602600000000</v>
      </c>
      <c r="G5">
        <v>396248401.95337898</v>
      </c>
      <c r="H5">
        <f>'Default Output 2017-2040'!H5</f>
        <v>49927800</v>
      </c>
      <c r="I5">
        <f>'Default Output 2017-2040'!I5</f>
        <v>17108700</v>
      </c>
      <c r="J5">
        <f>'Default Output 2017-2040'!J5</f>
        <v>9530180</v>
      </c>
      <c r="K5">
        <f>'Default Output 2017-2040'!K5</f>
        <v>2892790000</v>
      </c>
      <c r="L5">
        <f>'Default Output 2017-2040'!L5</f>
        <v>74693300</v>
      </c>
      <c r="M5">
        <f>'Default Output 2017-2040'!M5</f>
        <v>246370000</v>
      </c>
      <c r="N5">
        <f>'Default Output 2017-2040'!N5</f>
        <v>665849</v>
      </c>
      <c r="O5">
        <f>'Default Output 2017-2040'!O5</f>
        <v>8000720000</v>
      </c>
      <c r="Q5">
        <v>2017</v>
      </c>
      <c r="R5">
        <v>30</v>
      </c>
      <c r="S5">
        <f t="shared" si="0"/>
        <v>0.59938105570498657</v>
      </c>
      <c r="T5">
        <f t="shared" si="1"/>
        <v>3.6692697657210852E-2</v>
      </c>
      <c r="U5">
        <f t="shared" si="2"/>
        <v>9.9942380185783272E-3</v>
      </c>
      <c r="V5">
        <f t="shared" si="3"/>
        <v>450.28447439730422</v>
      </c>
      <c r="W5">
        <f t="shared" si="4"/>
        <v>4.9526592850815801E-2</v>
      </c>
      <c r="X5">
        <f t="shared" ref="X5:X6" si="7">H5/$O5</f>
        <v>6.2404133627973479E-3</v>
      </c>
      <c r="Y5">
        <f t="shared" ref="Y5:Y6" si="8">K5/$O5</f>
        <v>0.3615662090411863</v>
      </c>
      <c r="Z5">
        <f t="shared" ref="Z5:Z6" si="9">L5/$O5</f>
        <v>9.3358222759951596E-3</v>
      </c>
      <c r="AA5">
        <f t="shared" ref="AA5:AA6" si="10">M5/$O5</f>
        <v>3.0793478586927176E-2</v>
      </c>
    </row>
    <row r="6" spans="1:46">
      <c r="A6">
        <f>'Default Output 2017-2040'!A6</f>
        <v>2017</v>
      </c>
      <c r="B6">
        <f>'Default Output 2017-2040'!B6</f>
        <v>41</v>
      </c>
      <c r="C6">
        <f>'Default Output 2017-2040'!C6</f>
        <v>2021950000</v>
      </c>
      <c r="D6">
        <f>'Default Output 2017-2040'!D6</f>
        <v>59674900</v>
      </c>
      <c r="E6">
        <f>'Default Output 2017-2040'!E6</f>
        <v>16329300</v>
      </c>
      <c r="F6">
        <f>'Default Output 2017-2040'!F6</f>
        <v>577768000000</v>
      </c>
      <c r="G6">
        <v>67348825.71875</v>
      </c>
      <c r="H6">
        <f>'Default Output 2017-2040'!H6</f>
        <v>66572300</v>
      </c>
      <c r="I6">
        <f>'Default Output 2017-2040'!I6</f>
        <v>1760670</v>
      </c>
      <c r="J6">
        <f>'Default Output 2017-2040'!J6</f>
        <v>1292590</v>
      </c>
      <c r="K6">
        <f>'Default Output 2017-2040'!K6</f>
        <v>559206000</v>
      </c>
      <c r="L6">
        <f>'Default Output 2017-2040'!L6</f>
        <v>6417790</v>
      </c>
      <c r="M6">
        <f>'Default Output 2017-2040'!M6</f>
        <v>33341000</v>
      </c>
      <c r="N6">
        <f>'Default Output 2017-2040'!N6</f>
        <v>68712</v>
      </c>
      <c r="O6">
        <f>'Default Output 2017-2040'!O6</f>
        <v>785315000</v>
      </c>
      <c r="Q6">
        <v>2017</v>
      </c>
      <c r="R6">
        <v>41</v>
      </c>
      <c r="S6">
        <f t="shared" si="0"/>
        <v>2.5746993244748921</v>
      </c>
      <c r="T6">
        <f t="shared" si="1"/>
        <v>7.5988488695618958E-2</v>
      </c>
      <c r="U6">
        <f t="shared" si="2"/>
        <v>2.0793312237764466E-2</v>
      </c>
      <c r="V6">
        <f t="shared" si="3"/>
        <v>735.71496787913134</v>
      </c>
      <c r="W6">
        <f t="shared" si="4"/>
        <v>8.5760269087881938E-2</v>
      </c>
      <c r="X6">
        <f t="shared" si="7"/>
        <v>8.4771461133430537E-2</v>
      </c>
      <c r="Y6">
        <f t="shared" si="8"/>
        <v>0.71207859266663698</v>
      </c>
      <c r="Z6">
        <f t="shared" si="9"/>
        <v>8.1722493521707851E-3</v>
      </c>
      <c r="AA6">
        <f t="shared" si="10"/>
        <v>4.2455575151372382E-2</v>
      </c>
    </row>
    <row r="7" spans="1:46">
      <c r="AE7" s="281" t="s">
        <v>82</v>
      </c>
      <c r="AF7" s="281"/>
      <c r="AG7" s="281"/>
      <c r="AH7" s="281"/>
      <c r="AI7" s="281"/>
      <c r="AJ7" s="281"/>
      <c r="AK7" s="281"/>
      <c r="AL7" s="281"/>
      <c r="AM7" s="281"/>
      <c r="AN7" s="281" t="s">
        <v>80</v>
      </c>
      <c r="AO7" s="281"/>
      <c r="AP7" s="281"/>
      <c r="AQ7" s="281"/>
    </row>
    <row r="8" spans="1:46">
      <c r="A8" t="str">
        <f>'Default Output 2017-2040'!A8</f>
        <v>yearID</v>
      </c>
      <c r="B8" t="str">
        <f>'Default Output 2017-2040'!B8</f>
        <v>regClassID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9" t="s">
        <v>115</v>
      </c>
      <c r="L8" s="29" t="s">
        <v>116</v>
      </c>
      <c r="M8" s="29" t="s">
        <v>117</v>
      </c>
      <c r="N8" t="str">
        <f>'Default Output 2017-2040'!N8</f>
        <v>POP</v>
      </c>
      <c r="O8" t="str">
        <f>'Default Output 2017-2040'!O8</f>
        <v>VMT</v>
      </c>
      <c r="Q8" t="s">
        <v>0</v>
      </c>
      <c r="R8" t="s">
        <v>1</v>
      </c>
      <c r="S8" t="s">
        <v>2</v>
      </c>
      <c r="T8" t="s">
        <v>26</v>
      </c>
      <c r="U8" t="s">
        <v>21</v>
      </c>
      <c r="V8" t="s">
        <v>3</v>
      </c>
      <c r="W8" t="s">
        <v>22</v>
      </c>
      <c r="X8" t="s">
        <v>43</v>
      </c>
      <c r="Y8" s="29" t="s">
        <v>115</v>
      </c>
      <c r="Z8" s="29" t="s">
        <v>116</v>
      </c>
      <c r="AA8" s="29" t="s">
        <v>117</v>
      </c>
      <c r="AC8" t="str">
        <f t="shared" ref="AC8:AJ8" si="11">A8</f>
        <v>yearID</v>
      </c>
      <c r="AD8" t="str">
        <f t="shared" si="11"/>
        <v>regClassID</v>
      </c>
      <c r="AE8" t="str">
        <f t="shared" si="11"/>
        <v>NOx</v>
      </c>
      <c r="AF8" t="str">
        <f t="shared" si="11"/>
        <v>CH4</v>
      </c>
      <c r="AG8" t="str">
        <f t="shared" si="11"/>
        <v>N2O</v>
      </c>
      <c r="AH8" t="str">
        <f t="shared" si="11"/>
        <v>CO2</v>
      </c>
      <c r="AI8" t="str">
        <f t="shared" si="11"/>
        <v>Energy</v>
      </c>
      <c r="AJ8" t="str">
        <f t="shared" si="11"/>
        <v>PM25 Exh</v>
      </c>
      <c r="AK8" s="29" t="s">
        <v>115</v>
      </c>
      <c r="AL8" s="29" t="s">
        <v>116</v>
      </c>
      <c r="AM8" s="29" t="s">
        <v>117</v>
      </c>
      <c r="AN8" t="str">
        <f>I8</f>
        <v>PM25 BW</v>
      </c>
      <c r="AO8" t="str">
        <f>J8</f>
        <v>PM25 TW</v>
      </c>
      <c r="AP8" t="str">
        <f t="shared" ref="AP8:AQ8" si="12">N8</f>
        <v>POP</v>
      </c>
      <c r="AQ8" t="str">
        <f t="shared" si="12"/>
        <v>VMT</v>
      </c>
      <c r="AR8" s="6"/>
      <c r="AS8" s="6"/>
      <c r="AT8" s="6"/>
    </row>
    <row r="9" spans="1:46">
      <c r="A9">
        <f>'Default Output 2017-2040'!A9</f>
        <v>2020</v>
      </c>
      <c r="B9">
        <f>'Default Output 2017-2040'!B9</f>
        <v>20</v>
      </c>
      <c r="C9">
        <f>'Default Output 2017-2040'!C9</f>
        <v>1188880000</v>
      </c>
      <c r="D9">
        <f>'Default Output 2017-2040'!D9</f>
        <v>115829000</v>
      </c>
      <c r="E9">
        <f>'Default Output 2017-2040'!E9</f>
        <v>30580100</v>
      </c>
      <c r="F9">
        <f>'Default Output 2017-2040'!F9</f>
        <v>1874950000000</v>
      </c>
      <c r="G9">
        <f>'Default Output 2017-2040'!G9</f>
        <v>24723500</v>
      </c>
      <c r="H9">
        <f>'Default Output 2017-2040'!H9</f>
        <v>25181500</v>
      </c>
      <c r="I9">
        <f>'Default Output 2017-2040'!I9</f>
        <v>12356300</v>
      </c>
      <c r="J9">
        <f>'Default Output 2017-2040'!J9</f>
        <v>7017110</v>
      </c>
      <c r="K9">
        <f>'Default Output 2017-2040'!K9</f>
        <v>1488830000</v>
      </c>
      <c r="L9">
        <f>'Default Output 2017-2040'!L9</f>
        <v>12525500</v>
      </c>
      <c r="M9">
        <f>'Default Output 2017-2040'!M9</f>
        <v>143369000</v>
      </c>
      <c r="N9">
        <f>'Default Output 2017-2040'!N9</f>
        <v>518677</v>
      </c>
      <c r="O9">
        <f>'Default Output 2017-2040'!O9</f>
        <v>5777240000</v>
      </c>
      <c r="Q9">
        <v>2020</v>
      </c>
      <c r="R9">
        <v>20</v>
      </c>
      <c r="S9">
        <f t="shared" ref="S9:S11" si="13">C9/$O9</f>
        <v>0.20578684631415695</v>
      </c>
      <c r="T9">
        <f t="shared" ref="T9:X11" si="14">D9/$O9</f>
        <v>2.0049193040275286E-2</v>
      </c>
      <c r="U9">
        <f t="shared" si="14"/>
        <v>5.2932022903670268E-3</v>
      </c>
      <c r="V9">
        <f t="shared" si="14"/>
        <v>324.54078418068144</v>
      </c>
      <c r="W9">
        <f t="shared" si="14"/>
        <v>4.2794656271852999E-3</v>
      </c>
      <c r="X9">
        <f t="shared" si="14"/>
        <v>4.3587422367774228E-3</v>
      </c>
      <c r="Y9">
        <f>K9/$O9</f>
        <v>0.25770610187563614</v>
      </c>
      <c r="Z9">
        <f t="shared" ref="Z9:Z11" si="15">L9/$O9</f>
        <v>2.1680767979173447E-3</v>
      </c>
      <c r="AA9">
        <f t="shared" ref="AA9:AA11" si="16">M9/$O9</f>
        <v>2.4816175197845337E-2</v>
      </c>
      <c r="AC9">
        <f t="shared" ref="AC9:AC11" si="17">A9</f>
        <v>2020</v>
      </c>
      <c r="AD9">
        <f t="shared" ref="AD9:AD11" si="18">B9</f>
        <v>20</v>
      </c>
      <c r="AE9">
        <f t="shared" ref="AE9:AJ11" si="19">(S4-S9)/(S4-S19)</f>
        <v>0.45566796927691655</v>
      </c>
      <c r="AF9">
        <f t="shared" si="19"/>
        <v>0.51319451378416625</v>
      </c>
      <c r="AG9">
        <f t="shared" si="19"/>
        <v>0.41551981139560268</v>
      </c>
      <c r="AH9">
        <f t="shared" si="19"/>
        <v>0.25224154951599254</v>
      </c>
      <c r="AI9">
        <f t="shared" si="19"/>
        <v>0.97726369502710475</v>
      </c>
      <c r="AJ9">
        <f t="shared" si="19"/>
        <v>0.61928569710096604</v>
      </c>
      <c r="AK9">
        <f t="shared" ref="AK9" si="20">(Y4-Y9)/(Y4-Y19)</f>
        <v>0.41169414436270135</v>
      </c>
      <c r="AL9">
        <f t="shared" ref="AL9" si="21">(Z4-Z9)/(Z4-Z19)</f>
        <v>0.91816163687936947</v>
      </c>
      <c r="AM9">
        <f t="shared" ref="AM9" si="22">(AA4-AA9)/(AA4-AA19)</f>
        <v>0.55020203952942903</v>
      </c>
      <c r="AN9">
        <f>(3/13)*('County Scale Output 2017-2040'!I9-'County Scale Output 2017-2040'!I4)/('County Scale Output 2017-2040'!I9-'County Scale Output 2017-2040'!I4)</f>
        <v>0.23076923076923078</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0.23076923076923078</v>
      </c>
    </row>
    <row r="10" spans="1:46">
      <c r="A10">
        <f>'Default Output 2017-2040'!A10</f>
        <v>2020</v>
      </c>
      <c r="B10">
        <f>'Default Output 2017-2040'!B10</f>
        <v>30</v>
      </c>
      <c r="C10">
        <f>'Default Output 2017-2040'!C10</f>
        <v>2977620000</v>
      </c>
      <c r="D10">
        <f>'Default Output 2017-2040'!D10</f>
        <v>191290000</v>
      </c>
      <c r="E10">
        <f>'Default Output 2017-2040'!E10</f>
        <v>65143300</v>
      </c>
      <c r="F10">
        <f>'Default Output 2017-2040'!F10</f>
        <v>3481400000000</v>
      </c>
      <c r="G10">
        <f>'Default Output 2017-2040'!G10</f>
        <v>45904900</v>
      </c>
      <c r="H10">
        <f>'Default Output 2017-2040'!H10</f>
        <v>48047400</v>
      </c>
      <c r="I10">
        <f>'Default Output 2017-2040'!I10</f>
        <v>17856100</v>
      </c>
      <c r="J10">
        <f>'Default Output 2017-2040'!J10</f>
        <v>9945470</v>
      </c>
      <c r="K10">
        <f>'Default Output 2017-2040'!K10</f>
        <v>2211990000</v>
      </c>
      <c r="L10">
        <f>'Default Output 2017-2040'!L10</f>
        <v>23219600</v>
      </c>
      <c r="M10">
        <f>'Default Output 2017-2040'!M10</f>
        <v>228055000</v>
      </c>
      <c r="N10">
        <f>'Default Output 2017-2040'!N10</f>
        <v>679583</v>
      </c>
      <c r="O10">
        <f>'Default Output 2017-2040'!O10</f>
        <v>8349100000</v>
      </c>
      <c r="Q10">
        <v>2020</v>
      </c>
      <c r="R10">
        <v>30</v>
      </c>
      <c r="S10">
        <f t="shared" si="13"/>
        <v>0.35663963780527241</v>
      </c>
      <c r="T10">
        <f t="shared" si="14"/>
        <v>2.2911451533698241E-2</v>
      </c>
      <c r="U10">
        <f t="shared" si="14"/>
        <v>7.8024337952593689E-3</v>
      </c>
      <c r="V10">
        <f t="shared" si="14"/>
        <v>416.97907558898567</v>
      </c>
      <c r="W10">
        <f t="shared" si="14"/>
        <v>5.4981854331604607E-3</v>
      </c>
      <c r="X10">
        <f t="shared" si="14"/>
        <v>5.7547999185540953E-3</v>
      </c>
      <c r="Y10">
        <f t="shared" ref="Y10:Y11" si="23">K10/$O10</f>
        <v>0.26493753817776766</v>
      </c>
      <c r="Z10">
        <f t="shared" si="15"/>
        <v>2.7810901773843888E-3</v>
      </c>
      <c r="AA10">
        <f t="shared" si="16"/>
        <v>2.73149201710364E-2</v>
      </c>
      <c r="AC10">
        <f t="shared" si="17"/>
        <v>2020</v>
      </c>
      <c r="AD10">
        <f t="shared" si="18"/>
        <v>30</v>
      </c>
      <c r="AE10">
        <f t="shared" si="19"/>
        <v>0.46800426474379964</v>
      </c>
      <c r="AF10">
        <f t="shared" si="19"/>
        <v>0.53207270047342847</v>
      </c>
      <c r="AG10">
        <f t="shared" si="19"/>
        <v>0.42135908956121226</v>
      </c>
      <c r="AH10">
        <f t="shared" si="19"/>
        <v>0.30621599641388336</v>
      </c>
      <c r="AI10">
        <f t="shared" si="19"/>
        <v>0.97787699004323925</v>
      </c>
      <c r="AJ10">
        <f t="shared" si="19"/>
        <v>0.3164114728348868</v>
      </c>
      <c r="AK10">
        <f t="shared" ref="AK10:AK11" si="24">(Y5-Y10)/(Y5-Y20)</f>
        <v>0.45298465108163238</v>
      </c>
      <c r="AL10">
        <f t="shared" ref="AL10:AL11" si="25">(Z5-Z10)/(Z5-Z20)</f>
        <v>0.92727738417218541</v>
      </c>
      <c r="AM10">
        <f t="shared" ref="AM10:AM11" si="26">(AA5-AA10)/(AA5-AA20)</f>
        <v>0.49162394067651694</v>
      </c>
      <c r="AN10">
        <f>(3/13)*('County Scale Output 2017-2040'!I10-'County Scale Output 2017-2040'!I5)/('County Scale Output 2017-2040'!I10-'County Scale Output 2017-2040'!I5)</f>
        <v>0.23076923076923078</v>
      </c>
      <c r="AO10">
        <f>(3/13)*('County Scale Output 2017-2040'!J10-'County Scale Output 2017-2040'!J5)/('County Scale Output 2017-2040'!J10-'County Scale Output 2017-2040'!J5)</f>
        <v>0.23076923076923078</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0.23076923076923078</v>
      </c>
    </row>
    <row r="11" spans="1:46">
      <c r="A11">
        <f>'Default Output 2017-2040'!A11</f>
        <v>2020</v>
      </c>
      <c r="B11">
        <f>'Default Output 2017-2040'!B11</f>
        <v>41</v>
      </c>
      <c r="C11">
        <f>'Default Output 2017-2040'!C11</f>
        <v>1249350000</v>
      </c>
      <c r="D11">
        <f>'Default Output 2017-2040'!D11</f>
        <v>44000500</v>
      </c>
      <c r="E11">
        <f>'Default Output 2017-2040'!E11</f>
        <v>12166300</v>
      </c>
      <c r="F11">
        <f>'Default Output 2017-2040'!F11</f>
        <v>538581000000</v>
      </c>
      <c r="G11">
        <f>'Default Output 2017-2040'!G11</f>
        <v>7003180</v>
      </c>
      <c r="H11">
        <f>'Default Output 2017-2040'!H11</f>
        <v>43790900</v>
      </c>
      <c r="I11">
        <f>'Default Output 2017-2040'!I11</f>
        <v>1709910</v>
      </c>
      <c r="J11">
        <f>'Default Output 2017-2040'!J11</f>
        <v>1248860</v>
      </c>
      <c r="K11">
        <f>'Default Output 2017-2040'!K11</f>
        <v>388235000</v>
      </c>
      <c r="L11">
        <f>'Default Output 2017-2040'!L11</f>
        <v>2585650</v>
      </c>
      <c r="M11">
        <f>'Default Output 2017-2040'!M11</f>
        <v>29695600</v>
      </c>
      <c r="N11">
        <f>'Default Output 2017-2040'!N11</f>
        <v>65465.9</v>
      </c>
      <c r="O11">
        <f>'Default Output 2017-2040'!O11</f>
        <v>759269000</v>
      </c>
      <c r="Q11">
        <v>2020</v>
      </c>
      <c r="R11">
        <v>41</v>
      </c>
      <c r="S11">
        <f t="shared" si="13"/>
        <v>1.6454642557512555</v>
      </c>
      <c r="T11">
        <f t="shared" si="14"/>
        <v>5.7951134578127117E-2</v>
      </c>
      <c r="U11">
        <f t="shared" si="14"/>
        <v>1.6023701744704445E-2</v>
      </c>
      <c r="V11">
        <f t="shared" si="14"/>
        <v>709.34148503363099</v>
      </c>
      <c r="W11">
        <f t="shared" si="14"/>
        <v>9.2235821559947789E-3</v>
      </c>
      <c r="X11">
        <f t="shared" si="14"/>
        <v>5.7675079583125351E-2</v>
      </c>
      <c r="Y11">
        <f t="shared" si="23"/>
        <v>0.51132734248336231</v>
      </c>
      <c r="Z11">
        <f t="shared" si="15"/>
        <v>3.4054465545149347E-3</v>
      </c>
      <c r="AA11">
        <f t="shared" si="16"/>
        <v>3.9110776286138377E-2</v>
      </c>
      <c r="AC11">
        <f t="shared" si="17"/>
        <v>2020</v>
      </c>
      <c r="AD11">
        <f t="shared" si="18"/>
        <v>41</v>
      </c>
      <c r="AE11">
        <f t="shared" si="19"/>
        <v>0.4563320391367231</v>
      </c>
      <c r="AF11">
        <f t="shared" si="19"/>
        <v>0.46751193414401537</v>
      </c>
      <c r="AG11">
        <f t="shared" si="19"/>
        <v>0.36676696690869187</v>
      </c>
      <c r="AH11">
        <f t="shared" si="19"/>
        <v>0.18398408850238732</v>
      </c>
      <c r="AI11">
        <f t="shared" si="19"/>
        <v>0.98035971310400816</v>
      </c>
      <c r="AJ11">
        <f t="shared" si="19"/>
        <v>0.38326215060315205</v>
      </c>
      <c r="AK11">
        <f t="shared" si="24"/>
        <v>0.39443861115830892</v>
      </c>
      <c r="AL11">
        <f t="shared" si="25"/>
        <v>0.87111164480785785</v>
      </c>
      <c r="AM11">
        <f t="shared" si="26"/>
        <v>0.34959738662661449</v>
      </c>
      <c r="AN11">
        <f>(3/13)*('County Scale Output 2017-2040'!I11-'County Scale Output 2017-2040'!I6)/('County Scale Output 2017-2040'!I11-'County Scale Output 2017-2040'!I6)</f>
        <v>0.23076923076923078</v>
      </c>
      <c r="AO11">
        <f>(3/13)*('County Scale Output 2017-2040'!J11-'County Scale Output 2017-2040'!J6)/('County Scale Output 2017-2040'!J11-'County Scale Output 2017-2040'!J6)</f>
        <v>0.23076923076923078</v>
      </c>
      <c r="AP11">
        <f>(3/13)*('County Scale Output 2017-2040'!N11-'County Scale Output 2017-2040'!N6)/('County Scale Output 2017-2040'!N11-'County Scale Output 2017-2040'!N6)</f>
        <v>0.23076923076923078</v>
      </c>
      <c r="AQ11">
        <f>(3/13)*('County Scale Output 2017-2040'!O11-'County Scale Output 2017-2040'!O6)/('County Scale Output 2017-2040'!O11-'County Scale Output 2017-2040'!O6)</f>
        <v>0.23076923076923078</v>
      </c>
    </row>
    <row r="13" spans="1:46">
      <c r="A13" t="str">
        <f>'Default Output 2017-2040'!A13</f>
        <v>yearID</v>
      </c>
      <c r="B13" t="str">
        <f>'Default Output 2017-2040'!B13</f>
        <v>regClassID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9" t="s">
        <v>115</v>
      </c>
      <c r="L13" s="29" t="s">
        <v>116</v>
      </c>
      <c r="M13" s="29" t="s">
        <v>117</v>
      </c>
      <c r="N13" t="str">
        <f>'Default Output 2017-2040'!N13</f>
        <v>POP</v>
      </c>
      <c r="O13" t="str">
        <f>'Default Output 2017-2040'!O13</f>
        <v>VMT</v>
      </c>
      <c r="Q13" t="s">
        <v>0</v>
      </c>
      <c r="R13" t="s">
        <v>1</v>
      </c>
      <c r="S13" t="s">
        <v>2</v>
      </c>
      <c r="T13" t="s">
        <v>26</v>
      </c>
      <c r="U13" t="s">
        <v>21</v>
      </c>
      <c r="V13" t="s">
        <v>3</v>
      </c>
      <c r="W13" t="s">
        <v>22</v>
      </c>
      <c r="X13" t="s">
        <v>43</v>
      </c>
      <c r="Y13" s="29" t="s">
        <v>115</v>
      </c>
      <c r="Z13" s="29" t="s">
        <v>116</v>
      </c>
      <c r="AA13" s="29" t="s">
        <v>117</v>
      </c>
      <c r="AC13" t="str">
        <f t="shared" ref="AC13:AJ13" si="27">A13</f>
        <v>yearID</v>
      </c>
      <c r="AD13" t="str">
        <f t="shared" si="27"/>
        <v>regClassID</v>
      </c>
      <c r="AE13" t="str">
        <f t="shared" si="27"/>
        <v>NOx</v>
      </c>
      <c r="AF13" t="str">
        <f t="shared" si="27"/>
        <v>CH4</v>
      </c>
      <c r="AG13" t="str">
        <f t="shared" si="27"/>
        <v>N2O</v>
      </c>
      <c r="AH13" t="str">
        <f t="shared" si="27"/>
        <v>CO2</v>
      </c>
      <c r="AI13" t="str">
        <f t="shared" si="27"/>
        <v>Energy</v>
      </c>
      <c r="AJ13" t="str">
        <f t="shared" si="27"/>
        <v>PM25 Exh</v>
      </c>
      <c r="AK13" s="29" t="s">
        <v>115</v>
      </c>
      <c r="AL13" s="29" t="s">
        <v>116</v>
      </c>
      <c r="AM13" s="29" t="s">
        <v>117</v>
      </c>
      <c r="AN13" t="str">
        <f>I13</f>
        <v>PM25 BW</v>
      </c>
      <c r="AO13" t="str">
        <f>J13</f>
        <v>PM25 TW</v>
      </c>
      <c r="AP13" t="str">
        <f t="shared" ref="AP13:AQ13" si="28">N13</f>
        <v>POP</v>
      </c>
      <c r="AQ13" t="str">
        <f t="shared" si="28"/>
        <v>VMT</v>
      </c>
    </row>
    <row r="14" spans="1:46">
      <c r="A14">
        <f>'Default Output 2017-2040'!A14</f>
        <v>2025</v>
      </c>
      <c r="B14">
        <f>'Default Output 2017-2040'!B14</f>
        <v>20</v>
      </c>
      <c r="C14">
        <f>'Default Output 2017-2040'!C14</f>
        <v>662767000</v>
      </c>
      <c r="D14">
        <f>'Default Output 2017-2040'!D14</f>
        <v>86535800</v>
      </c>
      <c r="E14">
        <f>'Default Output 2017-2040'!E14</f>
        <v>25741200</v>
      </c>
      <c r="F14">
        <f>'Default Output 2017-2040'!F14</f>
        <v>1715670000000</v>
      </c>
      <c r="G14">
        <f>'Default Output 2017-2040'!G14</f>
        <v>22622800</v>
      </c>
      <c r="H14">
        <f>'Default Output 2017-2040'!H14</f>
        <v>23877800</v>
      </c>
      <c r="I14">
        <f>'Default Output 2017-2040'!I14</f>
        <v>12761500</v>
      </c>
      <c r="J14">
        <f>'Default Output 2017-2040'!J14</f>
        <v>7247260</v>
      </c>
      <c r="K14">
        <f>'Default Output 2017-2040'!K14</f>
        <v>1223000000</v>
      </c>
      <c r="L14">
        <f>'Default Output 2017-2040'!L14</f>
        <v>11458900</v>
      </c>
      <c r="M14">
        <f>'Default Output 2017-2040'!M14</f>
        <v>141068000</v>
      </c>
      <c r="N14">
        <f>'Default Output 2017-2040'!N14</f>
        <v>538592</v>
      </c>
      <c r="O14">
        <f>'Default Output 2017-2040'!O14</f>
        <v>5966730000</v>
      </c>
      <c r="Q14">
        <v>2025</v>
      </c>
      <c r="R14">
        <v>20</v>
      </c>
      <c r="S14">
        <f t="shared" ref="S14:S16" si="29">C14/$O14</f>
        <v>0.11107708912586961</v>
      </c>
      <c r="T14">
        <f t="shared" ref="T14:X16" si="30">D14/$O14</f>
        <v>1.4503052760892482E-2</v>
      </c>
      <c r="U14">
        <f t="shared" si="30"/>
        <v>4.3141218054110041E-3</v>
      </c>
      <c r="V14">
        <f t="shared" si="30"/>
        <v>287.53940600630494</v>
      </c>
      <c r="W14">
        <f t="shared" si="30"/>
        <v>3.7914904813859517E-3</v>
      </c>
      <c r="X14">
        <f t="shared" si="30"/>
        <v>4.0018234443321551E-3</v>
      </c>
      <c r="Y14">
        <f>K14/$O14</f>
        <v>0.20496989138104121</v>
      </c>
      <c r="Z14">
        <f t="shared" ref="Z14:Z16" si="31">L14/$O14</f>
        <v>1.9204656486886452E-3</v>
      </c>
      <c r="AA14">
        <f t="shared" ref="AA14:AA16" si="32">M14/$O14</f>
        <v>2.3642430611071727E-2</v>
      </c>
      <c r="AC14">
        <f t="shared" ref="AC14:AD16" si="33">A14</f>
        <v>2025</v>
      </c>
      <c r="AD14">
        <f t="shared" si="33"/>
        <v>20</v>
      </c>
      <c r="AE14">
        <f t="shared" ref="AE14:AJ16" si="34">(S9-S14)/(S4-S19)</f>
        <v>0.35461968498887209</v>
      </c>
      <c r="AF14">
        <f t="shared" si="34"/>
        <v>0.28631234160310104</v>
      </c>
      <c r="AG14">
        <f t="shared" si="34"/>
        <v>0.38904053131176058</v>
      </c>
      <c r="AH14">
        <f t="shared" si="34"/>
        <v>0.41531334890708227</v>
      </c>
      <c r="AI14">
        <f t="shared" si="34"/>
        <v>1.2624127957242326E-2</v>
      </c>
      <c r="AJ14">
        <f t="shared" si="34"/>
        <v>0.2804612551797997</v>
      </c>
      <c r="AK14">
        <f t="shared" ref="AK14" si="35">(Y9-Y14)/(Y4-Y19)</f>
        <v>0.30569338462086937</v>
      </c>
      <c r="AL14">
        <f t="shared" ref="AL14" si="36">(Z9-Z14)/(Z4-Z19)</f>
        <v>4.5182655171648371E-2</v>
      </c>
      <c r="AM14">
        <f t="shared" ref="AM14" si="37">(AA9-AA14)/(AA4-AA19)</f>
        <v>0.21000068998424593</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0.61538461538461542</v>
      </c>
      <c r="AQ14">
        <f>(8/13)*('County Scale Output 2017-2040'!O14-'County Scale Output 2017-2040'!O9)/('County Scale Output 2017-2040'!O14-'County Scale Output 2017-2040'!O9)</f>
        <v>0.61538461538461542</v>
      </c>
    </row>
    <row r="15" spans="1:46">
      <c r="A15">
        <f>'Default Output 2017-2040'!A15</f>
        <v>2025</v>
      </c>
      <c r="B15">
        <f>'Default Output 2017-2040'!B15</f>
        <v>30</v>
      </c>
      <c r="C15">
        <f>'Default Output 2017-2040'!C15</f>
        <v>1605350000</v>
      </c>
      <c r="D15">
        <f>'Default Output 2017-2040'!D15</f>
        <v>134343000</v>
      </c>
      <c r="E15">
        <f>'Default Output 2017-2040'!E15</f>
        <v>49615300</v>
      </c>
      <c r="F15">
        <f>'Default Output 2017-2040'!F15</f>
        <v>3177890000000</v>
      </c>
      <c r="G15">
        <f>'Default Output 2017-2040'!G15</f>
        <v>41897100</v>
      </c>
      <c r="H15">
        <f>'Default Output 2017-2040'!H15</f>
        <v>44030100</v>
      </c>
      <c r="I15">
        <f>'Default Output 2017-2040'!I15</f>
        <v>18221500</v>
      </c>
      <c r="J15">
        <f>'Default Output 2017-2040'!J15</f>
        <v>10148700</v>
      </c>
      <c r="K15">
        <f>'Default Output 2017-2040'!K15</f>
        <v>1685490000</v>
      </c>
      <c r="L15">
        <f>'Default Output 2017-2040'!L15</f>
        <v>21138400</v>
      </c>
      <c r="M15">
        <f>'Default Output 2017-2040'!M15</f>
        <v>215620000</v>
      </c>
      <c r="N15">
        <f>'Default Output 2017-2040'!N15</f>
        <v>700182</v>
      </c>
      <c r="O15">
        <f>'Default Output 2017-2040'!O15</f>
        <v>8519680000</v>
      </c>
      <c r="Q15">
        <v>2025</v>
      </c>
      <c r="R15">
        <v>30</v>
      </c>
      <c r="S15">
        <f t="shared" si="29"/>
        <v>0.18842843862680289</v>
      </c>
      <c r="T15">
        <f t="shared" si="30"/>
        <v>1.576854999248798E-2</v>
      </c>
      <c r="U15">
        <f t="shared" si="30"/>
        <v>5.82361074594351E-3</v>
      </c>
      <c r="V15">
        <f t="shared" si="30"/>
        <v>373.00579364483173</v>
      </c>
      <c r="W15">
        <f t="shared" si="30"/>
        <v>4.9176847017728363E-3</v>
      </c>
      <c r="X15">
        <f t="shared" si="30"/>
        <v>5.1680462176983176E-3</v>
      </c>
      <c r="Y15">
        <f t="shared" ref="Y15:Y16" si="38">K15/$O15</f>
        <v>0.19783489520733172</v>
      </c>
      <c r="Z15">
        <f t="shared" si="31"/>
        <v>2.4811260516826921E-3</v>
      </c>
      <c r="AA15">
        <f t="shared" si="32"/>
        <v>2.530846228966346E-2</v>
      </c>
      <c r="AC15">
        <f t="shared" si="33"/>
        <v>2025</v>
      </c>
      <c r="AD15">
        <f t="shared" si="33"/>
        <v>30</v>
      </c>
      <c r="AE15">
        <f t="shared" si="34"/>
        <v>0.324310368104203</v>
      </c>
      <c r="AF15">
        <f t="shared" si="34"/>
        <v>0.27577643401661145</v>
      </c>
      <c r="AG15">
        <f t="shared" si="34"/>
        <v>0.38041494290027916</v>
      </c>
      <c r="AH15">
        <f t="shared" si="34"/>
        <v>0.4042984869694623</v>
      </c>
      <c r="AI15">
        <f t="shared" si="34"/>
        <v>1.2893001160418961E-2</v>
      </c>
      <c r="AJ15">
        <f t="shared" si="34"/>
        <v>0.38231149668520903</v>
      </c>
      <c r="AK15">
        <f t="shared" ref="AK15:AK16" si="39">(Y10-Y15)/(Y5-Y20)</f>
        <v>0.31456985841792912</v>
      </c>
      <c r="AL15">
        <f t="shared" ref="AL15:AL16" si="40">(Z10-Z15)/(Z5-Z20)</f>
        <v>4.2434983709725954E-2</v>
      </c>
      <c r="AM15">
        <f t="shared" ref="AM15:AM16" si="41">(AA10-AA15)/(AA5-AA20)</f>
        <v>0.28357227693398401</v>
      </c>
      <c r="AN15">
        <f>(8/13)*('County Scale Output 2017-2040'!I15-'County Scale Output 2017-2040'!I10)/('County Scale Output 2017-2040'!I15-'County Scale Output 2017-2040'!I10)</f>
        <v>0.61538461538461542</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0.61538461538461542</v>
      </c>
    </row>
    <row r="16" spans="1:46">
      <c r="A16">
        <f>'Default Output 2017-2040'!A16</f>
        <v>2025</v>
      </c>
      <c r="B16">
        <f>'Default Output 2017-2040'!B16</f>
        <v>41</v>
      </c>
      <c r="C16">
        <f>'Default Output 2017-2040'!C16</f>
        <v>704684000</v>
      </c>
      <c r="D16">
        <f>'Default Output 2017-2040'!D16</f>
        <v>34582400</v>
      </c>
      <c r="E16">
        <f>'Default Output 2017-2040'!E16</f>
        <v>8043690</v>
      </c>
      <c r="F16">
        <f>'Default Output 2017-2040'!F16</f>
        <v>493573000000</v>
      </c>
      <c r="G16">
        <f>'Default Output 2017-2040'!G16</f>
        <v>6412000</v>
      </c>
      <c r="H16">
        <f>'Default Output 2017-2040'!H16</f>
        <v>22953400</v>
      </c>
      <c r="I16">
        <f>'Default Output 2017-2040'!I16</f>
        <v>1723670</v>
      </c>
      <c r="J16">
        <f>'Default Output 2017-2040'!J16</f>
        <v>1248030</v>
      </c>
      <c r="K16">
        <f>'Default Output 2017-2040'!K16</f>
        <v>250036000</v>
      </c>
      <c r="L16">
        <f>'Default Output 2017-2040'!L16</f>
        <v>2299360</v>
      </c>
      <c r="M16">
        <f>'Default Output 2017-2040'!M16</f>
        <v>26533700</v>
      </c>
      <c r="N16">
        <f>'Default Output 2017-2040'!N16</f>
        <v>63638.400000000001</v>
      </c>
      <c r="O16">
        <f>'Default Output 2017-2040'!O16</f>
        <v>759461000</v>
      </c>
      <c r="Q16">
        <v>2025</v>
      </c>
      <c r="R16">
        <v>41</v>
      </c>
      <c r="S16">
        <f t="shared" si="29"/>
        <v>0.92787384737333456</v>
      </c>
      <c r="T16">
        <f t="shared" si="30"/>
        <v>4.5535452116698551E-2</v>
      </c>
      <c r="U16">
        <f t="shared" si="30"/>
        <v>1.0591314103028332E-2</v>
      </c>
      <c r="V16">
        <f t="shared" si="30"/>
        <v>649.89907315846369</v>
      </c>
      <c r="W16">
        <f t="shared" si="30"/>
        <v>8.4428298490640073E-3</v>
      </c>
      <c r="X16">
        <f t="shared" si="30"/>
        <v>3.0223276771289113E-2</v>
      </c>
      <c r="Y16">
        <f t="shared" si="38"/>
        <v>0.32922822896764942</v>
      </c>
      <c r="Z16">
        <f t="shared" si="31"/>
        <v>3.0276209048259225E-3</v>
      </c>
      <c r="AA16">
        <f t="shared" si="32"/>
        <v>3.4937541229898575E-2</v>
      </c>
      <c r="AC16">
        <f t="shared" si="33"/>
        <v>2025</v>
      </c>
      <c r="AD16">
        <f t="shared" si="33"/>
        <v>41</v>
      </c>
      <c r="AE16">
        <f t="shared" si="34"/>
        <v>0.35239683191233517</v>
      </c>
      <c r="AF16">
        <f t="shared" si="34"/>
        <v>0.32180328020679411</v>
      </c>
      <c r="AG16">
        <f t="shared" si="34"/>
        <v>0.4177322951861297</v>
      </c>
      <c r="AH16">
        <f t="shared" si="34"/>
        <v>0.41467628797089412</v>
      </c>
      <c r="AI16">
        <f t="shared" si="34"/>
        <v>1.0000669460766153E-2</v>
      </c>
      <c r="AJ16">
        <f t="shared" si="34"/>
        <v>0.38828937229367855</v>
      </c>
      <c r="AK16">
        <f t="shared" si="39"/>
        <v>0.35779065566328017</v>
      </c>
      <c r="AL16">
        <f t="shared" si="40"/>
        <v>6.9045928082665173E-2</v>
      </c>
      <c r="AM16">
        <f t="shared" si="41"/>
        <v>0.43618529191827432</v>
      </c>
      <c r="AN16">
        <f>(8/13)*('County Scale Output 2017-2040'!I16-'County Scale Output 2017-2040'!I11)/('County Scale Output 2017-2040'!I16-'County Scale Output 2017-2040'!I11)</f>
        <v>0.61538461538461542</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c r="A18" t="str">
        <f>'Default Output 2017-2040'!A18</f>
        <v>yearID</v>
      </c>
      <c r="B18" t="str">
        <f>'Default Output 2017-2040'!B18</f>
        <v>regClassID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9" t="s">
        <v>115</v>
      </c>
      <c r="L18" s="29" t="s">
        <v>116</v>
      </c>
      <c r="M18" s="29" t="s">
        <v>117</v>
      </c>
      <c r="N18" t="str">
        <f>'Default Output 2017-2040'!N18</f>
        <v>POP</v>
      </c>
      <c r="O18" t="str">
        <f>'Default Output 2017-2040'!O18</f>
        <v>VMT</v>
      </c>
      <c r="Q18" t="s">
        <v>0</v>
      </c>
      <c r="R18" t="s">
        <v>1</v>
      </c>
      <c r="S18" t="s">
        <v>2</v>
      </c>
      <c r="T18" t="s">
        <v>26</v>
      </c>
      <c r="U18" t="s">
        <v>21</v>
      </c>
      <c r="V18" t="s">
        <v>3</v>
      </c>
      <c r="W18" t="s">
        <v>22</v>
      </c>
      <c r="X18" t="s">
        <v>43</v>
      </c>
      <c r="Y18" s="29" t="s">
        <v>115</v>
      </c>
      <c r="Z18" s="29" t="s">
        <v>116</v>
      </c>
      <c r="AA18" s="29" t="s">
        <v>117</v>
      </c>
    </row>
    <row r="19" spans="1:43">
      <c r="A19">
        <f>'Default Output 2017-2040'!A19</f>
        <v>2030</v>
      </c>
      <c r="B19">
        <f>'Default Output 2017-2040'!B19</f>
        <v>20</v>
      </c>
      <c r="C19">
        <f>'Default Output 2017-2040'!C19</f>
        <v>381366000</v>
      </c>
      <c r="D19">
        <f>'Default Output 2017-2040'!D19</f>
        <v>67039500</v>
      </c>
      <c r="E19">
        <f>'Default Output 2017-2040'!E19</f>
        <v>24129900</v>
      </c>
      <c r="F19">
        <f>'Default Output 2017-2040'!F19</f>
        <v>1628250000000</v>
      </c>
      <c r="G19">
        <f>'Default Output 2017-2040'!G19</f>
        <v>21468000</v>
      </c>
      <c r="H19">
        <f>'Default Output 2017-2040'!H19</f>
        <v>24458000</v>
      </c>
      <c r="I19">
        <f>'Default Output 2017-2040'!I19</f>
        <v>13502100</v>
      </c>
      <c r="J19">
        <f>'Default Output 2017-2040'!J19</f>
        <v>7667810</v>
      </c>
      <c r="K19">
        <f>'Default Output 2017-2040'!K19</f>
        <v>986185000</v>
      </c>
      <c r="L19">
        <f>'Default Output 2017-2040'!L19</f>
        <v>10855700</v>
      </c>
      <c r="M19">
        <f>'Default Output 2017-2040'!M19</f>
        <v>140793000</v>
      </c>
      <c r="N19">
        <f>'Default Output 2017-2040'!N19</f>
        <v>560648</v>
      </c>
      <c r="O19">
        <f>'Default Output 2017-2040'!O19</f>
        <v>6312980000</v>
      </c>
      <c r="Q19">
        <v>2030</v>
      </c>
      <c r="R19">
        <v>20</v>
      </c>
      <c r="S19">
        <f t="shared" ref="S19:S21" si="42">C19/$O19</f>
        <v>6.0409822302620951E-2</v>
      </c>
      <c r="T19">
        <f t="shared" ref="T19:X21" si="43">D19/$O19</f>
        <v>1.0619311323653804E-2</v>
      </c>
      <c r="U19">
        <f t="shared" si="43"/>
        <v>3.822267772113962E-3</v>
      </c>
      <c r="V19">
        <f t="shared" si="43"/>
        <v>257.92098185009297</v>
      </c>
      <c r="W19">
        <f t="shared" si="43"/>
        <v>3.4006127058853345E-3</v>
      </c>
      <c r="X19">
        <f t="shared" si="43"/>
        <v>3.8742400577857052E-3</v>
      </c>
      <c r="Y19">
        <f>K19/$O19</f>
        <v>0.15621544817186178</v>
      </c>
      <c r="Z19">
        <f t="shared" ref="Z19:Z21" si="44">L19/$O19</f>
        <v>1.7195840949915887E-3</v>
      </c>
      <c r="AA19">
        <f t="shared" ref="AA19:AA21" si="45">M19/$O19</f>
        <v>2.2302145737829043E-2</v>
      </c>
    </row>
    <row r="20" spans="1:43">
      <c r="A20">
        <f>'Default Output 2017-2040'!A20</f>
        <v>2030</v>
      </c>
      <c r="B20">
        <f>'Default Output 2017-2040'!B20</f>
        <v>30</v>
      </c>
      <c r="C20">
        <f>'Default Output 2017-2040'!C20</f>
        <v>695176000</v>
      </c>
      <c r="D20">
        <f>'Default Output 2017-2040'!D20</f>
        <v>92954000</v>
      </c>
      <c r="E20">
        <f>'Default Output 2017-2040'!E20</f>
        <v>41280200</v>
      </c>
      <c r="F20">
        <f>'Default Output 2017-2040'!F20</f>
        <v>2941690000000</v>
      </c>
      <c r="G20">
        <f>'Default Output 2017-2040'!G20</f>
        <v>38779000</v>
      </c>
      <c r="H20">
        <f>'Default Output 2017-2040'!H20</f>
        <v>40532300</v>
      </c>
      <c r="I20">
        <f>'Default Output 2017-2040'!I20</f>
        <v>18421800</v>
      </c>
      <c r="J20">
        <f>'Default Output 2017-2040'!J20</f>
        <v>10260500</v>
      </c>
      <c r="K20">
        <f>'Default Output 2017-2040'!K20</f>
        <v>1276960000</v>
      </c>
      <c r="L20">
        <f>'Default Output 2017-2040'!L20</f>
        <v>19527100</v>
      </c>
      <c r="M20">
        <f>'Default Output 2017-2040'!M20</f>
        <v>204294000</v>
      </c>
      <c r="N20">
        <f>'Default Output 2017-2040'!N20</f>
        <v>705948</v>
      </c>
      <c r="O20">
        <f>'Default Output 2017-2040'!O20</f>
        <v>8613520000</v>
      </c>
      <c r="Q20">
        <v>2030</v>
      </c>
      <c r="R20">
        <v>30</v>
      </c>
      <c r="S20">
        <f t="shared" si="42"/>
        <v>8.0707538845907367E-2</v>
      </c>
      <c r="T20">
        <f t="shared" si="43"/>
        <v>1.079163919048194E-2</v>
      </c>
      <c r="U20">
        <f t="shared" si="43"/>
        <v>4.7924890172658793E-3</v>
      </c>
      <c r="V20">
        <f t="shared" si="43"/>
        <v>341.52007541632224</v>
      </c>
      <c r="W20">
        <f t="shared" si="43"/>
        <v>4.5021083134421233E-3</v>
      </c>
      <c r="X20">
        <f t="shared" si="43"/>
        <v>4.7056604036445028E-3</v>
      </c>
      <c r="Y20">
        <f t="shared" ref="Y20:Y21" si="46">K20/$O20</f>
        <v>0.14825065710650234</v>
      </c>
      <c r="Z20">
        <f t="shared" si="44"/>
        <v>2.2670290427142447E-3</v>
      </c>
      <c r="AA20">
        <f t="shared" si="45"/>
        <v>2.3717829644558788E-2</v>
      </c>
    </row>
    <row r="21" spans="1:43">
      <c r="A21">
        <f>'Default Output 2017-2040'!A21</f>
        <v>2030</v>
      </c>
      <c r="B21">
        <f>'Default Output 2017-2040'!B21</f>
        <v>41</v>
      </c>
      <c r="C21">
        <f>'Default Output 2017-2040'!C21</f>
        <v>428574000</v>
      </c>
      <c r="D21">
        <f>'Default Output 2017-2040'!D21</f>
        <v>29777200</v>
      </c>
      <c r="E21">
        <f>'Default Output 2017-2040'!E21</f>
        <v>6200190</v>
      </c>
      <c r="F21">
        <f>'Default Output 2017-2040'!F21</f>
        <v>471546000000</v>
      </c>
      <c r="G21">
        <f>'Default Output 2017-2040'!G21</f>
        <v>6121720</v>
      </c>
      <c r="H21">
        <f>'Default Output 2017-2040'!H21</f>
        <v>11201900</v>
      </c>
      <c r="I21">
        <f>'Default Output 2017-2040'!I21</f>
        <v>1805510</v>
      </c>
      <c r="J21">
        <f>'Default Output 2017-2040'!J21</f>
        <v>1307300</v>
      </c>
      <c r="K21">
        <f>'Default Output 2017-2040'!K21</f>
        <v>161694000</v>
      </c>
      <c r="L21">
        <f>'Default Output 2017-2040'!L21</f>
        <v>2149420</v>
      </c>
      <c r="M21">
        <f>'Default Output 2017-2040'!M21</f>
        <v>26180000</v>
      </c>
      <c r="N21">
        <f>'Default Output 2017-2040'!N21</f>
        <v>63345.4</v>
      </c>
      <c r="O21">
        <f>'Default Output 2017-2040'!O21</f>
        <v>796035000</v>
      </c>
      <c r="Q21">
        <v>2030</v>
      </c>
      <c r="R21">
        <v>41</v>
      </c>
      <c r="S21">
        <f t="shared" si="42"/>
        <v>0.53838587499293378</v>
      </c>
      <c r="T21">
        <f t="shared" si="43"/>
        <v>3.7406897937904741E-2</v>
      </c>
      <c r="U21">
        <f t="shared" si="43"/>
        <v>7.7888409429233635E-3</v>
      </c>
      <c r="V21">
        <f t="shared" si="43"/>
        <v>592.36842601141905</v>
      </c>
      <c r="W21">
        <f t="shared" si="43"/>
        <v>7.6902648752881471E-3</v>
      </c>
      <c r="X21">
        <f t="shared" si="43"/>
        <v>1.4072119944474803E-2</v>
      </c>
      <c r="Y21">
        <f t="shared" si="46"/>
        <v>0.20312423448717706</v>
      </c>
      <c r="Z21">
        <f t="shared" si="44"/>
        <v>2.7001576563844554E-3</v>
      </c>
      <c r="AA21">
        <f t="shared" si="45"/>
        <v>3.2888001155728076E-2</v>
      </c>
    </row>
    <row r="22" spans="1:43">
      <c r="AE22" s="281" t="s">
        <v>80</v>
      </c>
      <c r="AF22" s="281"/>
      <c r="AG22" s="281"/>
      <c r="AH22" s="281"/>
      <c r="AI22" s="281"/>
      <c r="AJ22" s="281"/>
      <c r="AK22" s="281"/>
      <c r="AL22" s="281"/>
      <c r="AM22" s="281"/>
      <c r="AN22" s="281"/>
      <c r="AO22" s="281"/>
      <c r="AP22" s="281"/>
      <c r="AQ22" s="281"/>
    </row>
    <row r="23" spans="1:43">
      <c r="A23" t="str">
        <f>'Default Output 2017-2040'!A23</f>
        <v>yearID</v>
      </c>
      <c r="B23" t="str">
        <f>'Default Output 2017-2040'!B23</f>
        <v>regClassID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9" t="s">
        <v>115</v>
      </c>
      <c r="L23" s="29" t="s">
        <v>116</v>
      </c>
      <c r="M23" s="29" t="s">
        <v>117</v>
      </c>
      <c r="N23" t="str">
        <f>'Default Output 2017-2040'!N23</f>
        <v>POP</v>
      </c>
      <c r="O23" t="str">
        <f>'Default Output 2017-2040'!O23</f>
        <v>VMT</v>
      </c>
      <c r="AC23" t="str">
        <f t="shared" ref="AC23:AJ23" si="47">A23</f>
        <v>yearID</v>
      </c>
      <c r="AD23" t="str">
        <f t="shared" si="47"/>
        <v>regClassID</v>
      </c>
      <c r="AE23" t="str">
        <f t="shared" si="47"/>
        <v>NOx</v>
      </c>
      <c r="AF23" t="str">
        <f t="shared" si="47"/>
        <v>CH4</v>
      </c>
      <c r="AG23" t="str">
        <f t="shared" si="47"/>
        <v>N2O</v>
      </c>
      <c r="AH23" t="str">
        <f t="shared" si="47"/>
        <v>CO2</v>
      </c>
      <c r="AI23" t="str">
        <f t="shared" si="47"/>
        <v>Energy</v>
      </c>
      <c r="AJ23" t="str">
        <f t="shared" si="47"/>
        <v>PM25 Exh</v>
      </c>
      <c r="AK23" s="29" t="s">
        <v>115</v>
      </c>
      <c r="AL23" s="29" t="s">
        <v>116</v>
      </c>
      <c r="AM23" s="29" t="s">
        <v>117</v>
      </c>
      <c r="AN23" t="str">
        <f>I23</f>
        <v>PM25 BW</v>
      </c>
      <c r="AO23" t="str">
        <f>J23</f>
        <v>PM25 TW</v>
      </c>
      <c r="AP23" t="str">
        <f t="shared" ref="AP23:AQ23" si="48">N23</f>
        <v>POP</v>
      </c>
      <c r="AQ23" t="str">
        <f t="shared" si="48"/>
        <v>VMT</v>
      </c>
    </row>
    <row r="24" spans="1:43">
      <c r="A24">
        <f>'Default Output 2017-2040'!A24</f>
        <v>2035</v>
      </c>
      <c r="B24">
        <f>'Default Output 2017-2040'!B24</f>
        <v>20</v>
      </c>
      <c r="C24">
        <f>'Default Output 2017-2040'!C24</f>
        <v>237234000</v>
      </c>
      <c r="D24">
        <f>'Default Output 2017-2040'!D24</f>
        <v>56810500</v>
      </c>
      <c r="E24">
        <f>'Default Output 2017-2040'!E24</f>
        <v>24161000</v>
      </c>
      <c r="F24">
        <f>'Default Output 2017-2040'!F24</f>
        <v>1620640000000</v>
      </c>
      <c r="G24">
        <f>'Default Output 2017-2040'!G24</f>
        <v>21364800</v>
      </c>
      <c r="H24">
        <f>'Default Output 2017-2040'!H24</f>
        <v>24426500</v>
      </c>
      <c r="I24">
        <f>'Default Output 2017-2040'!I24</f>
        <v>14396200</v>
      </c>
      <c r="J24">
        <f>'Default Output 2017-2040'!J24</f>
        <v>8175590</v>
      </c>
      <c r="K24">
        <f>'Default Output 2017-2040'!K24</f>
        <v>905040000</v>
      </c>
      <c r="L24">
        <f>'Default Output 2017-2040'!L24</f>
        <v>10776300</v>
      </c>
      <c r="M24">
        <f>'Default Output 2017-2040'!M24</f>
        <v>142662000</v>
      </c>
      <c r="N24">
        <f>'Default Output 2017-2040'!N24</f>
        <v>588360</v>
      </c>
      <c r="O24">
        <f>'Default Output 2017-2040'!O24</f>
        <v>6731040000</v>
      </c>
      <c r="AC24">
        <f t="shared" ref="AC24:AD26" si="49">A24</f>
        <v>2035</v>
      </c>
      <c r="AD24">
        <f t="shared" si="49"/>
        <v>20</v>
      </c>
      <c r="AE24">
        <f t="shared" ref="AE24:AJ26" si="50">C24/(C19+C29)</f>
        <v>0.40316572290917496</v>
      </c>
      <c r="AF24">
        <f t="shared" si="50"/>
        <v>0.46835325115582727</v>
      </c>
      <c r="AG24">
        <f t="shared" si="50"/>
        <v>0.4858494170450478</v>
      </c>
      <c r="AH24">
        <f t="shared" si="50"/>
        <v>0.48683072190714216</v>
      </c>
      <c r="AI24">
        <f t="shared" si="50"/>
        <v>0.48681829989108294</v>
      </c>
      <c r="AJ24">
        <f t="shared" si="50"/>
        <v>0.48783727107507341</v>
      </c>
      <c r="AK24">
        <f t="shared" ref="AK24" si="51">I24/(I19+I29)</f>
        <v>0.49484911711426816</v>
      </c>
      <c r="AL24">
        <f t="shared" ref="AL24" si="52">J24/(J19+J29)</f>
        <v>0.49485059616871041</v>
      </c>
      <c r="AM24">
        <f t="shared" ref="AM24" si="53">K24/(K19+K29)</f>
        <v>0.48562506036508807</v>
      </c>
      <c r="AN24">
        <f t="shared" ref="AN24:AO26" si="54">I24/(I19+I29)</f>
        <v>0.49484911711426816</v>
      </c>
      <c r="AO24">
        <f t="shared" si="54"/>
        <v>0.49485059616871041</v>
      </c>
      <c r="AP24">
        <f t="shared" ref="AP24:AQ26" si="55">N24/(N19+N29)</f>
        <v>0.49692777418823558</v>
      </c>
      <c r="AQ24">
        <f t="shared" si="55"/>
        <v>0.49485081781128881</v>
      </c>
    </row>
    <row r="25" spans="1:43">
      <c r="A25">
        <f>'Default Output 2017-2040'!A25</f>
        <v>2035</v>
      </c>
      <c r="B25">
        <f>'Default Output 2017-2040'!B25</f>
        <v>30</v>
      </c>
      <c r="C25">
        <f>'Default Output 2017-2040'!C25</f>
        <v>354497000</v>
      </c>
      <c r="D25">
        <f>'Default Output 2017-2040'!D25</f>
        <v>73135800</v>
      </c>
      <c r="E25">
        <f>'Default Output 2017-2040'!E25</f>
        <v>37463900</v>
      </c>
      <c r="F25">
        <f>'Default Output 2017-2040'!F25</f>
        <v>2741970000000</v>
      </c>
      <c r="G25">
        <f>'Default Output 2017-2040'!G25</f>
        <v>36143400</v>
      </c>
      <c r="H25">
        <f>'Default Output 2017-2040'!H25</f>
        <v>37220400</v>
      </c>
      <c r="I25">
        <f>'Default Output 2017-2040'!I25</f>
        <v>18208400</v>
      </c>
      <c r="J25">
        <f>'Default Output 2017-2040'!J25</f>
        <v>10141400</v>
      </c>
      <c r="K25">
        <f>'Default Output 2017-2040'!K25</f>
        <v>1120410000</v>
      </c>
      <c r="L25">
        <f>'Default Output 2017-2040'!L25</f>
        <v>18174700</v>
      </c>
      <c r="M25">
        <f>'Default Output 2017-2040'!M25</f>
        <v>194541000</v>
      </c>
      <c r="N25">
        <f>'Default Output 2017-2040'!N25</f>
        <v>699981</v>
      </c>
      <c r="O25">
        <f>'Default Output 2017-2040'!O25</f>
        <v>8513500000</v>
      </c>
      <c r="AC25">
        <f t="shared" si="49"/>
        <v>2035</v>
      </c>
      <c r="AD25">
        <f t="shared" si="49"/>
        <v>30</v>
      </c>
      <c r="AE25">
        <f t="shared" si="50"/>
        <v>0.36815977750291051</v>
      </c>
      <c r="AF25">
        <f t="shared" si="50"/>
        <v>0.46691147835702074</v>
      </c>
      <c r="AG25">
        <f t="shared" si="50"/>
        <v>0.48200889037562161</v>
      </c>
      <c r="AH25">
        <f t="shared" si="50"/>
        <v>0.49263199879266112</v>
      </c>
      <c r="AI25">
        <f t="shared" si="50"/>
        <v>0.49261957917290222</v>
      </c>
      <c r="AJ25">
        <f t="shared" ref="AJ25:AJ26" si="56">H25/(H20+H30)</f>
        <v>0.49024912606985643</v>
      </c>
      <c r="AK25">
        <f t="shared" ref="AK25:AK26" si="57">I25/(I20+I30)</f>
        <v>0.4995788462857535</v>
      </c>
      <c r="AL25">
        <f t="shared" ref="AL25:AL26" si="58">J25/(J20+J30)</f>
        <v>0.49959358204470106</v>
      </c>
      <c r="AM25">
        <f t="shared" ref="AM25:AM26" si="59">K25/(K20+K30)</f>
        <v>0.47999331682532065</v>
      </c>
      <c r="AN25">
        <f t="shared" si="54"/>
        <v>0.4995788462857535</v>
      </c>
      <c r="AO25">
        <f t="shared" si="54"/>
        <v>0.49959358204470106</v>
      </c>
      <c r="AP25">
        <f t="shared" si="55"/>
        <v>0.50274000741202529</v>
      </c>
      <c r="AQ25">
        <f t="shared" si="55"/>
        <v>0.49959860756730368</v>
      </c>
    </row>
    <row r="26" spans="1:43">
      <c r="A26">
        <f>'Default Output 2017-2040'!A26</f>
        <v>2035</v>
      </c>
      <c r="B26">
        <f>'Default Output 2017-2040'!B26</f>
        <v>41</v>
      </c>
      <c r="C26">
        <f>'Default Output 2017-2040'!C26</f>
        <v>274923000</v>
      </c>
      <c r="D26">
        <f>'Default Output 2017-2040'!D26</f>
        <v>27951900</v>
      </c>
      <c r="E26">
        <f>'Default Output 2017-2040'!E26</f>
        <v>5246660</v>
      </c>
      <c r="F26">
        <f>'Default Output 2017-2040'!F26</f>
        <v>464891000000</v>
      </c>
      <c r="G26">
        <f>'Default Output 2017-2040'!G26</f>
        <v>6032290</v>
      </c>
      <c r="H26">
        <f>'Default Output 2017-2040'!H26</f>
        <v>5881400</v>
      </c>
      <c r="I26">
        <f>'Default Output 2017-2040'!I26</f>
        <v>1861920</v>
      </c>
      <c r="J26">
        <f>'Default Output 2017-2040'!J26</f>
        <v>1363210</v>
      </c>
      <c r="K26">
        <f>'Default Output 2017-2040'!K26</f>
        <v>117017000</v>
      </c>
      <c r="L26">
        <f>'Default Output 2017-2040'!L26</f>
        <v>2084970</v>
      </c>
      <c r="M26">
        <f>'Default Output 2017-2040'!M26</f>
        <v>26509500</v>
      </c>
      <c r="N26">
        <f>'Default Output 2017-2040'!N26</f>
        <v>63972.1</v>
      </c>
      <c r="O26">
        <f>'Default Output 2017-2040'!O26</f>
        <v>830575000</v>
      </c>
      <c r="AC26">
        <f t="shared" si="49"/>
        <v>2035</v>
      </c>
      <c r="AD26">
        <f t="shared" si="49"/>
        <v>41</v>
      </c>
      <c r="AE26">
        <f t="shared" si="50"/>
        <v>0.42854069860786587</v>
      </c>
      <c r="AF26">
        <f t="shared" si="50"/>
        <v>0.48284254875169069</v>
      </c>
      <c r="AG26">
        <f t="shared" si="50"/>
        <v>0.46286108503715834</v>
      </c>
      <c r="AH26">
        <f t="shared" si="50"/>
        <v>0.49259138388117396</v>
      </c>
      <c r="AI26">
        <f t="shared" si="50"/>
        <v>0.49251787659231899</v>
      </c>
      <c r="AJ26">
        <f t="shared" si="56"/>
        <v>0.40082736154131865</v>
      </c>
      <c r="AK26">
        <f t="shared" si="57"/>
        <v>0.50106029128408269</v>
      </c>
      <c r="AL26">
        <f t="shared" si="58"/>
        <v>0.4997928543931367</v>
      </c>
      <c r="AM26">
        <f t="shared" si="59"/>
        <v>0.44061420981485594</v>
      </c>
      <c r="AN26">
        <f t="shared" si="54"/>
        <v>0.50106029128408269</v>
      </c>
      <c r="AO26">
        <f t="shared" si="54"/>
        <v>0.4997928543931367</v>
      </c>
      <c r="AP26">
        <f t="shared" si="55"/>
        <v>0.5003378753584059</v>
      </c>
      <c r="AQ26">
        <f t="shared" si="55"/>
        <v>0.49978848911425983</v>
      </c>
    </row>
    <row r="28" spans="1:43">
      <c r="A28" t="str">
        <f>'Default Output 2017-2040'!A28</f>
        <v>yearID</v>
      </c>
      <c r="B28" t="str">
        <f>'Default Output 2017-2040'!B28</f>
        <v>regClassID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9" t="s">
        <v>115</v>
      </c>
      <c r="L28" s="29" t="s">
        <v>116</v>
      </c>
      <c r="M28" s="29" t="s">
        <v>117</v>
      </c>
      <c r="N28" t="str">
        <f>'Default Output 2017-2040'!N28</f>
        <v>POP</v>
      </c>
      <c r="O28" t="str">
        <f>'Default Output 2017-2040'!O28</f>
        <v>VMT</v>
      </c>
    </row>
    <row r="29" spans="1:43">
      <c r="A29">
        <f>'Default Output 2017-2040'!A29</f>
        <v>2040</v>
      </c>
      <c r="B29">
        <f>'Default Output 2017-2040'!B29</f>
        <v>20</v>
      </c>
      <c r="C29">
        <f>'Default Output 2017-2040'!C29</f>
        <v>207062000</v>
      </c>
      <c r="D29">
        <f>'Default Output 2017-2040'!D29</f>
        <v>54258900</v>
      </c>
      <c r="E29">
        <f>'Default Output 2017-2040'!E29</f>
        <v>25599500</v>
      </c>
      <c r="F29">
        <f>'Default Output 2017-2040'!F29</f>
        <v>1700710000000</v>
      </c>
      <c r="G29">
        <f>'Default Output 2017-2040'!G29</f>
        <v>22418600</v>
      </c>
      <c r="H29">
        <f>'Default Output 2017-2040'!H29</f>
        <v>25613000</v>
      </c>
      <c r="I29">
        <f>'Default Output 2017-2040'!I29</f>
        <v>15590000</v>
      </c>
      <c r="J29">
        <f>'Default Output 2017-2040'!J29</f>
        <v>8853520</v>
      </c>
      <c r="K29">
        <f>'Default Output 2017-2040'!K29</f>
        <v>877475000</v>
      </c>
      <c r="L29">
        <f>'Default Output 2017-2040'!L29</f>
        <v>11289200</v>
      </c>
      <c r="M29">
        <f>'Default Output 2017-2040'!M29</f>
        <v>153775000</v>
      </c>
      <c r="N29">
        <f>'Default Output 2017-2040'!N29</f>
        <v>623347</v>
      </c>
      <c r="O29">
        <f>'Default Output 2017-2040'!O29</f>
        <v>7289180000</v>
      </c>
    </row>
    <row r="30" spans="1:43">
      <c r="A30">
        <f>'Default Output 2017-2040'!A30</f>
        <v>2040</v>
      </c>
      <c r="B30">
        <f>'Default Output 2017-2040'!B30</f>
        <v>30</v>
      </c>
      <c r="C30">
        <f>'Default Output 2017-2040'!C30</f>
        <v>267713000</v>
      </c>
      <c r="D30">
        <f>'Default Output 2017-2040'!D30</f>
        <v>63683400</v>
      </c>
      <c r="E30">
        <f>'Default Output 2017-2040'!E30</f>
        <v>36444300</v>
      </c>
      <c r="F30">
        <f>'Default Output 2017-2040'!F30</f>
        <v>2624270000000</v>
      </c>
      <c r="G30">
        <f>'Default Output 2017-2040'!G30</f>
        <v>34590800</v>
      </c>
      <c r="H30">
        <f>'Default Output 2017-2040'!H30</f>
        <v>35389100</v>
      </c>
      <c r="I30">
        <f>'Default Output 2017-2040'!I30</f>
        <v>18025700</v>
      </c>
      <c r="J30">
        <f>'Default Output 2017-2040'!J30</f>
        <v>10038800</v>
      </c>
      <c r="K30">
        <f>'Default Output 2017-2040'!K30</f>
        <v>1057260000</v>
      </c>
      <c r="L30">
        <f>'Default Output 2017-2040'!L30</f>
        <v>17383200</v>
      </c>
      <c r="M30">
        <f>'Default Output 2017-2040'!M30</f>
        <v>192405000</v>
      </c>
      <c r="N30">
        <f>'Default Output 2017-2040'!N30</f>
        <v>686384</v>
      </c>
      <c r="O30">
        <f>'Default Output 2017-2040'!O30</f>
        <v>8427160000</v>
      </c>
    </row>
    <row r="31" spans="1:43">
      <c r="A31">
        <f>'Default Output 2017-2040'!A31</f>
        <v>2040</v>
      </c>
      <c r="B31">
        <f>'Default Output 2017-2040'!B31</f>
        <v>41</v>
      </c>
      <c r="C31">
        <f>'Default Output 2017-2040'!C31</f>
        <v>212959000</v>
      </c>
      <c r="D31">
        <f>'Default Output 2017-2040'!D31</f>
        <v>28113100</v>
      </c>
      <c r="E31">
        <f>'Default Output 2017-2040'!E31</f>
        <v>5135090</v>
      </c>
      <c r="F31">
        <f>'Default Output 2017-2040'!F31</f>
        <v>472220000000</v>
      </c>
      <c r="G31">
        <f>'Default Output 2017-2040'!G31</f>
        <v>6126140</v>
      </c>
      <c r="H31">
        <f>'Default Output 2017-2040'!H31</f>
        <v>3471250</v>
      </c>
      <c r="I31">
        <f>'Default Output 2017-2040'!I31</f>
        <v>1910450</v>
      </c>
      <c r="J31">
        <f>'Default Output 2017-2040'!J31</f>
        <v>1420250</v>
      </c>
      <c r="K31">
        <f>'Default Output 2017-2040'!K31</f>
        <v>103883000</v>
      </c>
      <c r="L31">
        <f>'Default Output 2017-2040'!L31</f>
        <v>2103270</v>
      </c>
      <c r="M31">
        <f>'Default Output 2017-2040'!M31</f>
        <v>27330100</v>
      </c>
      <c r="N31">
        <f>'Default Output 2017-2040'!N31</f>
        <v>64512.4</v>
      </c>
      <c r="O31">
        <f>'Default Output 2017-2040'!O31</f>
        <v>865818000</v>
      </c>
    </row>
    <row r="32" spans="1:43">
      <c r="AE32" s="33"/>
      <c r="AF32" s="33"/>
      <c r="AG32" s="33"/>
      <c r="AH32" s="33"/>
      <c r="AI32" s="33"/>
      <c r="AJ32" s="33"/>
      <c r="AK32" s="33"/>
      <c r="AL32" s="33"/>
      <c r="AM32" s="33"/>
      <c r="AN32" s="33"/>
      <c r="AO32" s="33"/>
      <c r="AP32" s="33"/>
      <c r="AQ32" s="33"/>
    </row>
  </sheetData>
  <sheetProtection algorithmName="SHA-512" hashValue="wgLo96kMALzV8rBIh0/ry1J1yk8R8uHRNsyYfz5VQ5jmW0x8YLzeGLBMiwDat+Qtw9t3i8YN8VUf/cWnT/uX4g==" saltValue="GxOrk8p4W10iqcM7BoOUfQ==" spinCount="100000" sheet="1" objects="1" scenarios="1"/>
  <mergeCells count="3">
    <mergeCell ref="AN7:AQ7"/>
    <mergeCell ref="AE22:AQ22"/>
    <mergeCell ref="AE7:A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5"/>
  <sheetViews>
    <sheetView topLeftCell="A4" workbookViewId="0">
      <selection activeCell="F28" sqref="F28"/>
    </sheetView>
  </sheetViews>
  <sheetFormatPr baseColWidth="10" defaultColWidth="8.83203125" defaultRowHeight="15"/>
  <cols>
    <col min="1" max="1" width="10.33203125" customWidth="1"/>
    <col min="2" max="2" width="10.5" customWidth="1"/>
    <col min="3" max="3" width="20.5" customWidth="1"/>
    <col min="4" max="4" width="12.33203125" customWidth="1"/>
    <col min="5" max="5" width="9.1640625" customWidth="1"/>
  </cols>
  <sheetData>
    <row r="1" spans="1:2">
      <c r="A1" s="2" t="s">
        <v>27</v>
      </c>
    </row>
    <row r="3" spans="1:2">
      <c r="A3" t="s">
        <v>301</v>
      </c>
    </row>
    <row r="4" spans="1:2">
      <c r="A4" t="s">
        <v>174</v>
      </c>
    </row>
    <row r="5" spans="1:2">
      <c r="A5" t="s">
        <v>173</v>
      </c>
    </row>
    <row r="6" spans="1:2">
      <c r="A6" t="s">
        <v>175</v>
      </c>
    </row>
    <row r="8" spans="1:2">
      <c r="A8" s="2" t="s">
        <v>28</v>
      </c>
      <c r="B8" t="s">
        <v>433</v>
      </c>
    </row>
    <row r="9" spans="1:2">
      <c r="A9" s="2"/>
    </row>
    <row r="10" spans="1:2">
      <c r="A10" s="5" t="s">
        <v>18</v>
      </c>
    </row>
    <row r="11" spans="1:2">
      <c r="A11" s="5"/>
      <c r="B11" t="s">
        <v>434</v>
      </c>
    </row>
    <row r="12" spans="1:2">
      <c r="A12" s="5"/>
      <c r="B12" t="s">
        <v>83</v>
      </c>
    </row>
    <row r="13" spans="1:2">
      <c r="A13" s="5"/>
      <c r="B13" t="s">
        <v>437</v>
      </c>
    </row>
    <row r="14" spans="1:2">
      <c r="A14" s="5" t="s">
        <v>48</v>
      </c>
    </row>
    <row r="15" spans="1:2">
      <c r="A15" s="5"/>
      <c r="B15" t="s">
        <v>435</v>
      </c>
    </row>
    <row r="16" spans="1:2">
      <c r="A16" s="5"/>
      <c r="B16" t="s">
        <v>436</v>
      </c>
    </row>
    <row r="17" spans="1:4">
      <c r="A17" s="5" t="s">
        <v>176</v>
      </c>
    </row>
    <row r="18" spans="1:4">
      <c r="A18" s="5"/>
      <c r="B18" t="s">
        <v>181</v>
      </c>
    </row>
    <row r="19" spans="1:4">
      <c r="A19" s="5"/>
      <c r="B19" t="s">
        <v>182</v>
      </c>
    </row>
    <row r="20" spans="1:4" s="29" customFormat="1">
      <c r="A20" s="175"/>
      <c r="B20" s="29" t="s">
        <v>370</v>
      </c>
    </row>
    <row r="21" spans="1:4">
      <c r="A21" s="5"/>
      <c r="B21" t="s">
        <v>183</v>
      </c>
    </row>
    <row r="22" spans="1:4">
      <c r="A22" s="5" t="s">
        <v>177</v>
      </c>
    </row>
    <row r="23" spans="1:4">
      <c r="A23" s="5"/>
      <c r="B23" t="s">
        <v>184</v>
      </c>
    </row>
    <row r="25" spans="1:4">
      <c r="A25" t="s">
        <v>179</v>
      </c>
    </row>
    <row r="26" spans="1:4">
      <c r="A26" t="s">
        <v>180</v>
      </c>
    </row>
    <row r="27" spans="1:4">
      <c r="A27" s="6"/>
    </row>
    <row r="28" spans="1:4">
      <c r="A28" s="2" t="s">
        <v>30</v>
      </c>
    </row>
    <row r="30" spans="1:4">
      <c r="B30" s="2" t="s">
        <v>31</v>
      </c>
      <c r="C30" s="2" t="s">
        <v>32</v>
      </c>
      <c r="D30" s="2" t="s">
        <v>29</v>
      </c>
    </row>
    <row r="31" spans="1:4">
      <c r="B31">
        <v>20</v>
      </c>
      <c r="C31" t="s">
        <v>33</v>
      </c>
      <c r="D31" t="s">
        <v>34</v>
      </c>
    </row>
    <row r="32" spans="1:4">
      <c r="B32">
        <v>30</v>
      </c>
      <c r="C32" t="s">
        <v>35</v>
      </c>
      <c r="D32" t="s">
        <v>36</v>
      </c>
    </row>
    <row r="33" spans="1:4">
      <c r="B33">
        <v>41</v>
      </c>
      <c r="C33" t="s">
        <v>37</v>
      </c>
      <c r="D33" t="s">
        <v>438</v>
      </c>
    </row>
    <row r="35" spans="1:4">
      <c r="A35" t="s">
        <v>38</v>
      </c>
    </row>
  </sheetData>
  <sheetProtection algorithmName="SHA-512" hashValue="JlehVl8GlZVIogHmyaFT9tS9Xb6Y7T5BIiOWffTqoHjrqUL7iYkCkInZ0OsBZ4qFY/I74FyUzmDuDUk1auprcg==" saltValue="nTIPJjmSUryl8rLdIr45fg==" spinCount="100000" sheet="1" objects="1" scenarios="1"/>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V126"/>
  <sheetViews>
    <sheetView topLeftCell="A10" workbookViewId="0">
      <selection activeCell="A30" sqref="A30:XFD92"/>
    </sheetView>
  </sheetViews>
  <sheetFormatPr baseColWidth="10" defaultColWidth="8.83203125" defaultRowHeight="15"/>
  <cols>
    <col min="2" max="5" width="9" bestFit="1" customWidth="1"/>
    <col min="6" max="6" width="11.5" bestFit="1" customWidth="1"/>
    <col min="7" max="8" width="9" bestFit="1" customWidth="1"/>
    <col min="9" max="9" width="11.5" bestFit="1" customWidth="1"/>
    <col min="11" max="12" width="9" bestFit="1" customWidth="1"/>
    <col min="13" max="13" width="9.83203125" customWidth="1"/>
    <col min="14" max="14" width="9" bestFit="1" customWidth="1"/>
    <col min="15" max="15" width="9.5" bestFit="1" customWidth="1"/>
    <col min="19" max="19" width="13" customWidth="1"/>
  </cols>
  <sheetData>
    <row r="1" spans="1:22">
      <c r="A1" s="2" t="s">
        <v>448</v>
      </c>
      <c r="B1" s="70"/>
      <c r="C1" s="29"/>
      <c r="D1" s="29"/>
      <c r="E1" s="29"/>
      <c r="F1" s="29"/>
      <c r="G1" s="29"/>
      <c r="H1" s="29"/>
      <c r="I1" s="29"/>
      <c r="J1" s="2" t="s">
        <v>471</v>
      </c>
      <c r="K1" s="62"/>
      <c r="M1" s="30"/>
      <c r="N1" t="s">
        <v>468</v>
      </c>
      <c r="P1" s="29" t="s">
        <v>478</v>
      </c>
      <c r="V1" s="1">
        <v>0.28760000000000002</v>
      </c>
    </row>
    <row r="2" spans="1:22">
      <c r="A2" s="29" t="s">
        <v>450</v>
      </c>
      <c r="C2" s="29"/>
      <c r="D2" s="29"/>
      <c r="E2" s="29"/>
      <c r="F2" s="29"/>
      <c r="G2" s="29"/>
      <c r="H2" s="29"/>
      <c r="I2" s="29"/>
      <c r="J2" s="29" t="s">
        <v>2</v>
      </c>
      <c r="K2" s="29" t="s">
        <v>212</v>
      </c>
      <c r="L2" t="s">
        <v>115</v>
      </c>
      <c r="M2" s="29" t="s">
        <v>116</v>
      </c>
      <c r="N2" s="29"/>
      <c r="O2" s="29"/>
      <c r="P2" s="29"/>
      <c r="V2" s="2" t="s">
        <v>39</v>
      </c>
    </row>
    <row r="3" spans="1:22">
      <c r="A3" s="29" t="s">
        <v>449</v>
      </c>
      <c r="B3" s="29"/>
      <c r="C3" s="29"/>
      <c r="D3" s="29"/>
      <c r="E3" s="29"/>
      <c r="F3" s="29"/>
      <c r="G3" s="29"/>
      <c r="H3" s="29"/>
      <c r="I3" s="238" t="s">
        <v>494</v>
      </c>
      <c r="J3" s="223">
        <f>D119</f>
        <v>9.0219143240665005</v>
      </c>
      <c r="K3" s="223">
        <f>D120</f>
        <v>0.94182418965856729</v>
      </c>
      <c r="L3" s="60">
        <f>D118</f>
        <v>2.2408995221443595</v>
      </c>
      <c r="M3" s="60">
        <f>D121</f>
        <v>2.9254521568730887</v>
      </c>
      <c r="V3" t="s">
        <v>41</v>
      </c>
    </row>
    <row r="4" spans="1:22">
      <c r="C4" s="29"/>
      <c r="D4" s="29"/>
      <c r="E4" s="29"/>
      <c r="F4" s="102"/>
      <c r="G4" s="102"/>
      <c r="H4" s="102"/>
      <c r="I4" s="238" t="s">
        <v>495</v>
      </c>
      <c r="J4" s="60">
        <f>E119</f>
        <v>0.39707327111225321</v>
      </c>
      <c r="K4" s="223">
        <f>E120</f>
        <v>0.18735969036007524</v>
      </c>
      <c r="L4" s="60">
        <f>E118</f>
        <v>1.936075648492201</v>
      </c>
      <c r="M4" s="60">
        <f>E121</f>
        <v>0.31434940557875063</v>
      </c>
      <c r="V4" t="s">
        <v>40</v>
      </c>
    </row>
    <row r="5" spans="1:22">
      <c r="B5" s="29"/>
      <c r="C5" s="29"/>
      <c r="D5" s="29"/>
      <c r="E5" s="29"/>
      <c r="F5" s="29"/>
      <c r="G5" s="29"/>
      <c r="H5" s="29"/>
      <c r="I5" s="238" t="s">
        <v>496</v>
      </c>
      <c r="J5" s="223">
        <f>I119</f>
        <v>0.14084814286092234</v>
      </c>
      <c r="K5" s="60">
        <f>J120</f>
        <v>6.9711265056816685E-2</v>
      </c>
      <c r="L5" s="60">
        <f>J118</f>
        <v>8.7483491732512159E-2</v>
      </c>
      <c r="M5" s="60">
        <f>J121</f>
        <v>0.34408997681304587</v>
      </c>
      <c r="V5" t="s">
        <v>306</v>
      </c>
    </row>
    <row r="6" spans="1:22">
      <c r="B6" s="29"/>
      <c r="C6" s="29"/>
      <c r="D6" s="29"/>
      <c r="E6" s="29"/>
      <c r="F6" s="29"/>
      <c r="G6" s="29"/>
      <c r="H6" s="29"/>
      <c r="I6" s="238" t="s">
        <v>497</v>
      </c>
      <c r="J6" s="223"/>
      <c r="K6" s="60"/>
      <c r="L6" s="60">
        <f>K125</f>
        <v>19.749000000000002</v>
      </c>
      <c r="M6" s="60"/>
    </row>
    <row r="7" spans="1:22">
      <c r="B7" s="29"/>
      <c r="C7" s="29"/>
      <c r="D7" s="29"/>
      <c r="E7" s="29"/>
      <c r="F7" s="29"/>
      <c r="G7" s="29"/>
      <c r="H7" s="29"/>
      <c r="I7" s="238" t="s">
        <v>221</v>
      </c>
      <c r="J7" s="223">
        <f>SUM(J3:J6)</f>
        <v>9.559835738039677</v>
      </c>
      <c r="K7" s="223">
        <f t="shared" ref="K7:M7" si="0">SUM(K3:K6)</f>
        <v>1.198895145075459</v>
      </c>
      <c r="L7" s="223">
        <f t="shared" si="0"/>
        <v>24.013458662369075</v>
      </c>
      <c r="M7" s="223">
        <f t="shared" si="0"/>
        <v>3.5838915392648851</v>
      </c>
    </row>
    <row r="8" spans="1:22">
      <c r="B8" s="29"/>
      <c r="C8" s="29"/>
      <c r="D8" s="29"/>
      <c r="E8" s="29"/>
      <c r="F8" s="29"/>
      <c r="G8" s="29"/>
      <c r="H8" s="29"/>
      <c r="I8" s="238"/>
      <c r="J8" s="223"/>
      <c r="K8" s="223"/>
      <c r="L8" s="223"/>
      <c r="M8" s="223"/>
    </row>
    <row r="9" spans="1:22">
      <c r="B9" s="2" t="s">
        <v>67</v>
      </c>
      <c r="K9" t="s">
        <v>25</v>
      </c>
    </row>
    <row r="10" spans="1:22">
      <c r="B10">
        <v>2020</v>
      </c>
    </row>
    <row r="11" spans="1:22">
      <c r="B11" t="s">
        <v>8</v>
      </c>
      <c r="C11" t="s">
        <v>10</v>
      </c>
      <c r="D11" t="s">
        <v>14</v>
      </c>
      <c r="E11" t="s">
        <v>15</v>
      </c>
      <c r="F11" t="s">
        <v>16</v>
      </c>
      <c r="G11" t="s">
        <v>115</v>
      </c>
      <c r="H11" t="s">
        <v>116</v>
      </c>
      <c r="I11" t="s">
        <v>47</v>
      </c>
      <c r="K11" s="2" t="s">
        <v>283</v>
      </c>
      <c r="S11" s="302" t="s">
        <v>127</v>
      </c>
    </row>
    <row r="12" spans="1:22">
      <c r="A12">
        <v>2020</v>
      </c>
      <c r="B12" s="3">
        <f>K13*$K17</f>
        <v>104.15889887196262</v>
      </c>
      <c r="C12" s="3">
        <f t="shared" ref="C12" si="1">L13*$K17</f>
        <v>2.266678782332848</v>
      </c>
      <c r="D12" s="3">
        <f t="shared" ref="D12" si="2">M13*$K17</f>
        <v>30.36979283738318</v>
      </c>
      <c r="E12" s="3">
        <f t="shared" ref="E12" si="3">N13*$K17</f>
        <v>4.5080161242990648</v>
      </c>
      <c r="F12" s="3">
        <f t="shared" ref="F12" si="4">O13*$K17</f>
        <v>52055.011243307483</v>
      </c>
      <c r="G12" s="3">
        <f t="shared" ref="G12" si="5">P13*$K17</f>
        <v>1.7680724209037946</v>
      </c>
      <c r="H12" s="3">
        <f t="shared" ref="H12" si="6">Q13*$K17</f>
        <v>61.214113687850471</v>
      </c>
      <c r="I12" s="3">
        <f>F12+D12*K$21+E12*L$21</f>
        <v>54157.644869283184</v>
      </c>
      <c r="K12" t="s">
        <v>8</v>
      </c>
      <c r="L12" t="s">
        <v>10</v>
      </c>
      <c r="M12" t="s">
        <v>14</v>
      </c>
      <c r="N12" t="s">
        <v>15</v>
      </c>
      <c r="O12" t="s">
        <v>16</v>
      </c>
      <c r="P12" t="s">
        <v>115</v>
      </c>
      <c r="Q12" t="s">
        <v>116</v>
      </c>
      <c r="S12" s="302"/>
    </row>
    <row r="13" spans="1:22">
      <c r="A13">
        <v>2025</v>
      </c>
      <c r="B13" s="3">
        <f t="shared" ref="B13:H13" si="7">B12</f>
        <v>104.15889887196262</v>
      </c>
      <c r="C13" s="3">
        <f t="shared" si="7"/>
        <v>2.266678782332848</v>
      </c>
      <c r="D13" s="3">
        <f t="shared" si="7"/>
        <v>30.36979283738318</v>
      </c>
      <c r="E13" s="3">
        <f t="shared" si="7"/>
        <v>4.5080161242990648</v>
      </c>
      <c r="F13" s="3">
        <f t="shared" si="7"/>
        <v>52055.011243307483</v>
      </c>
      <c r="G13" s="3">
        <f t="shared" si="7"/>
        <v>1.7680724209037946</v>
      </c>
      <c r="H13" s="3">
        <f t="shared" si="7"/>
        <v>61.214113687850471</v>
      </c>
      <c r="I13" s="3">
        <f t="shared" ref="I13:I28" si="8">F13+D13*K$21+E13*L$21</f>
        <v>54157.644869283184</v>
      </c>
      <c r="K13" s="3">
        <f>'Regional GREET factors'!A79</f>
        <v>272.88157943925233</v>
      </c>
      <c r="L13" s="3">
        <f>'Regional GREET factors'!B79</f>
        <v>5.9383777373142461</v>
      </c>
      <c r="M13" s="3">
        <f>'Regional GREET factors'!C79</f>
        <v>79.564560747663549</v>
      </c>
      <c r="N13" s="3">
        <f>'Regional GREET factors'!D79</f>
        <v>11.810364485981307</v>
      </c>
      <c r="O13" s="3">
        <f>'Regional GREET factors'!E79</f>
        <v>136376.76511214953</v>
      </c>
      <c r="P13" s="3">
        <f>'Regional GREET factors'!F79</f>
        <v>4.6320996093890345</v>
      </c>
      <c r="Q13" s="3">
        <f>'Regional GREET factors'!G79</f>
        <v>160.37231775700934</v>
      </c>
      <c r="S13" s="302"/>
    </row>
    <row r="14" spans="1:22">
      <c r="A14">
        <v>2026</v>
      </c>
      <c r="B14" s="3">
        <f>B13+(B18-B13)/5</f>
        <v>94.242382275140187</v>
      </c>
      <c r="C14" s="3">
        <f t="shared" ref="C14:H14" si="9">C13+(C18-C13)/5</f>
        <v>2.0508781353588481</v>
      </c>
      <c r="D14" s="3">
        <f t="shared" si="9"/>
        <v>27.478416699813085</v>
      </c>
      <c r="E14" s="3">
        <f t="shared" si="9"/>
        <v>4.0788274788785044</v>
      </c>
      <c r="F14" s="3">
        <f t="shared" si="9"/>
        <v>47099.079599131968</v>
      </c>
      <c r="G14" s="3">
        <f t="shared" si="9"/>
        <v>1.599741921098597</v>
      </c>
      <c r="H14" s="3">
        <f t="shared" si="9"/>
        <v>55.386183660560746</v>
      </c>
      <c r="I14" s="3">
        <f t="shared" si="8"/>
        <v>49001.530605333093</v>
      </c>
    </row>
    <row r="15" spans="1:22">
      <c r="A15">
        <v>2027</v>
      </c>
      <c r="B15" s="3">
        <f>B13+(B18-B13)/5*2</f>
        <v>84.325865678317754</v>
      </c>
      <c r="C15" s="3">
        <f t="shared" ref="C15:H15" si="10">C13+(C18-C13)/5*2</f>
        <v>1.8350774883848484</v>
      </c>
      <c r="D15" s="3">
        <f t="shared" si="10"/>
        <v>24.58704056224299</v>
      </c>
      <c r="E15" s="3">
        <f t="shared" si="10"/>
        <v>3.649638833457943</v>
      </c>
      <c r="F15" s="3">
        <f t="shared" si="10"/>
        <v>42143.147954956454</v>
      </c>
      <c r="G15" s="3">
        <f t="shared" si="10"/>
        <v>1.4314114212933995</v>
      </c>
      <c r="H15" s="3">
        <f t="shared" si="10"/>
        <v>49.558253633271029</v>
      </c>
      <c r="I15" s="3">
        <f t="shared" si="8"/>
        <v>43845.416341382996</v>
      </c>
      <c r="K15" s="2" t="s">
        <v>293</v>
      </c>
    </row>
    <row r="16" spans="1:22">
      <c r="A16">
        <v>2028</v>
      </c>
      <c r="B16" s="3">
        <f>B13+(B18-B13)/5*3</f>
        <v>74.409349081495321</v>
      </c>
      <c r="C16" s="3">
        <f t="shared" ref="C16:H16" si="11">C13+(C18-C13)/5*3</f>
        <v>1.6192768414108485</v>
      </c>
      <c r="D16" s="3">
        <f t="shared" si="11"/>
        <v>21.695664424672898</v>
      </c>
      <c r="E16" s="3">
        <f t="shared" si="11"/>
        <v>3.2204501880373826</v>
      </c>
      <c r="F16" s="3">
        <f t="shared" si="11"/>
        <v>37187.216310780932</v>
      </c>
      <c r="G16" s="3">
        <f t="shared" si="11"/>
        <v>1.2630809214882017</v>
      </c>
      <c r="H16" s="3">
        <f t="shared" si="11"/>
        <v>43.730323605981305</v>
      </c>
      <c r="I16" s="3">
        <f t="shared" si="8"/>
        <v>38689.302077432898</v>
      </c>
      <c r="K16">
        <v>2020</v>
      </c>
      <c r="L16">
        <v>2025</v>
      </c>
      <c r="M16">
        <v>2030</v>
      </c>
      <c r="N16">
        <v>2035</v>
      </c>
      <c r="O16">
        <v>2040</v>
      </c>
    </row>
    <row r="17" spans="1:19">
      <c r="A17">
        <v>2029</v>
      </c>
      <c r="B17" s="3">
        <f>B13+(B18-B13)/5*4</f>
        <v>64.492832484672888</v>
      </c>
      <c r="C17" s="3">
        <f t="shared" ref="C17:H17" si="12">C13+(C18-C13)/5*4</f>
        <v>1.4034761944368488</v>
      </c>
      <c r="D17" s="3">
        <f t="shared" si="12"/>
        <v>18.8042882871028</v>
      </c>
      <c r="E17" s="3">
        <f t="shared" si="12"/>
        <v>2.7912615426168217</v>
      </c>
      <c r="F17" s="3">
        <f t="shared" si="12"/>
        <v>32231.284666605417</v>
      </c>
      <c r="G17" s="3">
        <f t="shared" si="12"/>
        <v>1.0947504216830044</v>
      </c>
      <c r="H17" s="3">
        <f t="shared" si="12"/>
        <v>37.902393578691587</v>
      </c>
      <c r="I17" s="3">
        <f t="shared" si="8"/>
        <v>33533.1878134828</v>
      </c>
      <c r="K17" s="9">
        <f>1-'State grid data'!C9</f>
        <v>0.38170000000000004</v>
      </c>
      <c r="L17" s="9">
        <f>1-'State grid data'!D9</f>
        <v>0.29085000000000005</v>
      </c>
      <c r="M17" s="9">
        <f>1-'State grid data'!E9</f>
        <v>0.19999999999999996</v>
      </c>
      <c r="N17" s="9">
        <f>1-'State grid data'!F9</f>
        <v>0.15000000000000002</v>
      </c>
      <c r="O17" s="9">
        <f>1-'State grid data'!G9</f>
        <v>9.9999999999999978E-2</v>
      </c>
      <c r="P17" s="9"/>
      <c r="Q17" s="9"/>
    </row>
    <row r="18" spans="1:19">
      <c r="A18">
        <v>2030</v>
      </c>
      <c r="B18" s="3">
        <f t="shared" ref="B18" si="13">K13*$M17</f>
        <v>54.576315887850456</v>
      </c>
      <c r="C18" s="3">
        <f t="shared" ref="C18" si="14">L13*$M17</f>
        <v>1.1876755474628489</v>
      </c>
      <c r="D18" s="3">
        <f t="shared" ref="D18" si="15">M13*$M17</f>
        <v>15.912912149532707</v>
      </c>
      <c r="E18" s="3">
        <f t="shared" ref="E18" si="16">N13*$M17</f>
        <v>2.3620728971962608</v>
      </c>
      <c r="F18" s="3">
        <f t="shared" ref="F18" si="17">O13*$M17</f>
        <v>27275.353022429899</v>
      </c>
      <c r="G18" s="3">
        <f t="shared" ref="G18" si="18">P13*$M17</f>
        <v>0.92641992187780675</v>
      </c>
      <c r="H18" s="3">
        <f t="shared" ref="H18" si="19">Q13*$M17</f>
        <v>32.074463551401863</v>
      </c>
      <c r="I18" s="3">
        <f t="shared" si="8"/>
        <v>28377.073549532703</v>
      </c>
    </row>
    <row r="19" spans="1:19">
      <c r="A19">
        <v>2031</v>
      </c>
      <c r="B19" s="3">
        <f>B18+(B23-B18)/5</f>
        <v>51.847500093457938</v>
      </c>
      <c r="C19" s="3">
        <f t="shared" ref="C19:H19" si="20">C18+(C23-C18)/5</f>
        <v>1.1282917700897066</v>
      </c>
      <c r="D19" s="3">
        <f t="shared" si="20"/>
        <v>15.117266542056072</v>
      </c>
      <c r="E19" s="3">
        <f t="shared" si="20"/>
        <v>2.2439692523364481</v>
      </c>
      <c r="F19" s="3">
        <f t="shared" si="20"/>
        <v>25911.585371308407</v>
      </c>
      <c r="G19" s="3">
        <f t="shared" si="20"/>
        <v>0.88009892578391646</v>
      </c>
      <c r="H19" s="3">
        <f t="shared" si="20"/>
        <v>30.47074037383177</v>
      </c>
      <c r="I19" s="3">
        <f t="shared" si="8"/>
        <v>26958.21987205607</v>
      </c>
      <c r="K19" s="305" t="s">
        <v>166</v>
      </c>
      <c r="L19" s="306"/>
    </row>
    <row r="20" spans="1:19">
      <c r="A20">
        <v>2032</v>
      </c>
      <c r="B20" s="3">
        <f>B18+(B23-B18)/5*2</f>
        <v>49.118684299065414</v>
      </c>
      <c r="C20" s="3">
        <f t="shared" ref="C20:H20" si="21">C18+(C23-C18)/5*2</f>
        <v>1.0689079927165641</v>
      </c>
      <c r="D20" s="3">
        <f t="shared" si="21"/>
        <v>14.321620934579437</v>
      </c>
      <c r="E20" s="3">
        <f t="shared" si="21"/>
        <v>2.1258656074766349</v>
      </c>
      <c r="F20" s="3">
        <f t="shared" si="21"/>
        <v>24547.817720186911</v>
      </c>
      <c r="G20" s="3">
        <f t="shared" si="21"/>
        <v>0.83377792969002618</v>
      </c>
      <c r="H20" s="3">
        <f t="shared" si="21"/>
        <v>28.867017196261678</v>
      </c>
      <c r="I20" s="3">
        <f t="shared" si="8"/>
        <v>25539.366194579434</v>
      </c>
      <c r="K20" s="19" t="s">
        <v>14</v>
      </c>
      <c r="L20" s="82" t="s">
        <v>15</v>
      </c>
    </row>
    <row r="21" spans="1:19">
      <c r="A21">
        <v>2033</v>
      </c>
      <c r="B21" s="3">
        <f>B18+(B23-B18)/5*3</f>
        <v>46.389868504672897</v>
      </c>
      <c r="C21" s="3">
        <f t="shared" ref="C21:H21" si="22">C18+(C23-C18)/5*3</f>
        <v>1.0095242153434218</v>
      </c>
      <c r="D21" s="3">
        <f t="shared" si="22"/>
        <v>13.525975327102802</v>
      </c>
      <c r="E21" s="3">
        <f t="shared" si="22"/>
        <v>2.0077619626168222</v>
      </c>
      <c r="F21" s="3">
        <f t="shared" si="22"/>
        <v>23184.050069065419</v>
      </c>
      <c r="G21" s="3">
        <f t="shared" si="22"/>
        <v>0.78745693359613589</v>
      </c>
      <c r="H21" s="3">
        <f t="shared" si="22"/>
        <v>27.263294018691589</v>
      </c>
      <c r="I21" s="3">
        <f t="shared" si="8"/>
        <v>24120.512517102801</v>
      </c>
      <c r="K21" s="131">
        <v>25</v>
      </c>
      <c r="L21" s="132">
        <v>298</v>
      </c>
    </row>
    <row r="22" spans="1:19">
      <c r="A22">
        <v>2034</v>
      </c>
      <c r="B22" s="3">
        <f>B18+(B23-B18)/5*4</f>
        <v>43.661052710280373</v>
      </c>
      <c r="C22" s="3">
        <f t="shared" ref="C22:H22" si="23">C18+(C23-C18)/5*4</f>
        <v>0.95014043797027947</v>
      </c>
      <c r="D22" s="3">
        <f t="shared" si="23"/>
        <v>12.73032971962617</v>
      </c>
      <c r="E22" s="3">
        <f t="shared" si="23"/>
        <v>1.8896583177570092</v>
      </c>
      <c r="F22" s="3">
        <f t="shared" si="23"/>
        <v>21820.282417943927</v>
      </c>
      <c r="G22" s="3">
        <f t="shared" si="23"/>
        <v>0.7411359375022456</v>
      </c>
      <c r="H22" s="3">
        <f t="shared" si="23"/>
        <v>25.659570841121496</v>
      </c>
      <c r="I22" s="3">
        <f t="shared" si="8"/>
        <v>22701.658839626169</v>
      </c>
    </row>
    <row r="23" spans="1:19">
      <c r="A23">
        <v>2035</v>
      </c>
      <c r="B23" s="3">
        <f t="shared" ref="B23" si="24">K13*$N17</f>
        <v>40.932236915887856</v>
      </c>
      <c r="C23" s="3">
        <f t="shared" ref="C23" si="25">L13*$N17</f>
        <v>0.8907566605971371</v>
      </c>
      <c r="D23" s="3">
        <f t="shared" ref="D23" si="26">M13*$N17</f>
        <v>11.934684112149535</v>
      </c>
      <c r="E23" s="3">
        <f t="shared" ref="E23" si="27">N13*$N17</f>
        <v>1.7715546728971963</v>
      </c>
      <c r="F23" s="3">
        <f t="shared" ref="F23" si="28">O13*$N17</f>
        <v>20456.514766822431</v>
      </c>
      <c r="G23" s="3">
        <f t="shared" ref="G23" si="29">P13*$N17</f>
        <v>0.69481494140835531</v>
      </c>
      <c r="H23" s="3">
        <f t="shared" ref="H23" si="30">Q13*$N17</f>
        <v>24.055847663551404</v>
      </c>
      <c r="I23" s="3">
        <f t="shared" si="8"/>
        <v>21282.805162149532</v>
      </c>
    </row>
    <row r="24" spans="1:19">
      <c r="A24">
        <v>2036</v>
      </c>
      <c r="B24" s="3">
        <f>B23+(B28-B23)/5</f>
        <v>38.203421121495332</v>
      </c>
      <c r="C24" s="3">
        <f t="shared" ref="C24:H24" si="31">C23+(C28-C23)/5</f>
        <v>0.83137288322399461</v>
      </c>
      <c r="D24" s="3">
        <f t="shared" si="31"/>
        <v>11.139038504672898</v>
      </c>
      <c r="E24" s="3">
        <f t="shared" si="31"/>
        <v>1.6534510280373831</v>
      </c>
      <c r="F24" s="3">
        <f t="shared" si="31"/>
        <v>19092.747115700935</v>
      </c>
      <c r="G24" s="3">
        <f t="shared" si="31"/>
        <v>0.64849394531446491</v>
      </c>
      <c r="H24" s="3">
        <f t="shared" si="31"/>
        <v>22.452124485981308</v>
      </c>
      <c r="I24" s="3">
        <f t="shared" si="8"/>
        <v>19863.9514846729</v>
      </c>
    </row>
    <row r="25" spans="1:19">
      <c r="A25">
        <v>2037</v>
      </c>
      <c r="B25" s="3">
        <f>B23+(B28-B23)/5*2</f>
        <v>35.474605327102807</v>
      </c>
      <c r="C25" s="3">
        <f t="shared" ref="C25:H25" si="32">C23+(C28-C23)/5*2</f>
        <v>0.77198910585085201</v>
      </c>
      <c r="D25" s="3">
        <f t="shared" si="32"/>
        <v>10.343392897196262</v>
      </c>
      <c r="E25" s="3">
        <f t="shared" si="32"/>
        <v>1.5353473831775699</v>
      </c>
      <c r="F25" s="3">
        <f t="shared" si="32"/>
        <v>17728.979464579439</v>
      </c>
      <c r="G25" s="3">
        <f t="shared" si="32"/>
        <v>0.60217294922057452</v>
      </c>
      <c r="H25" s="3">
        <f t="shared" si="32"/>
        <v>20.848401308411216</v>
      </c>
      <c r="I25" s="3">
        <f t="shared" si="8"/>
        <v>18445.097807196264</v>
      </c>
    </row>
    <row r="26" spans="1:19">
      <c r="A26">
        <v>2038</v>
      </c>
      <c r="B26" s="3">
        <f>B23+(B28-B23)/5*3</f>
        <v>32.745789532710276</v>
      </c>
      <c r="C26" s="3">
        <f t="shared" ref="C26:H26" si="33">C23+(C28-C23)/5*3</f>
        <v>0.71260532847770952</v>
      </c>
      <c r="D26" s="3">
        <f t="shared" si="33"/>
        <v>9.5477472897196272</v>
      </c>
      <c r="E26" s="3">
        <f t="shared" si="33"/>
        <v>1.4172437383177567</v>
      </c>
      <c r="F26" s="3">
        <f t="shared" si="33"/>
        <v>16365.211813457941</v>
      </c>
      <c r="G26" s="3">
        <f t="shared" si="33"/>
        <v>0.55585195312668412</v>
      </c>
      <c r="H26" s="3">
        <f t="shared" si="33"/>
        <v>19.24467813084112</v>
      </c>
      <c r="I26" s="3">
        <f t="shared" si="8"/>
        <v>17026.244129719624</v>
      </c>
    </row>
    <row r="27" spans="1:19">
      <c r="A27">
        <v>2039</v>
      </c>
      <c r="B27" s="3">
        <f>B23+(B28-B23)/5*4</f>
        <v>30.016973738317752</v>
      </c>
      <c r="C27" s="3">
        <f t="shared" ref="C27:H27" si="34">C23+(C28-C23)/5*4</f>
        <v>0.65322155110456692</v>
      </c>
      <c r="D27" s="3">
        <f t="shared" si="34"/>
        <v>8.7521016822429907</v>
      </c>
      <c r="E27" s="3">
        <f t="shared" si="34"/>
        <v>1.2991400934579436</v>
      </c>
      <c r="F27" s="3">
        <f t="shared" si="34"/>
        <v>15001.444162336446</v>
      </c>
      <c r="G27" s="3">
        <f t="shared" si="34"/>
        <v>0.50953095703279372</v>
      </c>
      <c r="H27" s="3">
        <f t="shared" si="34"/>
        <v>17.640954953271027</v>
      </c>
      <c r="I27" s="3">
        <f t="shared" si="8"/>
        <v>15607.390452242988</v>
      </c>
    </row>
    <row r="28" spans="1:19">
      <c r="A28">
        <v>2040</v>
      </c>
      <c r="B28" s="3">
        <f t="shared" ref="B28" si="35">K13*$O17</f>
        <v>27.288157943925228</v>
      </c>
      <c r="C28" s="3">
        <f t="shared" ref="C28" si="36">L13*$O17</f>
        <v>0.59383777373142443</v>
      </c>
      <c r="D28" s="3">
        <f t="shared" ref="D28" si="37">M13*$O17</f>
        <v>7.9564560747663533</v>
      </c>
      <c r="E28" s="3">
        <f t="shared" ref="E28" si="38">N13*$O17</f>
        <v>1.1810364485981304</v>
      </c>
      <c r="F28" s="3">
        <f t="shared" ref="F28" si="39">O13*$O17</f>
        <v>13637.67651121495</v>
      </c>
      <c r="G28" s="3">
        <f t="shared" ref="G28" si="40">P13*$O17</f>
        <v>0.46320996093890338</v>
      </c>
      <c r="H28" s="3">
        <f t="shared" ref="H28" si="41">Q13*$O17</f>
        <v>16.037231775700931</v>
      </c>
      <c r="I28" s="3">
        <f t="shared" si="8"/>
        <v>14188.536774766351</v>
      </c>
    </row>
    <row r="30" spans="1:19" hidden="1">
      <c r="B30" s="2" t="s">
        <v>69</v>
      </c>
      <c r="K30" t="s">
        <v>25</v>
      </c>
    </row>
    <row r="31" spans="1:19" hidden="1">
      <c r="B31">
        <v>2020</v>
      </c>
    </row>
    <row r="32" spans="1:19" hidden="1">
      <c r="B32" t="s">
        <v>8</v>
      </c>
      <c r="C32" t="s">
        <v>10</v>
      </c>
      <c r="D32" t="s">
        <v>14</v>
      </c>
      <c r="E32" t="s">
        <v>15</v>
      </c>
      <c r="F32" t="s">
        <v>16</v>
      </c>
      <c r="G32" t="s">
        <v>115</v>
      </c>
      <c r="H32" t="s">
        <v>116</v>
      </c>
      <c r="I32" t="s">
        <v>47</v>
      </c>
      <c r="K32" s="2" t="s">
        <v>289</v>
      </c>
      <c r="S32" s="302" t="s">
        <v>127</v>
      </c>
    </row>
    <row r="33" spans="1:19" hidden="1">
      <c r="A33">
        <v>2020</v>
      </c>
      <c r="B33" s="3">
        <f>K34*$K38</f>
        <v>36.216757963464495</v>
      </c>
      <c r="C33" s="3">
        <f t="shared" ref="C33" si="42">L34*$K38</f>
        <v>3.6501213045735481</v>
      </c>
      <c r="D33" s="3">
        <f t="shared" ref="D33" si="43">M34*$K38</f>
        <v>6.3800065873190421</v>
      </c>
      <c r="E33" s="3">
        <f t="shared" ref="E33" si="44">N34*$K38</f>
        <v>0.99383401310106256</v>
      </c>
      <c r="F33" s="3">
        <f t="shared" ref="F33" si="45">O34*$K38</f>
        <v>68500.678712741574</v>
      </c>
      <c r="G33" s="3">
        <f t="shared" ref="G33" si="46">P34*$K38</f>
        <v>1.2843726776933295</v>
      </c>
      <c r="H33" s="3">
        <f t="shared" ref="H33" si="47">Q34*$K38</f>
        <v>32.464139226672998</v>
      </c>
      <c r="I33" s="3">
        <f t="shared" ref="I33:I49" si="48">F33+D33*K$105+E33*L$105</f>
        <v>68956.341413328671</v>
      </c>
      <c r="K33" t="s">
        <v>8</v>
      </c>
      <c r="L33" t="s">
        <v>10</v>
      </c>
      <c r="M33" t="s">
        <v>14</v>
      </c>
      <c r="N33" t="s">
        <v>15</v>
      </c>
      <c r="O33" t="s">
        <v>16</v>
      </c>
      <c r="P33" t="s">
        <v>115</v>
      </c>
      <c r="Q33" t="s">
        <v>116</v>
      </c>
      <c r="S33" s="302"/>
    </row>
    <row r="34" spans="1:19" hidden="1">
      <c r="A34">
        <v>2025</v>
      </c>
      <c r="B34" s="3">
        <f t="shared" ref="B34:H34" si="49">B33</f>
        <v>36.216757963464495</v>
      </c>
      <c r="C34" s="3">
        <f t="shared" si="49"/>
        <v>3.6501213045735481</v>
      </c>
      <c r="D34" s="3">
        <f t="shared" si="49"/>
        <v>6.3800065873190421</v>
      </c>
      <c r="E34" s="3">
        <f t="shared" si="49"/>
        <v>0.99383401310106256</v>
      </c>
      <c r="F34" s="3">
        <f t="shared" si="49"/>
        <v>68500.678712741574</v>
      </c>
      <c r="G34" s="3">
        <f t="shared" si="49"/>
        <v>1.2843726776933295</v>
      </c>
      <c r="H34" s="3">
        <f t="shared" si="49"/>
        <v>32.464139226672998</v>
      </c>
      <c r="I34" s="3">
        <f t="shared" si="48"/>
        <v>68956.341413328671</v>
      </c>
      <c r="K34" s="3">
        <f>'Regional GREET factors'!A99</f>
        <v>94.882782194038484</v>
      </c>
      <c r="L34" s="3">
        <f>'Regional GREET factors'!B99</f>
        <v>9.5628014267056525</v>
      </c>
      <c r="M34" s="3">
        <f>'Regional GREET factors'!C99</f>
        <v>16.714714664184022</v>
      </c>
      <c r="N34" s="3">
        <f>'Regional GREET factors'!D99</f>
        <v>2.6037045142810125</v>
      </c>
      <c r="O34" s="3">
        <f>'Regional GREET factors'!E99</f>
        <v>179462.08727467008</v>
      </c>
      <c r="P34" s="3">
        <f>'Regional GREET factors'!F99</f>
        <v>3.3648747123220577</v>
      </c>
      <c r="Q34" s="3">
        <f>'Regional GREET factors'!G99</f>
        <v>85.051451995475489</v>
      </c>
      <c r="S34" s="302"/>
    </row>
    <row r="35" spans="1:19" hidden="1">
      <c r="A35">
        <v>2026</v>
      </c>
      <c r="B35" s="3">
        <f>B34+(B39-B34)/5</f>
        <v>32.768717658533134</v>
      </c>
      <c r="C35" s="3">
        <f t="shared" ref="C35:H35" si="50">C34+(C39-C34)/5</f>
        <v>3.3026091007270644</v>
      </c>
      <c r="D35" s="3">
        <f t="shared" si="50"/>
        <v>5.7725938564225947</v>
      </c>
      <c r="E35" s="3">
        <f t="shared" si="50"/>
        <v>0.89921539105209047</v>
      </c>
      <c r="F35" s="3">
        <f t="shared" si="50"/>
        <v>61979.026461180059</v>
      </c>
      <c r="G35" s="3">
        <f t="shared" si="50"/>
        <v>1.1620931306475459</v>
      </c>
      <c r="H35" s="3">
        <f t="shared" si="50"/>
        <v>29.373369461157417</v>
      </c>
      <c r="I35" s="3">
        <f t="shared" si="48"/>
        <v>62391.307494124143</v>
      </c>
    </row>
    <row r="36" spans="1:19" hidden="1">
      <c r="A36">
        <v>2027</v>
      </c>
      <c r="B36" s="3">
        <f>B34+(B39-B34)/5*2</f>
        <v>29.320677353601774</v>
      </c>
      <c r="C36" s="3">
        <f t="shared" ref="C36:H36" si="51">C34+(C39-C34)/5*2</f>
        <v>2.9550968968805806</v>
      </c>
      <c r="D36" s="3">
        <f t="shared" si="51"/>
        <v>5.1651811255261464</v>
      </c>
      <c r="E36" s="3">
        <f t="shared" si="51"/>
        <v>0.80459676900311849</v>
      </c>
      <c r="F36" s="3">
        <f t="shared" si="51"/>
        <v>55457.374209618545</v>
      </c>
      <c r="G36" s="3">
        <f t="shared" si="51"/>
        <v>1.0398135836017623</v>
      </c>
      <c r="H36" s="3">
        <f t="shared" si="51"/>
        <v>26.282599695641835</v>
      </c>
      <c r="I36" s="3">
        <f t="shared" si="48"/>
        <v>55826.273574919629</v>
      </c>
      <c r="K36" s="2" t="s">
        <v>293</v>
      </c>
    </row>
    <row r="37" spans="1:19" hidden="1">
      <c r="A37">
        <v>2028</v>
      </c>
      <c r="B37" s="3">
        <f>B34+(B39-B34)/5*3</f>
        <v>25.872637048670413</v>
      </c>
      <c r="C37" s="3">
        <f t="shared" ref="C37:H37" si="52">C34+(C39-C34)/5*3</f>
        <v>2.6075846930340973</v>
      </c>
      <c r="D37" s="3">
        <f t="shared" si="52"/>
        <v>4.557768394629699</v>
      </c>
      <c r="E37" s="3">
        <f t="shared" si="52"/>
        <v>0.70997814695414641</v>
      </c>
      <c r="F37" s="3">
        <f t="shared" si="52"/>
        <v>48935.721958057038</v>
      </c>
      <c r="G37" s="3">
        <f t="shared" si="52"/>
        <v>0.91753403655597865</v>
      </c>
      <c r="H37" s="3">
        <f t="shared" si="52"/>
        <v>23.191829930126257</v>
      </c>
      <c r="I37" s="3">
        <f t="shared" si="48"/>
        <v>49261.239655715122</v>
      </c>
      <c r="K37">
        <v>2020</v>
      </c>
      <c r="L37">
        <v>2025</v>
      </c>
      <c r="M37">
        <v>2030</v>
      </c>
      <c r="N37">
        <v>2035</v>
      </c>
      <c r="O37">
        <v>2040</v>
      </c>
    </row>
    <row r="38" spans="1:19" hidden="1">
      <c r="A38">
        <v>2029</v>
      </c>
      <c r="B38" s="3">
        <f>B34+(B39-B34)/5*4</f>
        <v>22.424596743739052</v>
      </c>
      <c r="C38" s="3">
        <f t="shared" ref="C38:H38" si="53">C34+(C39-C34)/5*4</f>
        <v>2.2600724891876136</v>
      </c>
      <c r="D38" s="3">
        <f t="shared" si="53"/>
        <v>3.9503556637332515</v>
      </c>
      <c r="E38" s="3">
        <f t="shared" si="53"/>
        <v>0.61535952490517443</v>
      </c>
      <c r="F38" s="3">
        <f t="shared" si="53"/>
        <v>42414.069706495524</v>
      </c>
      <c r="G38" s="3">
        <f t="shared" si="53"/>
        <v>0.79525448951019495</v>
      </c>
      <c r="H38" s="3">
        <f t="shared" si="53"/>
        <v>20.101060164610676</v>
      </c>
      <c r="I38" s="3">
        <f t="shared" si="48"/>
        <v>42696.205736510594</v>
      </c>
      <c r="K38" s="9">
        <f>1-'State grid data'!C9</f>
        <v>0.38170000000000004</v>
      </c>
      <c r="L38" s="9">
        <f>1-'State grid data'!D9</f>
        <v>0.29085000000000005</v>
      </c>
      <c r="M38" s="9">
        <f>1-'State grid data'!E9</f>
        <v>0.19999999999999996</v>
      </c>
      <c r="N38" s="9">
        <f>1-'State grid data'!F9</f>
        <v>0.15000000000000002</v>
      </c>
      <c r="O38" s="9">
        <f>1-'State grid data'!G9</f>
        <v>9.9999999999999978E-2</v>
      </c>
      <c r="P38" s="9"/>
      <c r="Q38" s="9"/>
    </row>
    <row r="39" spans="1:19" hidden="1">
      <c r="A39">
        <v>2030</v>
      </c>
      <c r="B39" s="3">
        <f t="shared" ref="B39" si="54">K34*$M38</f>
        <v>18.976556438807691</v>
      </c>
      <c r="C39" s="3">
        <f t="shared" ref="C39" si="55">L34*$M38</f>
        <v>1.9125602853411301</v>
      </c>
      <c r="D39" s="3">
        <f t="shared" ref="D39" si="56">M34*$M38</f>
        <v>3.3429429328368037</v>
      </c>
      <c r="E39" s="3">
        <f t="shared" ref="E39" si="57">N34*$M38</f>
        <v>0.52074090285620234</v>
      </c>
      <c r="F39" s="3">
        <f t="shared" ref="F39" si="58">O34*$M38</f>
        <v>35892.41745493401</v>
      </c>
      <c r="G39" s="3">
        <f t="shared" ref="G39" si="59">P34*$M38</f>
        <v>0.67297494246441136</v>
      </c>
      <c r="H39" s="3">
        <f t="shared" ref="H39" si="60">Q34*$M38</f>
        <v>17.010290399095094</v>
      </c>
      <c r="I39" s="3">
        <f t="shared" si="48"/>
        <v>36131.17181730608</v>
      </c>
    </row>
    <row r="40" spans="1:19" hidden="1">
      <c r="A40">
        <v>2031</v>
      </c>
      <c r="B40" s="3">
        <f>B39+(B44-B39)/5</f>
        <v>18.027728616867307</v>
      </c>
      <c r="C40" s="3">
        <f t="shared" ref="C40:H40" si="61">C39+(C44-C39)/5</f>
        <v>1.8169322710740736</v>
      </c>
      <c r="D40" s="3">
        <f t="shared" si="61"/>
        <v>3.1757957861949637</v>
      </c>
      <c r="E40" s="3">
        <f t="shared" si="61"/>
        <v>0.49470385771339226</v>
      </c>
      <c r="F40" s="3">
        <f t="shared" si="61"/>
        <v>34097.796582187308</v>
      </c>
      <c r="G40" s="3">
        <f t="shared" si="61"/>
        <v>0.63932619534119084</v>
      </c>
      <c r="H40" s="3">
        <f t="shared" si="61"/>
        <v>16.159775879140341</v>
      </c>
      <c r="I40" s="3">
        <f t="shared" si="48"/>
        <v>34324.613226440779</v>
      </c>
      <c r="K40" s="305" t="s">
        <v>166</v>
      </c>
      <c r="L40" s="306"/>
    </row>
    <row r="41" spans="1:19" hidden="1">
      <c r="A41">
        <v>2032</v>
      </c>
      <c r="B41" s="3">
        <f>B39+(B44-B39)/5*2</f>
        <v>17.078900794926923</v>
      </c>
      <c r="C41" s="3">
        <f t="shared" ref="C41:H41" si="62">C39+(C44-C39)/5*2</f>
        <v>1.7213042568070174</v>
      </c>
      <c r="D41" s="3">
        <f t="shared" si="62"/>
        <v>3.0086486395531238</v>
      </c>
      <c r="E41" s="3">
        <f t="shared" si="62"/>
        <v>0.46866681257058218</v>
      </c>
      <c r="F41" s="3">
        <f t="shared" si="62"/>
        <v>32303.175709440613</v>
      </c>
      <c r="G41" s="3">
        <f t="shared" si="62"/>
        <v>0.60567744821797032</v>
      </c>
      <c r="H41" s="3">
        <f t="shared" si="62"/>
        <v>15.309261359185587</v>
      </c>
      <c r="I41" s="3">
        <f t="shared" si="48"/>
        <v>32518.054635575474</v>
      </c>
      <c r="K41" s="19" t="s">
        <v>14</v>
      </c>
      <c r="L41" s="82" t="s">
        <v>15</v>
      </c>
    </row>
    <row r="42" spans="1:19" hidden="1">
      <c r="A42">
        <v>2033</v>
      </c>
      <c r="B42" s="3">
        <f>B39+(B44-B39)/5*3</f>
        <v>16.13007297298654</v>
      </c>
      <c r="C42" s="3">
        <f t="shared" ref="C42:H42" si="63">C39+(C44-C39)/5*3</f>
        <v>1.6256762425399609</v>
      </c>
      <c r="D42" s="3">
        <f t="shared" si="63"/>
        <v>2.8415014929112834</v>
      </c>
      <c r="E42" s="3">
        <f t="shared" si="63"/>
        <v>0.4426297674277721</v>
      </c>
      <c r="F42" s="3">
        <f t="shared" si="63"/>
        <v>30508.554836693911</v>
      </c>
      <c r="G42" s="3">
        <f t="shared" si="63"/>
        <v>0.57202870109474979</v>
      </c>
      <c r="H42" s="3">
        <f t="shared" si="63"/>
        <v>14.458746839230834</v>
      </c>
      <c r="I42" s="3">
        <f t="shared" si="48"/>
        <v>30711.496044710169</v>
      </c>
      <c r="K42" s="131">
        <v>25</v>
      </c>
      <c r="L42" s="132">
        <v>298</v>
      </c>
    </row>
    <row r="43" spans="1:19" hidden="1">
      <c r="A43">
        <v>2034</v>
      </c>
      <c r="B43" s="3">
        <f>B39+(B44-B39)/5*4</f>
        <v>15.181245151046159</v>
      </c>
      <c r="C43" s="3">
        <f t="shared" ref="C43:H43" si="64">C39+(C44-C39)/5*4</f>
        <v>1.5300482282729044</v>
      </c>
      <c r="D43" s="3">
        <f t="shared" si="64"/>
        <v>2.6743543462694435</v>
      </c>
      <c r="E43" s="3">
        <f t="shared" si="64"/>
        <v>0.41659272228496202</v>
      </c>
      <c r="F43" s="3">
        <f t="shared" si="64"/>
        <v>28713.933963947213</v>
      </c>
      <c r="G43" s="3">
        <f t="shared" si="64"/>
        <v>0.53837995397152927</v>
      </c>
      <c r="H43" s="3">
        <f t="shared" si="64"/>
        <v>13.608232319276079</v>
      </c>
      <c r="I43" s="3">
        <f t="shared" si="48"/>
        <v>28904.937453844865</v>
      </c>
    </row>
    <row r="44" spans="1:19" hidden="1">
      <c r="A44">
        <v>2035</v>
      </c>
      <c r="B44" s="3">
        <f t="shared" ref="B44" si="65">K34*$N38</f>
        <v>14.232417329105775</v>
      </c>
      <c r="C44" s="3">
        <f t="shared" ref="C44" si="66">L34*$N38</f>
        <v>1.4344202140058482</v>
      </c>
      <c r="D44" s="3">
        <f t="shared" ref="D44" si="67">M34*$N38</f>
        <v>2.5072071996276035</v>
      </c>
      <c r="E44" s="3">
        <f t="shared" ref="E44" si="68">N34*$N38</f>
        <v>0.39055567714215195</v>
      </c>
      <c r="F44" s="3">
        <f t="shared" ref="F44" si="69">O34*$N38</f>
        <v>26919.313091200514</v>
      </c>
      <c r="G44" s="3">
        <f t="shared" ref="G44" si="70">P34*$N38</f>
        <v>0.50473120684830874</v>
      </c>
      <c r="H44" s="3">
        <f t="shared" ref="H44" si="71">Q34*$N38</f>
        <v>12.757717799321325</v>
      </c>
      <c r="I44" s="3">
        <f t="shared" si="48"/>
        <v>27098.378862979567</v>
      </c>
    </row>
    <row r="45" spans="1:19" hidden="1">
      <c r="A45">
        <v>2036</v>
      </c>
      <c r="B45" s="3">
        <f>B44+(B49-B44)/5</f>
        <v>13.28358950716539</v>
      </c>
      <c r="C45" s="3">
        <f t="shared" ref="C45:H45" si="72">C44+(C49-C44)/5</f>
        <v>1.3387921997387915</v>
      </c>
      <c r="D45" s="3">
        <f t="shared" si="72"/>
        <v>2.3400600529857631</v>
      </c>
      <c r="E45" s="3">
        <f t="shared" si="72"/>
        <v>0.36451863199934181</v>
      </c>
      <c r="F45" s="3">
        <f t="shared" si="72"/>
        <v>25124.692218453813</v>
      </c>
      <c r="G45" s="3">
        <f t="shared" si="72"/>
        <v>0.47108245972508811</v>
      </c>
      <c r="H45" s="3">
        <f t="shared" si="72"/>
        <v>11.90720327936657</v>
      </c>
      <c r="I45" s="3">
        <f t="shared" si="48"/>
        <v>25291.820272114262</v>
      </c>
    </row>
    <row r="46" spans="1:19" hidden="1">
      <c r="A46">
        <v>2037</v>
      </c>
      <c r="B46" s="3">
        <f>B44+(B49-B44)/5*2</f>
        <v>12.334761685225004</v>
      </c>
      <c r="C46" s="3">
        <f t="shared" ref="C46:H46" si="73">C44+(C49-C44)/5*2</f>
        <v>1.243164185471735</v>
      </c>
      <c r="D46" s="3">
        <f t="shared" si="73"/>
        <v>2.1729129063439228</v>
      </c>
      <c r="E46" s="3">
        <f t="shared" si="73"/>
        <v>0.33848158685653162</v>
      </c>
      <c r="F46" s="3">
        <f t="shared" si="73"/>
        <v>23330.071345707111</v>
      </c>
      <c r="G46" s="3">
        <f t="shared" si="73"/>
        <v>0.43743371260186753</v>
      </c>
      <c r="H46" s="3">
        <f t="shared" si="73"/>
        <v>11.056688759411815</v>
      </c>
      <c r="I46" s="3">
        <f t="shared" si="48"/>
        <v>23485.261681248958</v>
      </c>
    </row>
    <row r="47" spans="1:19" hidden="1">
      <c r="A47">
        <v>2038</v>
      </c>
      <c r="B47" s="3">
        <f>B44+(B49-B44)/5*3</f>
        <v>11.385933863284617</v>
      </c>
      <c r="C47" s="3">
        <f t="shared" ref="C47:H47" si="74">C44+(C49-C44)/5*3</f>
        <v>1.1475361712046783</v>
      </c>
      <c r="D47" s="3">
        <f t="shared" si="74"/>
        <v>2.0057657597020828</v>
      </c>
      <c r="E47" s="3">
        <f t="shared" si="74"/>
        <v>0.31244454171372149</v>
      </c>
      <c r="F47" s="3">
        <f t="shared" si="74"/>
        <v>21535.450472960409</v>
      </c>
      <c r="G47" s="3">
        <f t="shared" si="74"/>
        <v>0.4037849654786469</v>
      </c>
      <c r="H47" s="3">
        <f t="shared" si="74"/>
        <v>10.206174239457059</v>
      </c>
      <c r="I47" s="3">
        <f t="shared" si="48"/>
        <v>21678.703090383649</v>
      </c>
    </row>
    <row r="48" spans="1:19" hidden="1">
      <c r="A48">
        <v>2039</v>
      </c>
      <c r="B48" s="3">
        <f>B44+(B49-B44)/5*4</f>
        <v>10.437106041344231</v>
      </c>
      <c r="C48" s="3">
        <f t="shared" ref="C48:H48" si="75">C44+(C49-C44)/5*4</f>
        <v>1.0519081569376216</v>
      </c>
      <c r="D48" s="3">
        <f t="shared" si="75"/>
        <v>1.8386186130602422</v>
      </c>
      <c r="E48" s="3">
        <f t="shared" si="75"/>
        <v>0.28640749657091136</v>
      </c>
      <c r="F48" s="3">
        <f t="shared" si="75"/>
        <v>19740.829600213707</v>
      </c>
      <c r="G48" s="3">
        <f t="shared" si="75"/>
        <v>0.37013621835542632</v>
      </c>
      <c r="H48" s="3">
        <f t="shared" si="75"/>
        <v>9.3556597195023024</v>
      </c>
      <c r="I48" s="3">
        <f t="shared" si="48"/>
        <v>19872.144499518345</v>
      </c>
    </row>
    <row r="49" spans="1:19" hidden="1">
      <c r="A49">
        <v>2040</v>
      </c>
      <c r="B49" s="3">
        <f t="shared" ref="B49" si="76">K34*$O38</f>
        <v>9.4882782194038455</v>
      </c>
      <c r="C49" s="3">
        <f t="shared" ref="C49" si="77">L34*$O38</f>
        <v>0.95628014267056505</v>
      </c>
      <c r="D49" s="3">
        <f t="shared" ref="D49" si="78">M34*$O38</f>
        <v>1.6714714664184018</v>
      </c>
      <c r="E49" s="3">
        <f t="shared" ref="E49" si="79">N34*$O38</f>
        <v>0.26037045142810117</v>
      </c>
      <c r="F49" s="3">
        <f t="shared" ref="F49" si="80">O34*$O38</f>
        <v>17946.208727467005</v>
      </c>
      <c r="G49" s="3">
        <f t="shared" ref="G49" si="81">P34*$O38</f>
        <v>0.33648747123220568</v>
      </c>
      <c r="H49" s="3">
        <f t="shared" ref="H49" si="82">Q34*$O38</f>
        <v>8.5051451995475471</v>
      </c>
      <c r="I49" s="3">
        <f t="shared" si="48"/>
        <v>18065.58590865304</v>
      </c>
    </row>
    <row r="50" spans="1:19" hidden="1"/>
    <row r="51" spans="1:19" hidden="1">
      <c r="B51" s="2" t="s">
        <v>68</v>
      </c>
      <c r="K51" t="s">
        <v>25</v>
      </c>
    </row>
    <row r="52" spans="1:19" hidden="1">
      <c r="B52">
        <v>2020</v>
      </c>
    </row>
    <row r="53" spans="1:19" hidden="1">
      <c r="B53" t="s">
        <v>8</v>
      </c>
      <c r="C53" t="s">
        <v>10</v>
      </c>
      <c r="D53" t="s">
        <v>14</v>
      </c>
      <c r="E53" t="s">
        <v>15</v>
      </c>
      <c r="F53" t="s">
        <v>16</v>
      </c>
      <c r="G53" t="s">
        <v>115</v>
      </c>
      <c r="H53" t="s">
        <v>116</v>
      </c>
      <c r="I53" t="s">
        <v>47</v>
      </c>
      <c r="K53" s="2" t="s">
        <v>286</v>
      </c>
      <c r="S53" s="302" t="s">
        <v>127</v>
      </c>
    </row>
    <row r="54" spans="1:19" hidden="1">
      <c r="A54">
        <v>2020</v>
      </c>
      <c r="B54" s="3">
        <f>K55*$K59</f>
        <v>20.198961537475629</v>
      </c>
      <c r="C54" s="3">
        <f t="shared" ref="C54" si="83">L55*$K59</f>
        <v>3.9877646627159375</v>
      </c>
      <c r="D54" s="3">
        <f t="shared" ref="D54" si="84">M55*$K59</f>
        <v>2.0032027971050215</v>
      </c>
      <c r="E54" s="3">
        <f t="shared" ref="E54" si="85">N55*$K59</f>
        <v>0.25040034963812768</v>
      </c>
      <c r="F54" s="3">
        <f t="shared" ref="F54" si="86">O55*$K59</f>
        <v>62898.981960216632</v>
      </c>
      <c r="G54" s="3">
        <f t="shared" ref="G54" si="87">P55*$K59</f>
        <v>0.86862962995005977</v>
      </c>
      <c r="H54" s="3">
        <f t="shared" ref="H54" si="88">Q55*$K59</f>
        <v>14.439753495798691</v>
      </c>
      <c r="I54" s="3">
        <f t="shared" ref="I54:I70" si="89">F54+D54*K$105+E54*L$105</f>
        <v>63023.681334336419</v>
      </c>
      <c r="K54" t="s">
        <v>8</v>
      </c>
      <c r="L54" t="s">
        <v>10</v>
      </c>
      <c r="M54" t="s">
        <v>14</v>
      </c>
      <c r="N54" t="s">
        <v>15</v>
      </c>
      <c r="O54" t="s">
        <v>16</v>
      </c>
      <c r="P54" t="s">
        <v>115</v>
      </c>
      <c r="Q54" t="s">
        <v>116</v>
      </c>
      <c r="S54" s="302"/>
    </row>
    <row r="55" spans="1:19" hidden="1">
      <c r="A55">
        <v>2025</v>
      </c>
      <c r="B55" s="3">
        <f t="shared" ref="B55:H55" si="90">B54</f>
        <v>20.198961537475629</v>
      </c>
      <c r="C55" s="3">
        <f t="shared" si="90"/>
        <v>3.9877646627159375</v>
      </c>
      <c r="D55" s="3">
        <f t="shared" si="90"/>
        <v>2.0032027971050215</v>
      </c>
      <c r="E55" s="3">
        <f t="shared" si="90"/>
        <v>0.25040034963812768</v>
      </c>
      <c r="F55" s="3">
        <f t="shared" si="90"/>
        <v>62898.981960216632</v>
      </c>
      <c r="G55" s="3">
        <f t="shared" si="90"/>
        <v>0.86862962995005977</v>
      </c>
      <c r="H55" s="3">
        <f t="shared" si="90"/>
        <v>14.439753495798691</v>
      </c>
      <c r="I55" s="3">
        <f t="shared" si="89"/>
        <v>63023.681334336419</v>
      </c>
      <c r="K55" s="3">
        <f>'Regional GREET factors'!A119</f>
        <v>52.918421633417935</v>
      </c>
      <c r="L55" s="3">
        <f>'Regional GREET factors'!B119</f>
        <v>10.447379257835832</v>
      </c>
      <c r="M55" s="3">
        <f>'Regional GREET factors'!C119</f>
        <v>5.2481079305869036</v>
      </c>
      <c r="N55" s="3">
        <f>'Regional GREET factors'!D119</f>
        <v>0.65601349132336295</v>
      </c>
      <c r="O55" s="3">
        <f>'Regional GREET factors'!E119</f>
        <v>164786.43426831707</v>
      </c>
      <c r="P55" s="3">
        <f>'Regional GREET factors'!F119</f>
        <v>2.2756867433850134</v>
      </c>
      <c r="Q55" s="3">
        <f>'Regional GREET factors'!G119</f>
        <v>37.830111332980586</v>
      </c>
      <c r="S55" s="302"/>
    </row>
    <row r="56" spans="1:19" hidden="1">
      <c r="A56">
        <v>2026</v>
      </c>
      <c r="B56" s="3">
        <f>B55+(B60-B55)/5</f>
        <v>18.275906095317222</v>
      </c>
      <c r="C56" s="3">
        <f t="shared" ref="C56:H56" si="91">C55+(C60-C55)/5</f>
        <v>3.6081069004861832</v>
      </c>
      <c r="D56" s="3">
        <f t="shared" si="91"/>
        <v>1.8124865549074933</v>
      </c>
      <c r="E56" s="3">
        <f t="shared" si="91"/>
        <v>0.22656081936343667</v>
      </c>
      <c r="F56" s="3">
        <f t="shared" si="91"/>
        <v>56910.642938905985</v>
      </c>
      <c r="G56" s="3">
        <f t="shared" si="91"/>
        <v>0.78593117369544829</v>
      </c>
      <c r="H56" s="3">
        <f t="shared" si="91"/>
        <v>13.065007249958175</v>
      </c>
      <c r="I56" s="3">
        <f t="shared" si="89"/>
        <v>57023.470226948979</v>
      </c>
    </row>
    <row r="57" spans="1:19" hidden="1">
      <c r="A57">
        <v>2027</v>
      </c>
      <c r="B57" s="3">
        <f>B55+(B60-B55)/5*2</f>
        <v>16.352850653158811</v>
      </c>
      <c r="C57" s="3">
        <f t="shared" ref="C57:H57" si="92">C55+(C60-C55)/5*2</f>
        <v>3.2284491382564289</v>
      </c>
      <c r="D57" s="3">
        <f t="shared" si="92"/>
        <v>1.6217703127099652</v>
      </c>
      <c r="E57" s="3">
        <f t="shared" si="92"/>
        <v>0.20272128908874565</v>
      </c>
      <c r="F57" s="3">
        <f t="shared" si="92"/>
        <v>50922.303917595345</v>
      </c>
      <c r="G57" s="3">
        <f t="shared" si="92"/>
        <v>0.70323271744083682</v>
      </c>
      <c r="H57" s="3">
        <f t="shared" si="92"/>
        <v>11.69026100411766</v>
      </c>
      <c r="I57" s="3">
        <f t="shared" si="89"/>
        <v>51023.259119561539</v>
      </c>
      <c r="K57" s="2" t="s">
        <v>293</v>
      </c>
    </row>
    <row r="58" spans="1:19" hidden="1">
      <c r="A58">
        <v>2028</v>
      </c>
      <c r="B58" s="3">
        <f>B55+(B60-B55)/5*3</f>
        <v>14.429795211000403</v>
      </c>
      <c r="C58" s="3">
        <f t="shared" ref="C58:H58" si="93">C55+(C60-C55)/5*3</f>
        <v>2.8487913760266745</v>
      </c>
      <c r="D58" s="3">
        <f t="shared" si="93"/>
        <v>1.4310540705124368</v>
      </c>
      <c r="E58" s="3">
        <f t="shared" si="93"/>
        <v>0.1788817588140546</v>
      </c>
      <c r="F58" s="3">
        <f t="shared" si="93"/>
        <v>44933.964896284699</v>
      </c>
      <c r="G58" s="3">
        <f t="shared" si="93"/>
        <v>0.62053426118622546</v>
      </c>
      <c r="H58" s="3">
        <f t="shared" si="93"/>
        <v>10.315514758277146</v>
      </c>
      <c r="I58" s="3">
        <f t="shared" si="89"/>
        <v>45023.048012174098</v>
      </c>
      <c r="K58">
        <v>2020</v>
      </c>
      <c r="L58">
        <v>2025</v>
      </c>
      <c r="M58">
        <v>2030</v>
      </c>
      <c r="N58">
        <v>2035</v>
      </c>
      <c r="O58">
        <v>2040</v>
      </c>
    </row>
    <row r="59" spans="1:19" hidden="1">
      <c r="A59">
        <v>2029</v>
      </c>
      <c r="B59" s="3">
        <f>B55+(B60-B55)/5*4</f>
        <v>12.506739768841994</v>
      </c>
      <c r="C59" s="3">
        <f t="shared" ref="C59:H59" si="94">C55+(C60-C55)/5*4</f>
        <v>2.4691336137969202</v>
      </c>
      <c r="D59" s="3">
        <f t="shared" si="94"/>
        <v>1.2403378283149087</v>
      </c>
      <c r="E59" s="3">
        <f t="shared" si="94"/>
        <v>0.15504222853936359</v>
      </c>
      <c r="F59" s="3">
        <f t="shared" si="94"/>
        <v>38945.625874974052</v>
      </c>
      <c r="G59" s="3">
        <f t="shared" si="94"/>
        <v>0.53783580493161398</v>
      </c>
      <c r="H59" s="3">
        <f t="shared" si="94"/>
        <v>8.9407685124366303</v>
      </c>
      <c r="I59" s="3">
        <f t="shared" si="89"/>
        <v>39022.836904786651</v>
      </c>
      <c r="K59" s="9">
        <f>1-'State grid data'!C9</f>
        <v>0.38170000000000004</v>
      </c>
      <c r="L59" s="9">
        <f>1-'State grid data'!D9</f>
        <v>0.29085000000000005</v>
      </c>
      <c r="M59" s="9">
        <f>1-'State grid data'!E9</f>
        <v>0.19999999999999996</v>
      </c>
      <c r="N59" s="9">
        <f>1-'State grid data'!F9</f>
        <v>0.15000000000000002</v>
      </c>
      <c r="O59" s="9">
        <f>1-'State grid data'!G9</f>
        <v>9.9999999999999978E-2</v>
      </c>
      <c r="P59" s="9"/>
      <c r="Q59" s="9"/>
    </row>
    <row r="60" spans="1:19" hidden="1">
      <c r="A60">
        <v>2030</v>
      </c>
      <c r="B60" s="3">
        <f t="shared" ref="B60" si="95">K55*$M59</f>
        <v>10.583684326683585</v>
      </c>
      <c r="C60" s="3">
        <f t="shared" ref="C60" si="96">L55*$M59</f>
        <v>2.0894758515671659</v>
      </c>
      <c r="D60" s="3">
        <f t="shared" ref="D60" si="97">M55*$M59</f>
        <v>1.0496215861173805</v>
      </c>
      <c r="E60" s="3">
        <f t="shared" ref="E60" si="98">N55*$M59</f>
        <v>0.13120269826467257</v>
      </c>
      <c r="F60" s="3">
        <f t="shared" ref="F60" si="99">O55*$M59</f>
        <v>32957.286853663405</v>
      </c>
      <c r="G60" s="3">
        <f t="shared" ref="G60" si="100">P55*$M59</f>
        <v>0.45513734867700256</v>
      </c>
      <c r="H60" s="3">
        <f t="shared" ref="H60" si="101">Q55*$M59</f>
        <v>7.5660222665961152</v>
      </c>
      <c r="I60" s="3">
        <f t="shared" si="89"/>
        <v>33022.625797399211</v>
      </c>
    </row>
    <row r="61" spans="1:19" hidden="1">
      <c r="A61">
        <v>2031</v>
      </c>
      <c r="B61" s="3">
        <f>B60+(B65-B60)/5</f>
        <v>10.054500110349407</v>
      </c>
      <c r="C61" s="3">
        <f t="shared" ref="C61:H61" si="102">C60+(C65-C60)/5</f>
        <v>1.9850020589888078</v>
      </c>
      <c r="D61" s="3">
        <f t="shared" si="102"/>
        <v>0.99714050681151156</v>
      </c>
      <c r="E61" s="3">
        <f t="shared" si="102"/>
        <v>0.12464256335143895</v>
      </c>
      <c r="F61" s="3">
        <f t="shared" si="102"/>
        <v>31309.422510980236</v>
      </c>
      <c r="G61" s="3">
        <f t="shared" si="102"/>
        <v>0.43238048124315248</v>
      </c>
      <c r="H61" s="3">
        <f t="shared" si="102"/>
        <v>7.1877211532663097</v>
      </c>
      <c r="I61" s="3">
        <f t="shared" si="89"/>
        <v>31371.494507529253</v>
      </c>
      <c r="K61" s="305" t="s">
        <v>166</v>
      </c>
      <c r="L61" s="306"/>
    </row>
    <row r="62" spans="1:19" hidden="1">
      <c r="A62">
        <v>2032</v>
      </c>
      <c r="B62" s="3">
        <f>B60+(B65-B60)/5*2</f>
        <v>9.5253158940152272</v>
      </c>
      <c r="C62" s="3">
        <f t="shared" ref="C62:H62" si="103">C60+(C65-C60)/5*2</f>
        <v>1.8805282664104497</v>
      </c>
      <c r="D62" s="3">
        <f t="shared" si="103"/>
        <v>0.94465942750564258</v>
      </c>
      <c r="E62" s="3">
        <f t="shared" si="103"/>
        <v>0.11808242843820532</v>
      </c>
      <c r="F62" s="3">
        <f t="shared" si="103"/>
        <v>29661.55816829707</v>
      </c>
      <c r="G62" s="3">
        <f t="shared" si="103"/>
        <v>0.40962361380930234</v>
      </c>
      <c r="H62" s="3">
        <f t="shared" si="103"/>
        <v>6.8094200399365041</v>
      </c>
      <c r="I62" s="3">
        <f t="shared" si="89"/>
        <v>29720.363217659298</v>
      </c>
      <c r="K62" s="19" t="s">
        <v>14</v>
      </c>
      <c r="L62" s="82" t="s">
        <v>15</v>
      </c>
    </row>
    <row r="63" spans="1:19" hidden="1">
      <c r="A63">
        <v>2033</v>
      </c>
      <c r="B63" s="3">
        <f>B60+(B65-B60)/5*3</f>
        <v>8.9961316776810492</v>
      </c>
      <c r="C63" s="3">
        <f t="shared" ref="C63:H63" si="104">C60+(C65-C60)/5*3</f>
        <v>1.7760544738320916</v>
      </c>
      <c r="D63" s="3">
        <f t="shared" si="104"/>
        <v>0.8921783481997736</v>
      </c>
      <c r="E63" s="3">
        <f t="shared" si="104"/>
        <v>0.1115222935249717</v>
      </c>
      <c r="F63" s="3">
        <f t="shared" si="104"/>
        <v>28013.6938256139</v>
      </c>
      <c r="G63" s="3">
        <f t="shared" si="104"/>
        <v>0.38686674637545226</v>
      </c>
      <c r="H63" s="3">
        <f t="shared" si="104"/>
        <v>6.4311189266066986</v>
      </c>
      <c r="I63" s="3">
        <f t="shared" si="89"/>
        <v>28069.231927789337</v>
      </c>
      <c r="K63" s="131">
        <v>25</v>
      </c>
      <c r="L63" s="132">
        <v>298</v>
      </c>
    </row>
    <row r="64" spans="1:19" hidden="1">
      <c r="A64">
        <v>2034</v>
      </c>
      <c r="B64" s="3">
        <f>B60+(B65-B60)/5*4</f>
        <v>8.4669474613468694</v>
      </c>
      <c r="C64" s="3">
        <f t="shared" ref="C64:H64" si="105">C60+(C65-C60)/5*4</f>
        <v>1.6715806812537333</v>
      </c>
      <c r="D64" s="3">
        <f t="shared" si="105"/>
        <v>0.83969726889390461</v>
      </c>
      <c r="E64" s="3">
        <f t="shared" si="105"/>
        <v>0.10496215861173808</v>
      </c>
      <c r="F64" s="3">
        <f t="shared" si="105"/>
        <v>26365.829482930734</v>
      </c>
      <c r="G64" s="3">
        <f t="shared" si="105"/>
        <v>0.36410987894160218</v>
      </c>
      <c r="H64" s="3">
        <f t="shared" si="105"/>
        <v>6.0528178132768939</v>
      </c>
      <c r="I64" s="3">
        <f t="shared" si="89"/>
        <v>26418.100637919382</v>
      </c>
    </row>
    <row r="65" spans="1:19" hidden="1">
      <c r="A65">
        <v>2035</v>
      </c>
      <c r="B65" s="3">
        <f t="shared" ref="B65" si="106">K55*$N59</f>
        <v>7.9377632450126914</v>
      </c>
      <c r="C65" s="3">
        <f t="shared" ref="C65" si="107">L55*$N59</f>
        <v>1.5671068886753752</v>
      </c>
      <c r="D65" s="3">
        <f t="shared" ref="D65" si="108">M55*$N59</f>
        <v>0.78721618958803563</v>
      </c>
      <c r="E65" s="3">
        <f t="shared" ref="E65" si="109">N55*$N59</f>
        <v>9.8402023698504454E-2</v>
      </c>
      <c r="F65" s="3">
        <f t="shared" ref="F65" si="110">O55*$N59</f>
        <v>24717.965140247565</v>
      </c>
      <c r="G65" s="3">
        <f t="shared" ref="G65" si="111">P55*$N59</f>
        <v>0.34135301150775205</v>
      </c>
      <c r="H65" s="3">
        <f t="shared" ref="H65" si="112">Q55*$N59</f>
        <v>5.6745166999470884</v>
      </c>
      <c r="I65" s="3">
        <f t="shared" si="89"/>
        <v>24766.969348049421</v>
      </c>
    </row>
    <row r="66" spans="1:19" hidden="1">
      <c r="A66">
        <v>2036</v>
      </c>
      <c r="B66" s="3">
        <f>B65+(B70-B65)/5</f>
        <v>7.4085790286785116</v>
      </c>
      <c r="C66" s="3">
        <f t="shared" ref="C66:H66" si="113">C65+(C70-C65)/5</f>
        <v>1.4626330960970166</v>
      </c>
      <c r="D66" s="3">
        <f t="shared" si="113"/>
        <v>0.73473511028216654</v>
      </c>
      <c r="E66" s="3">
        <f t="shared" si="113"/>
        <v>9.1841888785270817E-2</v>
      </c>
      <c r="F66" s="3">
        <f t="shared" si="113"/>
        <v>23070.100797564392</v>
      </c>
      <c r="G66" s="3">
        <f t="shared" si="113"/>
        <v>0.31859614407390191</v>
      </c>
      <c r="H66" s="3">
        <f t="shared" si="113"/>
        <v>5.296215586617282</v>
      </c>
      <c r="I66" s="3">
        <f t="shared" si="89"/>
        <v>23115.838058179459</v>
      </c>
    </row>
    <row r="67" spans="1:19" hidden="1">
      <c r="A67">
        <v>2037</v>
      </c>
      <c r="B67" s="3">
        <f>B65+(B70-B65)/5*2</f>
        <v>6.8793948123443318</v>
      </c>
      <c r="C67" s="3">
        <f t="shared" ref="C67:H67" si="114">C65+(C70-C65)/5*2</f>
        <v>1.3581593035186583</v>
      </c>
      <c r="D67" s="3">
        <f t="shared" si="114"/>
        <v>0.68225403097629744</v>
      </c>
      <c r="E67" s="3">
        <f t="shared" si="114"/>
        <v>8.528175387203718E-2</v>
      </c>
      <c r="F67" s="3">
        <f t="shared" si="114"/>
        <v>21422.236454881218</v>
      </c>
      <c r="G67" s="3">
        <f t="shared" si="114"/>
        <v>0.29583927664005172</v>
      </c>
      <c r="H67" s="3">
        <f t="shared" si="114"/>
        <v>4.9179144732874764</v>
      </c>
      <c r="I67" s="3">
        <f t="shared" si="89"/>
        <v>21464.706768309494</v>
      </c>
    </row>
    <row r="68" spans="1:19" hidden="1">
      <c r="A68">
        <v>2038</v>
      </c>
      <c r="B68" s="3">
        <f>B65+(B70-B65)/5*3</f>
        <v>6.350210596010152</v>
      </c>
      <c r="C68" s="3">
        <f t="shared" ref="C68:H68" si="115">C65+(C70-C65)/5*3</f>
        <v>1.2536855109402998</v>
      </c>
      <c r="D68" s="3">
        <f t="shared" si="115"/>
        <v>0.62977295167042846</v>
      </c>
      <c r="E68" s="3">
        <f t="shared" si="115"/>
        <v>7.8721618958803558E-2</v>
      </c>
      <c r="F68" s="3">
        <f t="shared" si="115"/>
        <v>19774.372112198049</v>
      </c>
      <c r="G68" s="3">
        <f t="shared" si="115"/>
        <v>0.27308240920620158</v>
      </c>
      <c r="H68" s="3">
        <f t="shared" si="115"/>
        <v>4.53961335995767</v>
      </c>
      <c r="I68" s="3">
        <f t="shared" si="89"/>
        <v>19813.575478439532</v>
      </c>
    </row>
    <row r="69" spans="1:19" hidden="1">
      <c r="A69">
        <v>2039</v>
      </c>
      <c r="B69" s="3">
        <f>B65+(B70-B65)/5*4</f>
        <v>5.8210263796759723</v>
      </c>
      <c r="C69" s="3">
        <f t="shared" ref="C69:H69" si="116">C65+(C70-C65)/5*4</f>
        <v>1.1492117183619412</v>
      </c>
      <c r="D69" s="3">
        <f t="shared" si="116"/>
        <v>0.57729187236455937</v>
      </c>
      <c r="E69" s="3">
        <f t="shared" si="116"/>
        <v>7.2161484045569921E-2</v>
      </c>
      <c r="F69" s="3">
        <f t="shared" si="116"/>
        <v>18126.507769514876</v>
      </c>
      <c r="G69" s="3">
        <f t="shared" si="116"/>
        <v>0.25032554177235145</v>
      </c>
      <c r="H69" s="3">
        <f t="shared" si="116"/>
        <v>4.1613122466278636</v>
      </c>
      <c r="I69" s="3">
        <f t="shared" si="89"/>
        <v>18162.444188569571</v>
      </c>
    </row>
    <row r="70" spans="1:19" hidden="1">
      <c r="A70">
        <v>2040</v>
      </c>
      <c r="B70" s="3">
        <f t="shared" ref="B70" si="117">K55*$O59</f>
        <v>5.2918421633417925</v>
      </c>
      <c r="C70" s="3">
        <f t="shared" ref="C70" si="118">L55*$O59</f>
        <v>1.0447379257835829</v>
      </c>
      <c r="D70" s="3">
        <f t="shared" ref="D70" si="119">M55*$O59</f>
        <v>0.52481079305869027</v>
      </c>
      <c r="E70" s="3">
        <f t="shared" ref="E70" si="120">N55*$O59</f>
        <v>6.5601349132336284E-2</v>
      </c>
      <c r="F70" s="3">
        <f t="shared" ref="F70" si="121">O55*$O59</f>
        <v>16478.643426831703</v>
      </c>
      <c r="G70" s="3">
        <f t="shared" ref="G70" si="122">P55*$O59</f>
        <v>0.22756867433850128</v>
      </c>
      <c r="H70" s="3">
        <f t="shared" ref="H70" si="123">Q55*$O59</f>
        <v>3.7830111332980576</v>
      </c>
      <c r="I70" s="3">
        <f t="shared" si="89"/>
        <v>16511.312898699605</v>
      </c>
    </row>
    <row r="71" spans="1:19" hidden="1"/>
    <row r="72" spans="1:19" hidden="1">
      <c r="B72" s="2" t="s">
        <v>447</v>
      </c>
      <c r="K72" t="s">
        <v>25</v>
      </c>
    </row>
    <row r="73" spans="1:19" hidden="1">
      <c r="B73">
        <v>2020</v>
      </c>
    </row>
    <row r="74" spans="1:19" hidden="1">
      <c r="B74" t="s">
        <v>8</v>
      </c>
      <c r="C74" t="s">
        <v>10</v>
      </c>
      <c r="D74" t="s">
        <v>14</v>
      </c>
      <c r="E74" t="s">
        <v>15</v>
      </c>
      <c r="F74" t="s">
        <v>16</v>
      </c>
      <c r="G74" t="s">
        <v>115</v>
      </c>
      <c r="H74" t="s">
        <v>116</v>
      </c>
      <c r="I74" t="s">
        <v>47</v>
      </c>
      <c r="K74" s="2" t="s">
        <v>108</v>
      </c>
      <c r="S74" s="302" t="s">
        <v>127</v>
      </c>
    </row>
    <row r="75" spans="1:19" hidden="1">
      <c r="A75">
        <v>2020</v>
      </c>
      <c r="B75" s="3">
        <f>K76*$K80</f>
        <v>58.875711532183473</v>
      </c>
      <c r="C75" s="3">
        <f t="shared" ref="C75" si="124">L76*$K80</f>
        <v>5.5567791796050647</v>
      </c>
      <c r="D75" s="3">
        <f t="shared" ref="D75" si="125">M76*$K80</f>
        <v>9.3573820436735584</v>
      </c>
      <c r="E75" s="3">
        <f t="shared" ref="E75" si="126">N76*$K80</f>
        <v>1.3819145265770831</v>
      </c>
      <c r="F75" s="3">
        <f t="shared" ref="F75" si="127">O76*$K80</f>
        <v>93060.744582486528</v>
      </c>
      <c r="G75" s="3">
        <f t="shared" ref="G75" si="128">P76*$K80</f>
        <v>1.5465790530482706</v>
      </c>
      <c r="H75" s="3">
        <f t="shared" ref="H75" si="129">Q76*$K80</f>
        <v>31.043791189717929</v>
      </c>
      <c r="I75" s="3">
        <f t="shared" ref="I75:I91" si="130">F75+D75*K$105+E75*L$105</f>
        <v>93706.489662498338</v>
      </c>
      <c r="K75" t="s">
        <v>8</v>
      </c>
      <c r="L75" t="s">
        <v>10</v>
      </c>
      <c r="M75" t="s">
        <v>14</v>
      </c>
      <c r="N75" t="s">
        <v>15</v>
      </c>
      <c r="O75" t="s">
        <v>16</v>
      </c>
      <c r="P75" t="s">
        <v>115</v>
      </c>
      <c r="Q75" t="s">
        <v>116</v>
      </c>
      <c r="S75" s="302"/>
    </row>
    <row r="76" spans="1:19" hidden="1">
      <c r="A76">
        <v>2025</v>
      </c>
      <c r="B76" s="3">
        <f>K76*$L80</f>
        <v>44.862459258935196</v>
      </c>
      <c r="C76" s="3">
        <f t="shared" ref="C76:H76" si="131">L76*$L80</f>
        <v>4.2341871217923321</v>
      </c>
      <c r="D76" s="3">
        <f t="shared" si="131"/>
        <v>7.1301927361866779</v>
      </c>
      <c r="E76" s="3">
        <f t="shared" si="131"/>
        <v>1.0529993189807301</v>
      </c>
      <c r="F76" s="3">
        <f t="shared" si="131"/>
        <v>70910.97081953421</v>
      </c>
      <c r="G76" s="3">
        <f t="shared" si="131"/>
        <v>1.17847135860385</v>
      </c>
      <c r="H76" s="3">
        <f t="shared" si="131"/>
        <v>23.654929702723237</v>
      </c>
      <c r="I76" s="3">
        <f t="shared" si="130"/>
        <v>71403.019434995134</v>
      </c>
      <c r="K76" s="3">
        <f>'Regional GREET factors'!A59</f>
        <v>154.24603492843454</v>
      </c>
      <c r="L76" s="3">
        <f>'Regional GREET factors'!B59</f>
        <v>14.557975319897993</v>
      </c>
      <c r="M76" s="3">
        <f>'Regional GREET factors'!C59</f>
        <v>24.515017143498973</v>
      </c>
      <c r="N76" s="3">
        <f>'Regional GREET factors'!D59</f>
        <v>3.6204205569218835</v>
      </c>
      <c r="O76" s="3">
        <f>'Regional GREET factors'!E59</f>
        <v>243805.98528290939</v>
      </c>
      <c r="P76" s="3">
        <f>'Regional GREET factors'!F59</f>
        <v>4.0518183207971452</v>
      </c>
      <c r="Q76" s="3">
        <f>'Regional GREET factors'!G59</f>
        <v>81.330341078642718</v>
      </c>
      <c r="S76" s="302"/>
    </row>
    <row r="77" spans="1:19" hidden="1">
      <c r="A77">
        <v>2026</v>
      </c>
      <c r="B77" s="3">
        <f>B76+(B81-B76)/5</f>
        <v>42.059808804285538</v>
      </c>
      <c r="C77" s="3">
        <f t="shared" ref="C77:H77" si="132">C76+(C81-C76)/5</f>
        <v>3.9696687102297852</v>
      </c>
      <c r="D77" s="3">
        <f t="shared" si="132"/>
        <v>6.6847548746893013</v>
      </c>
      <c r="E77" s="3">
        <f t="shared" si="132"/>
        <v>0.98721627746145935</v>
      </c>
      <c r="F77" s="3">
        <f t="shared" si="132"/>
        <v>66481.016066943746</v>
      </c>
      <c r="G77" s="3">
        <f t="shared" si="132"/>
        <v>1.1048498197149659</v>
      </c>
      <c r="H77" s="3">
        <f t="shared" si="132"/>
        <v>22.177157405324298</v>
      </c>
      <c r="I77" s="3">
        <f t="shared" si="130"/>
        <v>66942.325389494494</v>
      </c>
    </row>
    <row r="78" spans="1:19" hidden="1">
      <c r="A78">
        <v>2027</v>
      </c>
      <c r="B78" s="3">
        <f>B76+(B81-B76)/5*2</f>
        <v>39.25715834963588</v>
      </c>
      <c r="C78" s="3">
        <f t="shared" ref="C78:H78" si="133">C76+(C81-C76)/5*2</f>
        <v>3.7051502986672387</v>
      </c>
      <c r="D78" s="3">
        <f t="shared" si="133"/>
        <v>6.2393170131919247</v>
      </c>
      <c r="E78" s="3">
        <f t="shared" si="133"/>
        <v>0.92143323594218862</v>
      </c>
      <c r="F78" s="3">
        <f t="shared" si="133"/>
        <v>62051.061314353276</v>
      </c>
      <c r="G78" s="3">
        <f t="shared" si="133"/>
        <v>1.0312282808260815</v>
      </c>
      <c r="H78" s="3">
        <f t="shared" si="133"/>
        <v>20.699385107925359</v>
      </c>
      <c r="I78" s="3">
        <f t="shared" si="130"/>
        <v>62481.631343993846</v>
      </c>
      <c r="K78" s="2" t="s">
        <v>293</v>
      </c>
    </row>
    <row r="79" spans="1:19" hidden="1">
      <c r="A79">
        <v>2028</v>
      </c>
      <c r="B79" s="3">
        <f>B76+(B81-B76)/5*3</f>
        <v>36.454507894986222</v>
      </c>
      <c r="C79" s="3">
        <f t="shared" ref="C79:H79" si="134">C76+(C81-C76)/5*3</f>
        <v>3.4406318871046917</v>
      </c>
      <c r="D79" s="3">
        <f t="shared" si="134"/>
        <v>5.7938791516945471</v>
      </c>
      <c r="E79" s="3">
        <f t="shared" si="134"/>
        <v>0.85565019442291801</v>
      </c>
      <c r="F79" s="3">
        <f t="shared" si="134"/>
        <v>57621.106561762805</v>
      </c>
      <c r="G79" s="3">
        <f t="shared" si="134"/>
        <v>0.9576067419371973</v>
      </c>
      <c r="H79" s="3">
        <f t="shared" si="134"/>
        <v>19.22161281052642</v>
      </c>
      <c r="I79" s="3">
        <f t="shared" si="130"/>
        <v>58020.937298493198</v>
      </c>
      <c r="K79">
        <v>2020</v>
      </c>
      <c r="L79">
        <v>2025</v>
      </c>
      <c r="M79">
        <v>2030</v>
      </c>
      <c r="N79">
        <v>2035</v>
      </c>
      <c r="O79">
        <v>2040</v>
      </c>
    </row>
    <row r="80" spans="1:19" hidden="1">
      <c r="A80">
        <v>2029</v>
      </c>
      <c r="B80" s="3">
        <f>B76+(B81-B76)/5*4</f>
        <v>33.651857440336556</v>
      </c>
      <c r="C80" s="3">
        <f t="shared" ref="C80:H80" si="135">C76+(C81-C76)/5*4</f>
        <v>3.1761134755421452</v>
      </c>
      <c r="D80" s="3">
        <f t="shared" si="135"/>
        <v>5.3484412901971705</v>
      </c>
      <c r="E80" s="3">
        <f t="shared" si="135"/>
        <v>0.78986715290364728</v>
      </c>
      <c r="F80" s="3">
        <f t="shared" si="135"/>
        <v>53191.151809172341</v>
      </c>
      <c r="G80" s="3">
        <f t="shared" si="135"/>
        <v>0.88398520304831307</v>
      </c>
      <c r="H80" s="3">
        <f t="shared" si="135"/>
        <v>17.743840513127481</v>
      </c>
      <c r="I80" s="3">
        <f t="shared" si="130"/>
        <v>53560.243252992557</v>
      </c>
      <c r="K80" s="9">
        <f>1-'State grid data'!C9</f>
        <v>0.38170000000000004</v>
      </c>
      <c r="L80" s="9">
        <f>1-'State grid data'!D9</f>
        <v>0.29085000000000005</v>
      </c>
      <c r="M80" s="9">
        <f>1-'State grid data'!E9</f>
        <v>0.19999999999999996</v>
      </c>
      <c r="N80" s="9">
        <f>1-'State grid data'!F9</f>
        <v>0.15000000000000002</v>
      </c>
      <c r="O80" s="9">
        <f>1-'State grid data'!G9</f>
        <v>9.9999999999999978E-2</v>
      </c>
      <c r="P80" s="9"/>
      <c r="Q80" s="9"/>
    </row>
    <row r="81" spans="1:19" hidden="1">
      <c r="A81">
        <v>2030</v>
      </c>
      <c r="B81" s="3">
        <f t="shared" ref="B81" si="136">K76*$M80</f>
        <v>30.849206985686902</v>
      </c>
      <c r="C81" s="3">
        <f t="shared" ref="C81" si="137">L76*$M80</f>
        <v>2.9115950639795982</v>
      </c>
      <c r="D81" s="3">
        <f t="shared" ref="D81" si="138">M76*$M80</f>
        <v>4.9030034286997939</v>
      </c>
      <c r="E81" s="3">
        <f t="shared" ref="E81" si="139">N76*$M80</f>
        <v>0.72408411138437656</v>
      </c>
      <c r="F81" s="3">
        <f t="shared" ref="F81" si="140">O76*$M80</f>
        <v>48761.19705658187</v>
      </c>
      <c r="G81" s="3">
        <f t="shared" ref="G81" si="141">P76*$M80</f>
        <v>0.81036366415942884</v>
      </c>
      <c r="H81" s="3">
        <f t="shared" ref="H81" si="142">Q76*$M80</f>
        <v>16.266068215728541</v>
      </c>
      <c r="I81" s="3">
        <f t="shared" si="130"/>
        <v>49099.549207491909</v>
      </c>
    </row>
    <row r="82" spans="1:19" hidden="1">
      <c r="A82">
        <v>2031</v>
      </c>
      <c r="B82" s="3">
        <f>B81+(B86-B81)/5</f>
        <v>29.306746636402558</v>
      </c>
      <c r="C82" s="3">
        <f t="shared" ref="C82:H82" si="143">C81+(C86-C81)/5</f>
        <v>2.7660153107806185</v>
      </c>
      <c r="D82" s="3">
        <f t="shared" si="143"/>
        <v>4.6578532572648044</v>
      </c>
      <c r="E82" s="3">
        <f t="shared" si="143"/>
        <v>0.68787990581515779</v>
      </c>
      <c r="F82" s="3">
        <f t="shared" si="143"/>
        <v>46323.137203752776</v>
      </c>
      <c r="G82" s="3">
        <f t="shared" si="143"/>
        <v>0.76984548095145744</v>
      </c>
      <c r="H82" s="3">
        <f t="shared" si="143"/>
        <v>15.452764804942115</v>
      </c>
      <c r="I82" s="3">
        <f t="shared" si="130"/>
        <v>46644.571747117319</v>
      </c>
      <c r="K82" s="305" t="s">
        <v>166</v>
      </c>
      <c r="L82" s="306"/>
    </row>
    <row r="83" spans="1:19" hidden="1">
      <c r="A83">
        <v>2032</v>
      </c>
      <c r="B83" s="3">
        <f>B81+(B86-B81)/5*2</f>
        <v>27.764286287118214</v>
      </c>
      <c r="C83" s="3">
        <f t="shared" ref="C83:H83" si="144">C81+(C86-C81)/5*2</f>
        <v>2.6204355575816387</v>
      </c>
      <c r="D83" s="3">
        <f t="shared" si="144"/>
        <v>4.4127030858298149</v>
      </c>
      <c r="E83" s="3">
        <f t="shared" si="144"/>
        <v>0.65167570024593902</v>
      </c>
      <c r="F83" s="3">
        <f t="shared" si="144"/>
        <v>43885.07735092369</v>
      </c>
      <c r="G83" s="3">
        <f t="shared" si="144"/>
        <v>0.72932729774348604</v>
      </c>
      <c r="H83" s="3">
        <f t="shared" si="144"/>
        <v>14.639461394155688</v>
      </c>
      <c r="I83" s="3">
        <f t="shared" si="130"/>
        <v>44189.594286742729</v>
      </c>
      <c r="K83" s="19" t="s">
        <v>14</v>
      </c>
      <c r="L83" s="82" t="s">
        <v>15</v>
      </c>
    </row>
    <row r="84" spans="1:19" hidden="1">
      <c r="A84">
        <v>2033</v>
      </c>
      <c r="B84" s="3">
        <f>B81+(B86-B81)/5*3</f>
        <v>26.22182593783387</v>
      </c>
      <c r="C84" s="3">
        <f t="shared" ref="C84:H84" si="145">C81+(C86-C81)/5*3</f>
        <v>2.474855804382659</v>
      </c>
      <c r="D84" s="3">
        <f t="shared" si="145"/>
        <v>4.1675529143948253</v>
      </c>
      <c r="E84" s="3">
        <f t="shared" si="145"/>
        <v>0.61547149467672013</v>
      </c>
      <c r="F84" s="3">
        <f t="shared" si="145"/>
        <v>41447.017498094596</v>
      </c>
      <c r="G84" s="3">
        <f t="shared" si="145"/>
        <v>0.68880911453551463</v>
      </c>
      <c r="H84" s="3">
        <f t="shared" si="145"/>
        <v>13.826157983369262</v>
      </c>
      <c r="I84" s="3">
        <f t="shared" si="130"/>
        <v>41734.616826368125</v>
      </c>
      <c r="K84" s="131">
        <v>25</v>
      </c>
      <c r="L84" s="132">
        <v>298</v>
      </c>
    </row>
    <row r="85" spans="1:19" hidden="1">
      <c r="A85">
        <v>2034</v>
      </c>
      <c r="B85" s="3">
        <f>B81+(B86-B81)/5*4</f>
        <v>24.67936558854953</v>
      </c>
      <c r="C85" s="3">
        <f t="shared" ref="C85:H85" si="146">C81+(C86-C81)/5*4</f>
        <v>2.3292760511836792</v>
      </c>
      <c r="D85" s="3">
        <f t="shared" si="146"/>
        <v>3.9224027429598358</v>
      </c>
      <c r="E85" s="3">
        <f t="shared" si="146"/>
        <v>0.57926728910750136</v>
      </c>
      <c r="F85" s="3">
        <f t="shared" si="146"/>
        <v>39008.957645265502</v>
      </c>
      <c r="G85" s="3">
        <f t="shared" si="146"/>
        <v>0.64829093132754323</v>
      </c>
      <c r="H85" s="3">
        <f t="shared" si="146"/>
        <v>13.012854572582835</v>
      </c>
      <c r="I85" s="3">
        <f t="shared" si="130"/>
        <v>39279.639365993535</v>
      </c>
    </row>
    <row r="86" spans="1:19" hidden="1">
      <c r="A86">
        <v>2035</v>
      </c>
      <c r="B86" s="3">
        <f t="shared" ref="B86" si="147">K76*$N80</f>
        <v>23.136905239265186</v>
      </c>
      <c r="C86" s="3">
        <f t="shared" ref="C86" si="148">L76*$N80</f>
        <v>2.1836962979846994</v>
      </c>
      <c r="D86" s="3">
        <f t="shared" ref="D86" si="149">M76*$N80</f>
        <v>3.6772525715248463</v>
      </c>
      <c r="E86" s="3">
        <f t="shared" ref="E86" si="150">N76*$N80</f>
        <v>0.54306308353828259</v>
      </c>
      <c r="F86" s="3">
        <f t="shared" ref="F86" si="151">O76*$N80</f>
        <v>36570.897792436415</v>
      </c>
      <c r="G86" s="3">
        <f t="shared" ref="G86" si="152">P76*$N80</f>
        <v>0.60777274811957183</v>
      </c>
      <c r="H86" s="3">
        <f t="shared" ref="H86" si="153">Q76*$N80</f>
        <v>12.199551161796409</v>
      </c>
      <c r="I86" s="3">
        <f t="shared" si="130"/>
        <v>36824.661905618945</v>
      </c>
    </row>
    <row r="87" spans="1:19" hidden="1">
      <c r="A87">
        <v>2036</v>
      </c>
      <c r="B87" s="3">
        <f>B86+(B91-B86)/5</f>
        <v>21.594444889980839</v>
      </c>
      <c r="C87" s="3">
        <f t="shared" ref="C87:H87" si="154">C86+(C91-C86)/5</f>
        <v>2.0381165447857192</v>
      </c>
      <c r="D87" s="3">
        <f t="shared" si="154"/>
        <v>3.4321024000898563</v>
      </c>
      <c r="E87" s="3">
        <f t="shared" si="154"/>
        <v>0.5068588779690637</v>
      </c>
      <c r="F87" s="3">
        <f t="shared" si="154"/>
        <v>34132.837939607321</v>
      </c>
      <c r="G87" s="3">
        <f t="shared" si="154"/>
        <v>0.56725456491160031</v>
      </c>
      <c r="H87" s="3">
        <f t="shared" si="154"/>
        <v>11.38624775100998</v>
      </c>
      <c r="I87" s="3">
        <f t="shared" si="130"/>
        <v>34369.684445244347</v>
      </c>
    </row>
    <row r="88" spans="1:19" hidden="1">
      <c r="A88">
        <v>2037</v>
      </c>
      <c r="B88" s="3">
        <f>B86+(B91-B86)/5*2</f>
        <v>20.051984540696491</v>
      </c>
      <c r="C88" s="3">
        <f t="shared" ref="C88:H88" si="155">C86+(C91-C86)/5*2</f>
        <v>1.8925367915867393</v>
      </c>
      <c r="D88" s="3">
        <f t="shared" si="155"/>
        <v>3.1869522286548664</v>
      </c>
      <c r="E88" s="3">
        <f t="shared" si="155"/>
        <v>0.47065467239984488</v>
      </c>
      <c r="F88" s="3">
        <f t="shared" si="155"/>
        <v>31694.778086778224</v>
      </c>
      <c r="G88" s="3">
        <f t="shared" si="155"/>
        <v>0.52673638170362891</v>
      </c>
      <c r="H88" s="3">
        <f t="shared" si="155"/>
        <v>10.572944340223554</v>
      </c>
      <c r="I88" s="3">
        <f t="shared" si="130"/>
        <v>31914.70698486975</v>
      </c>
    </row>
    <row r="89" spans="1:19" hidden="1">
      <c r="A89">
        <v>2038</v>
      </c>
      <c r="B89" s="3">
        <f>B86+(B91-B86)/5*3</f>
        <v>18.509524191412147</v>
      </c>
      <c r="C89" s="3">
        <f t="shared" ref="C89:H89" si="156">C86+(C91-C86)/5*3</f>
        <v>1.7469570383877593</v>
      </c>
      <c r="D89" s="3">
        <f t="shared" si="156"/>
        <v>2.9418020572198769</v>
      </c>
      <c r="E89" s="3">
        <f t="shared" si="156"/>
        <v>0.43445046683062599</v>
      </c>
      <c r="F89" s="3">
        <f t="shared" si="156"/>
        <v>29256.718233949126</v>
      </c>
      <c r="G89" s="3">
        <f t="shared" si="156"/>
        <v>0.48621819849565739</v>
      </c>
      <c r="H89" s="3">
        <f t="shared" si="156"/>
        <v>9.7596409294371256</v>
      </c>
      <c r="I89" s="3">
        <f t="shared" si="130"/>
        <v>29459.729524495149</v>
      </c>
    </row>
    <row r="90" spans="1:19" hidden="1">
      <c r="A90">
        <v>2039</v>
      </c>
      <c r="B90" s="3">
        <f>B86+(B91-B86)/5*4</f>
        <v>16.9670638421278</v>
      </c>
      <c r="C90" s="3">
        <f t="shared" ref="C90:H90" si="157">C86+(C91-C86)/5*4</f>
        <v>1.6013772851887791</v>
      </c>
      <c r="D90" s="3">
        <f t="shared" si="157"/>
        <v>2.6966518857848869</v>
      </c>
      <c r="E90" s="3">
        <f t="shared" si="157"/>
        <v>0.39824626126140716</v>
      </c>
      <c r="F90" s="3">
        <f t="shared" si="157"/>
        <v>26818.658381120033</v>
      </c>
      <c r="G90" s="3">
        <f t="shared" si="157"/>
        <v>0.44570001528768588</v>
      </c>
      <c r="H90" s="3">
        <f t="shared" si="157"/>
        <v>8.9463375186506973</v>
      </c>
      <c r="I90" s="3">
        <f t="shared" si="130"/>
        <v>27004.752064120556</v>
      </c>
    </row>
    <row r="91" spans="1:19" hidden="1">
      <c r="A91">
        <v>2040</v>
      </c>
      <c r="B91" s="3">
        <f t="shared" ref="B91" si="158">K76*$O80</f>
        <v>15.424603492843451</v>
      </c>
      <c r="C91" s="3">
        <f t="shared" ref="C91" si="159">L76*$O80</f>
        <v>1.4557975319897991</v>
      </c>
      <c r="D91" s="3">
        <f t="shared" ref="D91" si="160">M76*$O80</f>
        <v>2.4515017143498969</v>
      </c>
      <c r="E91" s="3">
        <f t="shared" ref="E91" si="161">N76*$O80</f>
        <v>0.36204205569218828</v>
      </c>
      <c r="F91" s="3">
        <f t="shared" ref="F91" si="162">O76*$O80</f>
        <v>24380.598528290935</v>
      </c>
      <c r="G91" s="3">
        <f t="shared" ref="G91" si="163">P76*$O80</f>
        <v>0.40518183207971442</v>
      </c>
      <c r="H91" s="3">
        <f t="shared" ref="H91" si="164">Q76*$O80</f>
        <v>8.1330341078642707</v>
      </c>
      <c r="I91" s="3">
        <f t="shared" si="130"/>
        <v>24549.774603745955</v>
      </c>
    </row>
    <row r="92" spans="1:19" hidden="1"/>
    <row r="93" spans="1:19">
      <c r="B93" s="2" t="s">
        <v>446</v>
      </c>
    </row>
    <row r="94" spans="1:19">
      <c r="B94">
        <v>2020</v>
      </c>
    </row>
    <row r="95" spans="1:19">
      <c r="B95" t="s">
        <v>8</v>
      </c>
      <c r="C95" t="s">
        <v>10</v>
      </c>
      <c r="D95" t="s">
        <v>14</v>
      </c>
      <c r="E95" t="s">
        <v>15</v>
      </c>
      <c r="F95" t="s">
        <v>16</v>
      </c>
      <c r="G95" t="s">
        <v>115</v>
      </c>
      <c r="H95" t="s">
        <v>116</v>
      </c>
      <c r="I95" t="s">
        <v>47</v>
      </c>
      <c r="K95" s="198"/>
      <c r="L95" s="199"/>
      <c r="M95" s="199"/>
      <c r="N95" s="199"/>
      <c r="O95" s="199"/>
      <c r="P95" s="199"/>
      <c r="Q95" s="199"/>
      <c r="S95" s="302"/>
    </row>
    <row r="96" spans="1:19">
      <c r="A96">
        <v>2020</v>
      </c>
      <c r="B96" s="3">
        <f>B12</f>
        <v>104.15889887196262</v>
      </c>
      <c r="C96" s="3">
        <f t="shared" ref="C96:I96" si="165">C12</f>
        <v>2.266678782332848</v>
      </c>
      <c r="D96" s="3">
        <f t="shared" si="165"/>
        <v>30.36979283738318</v>
      </c>
      <c r="E96" s="3">
        <f t="shared" si="165"/>
        <v>4.5080161242990648</v>
      </c>
      <c r="F96" s="3">
        <f t="shared" si="165"/>
        <v>52055.011243307483</v>
      </c>
      <c r="G96" s="3">
        <f t="shared" si="165"/>
        <v>1.7680724209037946</v>
      </c>
      <c r="H96" s="3">
        <f t="shared" si="165"/>
        <v>61.214113687850471</v>
      </c>
      <c r="I96" s="3">
        <f t="shared" si="165"/>
        <v>54157.644869283184</v>
      </c>
      <c r="K96" s="199"/>
      <c r="L96" s="199"/>
      <c r="M96" s="199"/>
      <c r="N96" s="199"/>
      <c r="O96" s="199"/>
      <c r="P96" s="199"/>
      <c r="Q96" s="199"/>
      <c r="S96" s="302"/>
    </row>
    <row r="97" spans="1:19">
      <c r="A97">
        <v>2025</v>
      </c>
      <c r="B97" s="3">
        <f t="shared" ref="B97:I97" si="166">B13</f>
        <v>104.15889887196262</v>
      </c>
      <c r="C97" s="3">
        <f t="shared" si="166"/>
        <v>2.266678782332848</v>
      </c>
      <c r="D97" s="3">
        <f t="shared" si="166"/>
        <v>30.36979283738318</v>
      </c>
      <c r="E97" s="3">
        <f t="shared" si="166"/>
        <v>4.5080161242990648</v>
      </c>
      <c r="F97" s="3">
        <f t="shared" si="166"/>
        <v>52055.011243307483</v>
      </c>
      <c r="G97" s="3">
        <f t="shared" si="166"/>
        <v>1.7680724209037946</v>
      </c>
      <c r="H97" s="3">
        <f t="shared" si="166"/>
        <v>61.214113687850471</v>
      </c>
      <c r="I97" s="3">
        <f t="shared" si="166"/>
        <v>54157.644869283184</v>
      </c>
      <c r="K97" s="200"/>
      <c r="L97" s="200"/>
      <c r="M97" s="200"/>
      <c r="N97" s="200"/>
      <c r="O97" s="200"/>
      <c r="P97" s="200"/>
      <c r="Q97" s="200"/>
      <c r="S97" s="302"/>
    </row>
    <row r="98" spans="1:19">
      <c r="A98">
        <v>2026</v>
      </c>
      <c r="B98" s="3">
        <f t="shared" ref="B98:I98" si="167">B14</f>
        <v>94.242382275140187</v>
      </c>
      <c r="C98" s="3">
        <f t="shared" si="167"/>
        <v>2.0508781353588481</v>
      </c>
      <c r="D98" s="3">
        <f t="shared" si="167"/>
        <v>27.478416699813085</v>
      </c>
      <c r="E98" s="3">
        <f t="shared" si="167"/>
        <v>4.0788274788785044</v>
      </c>
      <c r="F98" s="3">
        <f t="shared" si="167"/>
        <v>47099.079599131968</v>
      </c>
      <c r="G98" s="3">
        <f t="shared" si="167"/>
        <v>1.599741921098597</v>
      </c>
      <c r="H98" s="3">
        <f t="shared" si="167"/>
        <v>55.386183660560746</v>
      </c>
      <c r="I98" s="3">
        <f t="shared" si="167"/>
        <v>49001.530605333093</v>
      </c>
      <c r="K98" s="199"/>
      <c r="L98" s="199"/>
      <c r="M98" s="199"/>
      <c r="N98" s="199"/>
      <c r="O98" s="199"/>
      <c r="P98" s="199"/>
      <c r="Q98" s="199"/>
    </row>
    <row r="99" spans="1:19">
      <c r="A99">
        <v>2027</v>
      </c>
      <c r="B99" s="3">
        <f t="shared" ref="B99:I99" si="168">B15</f>
        <v>84.325865678317754</v>
      </c>
      <c r="C99" s="3">
        <f t="shared" si="168"/>
        <v>1.8350774883848484</v>
      </c>
      <c r="D99" s="3">
        <f t="shared" si="168"/>
        <v>24.58704056224299</v>
      </c>
      <c r="E99" s="3">
        <f t="shared" si="168"/>
        <v>3.649638833457943</v>
      </c>
      <c r="F99" s="3">
        <f t="shared" si="168"/>
        <v>42143.147954956454</v>
      </c>
      <c r="G99" s="3">
        <f t="shared" si="168"/>
        <v>1.4314114212933995</v>
      </c>
      <c r="H99" s="3">
        <f t="shared" si="168"/>
        <v>49.558253633271029</v>
      </c>
      <c r="I99" s="3">
        <f t="shared" si="168"/>
        <v>43845.416341382996</v>
      </c>
      <c r="K99" s="198"/>
      <c r="L99" s="199"/>
      <c r="M99" s="199"/>
      <c r="N99" s="199"/>
      <c r="O99" s="199"/>
      <c r="P99" s="199"/>
      <c r="Q99" s="199"/>
    </row>
    <row r="100" spans="1:19">
      <c r="A100">
        <v>2028</v>
      </c>
      <c r="B100" s="3">
        <f t="shared" ref="B100:I100" si="169">B16</f>
        <v>74.409349081495321</v>
      </c>
      <c r="C100" s="3">
        <f t="shared" si="169"/>
        <v>1.6192768414108485</v>
      </c>
      <c r="D100" s="3">
        <f t="shared" si="169"/>
        <v>21.695664424672898</v>
      </c>
      <c r="E100" s="3">
        <f t="shared" si="169"/>
        <v>3.2204501880373826</v>
      </c>
      <c r="F100" s="3">
        <f t="shared" si="169"/>
        <v>37187.216310780932</v>
      </c>
      <c r="G100" s="3">
        <f t="shared" si="169"/>
        <v>1.2630809214882017</v>
      </c>
      <c r="H100" s="3">
        <f t="shared" si="169"/>
        <v>43.730323605981305</v>
      </c>
      <c r="I100" s="3">
        <f t="shared" si="169"/>
        <v>38689.302077432898</v>
      </c>
      <c r="K100" s="199"/>
      <c r="L100" s="199"/>
      <c r="M100" s="199"/>
      <c r="N100" s="199"/>
      <c r="O100" s="199"/>
      <c r="P100" s="199"/>
      <c r="Q100" s="199"/>
    </row>
    <row r="101" spans="1:19">
      <c r="A101">
        <v>2029</v>
      </c>
      <c r="B101" s="3">
        <f t="shared" ref="B101:I101" si="170">B17</f>
        <v>64.492832484672888</v>
      </c>
      <c r="C101" s="3">
        <f t="shared" si="170"/>
        <v>1.4034761944368488</v>
      </c>
      <c r="D101" s="3">
        <f t="shared" si="170"/>
        <v>18.8042882871028</v>
      </c>
      <c r="E101" s="3">
        <f t="shared" si="170"/>
        <v>2.7912615426168217</v>
      </c>
      <c r="F101" s="3">
        <f t="shared" si="170"/>
        <v>32231.284666605417</v>
      </c>
      <c r="G101" s="3">
        <f t="shared" si="170"/>
        <v>1.0947504216830044</v>
      </c>
      <c r="H101" s="3">
        <f t="shared" si="170"/>
        <v>37.902393578691587</v>
      </c>
      <c r="I101" s="3">
        <f t="shared" si="170"/>
        <v>33533.1878134828</v>
      </c>
      <c r="K101" s="201"/>
      <c r="L101" s="201"/>
      <c r="M101" s="201"/>
      <c r="N101" s="201"/>
      <c r="O101" s="201"/>
      <c r="P101" s="201"/>
      <c r="Q101" s="201"/>
    </row>
    <row r="102" spans="1:19">
      <c r="A102">
        <v>2030</v>
      </c>
      <c r="B102" s="3">
        <f t="shared" ref="B102:I102" si="171">B18</f>
        <v>54.576315887850456</v>
      </c>
      <c r="C102" s="3">
        <f t="shared" si="171"/>
        <v>1.1876755474628489</v>
      </c>
      <c r="D102" s="3">
        <f t="shared" si="171"/>
        <v>15.912912149532707</v>
      </c>
      <c r="E102" s="3">
        <f t="shared" si="171"/>
        <v>2.3620728971962608</v>
      </c>
      <c r="F102" s="3">
        <f t="shared" si="171"/>
        <v>27275.353022429899</v>
      </c>
      <c r="G102" s="3">
        <f t="shared" si="171"/>
        <v>0.92641992187780675</v>
      </c>
      <c r="H102" s="3">
        <f t="shared" si="171"/>
        <v>32.074463551401863</v>
      </c>
      <c r="I102" s="3">
        <f t="shared" si="171"/>
        <v>28377.073549532703</v>
      </c>
      <c r="K102" s="199"/>
      <c r="L102" s="199"/>
      <c r="M102" s="199"/>
      <c r="N102" s="199"/>
      <c r="O102" s="199"/>
      <c r="P102" s="199"/>
      <c r="Q102" s="199"/>
    </row>
    <row r="103" spans="1:19">
      <c r="A103">
        <v>2031</v>
      </c>
      <c r="B103" s="3">
        <f t="shared" ref="B103:I103" si="172">B19</f>
        <v>51.847500093457938</v>
      </c>
      <c r="C103" s="3">
        <f t="shared" si="172"/>
        <v>1.1282917700897066</v>
      </c>
      <c r="D103" s="3">
        <f t="shared" si="172"/>
        <v>15.117266542056072</v>
      </c>
      <c r="E103" s="3">
        <f t="shared" si="172"/>
        <v>2.2439692523364481</v>
      </c>
      <c r="F103" s="3">
        <f t="shared" si="172"/>
        <v>25911.585371308407</v>
      </c>
      <c r="G103" s="3">
        <f t="shared" si="172"/>
        <v>0.88009892578391646</v>
      </c>
      <c r="H103" s="3">
        <f t="shared" si="172"/>
        <v>30.47074037383177</v>
      </c>
      <c r="I103" s="3">
        <f t="shared" si="172"/>
        <v>26958.21987205607</v>
      </c>
      <c r="K103" s="303" t="s">
        <v>166</v>
      </c>
      <c r="L103" s="304"/>
      <c r="M103" s="199"/>
      <c r="N103" s="199"/>
      <c r="O103" s="199"/>
      <c r="P103" s="199"/>
      <c r="Q103" s="199"/>
    </row>
    <row r="104" spans="1:19">
      <c r="A104">
        <v>2032</v>
      </c>
      <c r="B104" s="3">
        <f t="shared" ref="B104:I104" si="173">B20</f>
        <v>49.118684299065414</v>
      </c>
      <c r="C104" s="3">
        <f t="shared" si="173"/>
        <v>1.0689079927165641</v>
      </c>
      <c r="D104" s="3">
        <f t="shared" si="173"/>
        <v>14.321620934579437</v>
      </c>
      <c r="E104" s="3">
        <f t="shared" si="173"/>
        <v>2.1258656074766349</v>
      </c>
      <c r="F104" s="3">
        <f t="shared" si="173"/>
        <v>24547.817720186911</v>
      </c>
      <c r="G104" s="3">
        <f t="shared" si="173"/>
        <v>0.83377792969002618</v>
      </c>
      <c r="H104" s="3">
        <f t="shared" si="173"/>
        <v>28.867017196261678</v>
      </c>
      <c r="I104" s="3">
        <f t="shared" si="173"/>
        <v>25539.366194579434</v>
      </c>
      <c r="K104" s="202" t="s">
        <v>14</v>
      </c>
      <c r="L104" s="203" t="s">
        <v>15</v>
      </c>
      <c r="M104" s="199"/>
      <c r="N104" s="199"/>
      <c r="O104" s="199"/>
      <c r="P104" s="199"/>
      <c r="Q104" s="199"/>
    </row>
    <row r="105" spans="1:19">
      <c r="A105">
        <v>2033</v>
      </c>
      <c r="B105" s="3">
        <f t="shared" ref="B105:I105" si="174">B21</f>
        <v>46.389868504672897</v>
      </c>
      <c r="C105" s="3">
        <f t="shared" si="174"/>
        <v>1.0095242153434218</v>
      </c>
      <c r="D105" s="3">
        <f t="shared" si="174"/>
        <v>13.525975327102802</v>
      </c>
      <c r="E105" s="3">
        <f t="shared" si="174"/>
        <v>2.0077619626168222</v>
      </c>
      <c r="F105" s="3">
        <f t="shared" si="174"/>
        <v>23184.050069065419</v>
      </c>
      <c r="G105" s="3">
        <f t="shared" si="174"/>
        <v>0.78745693359613589</v>
      </c>
      <c r="H105" s="3">
        <f t="shared" si="174"/>
        <v>27.263294018691589</v>
      </c>
      <c r="I105" s="3">
        <f t="shared" si="174"/>
        <v>24120.512517102801</v>
      </c>
      <c r="K105" s="204">
        <v>25</v>
      </c>
      <c r="L105" s="205">
        <v>298</v>
      </c>
      <c r="M105" s="199"/>
      <c r="N105" s="199"/>
      <c r="O105" s="199"/>
      <c r="P105" s="199"/>
      <c r="Q105" s="199"/>
    </row>
    <row r="106" spans="1:19">
      <c r="A106">
        <v>2034</v>
      </c>
      <c r="B106" s="3">
        <f t="shared" ref="B106:I106" si="175">B22</f>
        <v>43.661052710280373</v>
      </c>
      <c r="C106" s="3">
        <f t="shared" si="175"/>
        <v>0.95014043797027947</v>
      </c>
      <c r="D106" s="3">
        <f t="shared" si="175"/>
        <v>12.73032971962617</v>
      </c>
      <c r="E106" s="3">
        <f t="shared" si="175"/>
        <v>1.8896583177570092</v>
      </c>
      <c r="F106" s="3">
        <f t="shared" si="175"/>
        <v>21820.282417943927</v>
      </c>
      <c r="G106" s="3">
        <f t="shared" si="175"/>
        <v>0.7411359375022456</v>
      </c>
      <c r="H106" s="3">
        <f t="shared" si="175"/>
        <v>25.659570841121496</v>
      </c>
      <c r="I106" s="3">
        <f t="shared" si="175"/>
        <v>22701.658839626169</v>
      </c>
    </row>
    <row r="107" spans="1:19">
      <c r="A107">
        <v>2035</v>
      </c>
      <c r="B107" s="3">
        <f t="shared" ref="B107:I107" si="176">B23</f>
        <v>40.932236915887856</v>
      </c>
      <c r="C107" s="3">
        <f t="shared" si="176"/>
        <v>0.8907566605971371</v>
      </c>
      <c r="D107" s="3">
        <f t="shared" si="176"/>
        <v>11.934684112149535</v>
      </c>
      <c r="E107" s="3">
        <f t="shared" si="176"/>
        <v>1.7715546728971963</v>
      </c>
      <c r="F107" s="3">
        <f t="shared" si="176"/>
        <v>20456.514766822431</v>
      </c>
      <c r="G107" s="3">
        <f t="shared" si="176"/>
        <v>0.69481494140835531</v>
      </c>
      <c r="H107" s="3">
        <f t="shared" si="176"/>
        <v>24.055847663551404</v>
      </c>
      <c r="I107" s="3">
        <f t="shared" si="176"/>
        <v>21282.805162149532</v>
      </c>
    </row>
    <row r="108" spans="1:19">
      <c r="A108">
        <v>2036</v>
      </c>
      <c r="B108" s="3">
        <f t="shared" ref="B108:I108" si="177">B24</f>
        <v>38.203421121495332</v>
      </c>
      <c r="C108" s="3">
        <f t="shared" si="177"/>
        <v>0.83137288322399461</v>
      </c>
      <c r="D108" s="3">
        <f t="shared" si="177"/>
        <v>11.139038504672898</v>
      </c>
      <c r="E108" s="3">
        <f t="shared" si="177"/>
        <v>1.6534510280373831</v>
      </c>
      <c r="F108" s="3">
        <f t="shared" si="177"/>
        <v>19092.747115700935</v>
      </c>
      <c r="G108" s="3">
        <f t="shared" si="177"/>
        <v>0.64849394531446491</v>
      </c>
      <c r="H108" s="3">
        <f t="shared" si="177"/>
        <v>22.452124485981308</v>
      </c>
      <c r="I108" s="3">
        <f t="shared" si="177"/>
        <v>19863.9514846729</v>
      </c>
    </row>
    <row r="109" spans="1:19">
      <c r="A109">
        <v>2037</v>
      </c>
      <c r="B109" s="3">
        <f t="shared" ref="B109:I109" si="178">B25</f>
        <v>35.474605327102807</v>
      </c>
      <c r="C109" s="3">
        <f t="shared" si="178"/>
        <v>0.77198910585085201</v>
      </c>
      <c r="D109" s="3">
        <f t="shared" si="178"/>
        <v>10.343392897196262</v>
      </c>
      <c r="E109" s="3">
        <f t="shared" si="178"/>
        <v>1.5353473831775699</v>
      </c>
      <c r="F109" s="3">
        <f t="shared" si="178"/>
        <v>17728.979464579439</v>
      </c>
      <c r="G109" s="3">
        <f t="shared" si="178"/>
        <v>0.60217294922057452</v>
      </c>
      <c r="H109" s="3">
        <f t="shared" si="178"/>
        <v>20.848401308411216</v>
      </c>
      <c r="I109" s="3">
        <f t="shared" si="178"/>
        <v>18445.097807196264</v>
      </c>
    </row>
    <row r="110" spans="1:19">
      <c r="A110">
        <v>2038</v>
      </c>
      <c r="B110" s="3">
        <f t="shared" ref="B110:I110" si="179">B26</f>
        <v>32.745789532710276</v>
      </c>
      <c r="C110" s="3">
        <f t="shared" si="179"/>
        <v>0.71260532847770952</v>
      </c>
      <c r="D110" s="3">
        <f t="shared" si="179"/>
        <v>9.5477472897196272</v>
      </c>
      <c r="E110" s="3">
        <f t="shared" si="179"/>
        <v>1.4172437383177567</v>
      </c>
      <c r="F110" s="3">
        <f t="shared" si="179"/>
        <v>16365.211813457941</v>
      </c>
      <c r="G110" s="3">
        <f t="shared" si="179"/>
        <v>0.55585195312668412</v>
      </c>
      <c r="H110" s="3">
        <f t="shared" si="179"/>
        <v>19.24467813084112</v>
      </c>
      <c r="I110" s="3">
        <f t="shared" si="179"/>
        <v>17026.244129719624</v>
      </c>
    </row>
    <row r="111" spans="1:19">
      <c r="A111">
        <v>2039</v>
      </c>
      <c r="B111" s="3">
        <f t="shared" ref="B111:I111" si="180">B27</f>
        <v>30.016973738317752</v>
      </c>
      <c r="C111" s="3">
        <f t="shared" si="180"/>
        <v>0.65322155110456692</v>
      </c>
      <c r="D111" s="3">
        <f t="shared" si="180"/>
        <v>8.7521016822429907</v>
      </c>
      <c r="E111" s="3">
        <f t="shared" si="180"/>
        <v>1.2991400934579436</v>
      </c>
      <c r="F111" s="3">
        <f t="shared" si="180"/>
        <v>15001.444162336446</v>
      </c>
      <c r="G111" s="3">
        <f t="shared" si="180"/>
        <v>0.50953095703279372</v>
      </c>
      <c r="H111" s="3">
        <f t="shared" si="180"/>
        <v>17.640954953271027</v>
      </c>
      <c r="I111" s="3">
        <f t="shared" si="180"/>
        <v>15607.390452242988</v>
      </c>
    </row>
    <row r="112" spans="1:19">
      <c r="A112">
        <v>2040</v>
      </c>
      <c r="B112" s="3">
        <f t="shared" ref="B112:I112" si="181">B28</f>
        <v>27.288157943925228</v>
      </c>
      <c r="C112" s="3">
        <f t="shared" si="181"/>
        <v>0.59383777373142443</v>
      </c>
      <c r="D112" s="3">
        <f t="shared" si="181"/>
        <v>7.9564560747663533</v>
      </c>
      <c r="E112" s="3">
        <f t="shared" si="181"/>
        <v>1.1810364485981304</v>
      </c>
      <c r="F112" s="3">
        <f t="shared" si="181"/>
        <v>13637.67651121495</v>
      </c>
      <c r="G112" s="3">
        <f t="shared" si="181"/>
        <v>0.46320996093890338</v>
      </c>
      <c r="H112" s="3">
        <f t="shared" si="181"/>
        <v>16.037231775700931</v>
      </c>
      <c r="I112" s="3">
        <f t="shared" si="181"/>
        <v>14188.536774766351</v>
      </c>
    </row>
    <row r="116" spans="1:11">
      <c r="B116" t="s">
        <v>479</v>
      </c>
    </row>
    <row r="117" spans="1:11" ht="144">
      <c r="A117" t="s">
        <v>480</v>
      </c>
      <c r="B117" s="266" t="s">
        <v>481</v>
      </c>
      <c r="C117" s="266" t="s">
        <v>482</v>
      </c>
      <c r="D117" s="266" t="s">
        <v>490</v>
      </c>
      <c r="E117" s="266" t="s">
        <v>491</v>
      </c>
      <c r="F117" s="266"/>
      <c r="G117" s="266" t="s">
        <v>483</v>
      </c>
      <c r="H117" s="266" t="s">
        <v>484</v>
      </c>
      <c r="I117" s="266" t="s">
        <v>485</v>
      </c>
      <c r="J117" s="266" t="s">
        <v>492</v>
      </c>
      <c r="K117" s="266" t="s">
        <v>493</v>
      </c>
    </row>
    <row r="118" spans="1:11">
      <c r="A118" t="s">
        <v>6</v>
      </c>
      <c r="B118">
        <v>1.966355526440261</v>
      </c>
      <c r="C118">
        <v>0.27454399570409854</v>
      </c>
      <c r="D118">
        <f>B118+C118</f>
        <v>2.2408995221443595</v>
      </c>
      <c r="E118">
        <v>1.936075648492201</v>
      </c>
      <c r="G118">
        <v>5.8305443169747208E-2</v>
      </c>
      <c r="H118">
        <v>1.4297293946912044E-2</v>
      </c>
      <c r="I118">
        <v>1.4880754615852903E-2</v>
      </c>
      <c r="J118">
        <f>G118+H118+I118</f>
        <v>8.7483491732512159E-2</v>
      </c>
    </row>
    <row r="119" spans="1:11">
      <c r="A119" t="s">
        <v>8</v>
      </c>
      <c r="B119">
        <v>5.7834557927004164</v>
      </c>
      <c r="C119">
        <v>3.2384585313660845</v>
      </c>
      <c r="D119">
        <f t="shared" ref="D119:D124" si="182">B119+C119</f>
        <v>9.0219143240665005</v>
      </c>
      <c r="E119">
        <v>0.39707327111225321</v>
      </c>
      <c r="G119">
        <v>1.3371825856423363</v>
      </c>
      <c r="H119">
        <v>0.13532561703651533</v>
      </c>
      <c r="I119">
        <v>0.14084814286092234</v>
      </c>
      <c r="J119">
        <f t="shared" ref="J119:J124" si="183">G119+H119+I119</f>
        <v>1.6133563455397739</v>
      </c>
    </row>
    <row r="120" spans="1:11">
      <c r="A120" t="s">
        <v>10</v>
      </c>
      <c r="B120">
        <v>0.287728981896688</v>
      </c>
      <c r="C120">
        <v>0.65409520776187935</v>
      </c>
      <c r="D120">
        <f t="shared" si="182"/>
        <v>0.94182418965856729</v>
      </c>
      <c r="E120">
        <v>0.18735969036007524</v>
      </c>
      <c r="G120">
        <v>6.5201701231150364E-2</v>
      </c>
      <c r="H120">
        <v>2.2096940256035712E-3</v>
      </c>
      <c r="I120">
        <v>2.2998698000627469E-3</v>
      </c>
      <c r="J120">
        <f t="shared" si="183"/>
        <v>6.9711265056816685E-2</v>
      </c>
    </row>
    <row r="121" spans="1:11">
      <c r="A121" t="s">
        <v>11</v>
      </c>
      <c r="B121">
        <v>2.0145232331484935</v>
      </c>
      <c r="C121">
        <v>0.91092892372459533</v>
      </c>
      <c r="D121">
        <f t="shared" si="182"/>
        <v>2.9254521568730887</v>
      </c>
      <c r="E121">
        <v>0.31434940557875063</v>
      </c>
      <c r="G121">
        <v>0.33292719867133003</v>
      </c>
      <c r="H121">
        <v>5.4697804759960425E-3</v>
      </c>
      <c r="I121">
        <v>5.6929976657198074E-3</v>
      </c>
      <c r="J121">
        <f t="shared" si="183"/>
        <v>0.34408997681304587</v>
      </c>
    </row>
    <row r="122" spans="1:11">
      <c r="A122" t="s">
        <v>486</v>
      </c>
      <c r="B122">
        <v>35.627348399181514</v>
      </c>
      <c r="C122">
        <v>0.36746484731323875</v>
      </c>
      <c r="D122">
        <f t="shared" si="182"/>
        <v>35.994813246494751</v>
      </c>
      <c r="G122">
        <v>0.41108381068773114</v>
      </c>
      <c r="H122">
        <v>0.1139677031727117</v>
      </c>
      <c r="I122">
        <v>0.11861863030463693</v>
      </c>
      <c r="J122">
        <f t="shared" si="183"/>
        <v>0.64367014416507973</v>
      </c>
    </row>
    <row r="123" spans="1:11">
      <c r="A123" t="s">
        <v>15</v>
      </c>
      <c r="B123">
        <v>0.13798401974396313</v>
      </c>
      <c r="C123">
        <v>7.142595780932022E-2</v>
      </c>
      <c r="D123">
        <f t="shared" si="182"/>
        <v>0.20940997755328333</v>
      </c>
      <c r="G123">
        <v>5.5127063701488621E-3</v>
      </c>
      <c r="H123">
        <v>3.5235778665835231E-4</v>
      </c>
      <c r="I123">
        <v>3.6673721472869745E-4</v>
      </c>
      <c r="J123">
        <f t="shared" si="183"/>
        <v>6.2318013715359118E-3</v>
      </c>
    </row>
    <row r="124" spans="1:11">
      <c r="A124" t="s">
        <v>487</v>
      </c>
      <c r="B124">
        <v>3560.7607336488581</v>
      </c>
      <c r="C124">
        <v>8042.897545986837</v>
      </c>
      <c r="D124">
        <f t="shared" si="182"/>
        <v>11603.658279635696</v>
      </c>
      <c r="E124">
        <v>461</v>
      </c>
      <c r="G124">
        <v>247.3391824708375</v>
      </c>
      <c r="H124">
        <v>93.782587986220733</v>
      </c>
      <c r="I124">
        <v>97.609777363778676</v>
      </c>
      <c r="J124">
        <f t="shared" si="183"/>
        <v>438.73154782083691</v>
      </c>
    </row>
    <row r="125" spans="1:11">
      <c r="A125" t="s">
        <v>488</v>
      </c>
      <c r="G125">
        <v>6.6669999999999998</v>
      </c>
      <c r="K125">
        <f>G125+G126</f>
        <v>19.749000000000002</v>
      </c>
    </row>
    <row r="126" spans="1:11">
      <c r="A126" t="s">
        <v>489</v>
      </c>
      <c r="G126">
        <v>13.082000000000001</v>
      </c>
    </row>
  </sheetData>
  <sheetProtection algorithmName="SHA-512" hashValue="p1u++kCBdDfi8mgeETIfP39EtfdkeuOBHTcmfwisv98ZgLtZVaO7k4d1eHxquMhTq5YYvuEBdy4BsqgSk1grlg==" saltValue="0M8UJr9IRnp4m22UTxUslA==" spinCount="100000" sheet="1" objects="1" scenarios="1"/>
  <mergeCells count="10">
    <mergeCell ref="S95:S97"/>
    <mergeCell ref="K103:L103"/>
    <mergeCell ref="S11:S13"/>
    <mergeCell ref="K19:L19"/>
    <mergeCell ref="S32:S34"/>
    <mergeCell ref="K40:L40"/>
    <mergeCell ref="S53:S55"/>
    <mergeCell ref="K61:L61"/>
    <mergeCell ref="S74:S76"/>
    <mergeCell ref="K82:L82"/>
  </mergeCells>
  <pageMargins left="0.7" right="0.7" top="0.75" bottom="0.75" header="0.3" footer="0.3"/>
  <pageSetup scale="8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G39"/>
  <sheetViews>
    <sheetView workbookViewId="0"/>
  </sheetViews>
  <sheetFormatPr baseColWidth="10" defaultColWidth="8.83203125" defaultRowHeight="15"/>
  <cols>
    <col min="2" max="2" width="41.1640625" customWidth="1"/>
    <col min="3" max="3" width="15.6640625" customWidth="1"/>
    <col min="10" max="10" width="21.1640625" customWidth="1"/>
  </cols>
  <sheetData>
    <row r="1" spans="1:7">
      <c r="A1" s="2" t="s">
        <v>516</v>
      </c>
    </row>
    <row r="5" spans="1:7">
      <c r="A5" s="2"/>
    </row>
    <row r="6" spans="1:7" ht="13.5" customHeight="1">
      <c r="A6" s="269"/>
    </row>
    <row r="8" spans="1:7">
      <c r="B8" s="246" t="s">
        <v>19</v>
      </c>
      <c r="C8" s="247">
        <v>2020</v>
      </c>
      <c r="D8" s="247">
        <v>2025</v>
      </c>
      <c r="E8" s="247">
        <v>2030</v>
      </c>
      <c r="F8" s="247">
        <v>2035</v>
      </c>
      <c r="G8" s="247">
        <v>2040</v>
      </c>
    </row>
    <row r="9" spans="1:7">
      <c r="B9" s="248" t="s">
        <v>445</v>
      </c>
      <c r="C9" s="248">
        <f>A15</f>
        <v>0.61829999999999996</v>
      </c>
      <c r="D9" s="248">
        <f t="shared" ref="D9:G9" si="0">B15</f>
        <v>0.70914999999999995</v>
      </c>
      <c r="E9" s="248">
        <f t="shared" si="0"/>
        <v>0.8</v>
      </c>
      <c r="F9" s="248">
        <f t="shared" si="0"/>
        <v>0.85</v>
      </c>
      <c r="G9" s="248">
        <f t="shared" si="0"/>
        <v>0.9</v>
      </c>
    </row>
    <row r="11" spans="1:7">
      <c r="A11" s="2"/>
    </row>
    <row r="13" spans="1:7">
      <c r="A13" t="s">
        <v>517</v>
      </c>
      <c r="B13" s="270"/>
    </row>
    <row r="14" spans="1:7">
      <c r="A14">
        <v>2020</v>
      </c>
      <c r="B14" s="270">
        <v>2025</v>
      </c>
      <c r="C14">
        <v>2030</v>
      </c>
      <c r="D14">
        <v>2035</v>
      </c>
      <c r="E14">
        <v>2040</v>
      </c>
      <c r="F14">
        <v>2045</v>
      </c>
      <c r="G14">
        <v>2050</v>
      </c>
    </row>
    <row r="15" spans="1:7">
      <c r="A15">
        <v>0.61829999999999996</v>
      </c>
      <c r="B15" s="271">
        <v>0.70914999999999995</v>
      </c>
      <c r="C15">
        <v>0.8</v>
      </c>
      <c r="D15">
        <v>0.85</v>
      </c>
      <c r="E15">
        <v>0.9</v>
      </c>
      <c r="F15">
        <v>0.95</v>
      </c>
      <c r="G15">
        <v>1</v>
      </c>
    </row>
    <row r="16" spans="1:7">
      <c r="B16" s="270"/>
      <c r="D16" t="s">
        <v>518</v>
      </c>
    </row>
    <row r="17" spans="1:1">
      <c r="A17" t="s">
        <v>519</v>
      </c>
    </row>
    <row r="34" spans="1:7">
      <c r="D34" s="270"/>
      <c r="E34" s="63"/>
    </row>
    <row r="35" spans="1:7">
      <c r="D35" s="9"/>
    </row>
    <row r="39" spans="1:7">
      <c r="A39" s="9"/>
      <c r="B39" s="9"/>
      <c r="C39" s="270"/>
      <c r="D39" s="270"/>
      <c r="E39" s="270"/>
      <c r="F39" s="270"/>
      <c r="G39" s="270"/>
    </row>
  </sheetData>
  <sheetProtection algorithmName="SHA-512" hashValue="d7HBqru7B2Xr9uLVnqP1VMm0JjzF52bWuXG3qvqDFIEH1x2VvFLi09P8byy0HxOiW7+ZFQLNeRQ4fvZ13qzdNQ==" saltValue="ECG4FYM2KUuNCQhj8RNEhA==" spinCount="100000" sheet="1" objects="1" scenarios="1"/>
  <pageMargins left="0.7" right="0.7" top="0.75" bottom="0.75" header="0.3" footer="0.3"/>
  <pageSetup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Y121"/>
  <sheetViews>
    <sheetView topLeftCell="A37" workbookViewId="0">
      <selection activeCell="G79" sqref="G79"/>
    </sheetView>
  </sheetViews>
  <sheetFormatPr baseColWidth="10" defaultColWidth="8.83203125" defaultRowHeight="15"/>
  <cols>
    <col min="1" max="1" width="22" customWidth="1"/>
    <col min="2" max="2" width="21" customWidth="1"/>
    <col min="3" max="3" width="20.83203125" customWidth="1"/>
    <col min="4" max="4" width="21.5" customWidth="1"/>
    <col min="5" max="5" width="20.5" customWidth="1"/>
    <col min="6" max="6" width="14.83203125" customWidth="1"/>
    <col min="7" max="7" width="14.5" customWidth="1"/>
  </cols>
  <sheetData>
    <row r="1" spans="1:5">
      <c r="A1" t="s">
        <v>126</v>
      </c>
    </row>
    <row r="2" spans="1:5">
      <c r="A2" t="s">
        <v>105</v>
      </c>
    </row>
    <row r="3" spans="1:5">
      <c r="A3" t="s">
        <v>59</v>
      </c>
    </row>
    <row r="5" spans="1:5">
      <c r="E5" t="s">
        <v>58</v>
      </c>
    </row>
    <row r="6" spans="1:5">
      <c r="E6" t="s">
        <v>442</v>
      </c>
    </row>
    <row r="7" spans="1:5">
      <c r="E7" t="s">
        <v>443</v>
      </c>
    </row>
    <row r="8" spans="1:5">
      <c r="E8" t="s">
        <v>444</v>
      </c>
    </row>
    <row r="25" spans="1:7">
      <c r="A25" s="17" t="s">
        <v>66</v>
      </c>
    </row>
    <row r="26" spans="1:7" ht="27.75" customHeight="1">
      <c r="A26" s="18"/>
      <c r="B26" s="22" t="s">
        <v>60</v>
      </c>
      <c r="C26" s="23" t="s">
        <v>62</v>
      </c>
      <c r="D26" s="23" t="s">
        <v>63</v>
      </c>
      <c r="E26" s="23" t="s">
        <v>64</v>
      </c>
      <c r="G26" s="302" t="s">
        <v>127</v>
      </c>
    </row>
    <row r="27" spans="1:7" ht="15" customHeight="1">
      <c r="A27" s="21" t="s">
        <v>61</v>
      </c>
      <c r="B27" s="24"/>
      <c r="C27" s="25"/>
      <c r="D27" s="25"/>
      <c r="E27" s="25"/>
      <c r="G27" s="302"/>
    </row>
    <row r="28" spans="1:7" ht="15" customHeight="1">
      <c r="A28" s="19" t="s">
        <v>6</v>
      </c>
      <c r="B28" s="26">
        <v>2.1866754878548966</v>
      </c>
      <c r="C28" s="27">
        <v>1.3843453190325286</v>
      </c>
      <c r="D28" s="27">
        <v>1.9930696207146734</v>
      </c>
      <c r="E28" s="27">
        <v>1.5311545483181301</v>
      </c>
      <c r="G28" s="302"/>
    </row>
    <row r="29" spans="1:7" ht="15" customHeight="1">
      <c r="A29" s="19" t="s">
        <v>7</v>
      </c>
      <c r="B29" s="26">
        <v>21.034901086818003</v>
      </c>
      <c r="C29" s="27">
        <v>14.203449605047195</v>
      </c>
      <c r="D29" s="27">
        <v>18.364111552904628</v>
      </c>
      <c r="E29" s="27">
        <v>21.226645608020657</v>
      </c>
    </row>
    <row r="30" spans="1:7" ht="15" customHeight="1">
      <c r="A30" s="19" t="s">
        <v>8</v>
      </c>
      <c r="B30" s="26">
        <v>24.654131608605883</v>
      </c>
      <c r="C30" s="27">
        <v>48.640785186047147</v>
      </c>
      <c r="D30" s="27">
        <v>56.200603852297426</v>
      </c>
      <c r="E30" s="27">
        <v>58.288526099128077</v>
      </c>
    </row>
    <row r="31" spans="1:7" ht="15" customHeight="1">
      <c r="A31" s="19" t="s">
        <v>9</v>
      </c>
      <c r="B31" s="26">
        <v>2.9107747501684194</v>
      </c>
      <c r="C31" s="27">
        <v>7.1768326048667737</v>
      </c>
      <c r="D31" s="27">
        <v>6.5982328387855436</v>
      </c>
      <c r="E31" s="27">
        <v>6.9379361953170244</v>
      </c>
    </row>
    <row r="32" spans="1:7" ht="15" customHeight="1">
      <c r="A32" s="19" t="s">
        <v>10</v>
      </c>
      <c r="B32" s="26">
        <v>2.803330267226491</v>
      </c>
      <c r="C32" s="27">
        <v>6.35534772691501</v>
      </c>
      <c r="D32" s="27">
        <v>5.6642016841516725</v>
      </c>
      <c r="E32" s="27">
        <v>5.5013597255711888</v>
      </c>
    </row>
    <row r="33" spans="1:25" ht="15" customHeight="1">
      <c r="A33" s="19" t="s">
        <v>11</v>
      </c>
      <c r="B33" s="26">
        <v>6.2156801096536203</v>
      </c>
      <c r="C33" s="27">
        <v>50.440916232668343</v>
      </c>
      <c r="D33" s="27">
        <v>50.377348240961837</v>
      </c>
      <c r="E33" s="27">
        <v>30.734181989267732</v>
      </c>
    </row>
    <row r="34" spans="1:25" ht="15" customHeight="1">
      <c r="A34" s="19" t="s">
        <v>12</v>
      </c>
      <c r="B34" s="26">
        <v>0.20032587098650509</v>
      </c>
      <c r="C34" s="27">
        <v>0.3320061591165549</v>
      </c>
      <c r="D34" s="27">
        <v>0.30753809631714757</v>
      </c>
      <c r="E34" s="27">
        <v>0.25350489611781912</v>
      </c>
    </row>
    <row r="35" spans="1:25" ht="15" customHeight="1">
      <c r="A35" s="19" t="s">
        <v>13</v>
      </c>
      <c r="B35" s="26">
        <v>1.5615704354972839</v>
      </c>
      <c r="C35" s="27">
        <v>1.9641917514564646</v>
      </c>
      <c r="D35" s="27">
        <v>2.2005331127113683</v>
      </c>
      <c r="E35" s="27">
        <v>1.6319693052305919</v>
      </c>
    </row>
    <row r="36" spans="1:25" ht="15" customHeight="1">
      <c r="A36" s="19" t="s">
        <v>14</v>
      </c>
      <c r="B36" s="26">
        <v>4.9586850474199684</v>
      </c>
      <c r="C36" s="27">
        <v>10.382627952963064</v>
      </c>
      <c r="D36" s="27">
        <v>9.9003953680967651</v>
      </c>
      <c r="E36" s="27">
        <v>9.2640580177791847</v>
      </c>
    </row>
    <row r="37" spans="1:25" ht="15" customHeight="1">
      <c r="A37" s="19" t="s">
        <v>15</v>
      </c>
      <c r="B37" s="26">
        <v>0.41252772276951299</v>
      </c>
      <c r="C37" s="27">
        <v>1.6478794436111424</v>
      </c>
      <c r="D37" s="27">
        <v>1.5422162227104217</v>
      </c>
      <c r="E37" s="27">
        <v>1.3681322714056932</v>
      </c>
    </row>
    <row r="38" spans="1:25" ht="15" customHeight="1">
      <c r="A38" s="20" t="s">
        <v>16</v>
      </c>
      <c r="B38" s="28">
        <v>61671.825099843307</v>
      </c>
      <c r="C38" s="28">
        <v>111833.86399449916</v>
      </c>
      <c r="D38" s="28">
        <v>106298.29185240586</v>
      </c>
      <c r="E38" s="28">
        <v>92132.621385567632</v>
      </c>
    </row>
    <row r="39" spans="1:25">
      <c r="A39" s="19" t="s">
        <v>65</v>
      </c>
    </row>
    <row r="41" spans="1:25" hidden="1">
      <c r="A41" t="s">
        <v>107</v>
      </c>
    </row>
    <row r="42" spans="1:25" hidden="1">
      <c r="A42" t="s">
        <v>8</v>
      </c>
      <c r="B42" t="s">
        <v>10</v>
      </c>
      <c r="C42" t="s">
        <v>14</v>
      </c>
      <c r="D42" t="s">
        <v>15</v>
      </c>
      <c r="E42" t="s">
        <v>16</v>
      </c>
      <c r="F42" t="s">
        <v>115</v>
      </c>
      <c r="G42" t="s">
        <v>116</v>
      </c>
    </row>
    <row r="43" spans="1:25" hidden="1">
      <c r="A43" s="60">
        <f>E30</f>
        <v>58.288526099128077</v>
      </c>
      <c r="B43" s="60">
        <f>E32</f>
        <v>5.5013597255711888</v>
      </c>
      <c r="C43" s="60">
        <f>E36</f>
        <v>9.2640580177791847</v>
      </c>
      <c r="D43" s="60">
        <f>E37</f>
        <v>1.3681322714056932</v>
      </c>
      <c r="E43" s="3">
        <f>E38</f>
        <v>92132.621385567632</v>
      </c>
      <c r="F43" s="60">
        <f>E28</f>
        <v>1.5311545483181301</v>
      </c>
      <c r="G43" s="60">
        <f>E33</f>
        <v>30.734181989267732</v>
      </c>
    </row>
    <row r="44" spans="1:25" hidden="1"/>
    <row r="45" spans="1:25" hidden="1">
      <c r="A45" t="s">
        <v>96</v>
      </c>
    </row>
    <row r="46" spans="1:25" hidden="1">
      <c r="A46" s="173" t="s">
        <v>97</v>
      </c>
      <c r="B46" s="51"/>
      <c r="C46" s="52"/>
      <c r="D46" s="52"/>
      <c r="E46" s="52"/>
      <c r="F46" s="52"/>
      <c r="I46" s="52"/>
      <c r="J46" s="52"/>
      <c r="K46" s="52"/>
      <c r="L46" s="52"/>
      <c r="M46" s="52"/>
      <c r="N46" s="52"/>
      <c r="O46" s="52"/>
      <c r="P46" s="52"/>
      <c r="Q46" s="52"/>
      <c r="R46" s="52"/>
      <c r="S46" s="52"/>
      <c r="T46" s="52"/>
      <c r="U46" s="52"/>
      <c r="V46" s="52"/>
      <c r="W46" s="52"/>
      <c r="X46" s="52"/>
      <c r="Y46" s="52"/>
    </row>
    <row r="47" spans="1:25" hidden="1">
      <c r="A47" s="51"/>
      <c r="B47" s="51"/>
      <c r="C47" s="53"/>
      <c r="D47" s="307" t="s">
        <v>98</v>
      </c>
      <c r="E47" s="308"/>
    </row>
    <row r="48" spans="1:25" hidden="1">
      <c r="A48" s="51"/>
      <c r="B48" s="51"/>
      <c r="C48" s="54"/>
      <c r="D48" s="55" t="s">
        <v>99</v>
      </c>
      <c r="E48" s="56" t="s">
        <v>100</v>
      </c>
    </row>
    <row r="49" spans="1:7" hidden="1">
      <c r="A49" s="51"/>
      <c r="B49" s="51"/>
      <c r="C49" s="57" t="s">
        <v>101</v>
      </c>
      <c r="D49" s="58">
        <v>1.05756129080821E-3</v>
      </c>
      <c r="E49" s="59">
        <v>1.05756129080821E-3</v>
      </c>
    </row>
    <row r="50" spans="1:7" hidden="1">
      <c r="A50" s="51"/>
      <c r="B50" s="51"/>
      <c r="C50" s="57" t="s">
        <v>102</v>
      </c>
      <c r="D50" s="58">
        <v>0.27114327614777284</v>
      </c>
      <c r="E50" s="59">
        <v>0.27114327614777284</v>
      </c>
    </row>
    <row r="51" spans="1:7" hidden="1">
      <c r="A51" s="51"/>
      <c r="B51" s="51"/>
      <c r="C51" s="57" t="s">
        <v>94</v>
      </c>
      <c r="D51" s="58">
        <v>0.10134545090354258</v>
      </c>
      <c r="E51" s="59">
        <v>0.10134545090354258</v>
      </c>
    </row>
    <row r="52" spans="1:7" hidden="1">
      <c r="A52" s="51"/>
      <c r="B52" s="51"/>
      <c r="C52" s="57" t="s">
        <v>103</v>
      </c>
      <c r="D52" s="58">
        <v>6.7999855379005616E-2</v>
      </c>
      <c r="E52" s="59">
        <v>6.7999855379005616E-2</v>
      </c>
    </row>
    <row r="53" spans="1:7" hidden="1">
      <c r="A53" s="51"/>
      <c r="B53" s="51"/>
      <c r="C53" s="57" t="s">
        <v>95</v>
      </c>
      <c r="D53" s="58">
        <v>4.3469011079143261E-3</v>
      </c>
      <c r="E53" s="59">
        <v>4.3469011079143261E-3</v>
      </c>
    </row>
    <row r="54" spans="1:7" hidden="1">
      <c r="A54" s="51"/>
      <c r="B54" s="51"/>
      <c r="C54" s="55" t="s">
        <v>104</v>
      </c>
      <c r="D54" s="58">
        <v>0.55410695517095654</v>
      </c>
      <c r="E54" s="59">
        <v>0.55410695517095654</v>
      </c>
    </row>
    <row r="55" spans="1:7" hidden="1">
      <c r="C55" s="2" t="s">
        <v>106</v>
      </c>
      <c r="D55" s="61">
        <f>D49+D50+D51+D53</f>
        <v>0.37789318945003791</v>
      </c>
    </row>
    <row r="56" spans="1:7" hidden="1"/>
    <row r="57" spans="1:7" hidden="1">
      <c r="A57" s="2" t="s">
        <v>108</v>
      </c>
    </row>
    <row r="58" spans="1:7" hidden="1">
      <c r="A58" t="s">
        <v>8</v>
      </c>
      <c r="B58" t="s">
        <v>10</v>
      </c>
      <c r="C58" t="s">
        <v>14</v>
      </c>
      <c r="D58" t="s">
        <v>15</v>
      </c>
      <c r="E58" t="s">
        <v>16</v>
      </c>
      <c r="F58" t="s">
        <v>115</v>
      </c>
      <c r="G58" t="s">
        <v>116</v>
      </c>
    </row>
    <row r="59" spans="1:7" hidden="1">
      <c r="A59" s="60">
        <f>A43/$D$55</f>
        <v>154.24603492843454</v>
      </c>
      <c r="B59" s="60">
        <f t="shared" ref="B59:G59" si="0">B43/$D$55</f>
        <v>14.557975319897993</v>
      </c>
      <c r="C59" s="60">
        <f t="shared" si="0"/>
        <v>24.515017143498973</v>
      </c>
      <c r="D59" s="60">
        <f t="shared" si="0"/>
        <v>3.6204205569218835</v>
      </c>
      <c r="E59" s="60">
        <f t="shared" si="0"/>
        <v>243805.98528290939</v>
      </c>
      <c r="F59" s="60">
        <f t="shared" si="0"/>
        <v>4.0518183207971452</v>
      </c>
      <c r="G59" s="60">
        <f t="shared" si="0"/>
        <v>81.330341078642718</v>
      </c>
    </row>
    <row r="61" spans="1:7">
      <c r="A61" t="s">
        <v>281</v>
      </c>
    </row>
    <row r="62" spans="1:7">
      <c r="A62" t="s">
        <v>8</v>
      </c>
      <c r="B62" t="s">
        <v>10</v>
      </c>
      <c r="C62" t="s">
        <v>14</v>
      </c>
      <c r="D62" t="s">
        <v>15</v>
      </c>
      <c r="E62" t="s">
        <v>16</v>
      </c>
      <c r="F62" t="s">
        <v>115</v>
      </c>
      <c r="G62" t="s">
        <v>116</v>
      </c>
    </row>
    <row r="63" spans="1:7">
      <c r="A63" s="60">
        <f>B30</f>
        <v>24.654131608605883</v>
      </c>
      <c r="B63" s="60">
        <f>B32</f>
        <v>2.803330267226491</v>
      </c>
      <c r="C63" s="60">
        <f>B36</f>
        <v>4.9586850474199684</v>
      </c>
      <c r="D63" s="60">
        <f>B37</f>
        <v>0.41252772276951299</v>
      </c>
      <c r="E63" s="3">
        <f>B38</f>
        <v>61671.825099843307</v>
      </c>
      <c r="F63" s="60">
        <f>B28</f>
        <v>2.1866754878548966</v>
      </c>
      <c r="G63" s="60">
        <f>B33</f>
        <v>6.2156801096536203</v>
      </c>
    </row>
    <row r="65" spans="1:15">
      <c r="A65" t="s">
        <v>282</v>
      </c>
    </row>
    <row r="66" spans="1:15">
      <c r="A66" s="173" t="s">
        <v>97</v>
      </c>
      <c r="B66" s="51"/>
      <c r="C66" s="52"/>
      <c r="D66" s="52"/>
      <c r="E66" s="52"/>
      <c r="F66" s="52"/>
    </row>
    <row r="67" spans="1:15">
      <c r="A67" s="51"/>
      <c r="B67" s="51"/>
      <c r="C67" s="53"/>
      <c r="D67" s="307" t="s">
        <v>290</v>
      </c>
      <c r="E67" s="308"/>
      <c r="J67" t="s">
        <v>512</v>
      </c>
    </row>
    <row r="68" spans="1:15">
      <c r="A68" s="51"/>
      <c r="B68" s="51"/>
      <c r="C68" s="54"/>
      <c r="D68" s="55" t="s">
        <v>508</v>
      </c>
      <c r="E68" s="56" t="s">
        <v>515</v>
      </c>
      <c r="J68" t="s">
        <v>315</v>
      </c>
      <c r="K68" t="s">
        <v>509</v>
      </c>
    </row>
    <row r="69" spans="1:15">
      <c r="A69" s="51"/>
      <c r="B69" s="51"/>
      <c r="C69" s="57" t="s">
        <v>101</v>
      </c>
      <c r="D69" s="174">
        <f>[3]Fuel_Prod_TS!$CF$875</f>
        <v>1.5976147714583499E-3</v>
      </c>
      <c r="E69" s="174">
        <v>1.7999999999999999E-2</v>
      </c>
      <c r="K69" t="s">
        <v>510</v>
      </c>
    </row>
    <row r="70" spans="1:15">
      <c r="A70" s="51"/>
      <c r="B70" s="51"/>
      <c r="C70" s="57" t="s">
        <v>102</v>
      </c>
      <c r="D70" s="174">
        <f>[3]Fuel_Prod_TS!$CG$875</f>
        <v>0.4568836038497196</v>
      </c>
      <c r="E70" s="174">
        <v>0.19</v>
      </c>
      <c r="K70" t="s">
        <v>3</v>
      </c>
      <c r="L70" t="s">
        <v>26</v>
      </c>
      <c r="M70" t="s">
        <v>21</v>
      </c>
      <c r="N70" t="s">
        <v>511</v>
      </c>
      <c r="O70" t="s">
        <v>116</v>
      </c>
    </row>
    <row r="71" spans="1:15">
      <c r="A71" s="51"/>
      <c r="B71" s="51"/>
      <c r="C71" s="57" t="s">
        <v>94</v>
      </c>
      <c r="D71" s="174">
        <f>[3]Fuel_Prod_TS!$CH$875</f>
        <v>7.2640851718008294E-4</v>
      </c>
      <c r="E71" s="174">
        <v>6.0000000000000001E-3</v>
      </c>
      <c r="J71" t="s">
        <v>514</v>
      </c>
      <c r="K71">
        <v>29184.627733999998</v>
      </c>
      <c r="L71">
        <v>17.026816</v>
      </c>
      <c r="M71">
        <v>2.5274179999999995</v>
      </c>
      <c r="N71">
        <v>58.396658000000002</v>
      </c>
      <c r="O71">
        <v>34.319676000000001</v>
      </c>
    </row>
    <row r="72" spans="1:15">
      <c r="A72" s="51"/>
      <c r="B72" s="51"/>
      <c r="C72" s="57" t="s">
        <v>103</v>
      </c>
      <c r="D72" s="174">
        <f>[3]Fuel_Prod_TS!$CI$875</f>
        <v>0.29721983353590098</v>
      </c>
      <c r="E72" s="174">
        <v>0</v>
      </c>
    </row>
    <row r="73" spans="1:15">
      <c r="A73" s="51"/>
      <c r="B73" s="51"/>
      <c r="C73" s="57" t="s">
        <v>95</v>
      </c>
      <c r="D73" s="174">
        <f>[3]Fuel_Prod_TS!$CJ$875</f>
        <v>1.2862421489830919E-2</v>
      </c>
      <c r="E73" s="174">
        <v>0.218</v>
      </c>
    </row>
    <row r="74" spans="1:15">
      <c r="A74" s="51"/>
      <c r="B74" s="51"/>
      <c r="C74" s="55" t="s">
        <v>104</v>
      </c>
      <c r="D74" s="174">
        <f>[3]Fuel_Prod_TS!$CK$875</f>
        <v>0.23071011783591</v>
      </c>
      <c r="E74" s="174">
        <f>1-(E69+E70+E71+E72+E73)</f>
        <v>0.56800000000000006</v>
      </c>
    </row>
    <row r="75" spans="1:15">
      <c r="C75" s="2" t="s">
        <v>106</v>
      </c>
      <c r="D75" s="61">
        <f>D69+D70+D71+D73</f>
        <v>0.47207004862818897</v>
      </c>
      <c r="E75" s="268">
        <f>E69+E70+E71</f>
        <v>0.214</v>
      </c>
    </row>
    <row r="77" spans="1:15">
      <c r="A77" s="2" t="s">
        <v>513</v>
      </c>
    </row>
    <row r="78" spans="1:15">
      <c r="A78" t="s">
        <v>8</v>
      </c>
      <c r="B78" t="s">
        <v>10</v>
      </c>
      <c r="C78" t="s">
        <v>14</v>
      </c>
      <c r="D78" t="s">
        <v>15</v>
      </c>
      <c r="E78" t="s">
        <v>16</v>
      </c>
      <c r="F78" t="s">
        <v>115</v>
      </c>
      <c r="G78" t="s">
        <v>116</v>
      </c>
    </row>
    <row r="79" spans="1:15">
      <c r="A79" s="60">
        <f>N71/E75</f>
        <v>272.88157943925233</v>
      </c>
      <c r="B79" s="60">
        <f t="shared" ref="B79:F79" si="1">B63/$D$75</f>
        <v>5.9383777373142461</v>
      </c>
      <c r="C79" s="60">
        <f>L71/E75</f>
        <v>79.564560747663549</v>
      </c>
      <c r="D79" s="60">
        <f>M71/E75</f>
        <v>11.810364485981307</v>
      </c>
      <c r="E79" s="60">
        <f>K71/E75</f>
        <v>136376.76511214953</v>
      </c>
      <c r="F79" s="60">
        <f t="shared" si="1"/>
        <v>4.6320996093890345</v>
      </c>
      <c r="G79" s="60">
        <f>O71/E75</f>
        <v>160.37231775700934</v>
      </c>
    </row>
    <row r="81" spans="1:7" hidden="1">
      <c r="A81" t="s">
        <v>287</v>
      </c>
    </row>
    <row r="82" spans="1:7" hidden="1">
      <c r="A82" t="s">
        <v>8</v>
      </c>
      <c r="B82" t="s">
        <v>10</v>
      </c>
      <c r="C82" t="s">
        <v>14</v>
      </c>
      <c r="D82" t="s">
        <v>15</v>
      </c>
      <c r="E82" t="s">
        <v>16</v>
      </c>
      <c r="F82" t="s">
        <v>115</v>
      </c>
      <c r="G82" t="s">
        <v>116</v>
      </c>
    </row>
    <row r="83" spans="1:7" hidden="1">
      <c r="A83" s="60">
        <f>D30</f>
        <v>56.200603852297426</v>
      </c>
      <c r="B83" s="60">
        <f>D32</f>
        <v>5.6642016841516725</v>
      </c>
      <c r="C83" s="60">
        <f>D36</f>
        <v>9.9003953680967651</v>
      </c>
      <c r="D83" s="60">
        <f>D37</f>
        <v>1.5422162227104217</v>
      </c>
      <c r="E83" s="3">
        <f>D38</f>
        <v>106298.29185240586</v>
      </c>
      <c r="F83" s="60">
        <f>D28</f>
        <v>1.9930696207146734</v>
      </c>
      <c r="G83" s="60">
        <f>D33</f>
        <v>50.377348240961837</v>
      </c>
    </row>
    <row r="84" spans="1:7" hidden="1"/>
    <row r="85" spans="1:7" hidden="1">
      <c r="A85" t="s">
        <v>288</v>
      </c>
    </row>
    <row r="86" spans="1:7" hidden="1">
      <c r="A86" s="173" t="s">
        <v>97</v>
      </c>
      <c r="B86" s="51"/>
      <c r="C86" s="52"/>
      <c r="D86" s="52"/>
      <c r="E86" s="52"/>
      <c r="F86" s="52"/>
    </row>
    <row r="87" spans="1:7" hidden="1">
      <c r="A87" s="51"/>
      <c r="B87" s="51"/>
      <c r="C87" s="53"/>
      <c r="D87" s="307" t="s">
        <v>291</v>
      </c>
      <c r="E87" s="308"/>
    </row>
    <row r="88" spans="1:7" hidden="1">
      <c r="A88" s="51"/>
      <c r="B88" s="51"/>
      <c r="C88" s="54"/>
      <c r="D88" s="55" t="s">
        <v>99</v>
      </c>
      <c r="E88" s="56" t="s">
        <v>100</v>
      </c>
    </row>
    <row r="89" spans="1:7" hidden="1">
      <c r="A89" s="51"/>
      <c r="B89" s="51"/>
      <c r="C89" s="57" t="s">
        <v>101</v>
      </c>
      <c r="D89" s="174">
        <f>[3]Fuel_Prod_TS!$D$900</f>
        <v>1.94096776665011E-3</v>
      </c>
      <c r="E89" s="174">
        <f>[3]Fuel_Prod_TS!$L$900</f>
        <v>1.94096776665011E-3</v>
      </c>
    </row>
    <row r="90" spans="1:7" hidden="1">
      <c r="A90" s="51"/>
      <c r="B90" s="51"/>
      <c r="C90" s="57" t="s">
        <v>102</v>
      </c>
      <c r="D90" s="174">
        <f>[3]Fuel_Prod_TS!$E$900</f>
        <v>0.41502767356791553</v>
      </c>
      <c r="E90" s="174">
        <f>[3]Fuel_Prod_TS!$M$900</f>
        <v>0.41502767356791553</v>
      </c>
    </row>
    <row r="91" spans="1:7" hidden="1">
      <c r="A91" s="51"/>
      <c r="B91" s="51"/>
      <c r="C91" s="57" t="s">
        <v>94</v>
      </c>
      <c r="D91" s="174">
        <f>[3]Fuel_Prod_TS!$F$900</f>
        <v>0.16953420629385921</v>
      </c>
      <c r="E91" s="174">
        <f>[3]Fuel_Prod_TS!$N$900</f>
        <v>0.16953420629385921</v>
      </c>
    </row>
    <row r="92" spans="1:7" hidden="1">
      <c r="A92" s="51"/>
      <c r="B92" s="51"/>
      <c r="C92" s="57" t="s">
        <v>103</v>
      </c>
      <c r="D92" s="174">
        <f>[3]Fuel_Prod_TS!$G$900</f>
        <v>0.33917126787407992</v>
      </c>
      <c r="E92" s="174">
        <f>[3]Fuel_Prod_TS!$O$900</f>
        <v>0.33917126787407992</v>
      </c>
    </row>
    <row r="93" spans="1:7" hidden="1">
      <c r="A93" s="51"/>
      <c r="B93" s="51"/>
      <c r="C93" s="57" t="s">
        <v>95</v>
      </c>
      <c r="D93" s="174">
        <f>[3]Fuel_Prod_TS!$H$900</f>
        <v>5.8132981751973381E-3</v>
      </c>
      <c r="E93" s="174">
        <f>[3]Fuel_Prod_TS!$P$900</f>
        <v>5.8132981751973381E-3</v>
      </c>
    </row>
    <row r="94" spans="1:7" hidden="1">
      <c r="A94" s="51"/>
      <c r="B94" s="51"/>
      <c r="C94" s="55" t="s">
        <v>104</v>
      </c>
      <c r="D94" s="174">
        <f>[3]Fuel_Prod_TS!$I$900</f>
        <v>6.8512586322297842E-2</v>
      </c>
      <c r="E94" s="174">
        <f>[3]Fuel_Prod_TS!$Q$900</f>
        <v>6.8512586322297842E-2</v>
      </c>
    </row>
    <row r="95" spans="1:7" hidden="1">
      <c r="C95" s="2" t="s">
        <v>106</v>
      </c>
      <c r="D95" s="61">
        <f>D89+D90+D91+D93</f>
        <v>0.59231614580362224</v>
      </c>
    </row>
    <row r="96" spans="1:7" hidden="1"/>
    <row r="97" spans="1:13" hidden="1">
      <c r="A97" s="2" t="s">
        <v>289</v>
      </c>
    </row>
    <row r="98" spans="1:13" hidden="1">
      <c r="A98" t="s">
        <v>8</v>
      </c>
      <c r="B98" t="s">
        <v>10</v>
      </c>
      <c r="C98" t="s">
        <v>14</v>
      </c>
      <c r="D98" t="s">
        <v>15</v>
      </c>
      <c r="E98" t="s">
        <v>16</v>
      </c>
      <c r="F98" t="s">
        <v>115</v>
      </c>
      <c r="G98" t="s">
        <v>116</v>
      </c>
    </row>
    <row r="99" spans="1:13" hidden="1">
      <c r="A99" s="60">
        <f>A83/$D$95</f>
        <v>94.882782194038484</v>
      </c>
      <c r="B99" s="60">
        <f t="shared" ref="B99:G99" si="2">B83/$D$95</f>
        <v>9.5628014267056525</v>
      </c>
      <c r="C99" s="60">
        <f t="shared" si="2"/>
        <v>16.714714664184022</v>
      </c>
      <c r="D99" s="60">
        <f t="shared" si="2"/>
        <v>2.6037045142810125</v>
      </c>
      <c r="E99" s="60">
        <f t="shared" si="2"/>
        <v>179462.08727467008</v>
      </c>
      <c r="F99" s="60">
        <f t="shared" si="2"/>
        <v>3.3648747123220577</v>
      </c>
      <c r="G99" s="60">
        <f t="shared" si="2"/>
        <v>85.051451995475489</v>
      </c>
    </row>
    <row r="100" spans="1:13" hidden="1"/>
    <row r="101" spans="1:13" hidden="1">
      <c r="A101" t="s">
        <v>284</v>
      </c>
      <c r="I101" t="s">
        <v>472</v>
      </c>
    </row>
    <row r="102" spans="1:13" hidden="1">
      <c r="A102" t="s">
        <v>473</v>
      </c>
      <c r="B102" t="s">
        <v>10</v>
      </c>
      <c r="C102" t="s">
        <v>474</v>
      </c>
      <c r="D102" t="s">
        <v>475</v>
      </c>
      <c r="E102" t="s">
        <v>476</v>
      </c>
      <c r="F102" t="s">
        <v>115</v>
      </c>
      <c r="G102" t="s">
        <v>477</v>
      </c>
      <c r="I102" t="s">
        <v>8</v>
      </c>
      <c r="J102" t="s">
        <v>116</v>
      </c>
      <c r="K102" t="s">
        <v>16</v>
      </c>
      <c r="L102" t="s">
        <v>26</v>
      </c>
      <c r="M102" t="s">
        <v>21</v>
      </c>
    </row>
    <row r="103" spans="1:13" hidden="1">
      <c r="A103" s="264">
        <f>I103</f>
        <v>32.191323999999994</v>
      </c>
      <c r="B103" s="60">
        <f>C32</f>
        <v>6.35534772691501</v>
      </c>
      <c r="C103" s="264">
        <f>L103</f>
        <v>3.1925280000000003</v>
      </c>
      <c r="D103" s="264">
        <f>M103</f>
        <v>0.39906600000000003</v>
      </c>
      <c r="E103" s="265">
        <f>K103</f>
        <v>100242.851782</v>
      </c>
      <c r="F103" s="60">
        <f>C28</f>
        <v>1.3843453190325286</v>
      </c>
      <c r="G103" s="264">
        <f>J103</f>
        <v>23.012805999999994</v>
      </c>
      <c r="I103">
        <v>32.191323999999994</v>
      </c>
      <c r="J103">
        <v>23.012805999999994</v>
      </c>
      <c r="K103">
        <v>100242.851782</v>
      </c>
      <c r="L103">
        <v>3.1925280000000003</v>
      </c>
      <c r="M103">
        <v>0.39906600000000003</v>
      </c>
    </row>
    <row r="104" spans="1:13" hidden="1"/>
    <row r="105" spans="1:13" hidden="1">
      <c r="A105" t="s">
        <v>285</v>
      </c>
    </row>
    <row r="106" spans="1:13" hidden="1">
      <c r="A106" s="173" t="s">
        <v>97</v>
      </c>
      <c r="B106" s="51"/>
      <c r="C106" s="52"/>
      <c r="D106" s="52"/>
      <c r="E106" s="52"/>
      <c r="F106" s="52"/>
    </row>
    <row r="107" spans="1:13" hidden="1">
      <c r="A107" s="51"/>
      <c r="B107" s="51"/>
      <c r="C107" s="53"/>
      <c r="D107" s="307" t="s">
        <v>292</v>
      </c>
      <c r="E107" s="308"/>
    </row>
    <row r="108" spans="1:13" hidden="1">
      <c r="A108" s="51"/>
      <c r="B108" s="51"/>
      <c r="C108" s="54"/>
      <c r="D108" s="55" t="s">
        <v>99</v>
      </c>
      <c r="E108" s="56" t="s">
        <v>100</v>
      </c>
    </row>
    <row r="109" spans="1:13" hidden="1">
      <c r="A109" s="51"/>
      <c r="B109" s="51"/>
      <c r="C109" s="57" t="s">
        <v>101</v>
      </c>
      <c r="D109" s="58">
        <f>[3]Fuel_Prod_TS!$CV$875</f>
        <v>1.1525216005103397E-3</v>
      </c>
      <c r="E109" s="59">
        <f>[3]Fuel_Prod_TS!$DD$875</f>
        <v>1.1525216005103397E-3</v>
      </c>
    </row>
    <row r="110" spans="1:13" hidden="1">
      <c r="A110" s="51"/>
      <c r="B110" s="51"/>
      <c r="C110" s="57" t="s">
        <v>102</v>
      </c>
      <c r="D110" s="58">
        <f>[3]Fuel_Prod_TS!$CW$875</f>
        <v>0.42338739877550041</v>
      </c>
      <c r="E110" s="59">
        <f>[3]Fuel_Prod_TS!$DE$875</f>
        <v>0.42338739877550041</v>
      </c>
    </row>
    <row r="111" spans="1:13" hidden="1">
      <c r="A111" s="51"/>
      <c r="B111" s="51"/>
      <c r="C111" s="57" t="s">
        <v>94</v>
      </c>
      <c r="D111" s="58">
        <f>[3]Fuel_Prod_TS!$CX$875</f>
        <v>0.18220635648586389</v>
      </c>
      <c r="E111" s="59">
        <f>[3]Fuel_Prod_TS!$DF$875</f>
        <v>0.18220635648586389</v>
      </c>
    </row>
    <row r="112" spans="1:13" hidden="1">
      <c r="A112" s="51"/>
      <c r="B112" s="51"/>
      <c r="C112" s="57" t="s">
        <v>103</v>
      </c>
      <c r="D112" s="58">
        <f>[3]Fuel_Prod_TS!$CY$875</f>
        <v>0.33250596730454346</v>
      </c>
      <c r="E112" s="59">
        <f>[3]Fuel_Prod_TS!$DG$875</f>
        <v>0.33250596730454346</v>
      </c>
    </row>
    <row r="113" spans="1:7" hidden="1">
      <c r="A113" s="51"/>
      <c r="B113" s="51"/>
      <c r="C113" s="57" t="s">
        <v>95</v>
      </c>
      <c r="D113" s="58">
        <f>[3]Fuel_Prod_TS!$CZ$875</f>
        <v>1.5735294807847386E-3</v>
      </c>
      <c r="E113" s="59">
        <f>[3]Fuel_Prod_TS!$DH$875</f>
        <v>1.5735294807847386E-3</v>
      </c>
    </row>
    <row r="114" spans="1:7" hidden="1">
      <c r="A114" s="51"/>
      <c r="B114" s="51"/>
      <c r="C114" s="55" t="s">
        <v>104</v>
      </c>
      <c r="D114" s="58">
        <f>[3]Fuel_Prod_TS!$DA$875</f>
        <v>5.9174226352797121E-2</v>
      </c>
      <c r="E114" s="59">
        <f>[3]Fuel_Prod_TS!$DI$875</f>
        <v>5.9174226352797121E-2</v>
      </c>
    </row>
    <row r="115" spans="1:7" hidden="1">
      <c r="C115" s="2" t="s">
        <v>106</v>
      </c>
      <c r="D115" s="61">
        <f>D109+D110+D111+D113</f>
        <v>0.60831980634265936</v>
      </c>
    </row>
    <row r="116" spans="1:7" hidden="1"/>
    <row r="117" spans="1:7" hidden="1">
      <c r="A117" s="2" t="s">
        <v>286</v>
      </c>
    </row>
    <row r="118" spans="1:7" hidden="1">
      <c r="A118" t="s">
        <v>8</v>
      </c>
      <c r="B118" t="s">
        <v>10</v>
      </c>
      <c r="C118" t="s">
        <v>14</v>
      </c>
      <c r="D118" t="s">
        <v>15</v>
      </c>
      <c r="E118" t="s">
        <v>16</v>
      </c>
      <c r="F118" t="s">
        <v>115</v>
      </c>
      <c r="G118" t="s">
        <v>116</v>
      </c>
    </row>
    <row r="119" spans="1:7" hidden="1">
      <c r="A119" s="60">
        <f>A103/$D$115</f>
        <v>52.918421633417935</v>
      </c>
      <c r="B119" s="60">
        <f t="shared" ref="B119:G119" si="3">B103/$D$115</f>
        <v>10.447379257835832</v>
      </c>
      <c r="C119" s="60">
        <f t="shared" si="3"/>
        <v>5.2481079305869036</v>
      </c>
      <c r="D119" s="60">
        <f t="shared" si="3"/>
        <v>0.65601349132336295</v>
      </c>
      <c r="E119" s="60">
        <f t="shared" si="3"/>
        <v>164786.43426831707</v>
      </c>
      <c r="F119" s="60">
        <f t="shared" si="3"/>
        <v>2.2756867433850134</v>
      </c>
      <c r="G119" s="60">
        <f t="shared" si="3"/>
        <v>37.830111332980586</v>
      </c>
    </row>
    <row r="120" spans="1:7" hidden="1"/>
    <row r="121" spans="1:7" hidden="1"/>
  </sheetData>
  <sheetProtection algorithmName="SHA-512" hashValue="TIY4qA/nG7fuAeqtMY1TYHSh39jQyQUHfhGBZT0yVy4yeI2AgeUfd8duYLUb3GYYQCuMxoyRPIQuuMgnPFjiOw==" saltValue="UcWh5kFlk5yapmSAyUdUhA==" spinCount="100000" sheet="1" objects="1" scenarios="1"/>
  <mergeCells count="5">
    <mergeCell ref="D47:E47"/>
    <mergeCell ref="G26:G28"/>
    <mergeCell ref="D67:E67"/>
    <mergeCell ref="D87:E87"/>
    <mergeCell ref="D107:E10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8"/>
  <sheetViews>
    <sheetView topLeftCell="AA37" workbookViewId="0">
      <selection activeCell="AB45" sqref="AB45:AG51"/>
    </sheetView>
  </sheetViews>
  <sheetFormatPr baseColWidth="10" defaultColWidth="11.5" defaultRowHeight="15"/>
  <cols>
    <col min="1" max="1" width="14.5" customWidth="1"/>
    <col min="2" max="2" width="17.83203125" customWidth="1"/>
    <col min="3" max="3" width="11.1640625" bestFit="1" customWidth="1"/>
    <col min="4" max="4" width="11.5" customWidth="1"/>
    <col min="5" max="5" width="11.6640625" bestFit="1" customWidth="1"/>
    <col min="6" max="6" width="15.33203125" bestFit="1" customWidth="1"/>
    <col min="8" max="8" width="17.83203125" customWidth="1"/>
    <col min="9" max="9" width="15.6640625" customWidth="1"/>
    <col min="10" max="10" width="16" customWidth="1"/>
    <col min="11" max="11" width="15" customWidth="1"/>
    <col min="12" max="12" width="15.5" customWidth="1"/>
    <col min="15" max="15" width="14.1640625" customWidth="1"/>
    <col min="16" max="16" width="13.6640625" bestFit="1" customWidth="1"/>
    <col min="17" max="17" width="13.1640625" customWidth="1"/>
    <col min="18" max="18" width="12.1640625" customWidth="1"/>
    <col min="19" max="19" width="14.1640625" customWidth="1"/>
    <col min="20" max="20" width="24.5" customWidth="1"/>
    <col min="21" max="21" width="9" customWidth="1"/>
    <col min="22" max="22" width="17.5" customWidth="1"/>
    <col min="23" max="23" width="14.5" customWidth="1"/>
    <col min="24" max="24" width="13.6640625" customWidth="1"/>
    <col min="25" max="25" width="14.33203125" customWidth="1"/>
    <col min="26" max="26" width="14.1640625" customWidth="1"/>
    <col min="27" max="27" width="7.5" customWidth="1"/>
    <col min="28" max="28" width="17" customWidth="1"/>
    <col min="29" max="29" width="12.6640625" bestFit="1" customWidth="1"/>
    <col min="30" max="30" width="11.6640625" bestFit="1" customWidth="1"/>
    <col min="31" max="31" width="12.6640625" bestFit="1" customWidth="1"/>
    <col min="34" max="34" width="16.5" customWidth="1"/>
    <col min="36" max="37" width="12.1640625" bestFit="1" customWidth="1"/>
    <col min="40" max="40" width="16.5" customWidth="1"/>
    <col min="41" max="41" width="16.83203125" bestFit="1" customWidth="1"/>
    <col min="42" max="42" width="14.83203125" customWidth="1"/>
    <col min="43" max="43" width="15.5" customWidth="1"/>
    <col min="45" max="45" width="11.1640625" bestFit="1" customWidth="1"/>
    <col min="46" max="46" width="11.1640625" customWidth="1"/>
    <col min="47" max="47" width="15.83203125" customWidth="1"/>
    <col min="48" max="48" width="17" customWidth="1"/>
    <col min="49" max="49" width="15.1640625" bestFit="1" customWidth="1"/>
    <col min="50" max="50" width="27.83203125" bestFit="1" customWidth="1"/>
  </cols>
  <sheetData>
    <row r="1" spans="1:49">
      <c r="A1" s="6"/>
      <c r="C1" s="6"/>
      <c r="AH1" s="6"/>
      <c r="AN1" s="6"/>
    </row>
    <row r="2" spans="1:49">
      <c r="B2" s="2" t="s">
        <v>157</v>
      </c>
      <c r="H2" s="2" t="s">
        <v>158</v>
      </c>
      <c r="O2" s="70" t="s">
        <v>171</v>
      </c>
      <c r="V2" s="2" t="s">
        <v>160</v>
      </c>
      <c r="AB2" s="2" t="s">
        <v>163</v>
      </c>
      <c r="AH2" s="2" t="s">
        <v>172</v>
      </c>
      <c r="AN2" s="2" t="s">
        <v>280</v>
      </c>
    </row>
    <row r="3" spans="1:49">
      <c r="B3" s="2"/>
      <c r="C3" s="33" t="s">
        <v>48</v>
      </c>
      <c r="D3" s="33" t="s">
        <v>155</v>
      </c>
      <c r="E3" s="33" t="s">
        <v>156</v>
      </c>
      <c r="F3" s="33"/>
      <c r="H3" s="2"/>
      <c r="I3" t="s">
        <v>48</v>
      </c>
      <c r="J3" s="33" t="s">
        <v>155</v>
      </c>
      <c r="K3" s="33" t="s">
        <v>156</v>
      </c>
      <c r="L3" s="33"/>
      <c r="O3" s="2"/>
      <c r="P3" t="s">
        <v>48</v>
      </c>
      <c r="Q3" s="33" t="s">
        <v>155</v>
      </c>
      <c r="R3" s="33" t="s">
        <v>156</v>
      </c>
      <c r="S3" s="33"/>
      <c r="T3" s="135" t="s">
        <v>170</v>
      </c>
      <c r="W3" t="s">
        <v>161</v>
      </c>
      <c r="X3" t="s">
        <v>162</v>
      </c>
      <c r="Y3" t="s">
        <v>51</v>
      </c>
      <c r="Z3" t="s">
        <v>49</v>
      </c>
      <c r="AC3" t="s">
        <v>161</v>
      </c>
      <c r="AD3" t="s">
        <v>162</v>
      </c>
      <c r="AE3" t="s">
        <v>51</v>
      </c>
      <c r="AF3" t="s">
        <v>49</v>
      </c>
      <c r="AI3" t="s">
        <v>48</v>
      </c>
      <c r="AJ3" s="33" t="s">
        <v>155</v>
      </c>
      <c r="AK3" s="33" t="s">
        <v>156</v>
      </c>
      <c r="AL3" s="33"/>
      <c r="AO3" t="s">
        <v>48</v>
      </c>
      <c r="AP3" s="33" t="s">
        <v>155</v>
      </c>
      <c r="AQ3" s="33" t="s">
        <v>156</v>
      </c>
      <c r="AR3" s="33"/>
    </row>
    <row r="4" spans="1:49">
      <c r="B4">
        <f>'Emissions Summary'!$A$15</f>
        <v>2025</v>
      </c>
      <c r="C4" s="127">
        <f>'Emissions Summary'!$C15</f>
        <v>2178.6011454247887</v>
      </c>
      <c r="D4" s="127">
        <f>'Emissions Summary'!$C35</f>
        <v>2178.6011454247887</v>
      </c>
      <c r="E4" s="127">
        <f>'Emissions Summary'!$C55</f>
        <v>2178.6011454247887</v>
      </c>
      <c r="F4" s="44"/>
      <c r="H4">
        <f>B4</f>
        <v>2025</v>
      </c>
      <c r="I4" s="127">
        <f>'Emissions Summary'!$F15</f>
        <v>163.83301061513663</v>
      </c>
      <c r="J4" s="127">
        <f>'Emissions Summary'!$F35</f>
        <v>163.83301061513663</v>
      </c>
      <c r="K4" s="127">
        <f>'Emissions Summary'!$F55</f>
        <v>163.83301061513663</v>
      </c>
      <c r="L4" s="44"/>
      <c r="O4">
        <f>H4</f>
        <v>2025</v>
      </c>
      <c r="P4" s="15">
        <f>'Emissions Summary'!J15*Tables!T4</f>
        <v>4.6704643331853521</v>
      </c>
      <c r="Q4" s="15">
        <f>'Emissions Summary'!J35*Tables!T4</f>
        <v>4.6704643331853521</v>
      </c>
      <c r="R4" s="15">
        <f>'Emissions Summary'!J55*T4</f>
        <v>4.6704643331853521</v>
      </c>
      <c r="S4" s="44"/>
      <c r="T4" s="135">
        <f>B46/B47</f>
        <v>9.0718499999999998E-7</v>
      </c>
      <c r="V4">
        <v>2025</v>
      </c>
      <c r="W4" s="45">
        <f>'Combined MOVES output'!AF18</f>
        <v>5580069143.8030767</v>
      </c>
      <c r="X4" s="45">
        <f>'Combined MOVES output'!AF19</f>
        <v>7963861949.471139</v>
      </c>
      <c r="Y4" s="45">
        <f>'Combined MOVES output'!AF20</f>
        <v>657906622.76923072</v>
      </c>
      <c r="Z4" s="45">
        <f t="shared" ref="Z4:Z19" si="0">SUM(W4:Y4)</f>
        <v>14201837716.043446</v>
      </c>
      <c r="AB4">
        <f>V4</f>
        <v>2025</v>
      </c>
      <c r="AC4" s="11">
        <f>'Combined MOVES output'!AE18</f>
        <v>459068.60438575386</v>
      </c>
      <c r="AD4" s="11">
        <f>'Combined MOVES output'!AE19</f>
        <v>680571.07784049539</v>
      </c>
      <c r="AE4" s="11">
        <f>'Combined MOVES output'!AE20</f>
        <v>59953.681453076926</v>
      </c>
      <c r="AF4" s="13">
        <f t="shared" ref="AF4:AF19" si="1">SUM(AC4:AE4)</f>
        <v>1199593.3636793261</v>
      </c>
      <c r="AH4">
        <f t="shared" ref="AH4:AH19" si="2">AB4</f>
        <v>2025</v>
      </c>
      <c r="AI4" s="11">
        <f>'Fleet ZEV fractions'!Z17</f>
        <v>28054.610976535398</v>
      </c>
      <c r="AJ4" s="11">
        <f>'Fleet ZEV fractions'!AL17</f>
        <v>28054.610976535398</v>
      </c>
      <c r="AK4" s="11">
        <f>'Fleet ZEV fractions'!AR17</f>
        <v>28054.610976535398</v>
      </c>
      <c r="AL4" s="44"/>
      <c r="AN4">
        <f t="shared" ref="AN4:AN19" si="3">AH4</f>
        <v>2025</v>
      </c>
      <c r="AO4" s="11">
        <f>AI4/AF4*Z4</f>
        <v>332135075.3837564</v>
      </c>
      <c r="AP4" s="11">
        <f>AJ4/AF4*Z4</f>
        <v>332135075.3837564</v>
      </c>
      <c r="AQ4" s="11">
        <f>AK4/AF4*Z4</f>
        <v>332135075.3837564</v>
      </c>
      <c r="AR4" s="44"/>
    </row>
    <row r="5" spans="1:49">
      <c r="B5">
        <f t="shared" ref="B5:B19" si="4">B4+1</f>
        <v>2026</v>
      </c>
      <c r="C5" s="127">
        <f>'Emissions Summary'!$C16</f>
        <v>2000.6132606712381</v>
      </c>
      <c r="D5" s="127">
        <f>'Emissions Summary'!$C36</f>
        <v>1986.4710816431923</v>
      </c>
      <c r="E5" s="127">
        <f>'Emissions Summary'!$C56</f>
        <v>2000.6132606712381</v>
      </c>
      <c r="F5" s="10"/>
      <c r="H5">
        <f t="shared" ref="H5:H19" si="5">H4+1</f>
        <v>2026</v>
      </c>
      <c r="I5" s="127">
        <f>'Emissions Summary'!$F16</f>
        <v>161.41343796564902</v>
      </c>
      <c r="J5" s="127">
        <f>'Emissions Summary'!$F36</f>
        <v>160.59322166067412</v>
      </c>
      <c r="K5" s="127">
        <f>'Emissions Summary'!$F56</f>
        <v>161.41343796564902</v>
      </c>
      <c r="L5" s="10"/>
      <c r="O5">
        <f t="shared" ref="O5:O19" si="6">O4+1</f>
        <v>2026</v>
      </c>
      <c r="P5" s="15">
        <f>'Emissions Summary'!J16*Tables!T5</f>
        <v>4.5580983329784841</v>
      </c>
      <c r="Q5" s="15">
        <f>'Emissions Summary'!J36*Tables!T5</f>
        <v>4.469505284956286</v>
      </c>
      <c r="R5" s="15">
        <f>'Emissions Summary'!J56*T5</f>
        <v>4.5580983329784841</v>
      </c>
      <c r="S5" s="10"/>
      <c r="T5" s="135">
        <f>T4</f>
        <v>9.0718499999999998E-7</v>
      </c>
      <c r="V5">
        <v>2026</v>
      </c>
      <c r="W5" s="3">
        <f>W4+0.2*(W9-W4)</f>
        <v>5606492918.0284615</v>
      </c>
      <c r="X5" s="3">
        <f t="shared" ref="X5" si="7">X4+0.2*(X9-X4)</f>
        <v>8002595910.1550312</v>
      </c>
      <c r="Y5" s="3">
        <f t="shared" ref="Y5" si="8">Y4+0.2*(Y9-Y4)</f>
        <v>656631328.61538458</v>
      </c>
      <c r="Z5" s="45">
        <f t="shared" si="0"/>
        <v>14265720156.798878</v>
      </c>
      <c r="AB5">
        <f t="shared" ref="AB5:AB19" si="9">AB4+1</f>
        <v>2026</v>
      </c>
      <c r="AC5" s="10">
        <f>ROUND(AC$4+1/5*(AC$9-AC$4),-1)</f>
        <v>462740</v>
      </c>
      <c r="AD5" s="10">
        <f t="shared" ref="AD5:AE5" si="10">ROUND(AD$4+1/5*(AD$9-AD$4),-1)</f>
        <v>683570</v>
      </c>
      <c r="AE5" s="10">
        <f t="shared" si="10"/>
        <v>59620</v>
      </c>
      <c r="AF5" s="13">
        <f t="shared" si="1"/>
        <v>1205930</v>
      </c>
      <c r="AH5">
        <f t="shared" si="2"/>
        <v>2026</v>
      </c>
      <c r="AI5" s="11">
        <f>'Fleet ZEV fractions'!Z18</f>
        <v>39152.252816562817</v>
      </c>
      <c r="AJ5" s="11">
        <f>'Fleet ZEV fractions'!AL18</f>
        <v>46120.539553324212</v>
      </c>
      <c r="AK5" s="11">
        <f>'Fleet ZEV fractions'!AR18</f>
        <v>39152.252816562817</v>
      </c>
      <c r="AL5" s="10"/>
      <c r="AN5">
        <f t="shared" si="3"/>
        <v>2026</v>
      </c>
      <c r="AO5" s="11">
        <f t="shared" ref="AO5:AO19" si="11">AI5/AF5*Z5</f>
        <v>463157133.65562332</v>
      </c>
      <c r="AP5" s="11">
        <f t="shared" ref="AP5:AP19" si="12">AJ5/AF5*Z5</f>
        <v>545589470.98778296</v>
      </c>
      <c r="AQ5" s="11">
        <f t="shared" ref="AQ5:AQ19" si="13">AK5/AF5*Z5</f>
        <v>463157133.65562332</v>
      </c>
      <c r="AR5" s="10"/>
      <c r="AT5" s="2" t="s">
        <v>372</v>
      </c>
    </row>
    <row r="6" spans="1:49">
      <c r="B6">
        <f t="shared" si="4"/>
        <v>2027</v>
      </c>
      <c r="C6" s="127">
        <f>'Emissions Summary'!$C17</f>
        <v>1823.4162152143651</v>
      </c>
      <c r="D6" s="127">
        <f>'Emissions Summary'!$C37</f>
        <v>1790.5519223542506</v>
      </c>
      <c r="E6" s="127">
        <f>'Emissions Summary'!$C57</f>
        <v>1792.9333252874042</v>
      </c>
      <c r="F6" s="10"/>
      <c r="H6">
        <f t="shared" si="5"/>
        <v>2027</v>
      </c>
      <c r="I6" s="127">
        <f>'Emissions Summary'!$F17</f>
        <v>158.98592603025472</v>
      </c>
      <c r="J6" s="127">
        <f>'Emissions Summary'!$F37</f>
        <v>156.98079273393887</v>
      </c>
      <c r="K6" s="127">
        <f>'Emissions Summary'!$F57</f>
        <v>157.12608812591751</v>
      </c>
      <c r="L6" s="10"/>
      <c r="O6">
        <f t="shared" si="6"/>
        <v>2027</v>
      </c>
      <c r="P6" s="15">
        <f>'Emissions Summary'!J17*Tables!T6</f>
        <v>4.414623709615042</v>
      </c>
      <c r="Q6" s="15">
        <f>'Emissions Summary'!J37*Tables!T6</f>
        <v>4.1933890130085532</v>
      </c>
      <c r="R6" s="15">
        <f>'Emissions Summary'!J57*T6</f>
        <v>4.2068868180984493</v>
      </c>
      <c r="S6" s="10"/>
      <c r="T6" s="135">
        <f t="shared" ref="T6:T19" si="14">T5</f>
        <v>9.0718499999999998E-7</v>
      </c>
      <c r="V6">
        <v>2027</v>
      </c>
      <c r="W6" s="3">
        <f>W4+0.4*(W9-W4)</f>
        <v>5632916692.2538462</v>
      </c>
      <c r="X6" s="3">
        <f t="shared" ref="X6:Y6" si="15">X4+0.4*(X9-X4)</f>
        <v>8041329870.8389235</v>
      </c>
      <c r="Y6" s="3">
        <f t="shared" si="15"/>
        <v>655356034.46153843</v>
      </c>
      <c r="Z6" s="45">
        <f t="shared" si="0"/>
        <v>14329602597.554308</v>
      </c>
      <c r="AB6">
        <f t="shared" si="9"/>
        <v>2027</v>
      </c>
      <c r="AC6" s="10">
        <f>ROUND(AC$4+2/5*(AC$9-AC$4),-1)</f>
        <v>466410</v>
      </c>
      <c r="AD6" s="10">
        <f t="shared" ref="AD6:AE6" si="16">ROUND(AD$4+2/5*(AD$9-AD$4),-1)</f>
        <v>686560</v>
      </c>
      <c r="AE6" s="10">
        <f t="shared" si="16"/>
        <v>59290</v>
      </c>
      <c r="AF6" s="13">
        <f t="shared" si="1"/>
        <v>1212260</v>
      </c>
      <c r="AH6">
        <f t="shared" si="2"/>
        <v>2027</v>
      </c>
      <c r="AI6" s="11">
        <f>'Fleet ZEV fractions'!Z19</f>
        <v>50273.255984160496</v>
      </c>
      <c r="AJ6" s="11">
        <f>'Fleet ZEV fractions'!AL19</f>
        <v>68362.545888519569</v>
      </c>
      <c r="AK6" s="11">
        <f>'Fleet ZEV fractions'!AR19</f>
        <v>61394.259151758175</v>
      </c>
      <c r="AL6" s="10"/>
      <c r="AN6">
        <f t="shared" si="3"/>
        <v>2027</v>
      </c>
      <c r="AO6" s="11">
        <f t="shared" si="11"/>
        <v>594258475.52351713</v>
      </c>
      <c r="AP6" s="11">
        <f t="shared" si="12"/>
        <v>808084169.35274243</v>
      </c>
      <c r="AQ6" s="11">
        <f t="shared" si="13"/>
        <v>725715057.34409797</v>
      </c>
      <c r="AR6" s="10"/>
    </row>
    <row r="7" spans="1:49">
      <c r="B7">
        <f t="shared" si="4"/>
        <v>2028</v>
      </c>
      <c r="C7" s="127">
        <f>'Emissions Summary'!$C18</f>
        <v>1645.8652409392571</v>
      </c>
      <c r="D7" s="127">
        <f>'Emissions Summary'!$C38</f>
        <v>1593.446145060502</v>
      </c>
      <c r="E7" s="127">
        <f>'Emissions Summary'!$C58</f>
        <v>1597.1326535227722</v>
      </c>
      <c r="F7" s="10"/>
      <c r="H7">
        <f t="shared" si="5"/>
        <v>2028</v>
      </c>
      <c r="I7" s="127">
        <f>'Emissions Summary'!$F18</f>
        <v>156.40454628899394</v>
      </c>
      <c r="J7" s="127">
        <f>'Emissions Summary'!$F38</f>
        <v>153.00332935726098</v>
      </c>
      <c r="K7" s="127">
        <f>'Emissions Summary'!$F58</f>
        <v>153.24252873280633</v>
      </c>
      <c r="L7" s="10"/>
      <c r="O7">
        <f t="shared" si="6"/>
        <v>2028</v>
      </c>
      <c r="P7" s="15">
        <f>'Emissions Summary'!J18*Tables!T7</f>
        <v>4.242529964882066</v>
      </c>
      <c r="Q7" s="15">
        <f>'Emissions Summary'!J38*Tables!T7</f>
        <v>3.8653409253893729</v>
      </c>
      <c r="R7" s="15">
        <f>'Emissions Summary'!J58*T7</f>
        <v>3.8900252493224499</v>
      </c>
      <c r="S7" s="10"/>
      <c r="T7" s="135">
        <f t="shared" si="14"/>
        <v>9.0718499999999998E-7</v>
      </c>
      <c r="V7">
        <v>2028</v>
      </c>
      <c r="W7" s="3">
        <f>W4+0.6*(W9-W4)</f>
        <v>5659340466.4792299</v>
      </c>
      <c r="X7" s="3">
        <f t="shared" ref="X7:Y7" si="17">X4+0.6*(X9-X4)</f>
        <v>8080063831.5228157</v>
      </c>
      <c r="Y7" s="3">
        <f t="shared" si="17"/>
        <v>654080740.30769229</v>
      </c>
      <c r="Z7" s="45">
        <f t="shared" si="0"/>
        <v>14393485038.309736</v>
      </c>
      <c r="AB7">
        <f t="shared" si="9"/>
        <v>2028</v>
      </c>
      <c r="AC7" s="10">
        <f>ROUND(AC$4+3/5*(AC$9-AC$4),-1)</f>
        <v>470080</v>
      </c>
      <c r="AD7" s="10">
        <f t="shared" ref="AD7:AE7" si="18">ROUND(AD$4+3/5*(AD$9-AD$4),-1)</f>
        <v>689560</v>
      </c>
      <c r="AE7" s="10">
        <f t="shared" si="18"/>
        <v>58950</v>
      </c>
      <c r="AF7" s="13">
        <f t="shared" si="1"/>
        <v>1218590</v>
      </c>
      <c r="AH7">
        <f t="shared" si="2"/>
        <v>2028</v>
      </c>
      <c r="AI7" s="11">
        <f>'Fleet ZEV fractions'!Z20</f>
        <v>61417.541664358141</v>
      </c>
      <c r="AJ7" s="11">
        <f>'Fleet ZEV fractions'!AL20</f>
        <v>94797.828199686075</v>
      </c>
      <c r="AK7" s="11">
        <f>'Fleet ZEV fractions'!AR20</f>
        <v>87829.541462924681</v>
      </c>
      <c r="AL7" s="10"/>
      <c r="AN7">
        <f t="shared" si="3"/>
        <v>2028</v>
      </c>
      <c r="AO7" s="11">
        <f t="shared" si="11"/>
        <v>725438799.78967798</v>
      </c>
      <c r="AP7" s="11">
        <f t="shared" si="12"/>
        <v>1119713046.9283667</v>
      </c>
      <c r="AQ7" s="11">
        <f t="shared" si="13"/>
        <v>1037406503.391798</v>
      </c>
      <c r="AR7" s="10"/>
      <c r="AU7" t="s">
        <v>56</v>
      </c>
      <c r="AV7" t="s">
        <v>57</v>
      </c>
      <c r="AW7" t="s">
        <v>53</v>
      </c>
    </row>
    <row r="8" spans="1:49">
      <c r="B8">
        <f t="shared" si="4"/>
        <v>2029</v>
      </c>
      <c r="C8" s="127">
        <f>'Emissions Summary'!$C19</f>
        <v>1467.7145479113071</v>
      </c>
      <c r="D8" s="127">
        <f>'Emissions Summary'!$C39</f>
        <v>1393.6278079590697</v>
      </c>
      <c r="E8" s="127">
        <f>'Emissions Summary'!$C59</f>
        <v>1398.6776358022773</v>
      </c>
      <c r="F8" s="10"/>
      <c r="H8">
        <f t="shared" si="5"/>
        <v>2029</v>
      </c>
      <c r="I8" s="127">
        <f>'Emissions Summary'!$F19</f>
        <v>153.66085485594405</v>
      </c>
      <c r="J8" s="127">
        <f>'Emissions Summary'!$F39</f>
        <v>148.64392071321041</v>
      </c>
      <c r="K8" s="127">
        <f>'Emissions Summary'!$F59</f>
        <v>148.98588006704145</v>
      </c>
      <c r="L8" s="10"/>
      <c r="O8">
        <f t="shared" si="6"/>
        <v>2029</v>
      </c>
      <c r="P8" s="15">
        <f>'Emissions Summary'!J19*Tables!T8</f>
        <v>4.0529246706779833</v>
      </c>
      <c r="Q8" s="15">
        <f>'Emissions Summary'!J39*Tables!T8</f>
        <v>3.5031987135274756</v>
      </c>
      <c r="R8" s="15">
        <f>'Emissions Summary'!J59*T8</f>
        <v>3.5394948081502511</v>
      </c>
      <c r="S8" s="10"/>
      <c r="T8" s="135">
        <f t="shared" si="14"/>
        <v>9.0718499999999998E-7</v>
      </c>
      <c r="V8">
        <v>2029</v>
      </c>
      <c r="W8" s="3">
        <f>W4+0.8*(W9-W4)</f>
        <v>5685764240.7046146</v>
      </c>
      <c r="X8" s="3">
        <f t="shared" ref="X8" si="19">X4+0.8*(X9-X4)</f>
        <v>8118797792.206708</v>
      </c>
      <c r="Y8" s="3">
        <f t="shared" ref="Y8" si="20">Y4+0.8*(Y9-Y4)</f>
        <v>652805446.15384614</v>
      </c>
      <c r="Z8" s="45">
        <f t="shared" si="0"/>
        <v>14457367479.06517</v>
      </c>
      <c r="AB8">
        <f t="shared" si="9"/>
        <v>2029</v>
      </c>
      <c r="AC8" s="10">
        <f>ROUND(AC$4+4/5*(AC$9-AC$4),-1)</f>
        <v>473750</v>
      </c>
      <c r="AD8" s="10">
        <f t="shared" ref="AD8:AE8" si="21">ROUND(AD$4+4/5*(AD$9-AD$4),-1)</f>
        <v>692560</v>
      </c>
      <c r="AE8" s="10">
        <f t="shared" si="21"/>
        <v>58620</v>
      </c>
      <c r="AF8" s="13">
        <f t="shared" si="1"/>
        <v>1224930</v>
      </c>
      <c r="AH8">
        <f t="shared" si="2"/>
        <v>2029</v>
      </c>
      <c r="AI8" s="11">
        <f>'Fleet ZEV fractions'!Z21</f>
        <v>72585.031042185467</v>
      </c>
      <c r="AJ8" s="11">
        <f>'Fleet ZEV fractions'!AL21</f>
        <v>125443.49672488665</v>
      </c>
      <c r="AK8" s="11">
        <f>'Fleet ZEV fractions'!AR21</f>
        <v>118475.20998812525</v>
      </c>
      <c r="AL8" s="10"/>
      <c r="AN8">
        <f t="shared" si="3"/>
        <v>2029</v>
      </c>
      <c r="AO8" s="11">
        <f t="shared" si="11"/>
        <v>856692600.6026696</v>
      </c>
      <c r="AP8" s="11">
        <f t="shared" si="12"/>
        <v>1480560301.4136271</v>
      </c>
      <c r="AQ8" s="11">
        <f t="shared" si="13"/>
        <v>1398316351.1039317</v>
      </c>
      <c r="AR8" s="10"/>
      <c r="AT8" s="8" t="s">
        <v>164</v>
      </c>
      <c r="AU8" s="10">
        <f>SUM(D4:D19)-SUM(C4:C19)</f>
        <v>-2400.1811838217072</v>
      </c>
      <c r="AV8" s="12">
        <f>SUM(J4:J19)-SUM(I4:I19)</f>
        <v>-168.61183092506258</v>
      </c>
      <c r="AW8" s="16">
        <f>SUM(Q4:Q19)-SUM(P4:P19)</f>
        <v>-20.041713986508292</v>
      </c>
    </row>
    <row r="9" spans="1:49">
      <c r="B9">
        <f t="shared" si="4"/>
        <v>2030</v>
      </c>
      <c r="C9" s="127">
        <f>'Emissions Summary'!$C20</f>
        <v>1288.3543149091211</v>
      </c>
      <c r="D9" s="127">
        <f>'Emissions Summary'!$C40</f>
        <v>1194.0693837265769</v>
      </c>
      <c r="E9" s="127">
        <f>'Emissions Summary'!$C60</f>
        <v>1200.2633722301762</v>
      </c>
      <c r="F9" s="44"/>
      <c r="G9" s="12"/>
      <c r="H9">
        <f t="shared" si="5"/>
        <v>2030</v>
      </c>
      <c r="I9" s="127">
        <f>'Emissions Summary'!$F20</f>
        <v>150.06243172577521</v>
      </c>
      <c r="J9" s="127">
        <f>'Emissions Summary'!$F40</f>
        <v>143.28457682798131</v>
      </c>
      <c r="K9" s="127">
        <f>'Emissions Summary'!$F60</f>
        <v>143.72984368864982</v>
      </c>
      <c r="L9" s="44"/>
      <c r="O9">
        <f t="shared" si="6"/>
        <v>2030</v>
      </c>
      <c r="P9" s="15">
        <f>'Emissions Summary'!J20*Tables!T9</f>
        <v>3.8668580377144566</v>
      </c>
      <c r="Q9" s="15">
        <f>'Emissions Summary'!J40*Tables!T9</f>
        <v>3.1286067330894407</v>
      </c>
      <c r="R9" s="15">
        <f>'Emissions Summary'!J60*T9</f>
        <v>3.1765382431455556</v>
      </c>
      <c r="S9" s="44"/>
      <c r="T9" s="135">
        <f t="shared" si="14"/>
        <v>9.0718499999999998E-7</v>
      </c>
      <c r="V9">
        <v>2030</v>
      </c>
      <c r="W9" s="45">
        <f>'Combined MOVES output'!AF23</f>
        <v>5712188014.9299994</v>
      </c>
      <c r="X9" s="45">
        <f>'Combined MOVES output'!AF24</f>
        <v>8157531752.8906002</v>
      </c>
      <c r="Y9" s="45">
        <f>'Combined MOVES output'!AF25</f>
        <v>651530152</v>
      </c>
      <c r="Z9" s="45">
        <f t="shared" si="0"/>
        <v>14521249919.820599</v>
      </c>
      <c r="AB9">
        <f t="shared" si="9"/>
        <v>2030</v>
      </c>
      <c r="AC9" s="11">
        <f>'Combined MOVES output'!AE23</f>
        <v>477419.17055809998</v>
      </c>
      <c r="AD9" s="11">
        <f>'Combined MOVES output'!AE24</f>
        <v>695554.42525018007</v>
      </c>
      <c r="AE9" s="11">
        <f>'Combined MOVES output'!AE25</f>
        <v>58282.669680000006</v>
      </c>
      <c r="AF9" s="13">
        <f t="shared" si="1"/>
        <v>1231256.2654882802</v>
      </c>
      <c r="AH9">
        <f t="shared" si="2"/>
        <v>2030</v>
      </c>
      <c r="AI9" s="11">
        <f>'Fleet ZEV fractions'!Z22</f>
        <v>83775.645302672172</v>
      </c>
      <c r="AJ9" s="11">
        <f>'Fleet ZEV fractions'!AL22</f>
        <v>160837.06740921672</v>
      </c>
      <c r="AK9" s="11">
        <f>'Fleet ZEV fractions'!AR22</f>
        <v>153868.78067245532</v>
      </c>
      <c r="AL9" s="44"/>
      <c r="AN9">
        <f t="shared" si="3"/>
        <v>2030</v>
      </c>
      <c r="AO9" s="11">
        <f t="shared" si="11"/>
        <v>988037272.77026927</v>
      </c>
      <c r="AP9" s="11">
        <f t="shared" si="12"/>
        <v>1896888014.0431654</v>
      </c>
      <c r="AQ9" s="11">
        <f t="shared" si="13"/>
        <v>1814705095.6258082</v>
      </c>
      <c r="AR9" s="44"/>
      <c r="AT9" s="8" t="s">
        <v>165</v>
      </c>
      <c r="AU9" s="12">
        <f>SUM(E4:E19)-SUM(C4:C19)</f>
        <v>-2274.125643520194</v>
      </c>
      <c r="AV9" s="12">
        <f>SUM(K4:K19)-SUM(I4:I19)</f>
        <v>-159.84036342204263</v>
      </c>
      <c r="AW9" s="16">
        <f>SUM(R4:R19)-SUM(P4:P19)</f>
        <v>-19.01138292613075</v>
      </c>
    </row>
    <row r="10" spans="1:49">
      <c r="B10">
        <f t="shared" si="4"/>
        <v>2031</v>
      </c>
      <c r="C10" s="127">
        <f>'Emissions Summary'!$C21</f>
        <v>1188.9866570242252</v>
      </c>
      <c r="D10" s="127">
        <f>'Emissions Summary'!$C41</f>
        <v>1069.7501163020727</v>
      </c>
      <c r="E10" s="127">
        <f>'Emissions Summary'!$C61</f>
        <v>1077.2487410263047</v>
      </c>
      <c r="F10" s="10"/>
      <c r="G10" s="12"/>
      <c r="H10">
        <f t="shared" si="5"/>
        <v>2031</v>
      </c>
      <c r="I10" s="127">
        <f>'Emissions Summary'!$F21</f>
        <v>146.22795707240789</v>
      </c>
      <c r="J10" s="127">
        <f>'Emissions Summary'!$F41</f>
        <v>137.59195448687262</v>
      </c>
      <c r="K10" s="127">
        <f>'Emissions Summary'!$F61</f>
        <v>138.1350610053461</v>
      </c>
      <c r="L10" s="10"/>
      <c r="O10">
        <f t="shared" si="6"/>
        <v>2031</v>
      </c>
      <c r="P10" s="15">
        <f>'Emissions Summary'!J21*Tables!T10</f>
        <v>3.7297645293386248</v>
      </c>
      <c r="Q10" s="15">
        <f>'Emissions Summary'!J41*Tables!T10</f>
        <v>2.7816072238506071</v>
      </c>
      <c r="R10" s="15">
        <f>'Emissions Summary'!J61*T10</f>
        <v>2.8413208713421283</v>
      </c>
      <c r="S10" s="10"/>
      <c r="T10" s="135">
        <f t="shared" si="14"/>
        <v>9.0718499999999998E-7</v>
      </c>
      <c r="V10">
        <v>2031</v>
      </c>
      <c r="W10" s="3">
        <f>W9+0.2*(W14-W9)</f>
        <v>5727671280.9634924</v>
      </c>
      <c r="X10" s="3">
        <f t="shared" ref="X10" si="22">X9+0.2*(X14-X9)</f>
        <v>8191019257.2566757</v>
      </c>
      <c r="Y10" s="3">
        <f t="shared" ref="Y10" si="23">Y9+0.2*(Y14-Y9)</f>
        <v>657738294.89338398</v>
      </c>
      <c r="Z10" s="45">
        <f t="shared" si="0"/>
        <v>14576428833.113552</v>
      </c>
      <c r="AB10">
        <f t="shared" si="9"/>
        <v>2031</v>
      </c>
      <c r="AC10" s="10">
        <f>ROUND(AC$9+1/5*(AC$14-AC$9),-1)</f>
        <v>482140</v>
      </c>
      <c r="AD10" s="10">
        <f t="shared" ref="AD10:AE10" si="24">ROUND(AD$9+1/5*(AD$14-AD$9),-1)</f>
        <v>693880</v>
      </c>
      <c r="AE10" s="10">
        <f t="shared" si="24"/>
        <v>58930</v>
      </c>
      <c r="AF10" s="13">
        <f t="shared" si="1"/>
        <v>1234950</v>
      </c>
      <c r="AH10">
        <f t="shared" si="2"/>
        <v>2031</v>
      </c>
      <c r="AI10" s="11">
        <f>'Fleet ZEV fractions'!Z23</f>
        <v>95030.312779989079</v>
      </c>
      <c r="AJ10" s="11">
        <f>'Fleet ZEV fractions'!AL23</f>
        <v>210566.9934717798</v>
      </c>
      <c r="AK10" s="11">
        <f>'Fleet ZEV fractions'!AR23</f>
        <v>203598.70673501841</v>
      </c>
      <c r="AL10" s="10"/>
      <c r="AN10">
        <f t="shared" si="3"/>
        <v>2031</v>
      </c>
      <c r="AO10" s="11">
        <f t="shared" si="11"/>
        <v>1121666942.9742353</v>
      </c>
      <c r="AP10" s="11">
        <f t="shared" si="12"/>
        <v>2485375760.1069551</v>
      </c>
      <c r="AQ10" s="11">
        <f t="shared" si="13"/>
        <v>2403127300.0825562</v>
      </c>
      <c r="AR10" s="10"/>
      <c r="AT10" s="8"/>
      <c r="AU10" s="12"/>
      <c r="AV10" s="12"/>
      <c r="AW10" s="16"/>
    </row>
    <row r="11" spans="1:49">
      <c r="B11">
        <f t="shared" si="4"/>
        <v>2032</v>
      </c>
      <c r="C11" s="127">
        <f>'Emissions Summary'!$C22</f>
        <v>1089.1822269243191</v>
      </c>
      <c r="D11" s="127">
        <f>'Emissions Summary'!$C42</f>
        <v>946.1576415582208</v>
      </c>
      <c r="E11" s="127">
        <f>'Emissions Summary'!$C62</f>
        <v>954.72168651103698</v>
      </c>
      <c r="F11" s="10"/>
      <c r="G11" s="12"/>
      <c r="H11">
        <f t="shared" si="5"/>
        <v>2032</v>
      </c>
      <c r="I11" s="127">
        <f>'Emissions Summary'!$F22</f>
        <v>141.62883851879653</v>
      </c>
      <c r="J11" s="127">
        <f>'Emissions Summary'!$F42</f>
        <v>131.17712774174274</v>
      </c>
      <c r="K11" s="127">
        <f>'Emissions Summary'!$F62</f>
        <v>131.8029566556977</v>
      </c>
      <c r="L11" s="10"/>
      <c r="O11">
        <f t="shared" si="6"/>
        <v>2032</v>
      </c>
      <c r="P11" s="15">
        <f>'Emissions Summary'!J22*Tables!T11</f>
        <v>3.5942051697519712</v>
      </c>
      <c r="Q11" s="15">
        <f>'Emissions Summary'!J42*Tables!T11</f>
        <v>2.4324296178473275</v>
      </c>
      <c r="R11" s="15">
        <f>'Emissions Summary'!J62*T11</f>
        <v>2.5026656590012455</v>
      </c>
      <c r="S11" s="10"/>
      <c r="T11" s="135">
        <f t="shared" si="14"/>
        <v>9.0718499999999998E-7</v>
      </c>
      <c r="V11">
        <v>2032</v>
      </c>
      <c r="W11" s="3">
        <f>W9+0.4*(W14-W9)</f>
        <v>5743154546.9969854</v>
      </c>
      <c r="X11" s="3">
        <f t="shared" ref="X11:Y11" si="25">X9+0.4*(X14-X9)</f>
        <v>8224506761.6227512</v>
      </c>
      <c r="Y11" s="3">
        <f t="shared" si="25"/>
        <v>663946437.78676796</v>
      </c>
      <c r="Z11" s="45">
        <f t="shared" si="0"/>
        <v>14631607746.406504</v>
      </c>
      <c r="AB11">
        <f t="shared" si="9"/>
        <v>2032</v>
      </c>
      <c r="AC11" s="10">
        <f>ROUND(AC$9+2/5*(AC$14-AC$9),-1)</f>
        <v>486860</v>
      </c>
      <c r="AD11" s="10">
        <f t="shared" ref="AD11:AE11" si="26">ROUND(AD$9+2/5*(AD$14-AD$9),-1)</f>
        <v>692210</v>
      </c>
      <c r="AE11" s="10">
        <f t="shared" si="26"/>
        <v>59570</v>
      </c>
      <c r="AF11" s="13">
        <f t="shared" si="1"/>
        <v>1238640</v>
      </c>
      <c r="AH11">
        <f t="shared" si="2"/>
        <v>2032</v>
      </c>
      <c r="AI11" s="11">
        <f>'Fleet ZEV fractions'!Z24</f>
        <v>106349.90775744568</v>
      </c>
      <c r="AJ11" s="11">
        <f>'Fleet ZEV fractions'!AL24</f>
        <v>264532.50441081706</v>
      </c>
      <c r="AK11" s="11">
        <f>'Fleet ZEV fractions'!AR24</f>
        <v>257564.21767405566</v>
      </c>
      <c r="AL11" s="10"/>
      <c r="AN11">
        <f t="shared" si="3"/>
        <v>2032</v>
      </c>
      <c r="AO11" s="11">
        <f t="shared" si="11"/>
        <v>1256273117.429971</v>
      </c>
      <c r="AP11" s="11">
        <f t="shared" si="12"/>
        <v>3124827101.2672153</v>
      </c>
      <c r="AQ11" s="11">
        <f t="shared" si="13"/>
        <v>3042513242.360043</v>
      </c>
      <c r="AR11" s="10"/>
      <c r="AT11" s="8"/>
      <c r="AU11" s="12"/>
      <c r="AV11" s="12"/>
      <c r="AW11" s="16"/>
    </row>
    <row r="12" spans="1:49">
      <c r="B12">
        <f t="shared" si="4"/>
        <v>2033</v>
      </c>
      <c r="C12" s="127">
        <f>'Emissions Summary'!$C23</f>
        <v>989.12515469917616</v>
      </c>
      <c r="D12" s="127">
        <f>'Emissions Summary'!$C43</f>
        <v>825.42238481049151</v>
      </c>
      <c r="E12" s="127">
        <f>'Emissions Summary'!$C63</f>
        <v>834.69246959890154</v>
      </c>
      <c r="F12" s="10"/>
      <c r="G12" s="12"/>
      <c r="H12">
        <f t="shared" si="5"/>
        <v>2033</v>
      </c>
      <c r="I12" s="127">
        <f>'Emissions Summary'!$F23</f>
        <v>136.94807005469124</v>
      </c>
      <c r="J12" s="127">
        <f>'Emissions Summary'!$F43</f>
        <v>124.75557330844393</v>
      </c>
      <c r="K12" s="127">
        <f>'Emissions Summary'!$F63</f>
        <v>125.44600437871222</v>
      </c>
      <c r="L12" s="10"/>
      <c r="O12">
        <f t="shared" si="6"/>
        <v>2033</v>
      </c>
      <c r="P12" s="15">
        <f>'Emissions Summary'!J23*Tables!T12</f>
        <v>3.463902378814455</v>
      </c>
      <c r="Q12" s="15">
        <f>'Emissions Summary'!J43*Tables!T12</f>
        <v>2.0947040951744391</v>
      </c>
      <c r="R12" s="15">
        <f>'Emissions Summary'!J63*T12</f>
        <v>2.173411202736931</v>
      </c>
      <c r="S12" s="10"/>
      <c r="T12" s="135">
        <f t="shared" si="14"/>
        <v>9.0718499999999998E-7</v>
      </c>
      <c r="V12">
        <v>2033</v>
      </c>
      <c r="W12" s="3">
        <f>W9+0.6*(W14-W9)</f>
        <v>5758637813.0304785</v>
      </c>
      <c r="X12" s="3">
        <f t="shared" ref="X12:Y12" si="27">X9+0.6*(X14-X9)</f>
        <v>8257994265.9888258</v>
      </c>
      <c r="Y12" s="3">
        <f t="shared" si="27"/>
        <v>670154580.68015182</v>
      </c>
      <c r="Z12" s="45">
        <f t="shared" si="0"/>
        <v>14686786659.699455</v>
      </c>
      <c r="AB12">
        <f t="shared" si="9"/>
        <v>2033</v>
      </c>
      <c r="AC12" s="10">
        <f>ROUND(AC$9+3/5*(AC$14-AC$9),-1)</f>
        <v>491580</v>
      </c>
      <c r="AD12" s="10">
        <f t="shared" ref="AD12:AE12" si="28">ROUND(AD$9+3/5*(AD$14-AD$9),-1)</f>
        <v>690530</v>
      </c>
      <c r="AE12" s="10">
        <f t="shared" si="28"/>
        <v>60210</v>
      </c>
      <c r="AF12" s="13">
        <f t="shared" si="1"/>
        <v>1242320</v>
      </c>
      <c r="AH12">
        <f t="shared" si="2"/>
        <v>2033</v>
      </c>
      <c r="AI12" s="11">
        <f>'Fleet ZEV fractions'!Z25</f>
        <v>117735.30451835143</v>
      </c>
      <c r="AJ12" s="11">
        <f>'Fleet ZEV fractions'!AL25</f>
        <v>322783.37155963719</v>
      </c>
      <c r="AK12" s="11">
        <f>'Fleet ZEV fractions'!AR25</f>
        <v>315815.0848228758</v>
      </c>
      <c r="AL12" s="10"/>
      <c r="AN12">
        <f t="shared" si="3"/>
        <v>2033</v>
      </c>
      <c r="AO12" s="11">
        <f t="shared" si="11"/>
        <v>1391874315.6157649</v>
      </c>
      <c r="AP12" s="11">
        <f t="shared" si="12"/>
        <v>3815965705.6111884</v>
      </c>
      <c r="AQ12" s="11">
        <f t="shared" si="13"/>
        <v>3733586173.215004</v>
      </c>
      <c r="AR12" s="10"/>
      <c r="AT12" s="165" t="s">
        <v>373</v>
      </c>
      <c r="AU12" s="12"/>
      <c r="AV12" s="12"/>
      <c r="AW12" s="16"/>
    </row>
    <row r="13" spans="1:49">
      <c r="B13">
        <f t="shared" si="4"/>
        <v>2034</v>
      </c>
      <c r="C13" s="127">
        <f>'Emissions Summary'!$C24</f>
        <v>888.8366837966696</v>
      </c>
      <c r="D13" s="127">
        <f>'Emissions Summary'!$C44</f>
        <v>708.39230044861142</v>
      </c>
      <c r="E13" s="127">
        <f>'Emissions Summary'!$C64</f>
        <v>717.98814331345557</v>
      </c>
      <c r="F13" s="10"/>
      <c r="G13" s="12"/>
      <c r="H13">
        <f t="shared" si="5"/>
        <v>2034</v>
      </c>
      <c r="I13" s="127">
        <f>'Emissions Summary'!$F24</f>
        <v>132.2128229226453</v>
      </c>
      <c r="J13" s="127">
        <f>'Emissions Summary'!$F44</f>
        <v>118.38910445202505</v>
      </c>
      <c r="K13" s="127">
        <f>'Emissions Summary'!$F64</f>
        <v>119.12423528730324</v>
      </c>
      <c r="L13" s="10"/>
      <c r="O13">
        <f t="shared" si="6"/>
        <v>2034</v>
      </c>
      <c r="P13" s="15">
        <f>'Emissions Summary'!J24*Tables!T13</f>
        <v>3.3392174668257333</v>
      </c>
      <c r="Q13" s="15">
        <f>'Emissions Summary'!J44*Tables!T13</f>
        <v>1.7561502321972757</v>
      </c>
      <c r="R13" s="15">
        <f>'Emissions Summary'!J64*T13</f>
        <v>1.8419161477996395</v>
      </c>
      <c r="S13" s="10"/>
      <c r="T13" s="135">
        <f t="shared" si="14"/>
        <v>9.0718499999999998E-7</v>
      </c>
      <c r="V13">
        <v>2034</v>
      </c>
      <c r="W13" s="3">
        <f>W9+0.8*(W14-W9)</f>
        <v>5774121079.0639715</v>
      </c>
      <c r="X13" s="3">
        <f t="shared" ref="X13" si="29">X9+0.8*(X14-X9)</f>
        <v>8291481770.3549013</v>
      </c>
      <c r="Y13" s="3">
        <f t="shared" ref="Y13" si="30">Y9+0.8*(Y14-Y9)</f>
        <v>676362723.5735358</v>
      </c>
      <c r="Z13" s="45">
        <f t="shared" si="0"/>
        <v>14741965572.992409</v>
      </c>
      <c r="AB13">
        <f t="shared" si="9"/>
        <v>2034</v>
      </c>
      <c r="AC13" s="10">
        <f>ROUND(AC$9+4/5*(AC$14-AC$9),-1)</f>
        <v>496300</v>
      </c>
      <c r="AD13" s="10">
        <f t="shared" ref="AD13:AE13" si="31">ROUND(AD$9+4/5*(AD$14-AD$9),-1)</f>
        <v>688860</v>
      </c>
      <c r="AE13" s="10">
        <f t="shared" si="31"/>
        <v>60850</v>
      </c>
      <c r="AF13" s="13">
        <f t="shared" si="1"/>
        <v>1246010</v>
      </c>
      <c r="AH13">
        <f t="shared" si="2"/>
        <v>2034</v>
      </c>
      <c r="AI13" s="11">
        <f>'Fleet ZEV fractions'!Z26</f>
        <v>129187.37734601583</v>
      </c>
      <c r="AJ13" s="11">
        <f>'Fleet ZEV fractions'!AL26</f>
        <v>385370.28119919845</v>
      </c>
      <c r="AK13" s="11">
        <f>'Fleet ZEV fractions'!AR26</f>
        <v>378401.99446243705</v>
      </c>
      <c r="AL13" s="10"/>
      <c r="AN13">
        <f t="shared" si="3"/>
        <v>2034</v>
      </c>
      <c r="AO13" s="11">
        <f t="shared" si="11"/>
        <v>1528459538.2863257</v>
      </c>
      <c r="AP13" s="11">
        <f t="shared" si="12"/>
        <v>4559446086.542634</v>
      </c>
      <c r="AQ13" s="11">
        <f t="shared" si="13"/>
        <v>4477001930.2549028</v>
      </c>
      <c r="AR13" s="10"/>
    </row>
    <row r="14" spans="1:49">
      <c r="B14">
        <f t="shared" si="4"/>
        <v>2035</v>
      </c>
      <c r="C14" s="127">
        <f>'Emissions Summary'!$C25</f>
        <v>785.31299341851309</v>
      </c>
      <c r="D14" s="127">
        <f>'Emissions Summary'!$C45</f>
        <v>594.04757640350851</v>
      </c>
      <c r="E14" s="127">
        <f>'Emissions Summary'!$C65</f>
        <v>603.53244717259918</v>
      </c>
      <c r="F14" s="44"/>
      <c r="G14" s="9"/>
      <c r="H14">
        <f t="shared" si="5"/>
        <v>2035</v>
      </c>
      <c r="I14" s="127">
        <f>'Emissions Summary'!$F25</f>
        <v>126.50103271872534</v>
      </c>
      <c r="J14" s="127">
        <f>'Emissions Summary'!$F45</f>
        <v>111.27752700694708</v>
      </c>
      <c r="K14" s="127">
        <f>'Emissions Summary'!$F65</f>
        <v>112.03246214672409</v>
      </c>
      <c r="L14" s="44"/>
      <c r="N14" s="9"/>
      <c r="O14">
        <f t="shared" si="6"/>
        <v>2035</v>
      </c>
      <c r="P14" s="15">
        <f>'Emissions Summary'!J25*Tables!T14</f>
        <v>3.2225356708608079</v>
      </c>
      <c r="Q14" s="15">
        <f>'Emissions Summary'!J45*Tables!T14</f>
        <v>1.4324805464930874</v>
      </c>
      <c r="R14" s="15">
        <f>'Emissions Summary'!J65*T14</f>
        <v>1.5231411693716825</v>
      </c>
      <c r="S14" s="44"/>
      <c r="T14" s="135">
        <f t="shared" si="14"/>
        <v>9.0718499999999998E-7</v>
      </c>
      <c r="V14">
        <v>2035</v>
      </c>
      <c r="W14" s="45">
        <f>'Combined MOVES output'!AF28</f>
        <v>5789604345.0974646</v>
      </c>
      <c r="X14" s="45">
        <f>'Combined MOVES output'!AF29</f>
        <v>8324969274.7209768</v>
      </c>
      <c r="Y14" s="45">
        <f>'Combined MOVES output'!AF30</f>
        <v>682570866.46691978</v>
      </c>
      <c r="Z14" s="45">
        <f t="shared" si="0"/>
        <v>14797144486.28536</v>
      </c>
      <c r="AB14">
        <f t="shared" si="9"/>
        <v>2035</v>
      </c>
      <c r="AC14" s="11">
        <f>'Combined MOVES output'!AE28</f>
        <v>501017.30992085004</v>
      </c>
      <c r="AD14" s="11">
        <f>'Combined MOVES output'!AE29</f>
        <v>687185.46180404758</v>
      </c>
      <c r="AE14" s="11">
        <f>'Combined MOVES output'!AE30</f>
        <v>61497.208774849329</v>
      </c>
      <c r="AF14" s="13">
        <f t="shared" si="1"/>
        <v>1249699.980499747</v>
      </c>
      <c r="AH14">
        <f t="shared" si="2"/>
        <v>2035</v>
      </c>
      <c r="AI14" s="11">
        <f>'Fleet ZEV fractions'!Z27</f>
        <v>140707.00052374837</v>
      </c>
      <c r="AJ14" s="11">
        <f>'Fleet ZEV fractions'!AL27</f>
        <v>452344.83455810853</v>
      </c>
      <c r="AK14" s="11">
        <f>'Fleet ZEV fractions'!AR27</f>
        <v>445376.54782134714</v>
      </c>
      <c r="AL14" s="44"/>
      <c r="AN14">
        <f t="shared" si="3"/>
        <v>2035</v>
      </c>
      <c r="AO14" s="11">
        <f t="shared" si="11"/>
        <v>1666049331.4156342</v>
      </c>
      <c r="AP14" s="11">
        <f t="shared" si="12"/>
        <v>5356015026.8263006</v>
      </c>
      <c r="AQ14" s="11">
        <f t="shared" si="13"/>
        <v>5273506626.990612</v>
      </c>
      <c r="AR14" s="44"/>
      <c r="AT14" s="2"/>
      <c r="AU14" t="s">
        <v>56</v>
      </c>
      <c r="AV14" t="s">
        <v>57</v>
      </c>
      <c r="AW14" t="s">
        <v>53</v>
      </c>
    </row>
    <row r="15" spans="1:49">
      <c r="B15">
        <f t="shared" si="4"/>
        <v>2036</v>
      </c>
      <c r="C15" s="127">
        <f>'Emissions Summary'!$C26</f>
        <v>768.32575439444327</v>
      </c>
      <c r="D15" s="127">
        <f>'Emissions Summary'!$C46</f>
        <v>548.82362484613327</v>
      </c>
      <c r="E15" s="127">
        <f>'Emissions Summary'!$C66</f>
        <v>558.9020906576676</v>
      </c>
      <c r="F15" s="10"/>
      <c r="H15">
        <f t="shared" si="5"/>
        <v>2036</v>
      </c>
      <c r="I15" s="127">
        <f>'Emissions Summary'!$F26</f>
        <v>122.69160952795468</v>
      </c>
      <c r="J15" s="127">
        <f>'Emissions Summary'!$F46</f>
        <v>106.11340858206569</v>
      </c>
      <c r="K15" s="127">
        <f>'Emissions Summary'!$F66</f>
        <v>106.87459860693565</v>
      </c>
      <c r="L15" s="10"/>
      <c r="O15">
        <f t="shared" si="6"/>
        <v>2036</v>
      </c>
      <c r="P15" s="15">
        <f>'Emissions Summary'!J26*Tables!T15</f>
        <v>3.1380215253120043</v>
      </c>
      <c r="Q15" s="15">
        <f>'Emissions Summary'!J46*Tables!T15</f>
        <v>1.1538802106048651</v>
      </c>
      <c r="R15" s="15">
        <f>'Emissions Summary'!J66*T15</f>
        <v>1.2470406120018884</v>
      </c>
      <c r="S15" s="10"/>
      <c r="T15" s="135">
        <f t="shared" si="14"/>
        <v>9.0718499999999998E-7</v>
      </c>
      <c r="V15">
        <v>2036</v>
      </c>
      <c r="W15" s="3">
        <f>W14+0.2*(W19-W14)</f>
        <v>5829185158.5132713</v>
      </c>
      <c r="X15" s="3">
        <f t="shared" ref="X15" si="32">X14+0.2*(X19-X14)</f>
        <v>8361132190.6023674</v>
      </c>
      <c r="Y15" s="3">
        <f t="shared" ref="Y15" si="33">Y14+0.2*(Y19-Y14)</f>
        <v>688894555.17353582</v>
      </c>
      <c r="Z15" s="45">
        <f t="shared" si="0"/>
        <v>14879211904.289175</v>
      </c>
      <c r="AB15">
        <f t="shared" si="9"/>
        <v>2036</v>
      </c>
      <c r="AC15" s="10">
        <f>ROUND(AC$14+1/5*(AC$19-AC$14),-1)</f>
        <v>506980</v>
      </c>
      <c r="AD15" s="10">
        <f t="shared" ref="AD15:AE15" si="34">ROUND(AD$14+1/5*(AD$19-AD$14),-1)</f>
        <v>684010</v>
      </c>
      <c r="AE15" s="10">
        <f t="shared" si="34"/>
        <v>62120</v>
      </c>
      <c r="AF15" s="13">
        <f t="shared" si="1"/>
        <v>1253110</v>
      </c>
      <c r="AH15">
        <f t="shared" si="2"/>
        <v>2036</v>
      </c>
      <c r="AI15" s="11">
        <f>'Fleet ZEV fractions'!Z28</f>
        <v>152257.04212291012</v>
      </c>
      <c r="AJ15" s="11">
        <f>'Fleet ZEV fractions'!AL28</f>
        <v>519496.23920439783</v>
      </c>
      <c r="AK15" s="11">
        <f>'Fleet ZEV fractions'!AR28</f>
        <v>512527.95246763644</v>
      </c>
      <c r="AL15" s="10"/>
      <c r="AN15">
        <f t="shared" si="3"/>
        <v>2036</v>
      </c>
      <c r="AO15" s="11">
        <f t="shared" si="11"/>
        <v>1807873844.8077683</v>
      </c>
      <c r="AP15" s="11">
        <f t="shared" si="12"/>
        <v>6168408700.436142</v>
      </c>
      <c r="AQ15" s="11">
        <f t="shared" si="13"/>
        <v>6085668466.1661091</v>
      </c>
      <c r="AR15" s="10"/>
      <c r="AT15" t="s">
        <v>164</v>
      </c>
      <c r="AU15" s="12">
        <f>SUM(D4:D9)-SUM(C4:C9)</f>
        <v>-267.79723890169771</v>
      </c>
      <c r="AV15" s="12">
        <f>SUM(J4:J9)-SUM(I4:I9)</f>
        <v>-18.021355573551432</v>
      </c>
      <c r="AW15" s="16">
        <f>SUM(Q4:Q9)-SUM(P4:P9)</f>
        <v>-1.97499404589691</v>
      </c>
    </row>
    <row r="16" spans="1:49">
      <c r="B16">
        <f t="shared" si="4"/>
        <v>2037</v>
      </c>
      <c r="C16" s="127">
        <f>'Emissions Summary'!$C27</f>
        <v>750.78925725021531</v>
      </c>
      <c r="D16" s="127">
        <f>'Emissions Summary'!$C47</f>
        <v>505.17331149045333</v>
      </c>
      <c r="E16" s="127">
        <f>'Emissions Summary'!$C67</f>
        <v>515.54249644583399</v>
      </c>
      <c r="F16" s="10"/>
      <c r="H16">
        <f t="shared" si="5"/>
        <v>2037</v>
      </c>
      <c r="I16" s="127">
        <f>'Emissions Summary'!$F27</f>
        <v>118.9117432402209</v>
      </c>
      <c r="J16" s="127">
        <f>'Emissions Summary'!$F47</f>
        <v>101.33942150828128</v>
      </c>
      <c r="K16" s="127">
        <f>'Emissions Summary'!$F67</f>
        <v>102.08127340055279</v>
      </c>
      <c r="L16" s="10"/>
      <c r="O16">
        <f t="shared" si="6"/>
        <v>2037</v>
      </c>
      <c r="P16" s="15">
        <f>'Emissions Summary'!J27*Tables!T16</f>
        <v>3.0615199258890766</v>
      </c>
      <c r="Q16" s="15">
        <f>'Emissions Summary'!J47*Tables!T16</f>
        <v>0.92025110374806096</v>
      </c>
      <c r="R16" s="15">
        <f>'Emissions Summary'!J67*T16</f>
        <v>1.012752277689533</v>
      </c>
      <c r="S16" s="10"/>
      <c r="T16" s="135">
        <f t="shared" si="14"/>
        <v>9.0718499999999998E-7</v>
      </c>
      <c r="V16">
        <v>2037</v>
      </c>
      <c r="W16" s="3">
        <f>W14+0.4*(W19-W14)</f>
        <v>5868765971.9290791</v>
      </c>
      <c r="X16" s="3">
        <f t="shared" ref="X16:Y16" si="35">X14+0.4*(X19-X14)</f>
        <v>8397295106.483758</v>
      </c>
      <c r="Y16" s="3">
        <f t="shared" si="35"/>
        <v>695218243.88015187</v>
      </c>
      <c r="Z16" s="45">
        <f t="shared" si="0"/>
        <v>14961279322.29299</v>
      </c>
      <c r="AB16">
        <f t="shared" si="9"/>
        <v>2037</v>
      </c>
      <c r="AC16" s="10">
        <f>ROUND(AC$14+2/5*(AC$19-AC$14),-1)</f>
        <v>512930</v>
      </c>
      <c r="AD16" s="10">
        <f t="shared" ref="AD16:AE16" si="36">ROUND(AD$14+2/5*(AD$19-AD$14),-1)</f>
        <v>680840</v>
      </c>
      <c r="AE16" s="10">
        <f t="shared" si="36"/>
        <v>62750</v>
      </c>
      <c r="AF16" s="13">
        <f t="shared" si="1"/>
        <v>1256520</v>
      </c>
      <c r="AH16">
        <f t="shared" si="2"/>
        <v>2037</v>
      </c>
      <c r="AI16" s="11">
        <f>'Fleet ZEV fractions'!Z29</f>
        <v>163837.5021435011</v>
      </c>
      <c r="AJ16" s="11">
        <f>'Fleet ZEV fractions'!AL29</f>
        <v>586824.49513806636</v>
      </c>
      <c r="AK16" s="11">
        <f>'Fleet ZEV fractions'!AR29</f>
        <v>579856.2084013049</v>
      </c>
      <c r="AL16" s="10"/>
      <c r="AN16">
        <f t="shared" si="3"/>
        <v>2037</v>
      </c>
      <c r="AO16" s="11">
        <f t="shared" si="11"/>
        <v>1950799536.0485277</v>
      </c>
      <c r="AP16" s="11">
        <f t="shared" si="12"/>
        <v>6987270544.7777786</v>
      </c>
      <c r="AQ16" s="11">
        <f t="shared" si="13"/>
        <v>6904299733.1181812</v>
      </c>
      <c r="AR16" s="10"/>
      <c r="AT16" s="8" t="s">
        <v>165</v>
      </c>
      <c r="AU16" s="10">
        <f>SUM(E4:E9)-SUM(C4:C9)</f>
        <v>-236.34333213142054</v>
      </c>
      <c r="AV16" s="12">
        <f>SUM(K4:K9)-SUM(I4:I9)</f>
        <v>-16.029418286552982</v>
      </c>
      <c r="AW16" s="16">
        <f>SUM(R4:R9)-SUM(P4:P9)</f>
        <v>-1.7639912641728479</v>
      </c>
    </row>
    <row r="17" spans="1:50">
      <c r="B17">
        <f t="shared" si="4"/>
        <v>2038</v>
      </c>
      <c r="C17" s="127">
        <f>'Emissions Summary'!$C28</f>
        <v>732.63070940308523</v>
      </c>
      <c r="D17" s="127">
        <f>'Emissions Summary'!$C48</f>
        <v>463.14900385352263</v>
      </c>
      <c r="E17" s="127">
        <f>'Emissions Summary'!$C68</f>
        <v>473.5376185459433</v>
      </c>
      <c r="F17" s="10"/>
      <c r="H17">
        <f t="shared" si="5"/>
        <v>2038</v>
      </c>
      <c r="I17" s="127">
        <f>'Emissions Summary'!$F28</f>
        <v>115.09451681615501</v>
      </c>
      <c r="J17" s="127">
        <f>'Emissions Summary'!$F48</f>
        <v>96.761317808964478</v>
      </c>
      <c r="K17" s="127">
        <f>'Emissions Summary'!$F68</f>
        <v>97.468069089823288</v>
      </c>
      <c r="L17" s="10"/>
      <c r="O17">
        <f t="shared" si="6"/>
        <v>2038</v>
      </c>
      <c r="P17" s="15">
        <f>'Emissions Summary'!J28*Tables!T17</f>
        <v>2.9924640764684582</v>
      </c>
      <c r="Q17" s="15">
        <f>'Emissions Summary'!J48*Tables!T17</f>
        <v>0.72319169890671653</v>
      </c>
      <c r="R17" s="15">
        <f>'Emissions Summary'!J68*T17</f>
        <v>0.81272107713355257</v>
      </c>
      <c r="S17" s="10"/>
      <c r="T17" s="135">
        <f t="shared" si="14"/>
        <v>9.0718499999999998E-7</v>
      </c>
      <c r="V17">
        <v>2038</v>
      </c>
      <c r="W17" s="3">
        <f>W14+0.6*(W19-W14)</f>
        <v>5908346785.3448858</v>
      </c>
      <c r="X17" s="3">
        <f t="shared" ref="X17:Y17" si="37">X14+0.6*(X19-X14)</f>
        <v>8433458022.3651485</v>
      </c>
      <c r="Y17" s="3">
        <f t="shared" si="37"/>
        <v>701541932.58676791</v>
      </c>
      <c r="Z17" s="45">
        <f t="shared" si="0"/>
        <v>15043346740.296801</v>
      </c>
      <c r="AB17">
        <f t="shared" si="9"/>
        <v>2038</v>
      </c>
      <c r="AC17" s="10">
        <f>ROUND(AC$14+3/5*(AC$19-AC$14),-1)</f>
        <v>518890</v>
      </c>
      <c r="AD17" s="10">
        <f t="shared" ref="AD17:AE17" si="38">ROUND(AD$14+3/5*(AD$19-AD$14),-1)</f>
        <v>677670</v>
      </c>
      <c r="AE17" s="10">
        <f t="shared" si="38"/>
        <v>63380</v>
      </c>
      <c r="AF17" s="13">
        <f t="shared" si="1"/>
        <v>1259940</v>
      </c>
      <c r="AH17">
        <f t="shared" si="2"/>
        <v>2038</v>
      </c>
      <c r="AI17" s="11">
        <f>'Fleet ZEV fractions'!Z30</f>
        <v>175448.38058552131</v>
      </c>
      <c r="AJ17" s="11">
        <f>'Fleet ZEV fractions'!AL30</f>
        <v>654329.6023591141</v>
      </c>
      <c r="AK17" s="11">
        <f>'Fleet ZEV fractions'!AR30</f>
        <v>647361.31562235265</v>
      </c>
      <c r="AL17" s="10"/>
      <c r="AN17">
        <f t="shared" si="3"/>
        <v>2038</v>
      </c>
      <c r="AO17" s="11">
        <f t="shared" si="11"/>
        <v>2094806756.0134251</v>
      </c>
      <c r="AP17" s="11">
        <f t="shared" si="12"/>
        <v>7812520509.4914684</v>
      </c>
      <c r="AQ17" s="11">
        <f t="shared" si="13"/>
        <v>7729321028.9075413</v>
      </c>
      <c r="AR17" s="10"/>
      <c r="AT17" s="8"/>
      <c r="AU17" s="12"/>
      <c r="AV17" s="12"/>
      <c r="AW17" s="16"/>
      <c r="AX17" s="16"/>
    </row>
    <row r="18" spans="1:50">
      <c r="B18">
        <f t="shared" si="4"/>
        <v>2039</v>
      </c>
      <c r="C18" s="127">
        <f>'Emissions Summary'!$C29</f>
        <v>714.01527339836559</v>
      </c>
      <c r="D18" s="127">
        <f>'Emissions Summary'!$C49</f>
        <v>422.96464165425846</v>
      </c>
      <c r="E18" s="127">
        <f>'Emissions Summary'!$C69</f>
        <v>433.00629343904882</v>
      </c>
      <c r="F18" s="10"/>
      <c r="H18">
        <f t="shared" si="5"/>
        <v>2039</v>
      </c>
      <c r="I18" s="127">
        <f>'Emissions Summary'!$F29</f>
        <v>111.34883615362956</v>
      </c>
      <c r="J18" s="127">
        <f>'Emissions Summary'!$F49</f>
        <v>92.563138389040589</v>
      </c>
      <c r="K18" s="127">
        <f>'Emissions Summary'!$F69</f>
        <v>93.211271101743876</v>
      </c>
      <c r="L18" s="10"/>
      <c r="O18">
        <f t="shared" si="6"/>
        <v>2039</v>
      </c>
      <c r="P18" s="15">
        <f>'Emissions Summary'!J29*Tables!T18</f>
        <v>2.9302854196255326</v>
      </c>
      <c r="Q18" s="15">
        <f>'Emissions Summary'!J49*Tables!T18</f>
        <v>0.55951104775615734</v>
      </c>
      <c r="R18" s="15">
        <f>'Emissions Summary'!J69*T18</f>
        <v>0.64318179510327866</v>
      </c>
      <c r="S18" s="10"/>
      <c r="T18" s="135">
        <f t="shared" si="14"/>
        <v>9.0718499999999998E-7</v>
      </c>
      <c r="V18">
        <v>2039</v>
      </c>
      <c r="W18" s="3">
        <f>W14+0.8*(W19-W14)</f>
        <v>5947927598.7606936</v>
      </c>
      <c r="X18" s="3">
        <f t="shared" ref="X18" si="39">X14+0.8*(X19-X14)</f>
        <v>8469620938.2465391</v>
      </c>
      <c r="Y18" s="3">
        <f t="shared" ref="Y18" si="40">Y14+0.8*(Y19-Y14)</f>
        <v>707865621.29338396</v>
      </c>
      <c r="Z18" s="45">
        <f t="shared" si="0"/>
        <v>15125414158.300617</v>
      </c>
      <c r="AB18">
        <f t="shared" si="9"/>
        <v>2039</v>
      </c>
      <c r="AC18" s="10">
        <f>ROUND(AC$14+4/5*(AC$19-AC$14),-1)</f>
        <v>524850</v>
      </c>
      <c r="AD18" s="10">
        <f t="shared" ref="AD18:AE18" si="41">ROUND(AD$14+4/5*(AD$19-AD$14),-1)</f>
        <v>674500</v>
      </c>
      <c r="AE18" s="10">
        <f t="shared" si="41"/>
        <v>64000</v>
      </c>
      <c r="AF18" s="13">
        <f t="shared" si="1"/>
        <v>1263350</v>
      </c>
      <c r="AH18">
        <f t="shared" si="2"/>
        <v>2039</v>
      </c>
      <c r="AI18" s="11">
        <f>'Fleet ZEV fractions'!Z31</f>
        <v>187089.67744897076</v>
      </c>
      <c r="AJ18" s="11">
        <f>'Fleet ZEV fractions'!AL31</f>
        <v>722011.560867541</v>
      </c>
      <c r="AK18" s="11">
        <f>'Fleet ZEV fractions'!AR31</f>
        <v>715043.27413077955</v>
      </c>
      <c r="AL18" s="10"/>
      <c r="AN18">
        <f t="shared" si="3"/>
        <v>2039</v>
      </c>
      <c r="AO18" s="11">
        <f t="shared" si="11"/>
        <v>2239924689.2457023</v>
      </c>
      <c r="AP18" s="11">
        <f t="shared" si="12"/>
        <v>8644258428.1494694</v>
      </c>
      <c r="AQ18" s="11">
        <f t="shared" si="13"/>
        <v>8560830856.3227301</v>
      </c>
      <c r="AR18" s="10"/>
      <c r="AT18" s="8"/>
      <c r="AU18" s="12"/>
      <c r="AV18" s="12"/>
      <c r="AW18" s="16"/>
    </row>
    <row r="19" spans="1:50">
      <c r="A19" s="9"/>
      <c r="B19">
        <f t="shared" si="4"/>
        <v>2040</v>
      </c>
      <c r="C19" s="127">
        <f>'Emissions Summary'!$C30</f>
        <v>694.62161399797731</v>
      </c>
      <c r="D19" s="127">
        <f>'Emissions Summary'!$C50</f>
        <v>385.56177801971074</v>
      </c>
      <c r="E19" s="127">
        <f>'Emissions Summary'!$C70</f>
        <v>394.8720262074259</v>
      </c>
      <c r="F19" s="44"/>
      <c r="G19" s="262"/>
      <c r="H19">
        <f t="shared" si="5"/>
        <v>2040</v>
      </c>
      <c r="I19" s="127">
        <f>'Emissions Summary'!$F30</f>
        <v>107.57878869696262</v>
      </c>
      <c r="J19" s="127">
        <f>'Emissions Summary'!$F50</f>
        <v>88.585167086294334</v>
      </c>
      <c r="K19" s="127">
        <f>'Emissions Summary'!$F70</f>
        <v>89.157338913860144</v>
      </c>
      <c r="L19" s="44"/>
      <c r="M19" s="262"/>
      <c r="N19" s="9"/>
      <c r="O19">
        <f t="shared" si="6"/>
        <v>2040</v>
      </c>
      <c r="P19" s="15">
        <f>'Emissions Summary'!J30*Tables!T19</f>
        <v>2.8755618883332859</v>
      </c>
      <c r="Q19" s="15">
        <f>'Emissions Summary'!J50*Tables!T19</f>
        <v>0.42655233403003573</v>
      </c>
      <c r="R19" s="15">
        <f>'Emissions Summary'!J70*T19</f>
        <v>0.5019355770821684</v>
      </c>
      <c r="S19" s="44"/>
      <c r="T19" s="135">
        <f t="shared" si="14"/>
        <v>9.0718499999999998E-7</v>
      </c>
      <c r="U19" s="16"/>
      <c r="V19" s="3">
        <v>2040</v>
      </c>
      <c r="W19" s="45">
        <f>'Combined MOVES output'!AF33</f>
        <v>5987508412.1765003</v>
      </c>
      <c r="X19" s="45">
        <f>'Combined MOVES output'!AF34</f>
        <v>8505783854.1279297</v>
      </c>
      <c r="Y19" s="45">
        <f>'Combined MOVES output'!AF35</f>
        <v>714189310</v>
      </c>
      <c r="Z19" s="45">
        <f t="shared" si="0"/>
        <v>15207481576.30443</v>
      </c>
      <c r="AA19" s="16"/>
      <c r="AB19">
        <f t="shared" si="9"/>
        <v>2040</v>
      </c>
      <c r="AC19" s="11">
        <f>'Combined MOVES output'!AE33</f>
        <v>530810.46752018004</v>
      </c>
      <c r="AD19" s="11">
        <f>'Combined MOVES output'!AE34</f>
        <v>671325.97351000505</v>
      </c>
      <c r="AE19" s="11">
        <f>'Combined MOVES output'!AE35</f>
        <v>64628.690430000002</v>
      </c>
      <c r="AF19" s="13">
        <f t="shared" si="1"/>
        <v>1266765.1314601852</v>
      </c>
      <c r="AH19">
        <f t="shared" si="2"/>
        <v>2040</v>
      </c>
      <c r="AI19" s="11">
        <f>'Fleet ZEV fractions'!Z32</f>
        <v>198761.39273384941</v>
      </c>
      <c r="AJ19" s="11">
        <f>'Fleet ZEV fractions'!AL32</f>
        <v>789870.37066334719</v>
      </c>
      <c r="AK19" s="11">
        <f>'Fleet ZEV fractions'!AR32</f>
        <v>782902.08392658574</v>
      </c>
      <c r="AL19" s="44"/>
      <c r="AN19">
        <f t="shared" si="3"/>
        <v>2040</v>
      </c>
      <c r="AO19" s="11">
        <f t="shared" si="11"/>
        <v>2386125212.1744456</v>
      </c>
      <c r="AP19" s="11">
        <f t="shared" si="12"/>
        <v>9482372707.6270123</v>
      </c>
      <c r="AQ19" s="11">
        <f t="shared" si="13"/>
        <v>9398718611.4288025</v>
      </c>
      <c r="AR19" s="44"/>
      <c r="AT19" s="165" t="s">
        <v>374</v>
      </c>
      <c r="AU19" s="12"/>
      <c r="AV19" s="12"/>
      <c r="AW19" s="16"/>
    </row>
    <row r="20" spans="1:50">
      <c r="B20" s="8" t="s">
        <v>49</v>
      </c>
      <c r="C20" s="128">
        <f>SUM(C4:C19)</f>
        <v>19006.391049377071</v>
      </c>
      <c r="D20" s="128">
        <f>SUM(D4:D19)</f>
        <v>16606.209865555364</v>
      </c>
      <c r="E20" s="128">
        <f>SUM(E4:E19)</f>
        <v>16732.265405856877</v>
      </c>
      <c r="F20" s="10"/>
      <c r="G20" s="12"/>
      <c r="H20" s="8" t="s">
        <v>49</v>
      </c>
      <c r="I20" s="130">
        <f>SUM(I4:I19)</f>
        <v>2203.5044232039427</v>
      </c>
      <c r="J20" s="130">
        <f>SUM(J4:J19)</f>
        <v>2034.8925922788801</v>
      </c>
      <c r="K20" s="130">
        <f>SUM(K4:K19)</f>
        <v>2043.6640597819001</v>
      </c>
      <c r="L20" s="10"/>
      <c r="M20" s="12"/>
      <c r="O20" s="8" t="s">
        <v>49</v>
      </c>
      <c r="P20" s="14">
        <f>SUM(P4:P19)</f>
        <v>58.152977100273347</v>
      </c>
      <c r="Q20" s="14">
        <f>SUM(Q4:Q19)</f>
        <v>38.111263113765055</v>
      </c>
      <c r="R20" s="14">
        <f>SUM(R4:R19)</f>
        <v>39.141594174142597</v>
      </c>
      <c r="S20" s="14"/>
      <c r="T20" s="16"/>
      <c r="V20" t="s">
        <v>159</v>
      </c>
      <c r="W20" s="9">
        <f>(W19/W4)-1</f>
        <v>7.3016885252381369E-2</v>
      </c>
      <c r="X20" s="9">
        <f t="shared" ref="X20:Z20" si="42">(X19/X4)-1</f>
        <v>6.8047626653394921E-2</v>
      </c>
      <c r="Y20" s="9">
        <f t="shared" si="42"/>
        <v>8.5548139025971137E-2</v>
      </c>
      <c r="Z20" s="9">
        <f t="shared" si="42"/>
        <v>7.0810826061259213E-2</v>
      </c>
      <c r="AB20" t="s">
        <v>159</v>
      </c>
      <c r="AC20" s="9">
        <f>(AC19/AC4)-1</f>
        <v>0.1562769974880307</v>
      </c>
      <c r="AD20" s="9">
        <f t="shared" ref="AD20" si="43">(AD19/AD4)-1</f>
        <v>-1.3584333262920523E-2</v>
      </c>
      <c r="AE20" s="9">
        <f t="shared" ref="AE20" si="44">(AE19/AE4)-1</f>
        <v>7.797701264737178E-2</v>
      </c>
      <c r="AF20" s="9">
        <f t="shared" ref="AF20" si="45">(AF19/AF4)-1</f>
        <v>5.5995447969829915E-2</v>
      </c>
      <c r="AH20" t="s">
        <v>159</v>
      </c>
      <c r="AI20" s="9">
        <f>(AI19/AI4)-1</f>
        <v>6.0848030257875081</v>
      </c>
      <c r="AJ20" s="9">
        <f t="shared" ref="AJ20" si="46">(AJ19/AJ4)-1</f>
        <v>27.154743308470291</v>
      </c>
      <c r="AK20" s="9">
        <f t="shared" ref="AK20" si="47">(AK19/AK4)-1</f>
        <v>26.906360369117127</v>
      </c>
      <c r="AL20" s="9"/>
      <c r="AN20" t="s">
        <v>159</v>
      </c>
      <c r="AO20" s="9">
        <f>(AO19/AO4)-1</f>
        <v>6.18420121517567</v>
      </c>
      <c r="AP20" s="9">
        <f t="shared" ref="AP20:AQ20" si="48">(AP19/AP4)-1</f>
        <v>27.549748010416739</v>
      </c>
      <c r="AQ20" s="9">
        <f t="shared" si="48"/>
        <v>27.297880314415181</v>
      </c>
      <c r="AR20" s="9"/>
    </row>
    <row r="21" spans="1:50">
      <c r="B21" t="s">
        <v>159</v>
      </c>
      <c r="C21" s="129">
        <f>C19-C4</f>
        <v>-1483.9795314268113</v>
      </c>
      <c r="D21" s="129">
        <f t="shared" ref="D21:E21" si="49">D19-D4</f>
        <v>-1793.0393674050779</v>
      </c>
      <c r="E21" s="129">
        <f t="shared" si="49"/>
        <v>-1783.7291192173627</v>
      </c>
      <c r="F21" s="9"/>
      <c r="G21" s="12"/>
      <c r="H21" t="s">
        <v>159</v>
      </c>
      <c r="I21" s="129">
        <f>I19-I4</f>
        <v>-56.254221918174011</v>
      </c>
      <c r="J21" s="129">
        <f t="shared" ref="J21:K21" si="50">J19-J4</f>
        <v>-75.247843528842296</v>
      </c>
      <c r="K21" s="129">
        <f t="shared" si="50"/>
        <v>-74.675671701276485</v>
      </c>
      <c r="L21" s="9"/>
      <c r="O21" t="s">
        <v>159</v>
      </c>
      <c r="P21" s="129">
        <f>P19-P4</f>
        <v>-1.7949024448520663</v>
      </c>
      <c r="Q21" s="129">
        <f t="shared" ref="Q21:R21" si="51">Q19-Q4</f>
        <v>-4.2439119991553165</v>
      </c>
      <c r="R21" s="129">
        <f t="shared" si="51"/>
        <v>-4.1685287561031839</v>
      </c>
      <c r="S21" s="9"/>
      <c r="AU21" t="s">
        <v>56</v>
      </c>
      <c r="AV21" t="s">
        <v>57</v>
      </c>
      <c r="AW21" t="s">
        <v>53</v>
      </c>
    </row>
    <row r="22" spans="1:50">
      <c r="AT22" t="s">
        <v>164</v>
      </c>
      <c r="AU22" s="12">
        <f>SUM(D4:D14)-SUM(C4:C14)</f>
        <v>-1065.470935241694</v>
      </c>
      <c r="AV22" s="12">
        <f>SUM(J4:J14)-SUM(I4:I14)</f>
        <v>-78.348789864786568</v>
      </c>
      <c r="AW22" s="16">
        <f>SUM(Q4:Q14)-SUM(P4:P14)</f>
        <v>-8.8272475459257649</v>
      </c>
    </row>
    <row r="23" spans="1:50">
      <c r="B23" s="2"/>
      <c r="AT23" t="s">
        <v>165</v>
      </c>
      <c r="AU23" s="12">
        <f>SUM(E4:E14)-SUM(C4:C14)</f>
        <v>-989.60356037202473</v>
      </c>
      <c r="AV23" s="12">
        <f>SUM(K4:K14)-SUM(I4:I14)</f>
        <v>-73.007420100036143</v>
      </c>
      <c r="AW23" s="16">
        <f>SUM(R4:R14)-SUM(P4:P14)</f>
        <v>-8.2311614295128166</v>
      </c>
    </row>
    <row r="24" spans="1:50">
      <c r="A24" s="9"/>
      <c r="B24" s="2"/>
      <c r="AU24" s="12"/>
      <c r="AV24" s="12"/>
      <c r="AW24" s="16"/>
    </row>
    <row r="45" spans="2:33">
      <c r="AE45" t="s">
        <v>596</v>
      </c>
    </row>
    <row r="46" spans="2:33" ht="31" thickBot="1">
      <c r="B46">
        <v>0.90718500000000002</v>
      </c>
      <c r="C46" t="s">
        <v>54</v>
      </c>
      <c r="AB46" s="273"/>
      <c r="AC46" s="274" t="s">
        <v>597</v>
      </c>
      <c r="AD46" s="274" t="s">
        <v>598</v>
      </c>
      <c r="AE46" s="274" t="s">
        <v>599</v>
      </c>
      <c r="AF46" s="274" t="s">
        <v>600</v>
      </c>
      <c r="AG46" s="274" t="s">
        <v>601</v>
      </c>
    </row>
    <row r="47" spans="2:33" ht="17" thickTop="1" thickBot="1">
      <c r="B47">
        <v>1000000</v>
      </c>
      <c r="C47" t="s">
        <v>55</v>
      </c>
      <c r="AB47" s="275">
        <v>2020</v>
      </c>
      <c r="AC47" s="276">
        <f>'Combined MOVES output'!AE13+'Combined MOVES output'!AE14</f>
        <v>1106305.7686442183</v>
      </c>
      <c r="AD47" s="276">
        <f>'Fleet ZEV fractions'!Z12</f>
        <v>3681</v>
      </c>
      <c r="AE47" s="277" t="s">
        <v>602</v>
      </c>
      <c r="AF47" s="278" t="s">
        <v>602</v>
      </c>
      <c r="AG47" s="278" t="s">
        <v>602</v>
      </c>
    </row>
    <row r="48" spans="2:33" ht="17" thickTop="1" thickBot="1">
      <c r="AB48" s="273">
        <v>2025</v>
      </c>
      <c r="AC48" s="279">
        <f>AC4+AD4</f>
        <v>1139639.6822262492</v>
      </c>
      <c r="AD48" s="279">
        <f>AI4</f>
        <v>28054.610976535398</v>
      </c>
      <c r="AE48" s="277" t="s">
        <v>602</v>
      </c>
      <c r="AF48" s="280">
        <f>'ZEV Sales'!I7</f>
        <v>8756.3455282454288</v>
      </c>
      <c r="AG48" s="277" t="s">
        <v>602</v>
      </c>
    </row>
    <row r="49" spans="1:33" ht="17" thickTop="1" thickBot="1">
      <c r="A49" t="s">
        <v>371</v>
      </c>
      <c r="AB49" s="275">
        <v>2030</v>
      </c>
      <c r="AC49" s="279">
        <f>AC9+AD9</f>
        <v>1172973.5958082802</v>
      </c>
      <c r="AD49" s="279">
        <f>AI9</f>
        <v>83775.645302672172</v>
      </c>
      <c r="AE49" s="279">
        <f>AK9</f>
        <v>153868.78067245532</v>
      </c>
      <c r="AF49" s="280">
        <f>'ZEV Sales'!I27</f>
        <v>11190.614260486713</v>
      </c>
      <c r="AG49" s="276">
        <f>'ZEV Sales'!Q27</f>
        <v>35393.570684330065</v>
      </c>
    </row>
    <row r="50" spans="1:33" ht="17" thickTop="1" thickBot="1">
      <c r="AB50" s="273">
        <v>2035</v>
      </c>
      <c r="AC50" s="279">
        <f>AC14+AD14</f>
        <v>1188202.7717248977</v>
      </c>
      <c r="AD50" s="279">
        <f>AI14</f>
        <v>140707.00052374837</v>
      </c>
      <c r="AE50" s="279">
        <f>AK14</f>
        <v>445376.54782134714</v>
      </c>
      <c r="AF50" s="280">
        <f>'ZEV Sales'!I47</f>
        <v>11519.623177732532</v>
      </c>
      <c r="AG50" s="276">
        <f>'ZEV Sales'!Q47</f>
        <v>66974.553358910067</v>
      </c>
    </row>
    <row r="51" spans="1:33" ht="17" thickTop="1" thickBot="1">
      <c r="AB51" s="275">
        <v>2040</v>
      </c>
      <c r="AC51" s="279">
        <f>AC19+AD19</f>
        <v>1202136.4410301852</v>
      </c>
      <c r="AD51" s="279">
        <f>AI19</f>
        <v>198761.39273384941</v>
      </c>
      <c r="AE51" s="279">
        <f>AK19</f>
        <v>782902.08392658574</v>
      </c>
      <c r="AF51" s="280">
        <f>'ZEV Sales'!I51</f>
        <v>11671.715284878659</v>
      </c>
      <c r="AG51" s="276">
        <f>'ZEV Sales'!Q51</f>
        <v>67858.809795806155</v>
      </c>
    </row>
    <row r="52" spans="1:33" ht="16" thickTop="1">
      <c r="AC52" s="44"/>
      <c r="AD52" s="44"/>
      <c r="AE52" s="44"/>
      <c r="AF52" s="12"/>
    </row>
    <row r="53" spans="1:33">
      <c r="AC53" s="44"/>
      <c r="AD53" s="44"/>
      <c r="AE53" s="44"/>
      <c r="AF53" s="12"/>
    </row>
    <row r="54" spans="1:33">
      <c r="AC54" s="44"/>
      <c r="AD54" s="44"/>
      <c r="AE54" s="44"/>
      <c r="AF54" s="12"/>
    </row>
    <row r="55" spans="1:33">
      <c r="AC55" s="44"/>
      <c r="AD55" s="44"/>
      <c r="AE55" s="44"/>
      <c r="AF55" s="12"/>
    </row>
    <row r="56" spans="1:33">
      <c r="B56" s="8"/>
      <c r="AC56" s="44"/>
      <c r="AD56" s="44"/>
      <c r="AE56" s="44"/>
      <c r="AF56" s="12"/>
    </row>
    <row r="57" spans="1:33">
      <c r="AC57" s="44"/>
      <c r="AD57" s="44"/>
      <c r="AE57" s="44"/>
      <c r="AF57" s="12"/>
    </row>
    <row r="58" spans="1:33">
      <c r="AC58" s="44"/>
      <c r="AD58" s="44"/>
      <c r="AE58" s="44"/>
      <c r="AF58" s="12"/>
    </row>
    <row r="59" spans="1:33">
      <c r="AC59" s="44"/>
      <c r="AD59" s="44"/>
      <c r="AE59" s="44"/>
      <c r="AF59" s="12"/>
    </row>
    <row r="60" spans="1:33">
      <c r="AC60" s="44"/>
      <c r="AD60" s="44"/>
      <c r="AE60" s="44"/>
      <c r="AF60" s="12"/>
    </row>
    <row r="61" spans="1:33">
      <c r="AC61" s="44"/>
      <c r="AD61" s="44"/>
      <c r="AE61" s="44"/>
      <c r="AF61" s="12"/>
    </row>
    <row r="62" spans="1:33">
      <c r="AC62" s="44"/>
      <c r="AD62" s="44"/>
      <c r="AE62" s="44"/>
      <c r="AF62" s="12"/>
    </row>
    <row r="63" spans="1:33">
      <c r="AC63" s="44"/>
      <c r="AD63" s="44"/>
      <c r="AE63" s="44"/>
      <c r="AF63" s="12"/>
    </row>
    <row r="64" spans="1:33">
      <c r="AC64" s="44"/>
      <c r="AD64" s="44"/>
      <c r="AE64" s="44"/>
      <c r="AF64" s="12"/>
    </row>
    <row r="65" spans="29:32">
      <c r="AC65" s="44"/>
      <c r="AD65" s="44"/>
      <c r="AE65" s="44"/>
      <c r="AF65" s="12"/>
    </row>
    <row r="66" spans="29:32">
      <c r="AC66" s="44"/>
      <c r="AD66" s="44"/>
      <c r="AE66" s="44"/>
      <c r="AF66" s="12"/>
    </row>
    <row r="67" spans="29:32">
      <c r="AC67" s="44"/>
      <c r="AD67" s="44"/>
      <c r="AE67" s="44"/>
      <c r="AF67" s="12"/>
    </row>
    <row r="68" spans="29:32">
      <c r="AC68" s="44"/>
      <c r="AD68" s="44"/>
      <c r="AE68" s="44"/>
      <c r="AF68" s="12"/>
    </row>
    <row r="69" spans="29:32">
      <c r="AC69" s="44"/>
      <c r="AD69" s="44"/>
      <c r="AE69" s="44"/>
      <c r="AF69" s="12"/>
    </row>
    <row r="70" spans="29:32">
      <c r="AC70" s="44"/>
      <c r="AD70" s="44"/>
      <c r="AE70" s="44"/>
      <c r="AF70" s="12"/>
    </row>
    <row r="71" spans="29:32">
      <c r="AC71" s="44"/>
      <c r="AD71" s="44"/>
      <c r="AE71" s="44"/>
      <c r="AF71" s="12"/>
    </row>
    <row r="72" spans="29:32">
      <c r="AC72" s="44"/>
      <c r="AD72" s="44"/>
      <c r="AE72" s="44"/>
      <c r="AF72" s="12"/>
    </row>
    <row r="73" spans="29:32">
      <c r="AC73" s="44"/>
      <c r="AD73" s="44"/>
      <c r="AE73" s="44"/>
      <c r="AF73" s="12"/>
    </row>
    <row r="74" spans="29:32">
      <c r="AC74" s="44"/>
      <c r="AD74" s="44"/>
      <c r="AE74" s="44"/>
      <c r="AF74" s="12"/>
    </row>
    <row r="75" spans="29:32">
      <c r="AC75" s="44"/>
      <c r="AD75" s="44"/>
      <c r="AE75" s="44"/>
      <c r="AF75" s="12"/>
    </row>
    <row r="76" spans="29:32">
      <c r="AC76" s="44"/>
      <c r="AD76" s="44"/>
      <c r="AE76" s="44"/>
      <c r="AF76" s="12"/>
    </row>
    <row r="77" spans="29:32">
      <c r="AC77" s="44"/>
      <c r="AD77" s="44"/>
      <c r="AE77" s="44"/>
      <c r="AF77" s="12"/>
    </row>
    <row r="78" spans="29:32">
      <c r="AC78" s="44"/>
      <c r="AD78" s="44"/>
      <c r="AE78" s="44"/>
      <c r="AF78" s="12"/>
    </row>
  </sheetData>
  <sheetProtection algorithmName="SHA-512" hashValue="hNzWNk/213oFSbJJZec5cAzYQzj/d6nEWwmx58idNYJ+Fe1ojAmvlN/bDNdl+fQGtGfR/T8KJclAVH3FJUHA8w==" saltValue="jDg+q+DvbUOobUAG9p7//g==" spinCount="100000" sheet="1" objects="1" scenarios="1"/>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sheetPr codeName="Sheet4"/>
  <dimension ref="A1:W38"/>
  <sheetViews>
    <sheetView workbookViewId="0">
      <selection activeCell="D28" sqref="D28"/>
    </sheetView>
  </sheetViews>
  <sheetFormatPr baseColWidth="10" defaultColWidth="8.83203125" defaultRowHeight="15"/>
  <cols>
    <col min="1" max="2" width="21" customWidth="1"/>
    <col min="3" max="3" width="46.83203125" bestFit="1" customWidth="1"/>
    <col min="4" max="5" width="27.6640625" bestFit="1" customWidth="1"/>
    <col min="6" max="6" width="23.5" bestFit="1" customWidth="1"/>
    <col min="7" max="7" width="24.83203125" bestFit="1" customWidth="1"/>
    <col min="8" max="8" width="27.6640625" bestFit="1" customWidth="1"/>
    <col min="9" max="9" width="29" bestFit="1" customWidth="1"/>
    <col min="10" max="10" width="27.6640625" bestFit="1" customWidth="1"/>
    <col min="11" max="11" width="29" bestFit="1" customWidth="1"/>
    <col min="12" max="13" width="23.5" bestFit="1" customWidth="1"/>
    <col min="14" max="15" width="29" bestFit="1" customWidth="1"/>
    <col min="16" max="17" width="24.83203125" bestFit="1" customWidth="1"/>
    <col min="18" max="21" width="24.5" bestFit="1" customWidth="1"/>
    <col min="22" max="23" width="24.83203125" bestFit="1" customWidth="1"/>
  </cols>
  <sheetData>
    <row r="1" spans="3:23">
      <c r="C1" s="2" t="s">
        <v>531</v>
      </c>
      <c r="D1" t="s">
        <v>532</v>
      </c>
      <c r="E1" t="s">
        <v>533</v>
      </c>
      <c r="F1" t="s">
        <v>534</v>
      </c>
      <c r="G1" t="s">
        <v>535</v>
      </c>
      <c r="H1" t="s">
        <v>536</v>
      </c>
      <c r="I1" t="s">
        <v>537</v>
      </c>
      <c r="J1" t="s">
        <v>538</v>
      </c>
      <c r="K1" t="s">
        <v>539</v>
      </c>
      <c r="L1" t="s">
        <v>540</v>
      </c>
      <c r="M1" t="s">
        <v>541</v>
      </c>
      <c r="N1" t="s">
        <v>560</v>
      </c>
      <c r="O1" t="s">
        <v>561</v>
      </c>
      <c r="P1" t="s">
        <v>562</v>
      </c>
      <c r="Q1" t="s">
        <v>563</v>
      </c>
      <c r="R1" t="s">
        <v>564</v>
      </c>
      <c r="S1" t="s">
        <v>565</v>
      </c>
      <c r="T1" t="s">
        <v>566</v>
      </c>
      <c r="U1" t="s">
        <v>567</v>
      </c>
      <c r="V1" t="s">
        <v>568</v>
      </c>
      <c r="W1" t="s">
        <v>569</v>
      </c>
    </row>
    <row r="2" spans="3:23">
      <c r="C2" t="s">
        <v>542</v>
      </c>
      <c r="D2">
        <v>0.93237397568309699</v>
      </c>
      <c r="E2">
        <v>0.93237397568309699</v>
      </c>
      <c r="F2">
        <v>-5.6273731850648899E-2</v>
      </c>
      <c r="G2">
        <v>-5.6273731850648899E-2</v>
      </c>
      <c r="H2">
        <v>0.104134201567472</v>
      </c>
      <c r="I2">
        <v>0.104134201567472</v>
      </c>
      <c r="J2">
        <v>3.6335600249728497E-2</v>
      </c>
      <c r="K2">
        <v>3.6335600249728497E-2</v>
      </c>
      <c r="L2">
        <v>1.836059619042E-4</v>
      </c>
      <c r="M2">
        <v>1.836059619042E-4</v>
      </c>
      <c r="N2">
        <v>0.35503280094733097</v>
      </c>
      <c r="O2">
        <v>0.35503280094733097</v>
      </c>
      <c r="P2">
        <v>-7.9987610133345904E-2</v>
      </c>
      <c r="Q2">
        <v>-7.9987610133345904E-2</v>
      </c>
      <c r="R2">
        <v>9.7605787577196595E-2</v>
      </c>
      <c r="S2">
        <v>9.7605787577196595E-2</v>
      </c>
      <c r="T2">
        <v>1.9276330301442799E-2</v>
      </c>
      <c r="U2">
        <v>1.9276330301442799E-2</v>
      </c>
      <c r="V2" s="37">
        <v>8.6260892624564003E-5</v>
      </c>
      <c r="W2" s="37">
        <v>8.6260892624564003E-5</v>
      </c>
    </row>
    <row r="3" spans="3:23">
      <c r="C3" t="s">
        <v>543</v>
      </c>
      <c r="D3">
        <v>2.1533144820830699</v>
      </c>
      <c r="E3">
        <v>2.1533144820830699</v>
      </c>
      <c r="F3">
        <v>-0.12845039375241299</v>
      </c>
      <c r="G3">
        <v>-0.12845039375241299</v>
      </c>
      <c r="H3">
        <v>0.21753755709915201</v>
      </c>
      <c r="I3">
        <v>0.21753755709915201</v>
      </c>
      <c r="J3">
        <v>7.8300184074424101E-2</v>
      </c>
      <c r="K3">
        <v>7.8300184074424101E-2</v>
      </c>
      <c r="L3">
        <v>4.2751717444340003E-4</v>
      </c>
      <c r="M3">
        <v>4.2751717444340003E-4</v>
      </c>
      <c r="N3">
        <v>0.31009798046614301</v>
      </c>
      <c r="O3">
        <v>0.31009798046614301</v>
      </c>
      <c r="P3">
        <v>-6.7798020328837805E-2</v>
      </c>
      <c r="Q3">
        <v>-6.7798020328837805E-2</v>
      </c>
      <c r="R3">
        <v>8.2954938111934204E-2</v>
      </c>
      <c r="S3">
        <v>8.2954938111934204E-2</v>
      </c>
      <c r="T3">
        <v>1.6703778180192499E-2</v>
      </c>
      <c r="U3">
        <v>1.6703778180192499E-2</v>
      </c>
      <c r="V3" s="37">
        <v>7.4612889553773493E-5</v>
      </c>
      <c r="W3" s="37">
        <v>7.4612889553773493E-5</v>
      </c>
    </row>
    <row r="4" spans="3:23">
      <c r="C4" t="s">
        <v>544</v>
      </c>
      <c r="D4">
        <v>0.231770234129133</v>
      </c>
      <c r="E4">
        <v>0.231770234129133</v>
      </c>
      <c r="F4">
        <v>-1.38232703872956E-2</v>
      </c>
      <c r="G4">
        <v>-1.38232703872956E-2</v>
      </c>
      <c r="H4">
        <v>2.34111789884064E-2</v>
      </c>
      <c r="I4">
        <v>2.34111789884064E-2</v>
      </c>
      <c r="J4">
        <v>8.4265053133905001E-3</v>
      </c>
      <c r="K4">
        <v>8.4265053133905001E-3</v>
      </c>
      <c r="L4" s="37">
        <v>4.6008271950530099E-5</v>
      </c>
      <c r="M4" s="37">
        <v>4.6008271950530099E-5</v>
      </c>
      <c r="N4">
        <v>3.3371360770638597E-2</v>
      </c>
      <c r="O4">
        <v>3.3371360770638597E-2</v>
      </c>
      <c r="P4">
        <v>-7.2960919829798002E-3</v>
      </c>
      <c r="Q4">
        <v>-7.2960919829798002E-3</v>
      </c>
      <c r="R4">
        <v>8.9272090930289406E-3</v>
      </c>
      <c r="S4">
        <v>8.9272090930289406E-3</v>
      </c>
      <c r="T4">
        <v>1.7975790653454E-3</v>
      </c>
      <c r="U4">
        <v>1.7975790653454E-3</v>
      </c>
      <c r="V4" s="37">
        <v>8.0294743974729706E-6</v>
      </c>
      <c r="W4" s="37">
        <v>8.0294743974729706E-6</v>
      </c>
    </row>
    <row r="5" spans="3:23">
      <c r="C5" t="s">
        <v>545</v>
      </c>
      <c r="D5">
        <v>3.8747903844193301</v>
      </c>
      <c r="E5">
        <v>3.8747903844193301</v>
      </c>
      <c r="F5">
        <v>-0.23507518310806999</v>
      </c>
      <c r="G5">
        <v>-0.23507518310806999</v>
      </c>
      <c r="H5">
        <v>0.43400820755966402</v>
      </c>
      <c r="I5">
        <v>0.43400820755966402</v>
      </c>
      <c r="J5">
        <v>0.15097450134528401</v>
      </c>
      <c r="K5">
        <v>0.15097450134528401</v>
      </c>
      <c r="L5">
        <v>7.6289824903129995E-4</v>
      </c>
      <c r="M5">
        <v>7.6289824903129995E-4</v>
      </c>
      <c r="N5">
        <v>1.49936976900571</v>
      </c>
      <c r="O5">
        <v>1.49936976900571</v>
      </c>
      <c r="P5">
        <v>-0.33730744706017202</v>
      </c>
      <c r="Q5">
        <v>-0.33730744706017202</v>
      </c>
      <c r="R5">
        <v>0.41197033325039101</v>
      </c>
      <c r="S5">
        <v>0.41197033325039101</v>
      </c>
      <c r="T5">
        <v>8.1414634694863194E-2</v>
      </c>
      <c r="U5">
        <v>8.1414634694863194E-2</v>
      </c>
      <c r="V5">
        <v>3.6423604289757599E-4</v>
      </c>
      <c r="W5">
        <v>3.6423604289757599E-4</v>
      </c>
    </row>
    <row r="6" spans="3:23">
      <c r="C6" t="s">
        <v>546</v>
      </c>
      <c r="D6">
        <v>5.2179542832496297</v>
      </c>
      <c r="E6">
        <v>5.2179542832496297</v>
      </c>
      <c r="F6">
        <v>-0.31656337028974202</v>
      </c>
      <c r="G6">
        <v>-0.31656337028974202</v>
      </c>
      <c r="H6">
        <v>0.58445548375782297</v>
      </c>
      <c r="I6">
        <v>0.58445548375782297</v>
      </c>
      <c r="J6">
        <v>0.20330931141407199</v>
      </c>
      <c r="K6">
        <v>0.20330931141407199</v>
      </c>
      <c r="L6">
        <v>1.0273546173304999E-3</v>
      </c>
      <c r="M6">
        <v>1.0273546173304999E-3</v>
      </c>
      <c r="N6">
        <v>2.0191214443221099</v>
      </c>
      <c r="O6">
        <v>2.0191214443221099</v>
      </c>
      <c r="P6">
        <v>-0.45423402446251998</v>
      </c>
      <c r="Q6">
        <v>-0.45423402446251998</v>
      </c>
      <c r="R6">
        <v>0.55477857197282099</v>
      </c>
      <c r="S6">
        <v>0.55477857197282099</v>
      </c>
      <c r="T6">
        <v>0.109636771201842</v>
      </c>
      <c r="U6">
        <v>0.109636771201842</v>
      </c>
      <c r="V6">
        <v>4.9050400881092096E-4</v>
      </c>
      <c r="W6">
        <v>4.9050400881092096E-4</v>
      </c>
    </row>
    <row r="7" spans="3:23">
      <c r="C7" t="s">
        <v>547</v>
      </c>
      <c r="D7">
        <v>7.9721969765972096</v>
      </c>
      <c r="E7">
        <v>7.9721969765972096</v>
      </c>
      <c r="F7">
        <v>-0.48365330455574201</v>
      </c>
      <c r="G7">
        <v>-0.48365330455574201</v>
      </c>
      <c r="H7">
        <v>0.89294730244294596</v>
      </c>
      <c r="I7">
        <v>0.89294730244294596</v>
      </c>
      <c r="J7">
        <v>0.31062132204411302</v>
      </c>
      <c r="K7">
        <v>0.31062132204411302</v>
      </c>
      <c r="L7">
        <v>1.5696188227351999E-3</v>
      </c>
      <c r="M7">
        <v>1.5696188227351999E-3</v>
      </c>
      <c r="N7">
        <v>3.0848665275182601</v>
      </c>
      <c r="O7">
        <v>3.0848665275182601</v>
      </c>
      <c r="P7">
        <v>-0.69399045227851097</v>
      </c>
      <c r="Q7">
        <v>-0.69399045227851097</v>
      </c>
      <c r="R7">
        <v>0.84760501792927301</v>
      </c>
      <c r="S7">
        <v>0.84760501792927301</v>
      </c>
      <c r="T7">
        <v>0.167505880691317</v>
      </c>
      <c r="U7">
        <v>0.167505880691317</v>
      </c>
      <c r="V7">
        <v>7.49397225302819E-4</v>
      </c>
      <c r="W7">
        <v>7.49397225302819E-4</v>
      </c>
    </row>
    <row r="8" spans="3:23">
      <c r="C8" t="s">
        <v>548</v>
      </c>
      <c r="D8">
        <v>5.3127173491169299E-2</v>
      </c>
      <c r="E8">
        <v>5.3127173491169299E-2</v>
      </c>
      <c r="F8">
        <v>-1.7623975274085001E-3</v>
      </c>
      <c r="G8">
        <v>-1.7623975274085001E-3</v>
      </c>
      <c r="H8">
        <v>3.6306110151539E-3</v>
      </c>
      <c r="I8">
        <v>3.6306110151539E-3</v>
      </c>
      <c r="J8">
        <v>3.4360727755170001E-3</v>
      </c>
      <c r="K8">
        <v>3.4360727755170001E-3</v>
      </c>
      <c r="L8" s="37">
        <v>1.00105614304294E-5</v>
      </c>
      <c r="M8" s="37">
        <v>1.00105614304294E-5</v>
      </c>
      <c r="N8">
        <v>0.17398514915869601</v>
      </c>
      <c r="O8">
        <v>0.17398514915869601</v>
      </c>
      <c r="P8">
        <v>-3.6293278405884997E-2</v>
      </c>
      <c r="Q8">
        <v>-3.6293278405884997E-2</v>
      </c>
      <c r="R8">
        <v>4.4783383604431001E-2</v>
      </c>
      <c r="S8">
        <v>4.4783383604431001E-2</v>
      </c>
      <c r="T8">
        <v>9.2821081992314793E-3</v>
      </c>
      <c r="U8">
        <v>9.2821081992314793E-3</v>
      </c>
      <c r="V8" s="37">
        <v>4.1339668907180702E-5</v>
      </c>
      <c r="W8" s="37">
        <v>4.1339668907180702E-5</v>
      </c>
    </row>
    <row r="9" spans="3:23">
      <c r="C9" t="s">
        <v>549</v>
      </c>
      <c r="D9">
        <v>0.27114594399270597</v>
      </c>
      <c r="E9">
        <v>0.27114594399270597</v>
      </c>
      <c r="F9">
        <v>-1.6171775205111202E-2</v>
      </c>
      <c r="G9">
        <v>-1.6171775205111202E-2</v>
      </c>
      <c r="H9">
        <v>3.0986796920718599E-2</v>
      </c>
      <c r="I9">
        <v>3.0986796920718599E-2</v>
      </c>
      <c r="J9">
        <v>1.02528364863221E-2</v>
      </c>
      <c r="K9">
        <v>1.02528364863221E-2</v>
      </c>
      <c r="L9" s="37">
        <v>5.34893457203083E-5</v>
      </c>
      <c r="M9" s="37">
        <v>5.34893457203083E-5</v>
      </c>
      <c r="N9">
        <v>7.5426092405562306E-2</v>
      </c>
      <c r="O9">
        <v>7.5426092405562306E-2</v>
      </c>
      <c r="P9">
        <v>-1.6782605872893999E-2</v>
      </c>
      <c r="Q9">
        <v>-1.6782605872893999E-2</v>
      </c>
      <c r="R9">
        <v>2.04937508569322E-2</v>
      </c>
      <c r="S9">
        <v>2.04937508569322E-2</v>
      </c>
      <c r="T9">
        <v>4.0808599764427002E-3</v>
      </c>
      <c r="U9">
        <v>4.0808599764427002E-3</v>
      </c>
      <c r="V9" s="37">
        <v>1.8236838912759999E-5</v>
      </c>
      <c r="W9" s="37">
        <v>1.8236838912759999E-5</v>
      </c>
    </row>
    <row r="10" spans="3:23">
      <c r="C10" t="s">
        <v>550</v>
      </c>
      <c r="D10">
        <v>0.27757072767211799</v>
      </c>
      <c r="E10">
        <v>0.27757072767211799</v>
      </c>
      <c r="F10">
        <v>-1.6777807398601002E-2</v>
      </c>
      <c r="G10">
        <v>-1.6777807398601002E-2</v>
      </c>
      <c r="H10">
        <v>3.1163354390487601E-2</v>
      </c>
      <c r="I10">
        <v>3.1163354390487601E-2</v>
      </c>
      <c r="J10">
        <v>1.02045936761872E-2</v>
      </c>
      <c r="K10">
        <v>1.02045936761872E-2</v>
      </c>
      <c r="L10" s="37">
        <v>5.4844506996260999E-5</v>
      </c>
      <c r="M10" s="37">
        <v>5.4844506996260999E-5</v>
      </c>
      <c r="N10">
        <v>5.9033737879773902E-2</v>
      </c>
      <c r="O10">
        <v>5.9033737879773902E-2</v>
      </c>
      <c r="P10">
        <v>-1.2505332500281499E-2</v>
      </c>
      <c r="Q10">
        <v>-1.2505332500281499E-2</v>
      </c>
      <c r="R10">
        <v>1.53697824605102E-2</v>
      </c>
      <c r="S10">
        <v>1.53697824605102E-2</v>
      </c>
      <c r="T10">
        <v>3.1463786956448499E-3</v>
      </c>
      <c r="U10">
        <v>3.1463786956448499E-3</v>
      </c>
      <c r="V10" s="37">
        <v>1.40670960337863E-5</v>
      </c>
      <c r="W10" s="37">
        <v>1.40670960337863E-5</v>
      </c>
    </row>
    <row r="11" spans="3:23">
      <c r="C11" t="s">
        <v>551</v>
      </c>
      <c r="D11">
        <v>9.8399853603958008E-3</v>
      </c>
      <c r="E11">
        <v>9.8399853603958008E-3</v>
      </c>
      <c r="F11">
        <v>-5.9358326888420002E-4</v>
      </c>
      <c r="G11">
        <v>-5.9358326888420002E-4</v>
      </c>
      <c r="H11">
        <v>1.0950398449675E-3</v>
      </c>
      <c r="I11">
        <v>1.0950398449675E-3</v>
      </c>
      <c r="J11">
        <v>3.8712985603640002E-4</v>
      </c>
      <c r="K11">
        <v>3.8712985603640002E-4</v>
      </c>
      <c r="L11" s="37">
        <v>1.9366388542223401E-6</v>
      </c>
      <c r="M11" s="37">
        <v>1.9366388542223401E-6</v>
      </c>
      <c r="N11">
        <v>5.1969653926522297E-3</v>
      </c>
      <c r="O11">
        <v>5.1969653926522297E-3</v>
      </c>
      <c r="P11">
        <v>-1.2763330716131201E-3</v>
      </c>
      <c r="Q11">
        <v>-1.2763330716131201E-3</v>
      </c>
      <c r="R11">
        <v>1.54244194639439E-3</v>
      </c>
      <c r="S11">
        <v>1.54244194639439E-3</v>
      </c>
      <c r="T11">
        <v>2.8967187976861801E-4</v>
      </c>
      <c r="U11">
        <v>2.8967187976861801E-4</v>
      </c>
      <c r="V11" s="37">
        <v>1.29725289811688E-6</v>
      </c>
      <c r="W11" s="37">
        <v>1.29725289811688E-6</v>
      </c>
    </row>
    <row r="12" spans="3:23">
      <c r="C12" t="s">
        <v>552</v>
      </c>
      <c r="D12">
        <v>3.89914635750346E-2</v>
      </c>
      <c r="E12">
        <v>3.89914635750346E-2</v>
      </c>
      <c r="F12">
        <v>-2.6162099868688999E-3</v>
      </c>
      <c r="G12">
        <v>-2.6162099868688999E-3</v>
      </c>
      <c r="H12">
        <v>4.5495399334868998E-3</v>
      </c>
      <c r="I12">
        <v>4.5495399334868998E-3</v>
      </c>
      <c r="J12">
        <v>1.4325009522452999E-3</v>
      </c>
      <c r="K12">
        <v>1.4325009522452999E-3</v>
      </c>
      <c r="L12" s="37">
        <v>7.8715842925779995E-6</v>
      </c>
      <c r="M12" s="37">
        <v>7.8715842925779995E-6</v>
      </c>
      <c r="N12">
        <v>1.3874120847882501E-2</v>
      </c>
      <c r="O12">
        <v>1.3874120847882501E-2</v>
      </c>
      <c r="P12">
        <v>-3.2120005499714699E-3</v>
      </c>
      <c r="Q12">
        <v>-3.2120005499714699E-3</v>
      </c>
      <c r="R12">
        <v>3.8988410362123201E-3</v>
      </c>
      <c r="S12">
        <v>3.8988410362123201E-3</v>
      </c>
      <c r="T12">
        <v>7.5993602206108105E-4</v>
      </c>
      <c r="U12">
        <v>7.5993602206108105E-4</v>
      </c>
      <c r="V12" s="37">
        <v>3.3994632960891799E-6</v>
      </c>
      <c r="W12" s="37">
        <v>3.3994632960891799E-6</v>
      </c>
    </row>
    <row r="13" spans="3:23">
      <c r="C13" t="s">
        <v>553</v>
      </c>
      <c r="D13">
        <v>11.8762270431197</v>
      </c>
      <c r="E13">
        <v>11.8762270431197</v>
      </c>
      <c r="F13">
        <v>-0.716764286885061</v>
      </c>
      <c r="G13">
        <v>-0.716764286885061</v>
      </c>
      <c r="H13">
        <v>1.32644827968548</v>
      </c>
      <c r="I13">
        <v>1.32644827968548</v>
      </c>
      <c r="J13">
        <v>0.462798207296932</v>
      </c>
      <c r="K13">
        <v>0.462798207296932</v>
      </c>
      <c r="L13">
        <v>2.3385914853812002E-3</v>
      </c>
      <c r="M13">
        <v>2.3385914853812002E-3</v>
      </c>
      <c r="N13">
        <v>4.5186176090984604</v>
      </c>
      <c r="O13">
        <v>4.5186176090984604</v>
      </c>
      <c r="P13">
        <v>-1.018135289877</v>
      </c>
      <c r="Q13">
        <v>-1.018135289877</v>
      </c>
      <c r="R13">
        <v>1.2423817730003901</v>
      </c>
      <c r="S13">
        <v>1.2423817730003901</v>
      </c>
      <c r="T13">
        <v>0.24534550086380799</v>
      </c>
      <c r="U13">
        <v>0.24534550086380799</v>
      </c>
      <c r="V13">
        <v>1.0979102931866101E-3</v>
      </c>
      <c r="W13">
        <v>1.0979102931866101E-3</v>
      </c>
    </row>
    <row r="14" spans="3:23">
      <c r="C14" t="s">
        <v>554</v>
      </c>
      <c r="D14">
        <v>504.67933553745098</v>
      </c>
      <c r="E14">
        <v>504.67933553745098</v>
      </c>
      <c r="F14">
        <v>-31.303510029122702</v>
      </c>
      <c r="G14">
        <v>-31.303510029122702</v>
      </c>
      <c r="H14">
        <v>57.428205123062099</v>
      </c>
      <c r="I14">
        <v>57.428205123062099</v>
      </c>
      <c r="J14">
        <v>19.263696776397701</v>
      </c>
      <c r="K14">
        <v>19.263696776397701</v>
      </c>
      <c r="L14">
        <v>9.9743745431153594E-2</v>
      </c>
      <c r="M14">
        <v>9.9743745431153594E-2</v>
      </c>
      <c r="N14">
        <v>200.58241858463199</v>
      </c>
      <c r="O14">
        <v>200.58241858463199</v>
      </c>
      <c r="P14">
        <v>-43.396896851590498</v>
      </c>
      <c r="Q14">
        <v>-43.396896851590498</v>
      </c>
      <c r="R14">
        <v>53.289649605574503</v>
      </c>
      <c r="S14">
        <v>53.289649605574503</v>
      </c>
      <c r="T14">
        <v>10.7881239375847</v>
      </c>
      <c r="U14">
        <v>10.7881239375847</v>
      </c>
      <c r="V14">
        <v>4.8218113278137797E-2</v>
      </c>
      <c r="W14">
        <v>4.8218113278137797E-2</v>
      </c>
    </row>
    <row r="15" spans="3:23">
      <c r="C15" t="s">
        <v>555</v>
      </c>
      <c r="D15">
        <v>1.0372034417285001</v>
      </c>
      <c r="E15">
        <v>1.0372034417285001</v>
      </c>
      <c r="F15">
        <v>-6.2205909938991097E-2</v>
      </c>
      <c r="G15">
        <v>-6.2205909938991097E-2</v>
      </c>
      <c r="H15">
        <v>0.122654604792429</v>
      </c>
      <c r="I15">
        <v>0.122654604792429</v>
      </c>
      <c r="J15">
        <v>3.9732554199255699E-2</v>
      </c>
      <c r="K15">
        <v>3.9732554199255699E-2</v>
      </c>
      <c r="L15">
        <v>2.037567329238E-4</v>
      </c>
      <c r="M15">
        <v>2.037567329238E-4</v>
      </c>
      <c r="N15">
        <v>0.313055058205641</v>
      </c>
      <c r="O15">
        <v>0.313055058205641</v>
      </c>
      <c r="P15">
        <v>-6.8253175932043997E-2</v>
      </c>
      <c r="Q15">
        <v>-6.8253175932043997E-2</v>
      </c>
      <c r="R15">
        <v>8.3816192319668206E-2</v>
      </c>
      <c r="S15">
        <v>8.3816192319668206E-2</v>
      </c>
      <c r="T15">
        <v>1.6865189604366601E-2</v>
      </c>
      <c r="U15">
        <v>1.6865189604366601E-2</v>
      </c>
      <c r="V15" s="37">
        <v>7.5245010818820505E-5</v>
      </c>
      <c r="W15" s="37">
        <v>7.5245010818820505E-5</v>
      </c>
    </row>
    <row r="16" spans="3:23">
      <c r="C16" t="s">
        <v>556</v>
      </c>
      <c r="D16">
        <v>2.3396976924874502</v>
      </c>
      <c r="E16">
        <v>2.3396976924874502</v>
      </c>
      <c r="F16">
        <v>-0.14034370064013801</v>
      </c>
      <c r="G16">
        <v>-0.14034370064013801</v>
      </c>
      <c r="H16">
        <v>0.27670293933435902</v>
      </c>
      <c r="I16">
        <v>0.27670293933435902</v>
      </c>
      <c r="J16">
        <v>8.9638951440203701E-2</v>
      </c>
      <c r="K16">
        <v>8.9638951440203701E-2</v>
      </c>
      <c r="L16">
        <v>4.5965320863030002E-4</v>
      </c>
      <c r="M16">
        <v>4.5965320863030002E-4</v>
      </c>
      <c r="N16">
        <v>0.70733594979176695</v>
      </c>
      <c r="O16">
        <v>0.70733594979176695</v>
      </c>
      <c r="P16">
        <v>-0.15423412238737699</v>
      </c>
      <c r="Q16">
        <v>-0.15423412238737699</v>
      </c>
      <c r="R16">
        <v>0.18939363179986399</v>
      </c>
      <c r="S16">
        <v>0.18939363179986399</v>
      </c>
      <c r="T16">
        <v>3.8107138448707598E-2</v>
      </c>
      <c r="U16">
        <v>3.8107138448707598E-2</v>
      </c>
      <c r="V16">
        <v>1.7001922284397801E-4</v>
      </c>
      <c r="W16">
        <v>1.7001922284397801E-4</v>
      </c>
    </row>
    <row r="17" spans="1:23">
      <c r="C17" t="s">
        <v>557</v>
      </c>
      <c r="D17">
        <v>3.4125726681685999E-3</v>
      </c>
      <c r="E17">
        <v>3.4125726681685999E-3</v>
      </c>
      <c r="F17">
        <v>-1.9910737668819999E-4</v>
      </c>
      <c r="G17">
        <v>-1.9910737668819999E-4</v>
      </c>
      <c r="H17">
        <v>3.8835464803179998E-4</v>
      </c>
      <c r="I17">
        <v>3.8835464803179998E-4</v>
      </c>
      <c r="J17">
        <v>1.370708935988E-4</v>
      </c>
      <c r="K17">
        <v>1.370708935988E-4</v>
      </c>
      <c r="L17" s="37">
        <v>6.6332771527143903E-7</v>
      </c>
      <c r="M17" s="37">
        <v>6.6332771527143903E-7</v>
      </c>
      <c r="N17">
        <v>9.9286680787925592E-4</v>
      </c>
      <c r="O17">
        <v>9.9286680787925592E-4</v>
      </c>
      <c r="P17">
        <v>-2.5333309505644103E-4</v>
      </c>
      <c r="Q17">
        <v>-2.5333309505644103E-4</v>
      </c>
      <c r="R17">
        <v>3.03121557782627E-4</v>
      </c>
      <c r="S17">
        <v>3.03121557782627E-4</v>
      </c>
      <c r="T17" s="37">
        <v>5.589898342925E-5</v>
      </c>
      <c r="U17" s="37">
        <v>5.589898342925E-5</v>
      </c>
      <c r="V17" s="37">
        <v>2.5067207917730002E-7</v>
      </c>
      <c r="W17" s="37">
        <v>2.5067207917730002E-7</v>
      </c>
    </row>
    <row r="18" spans="1:23">
      <c r="C18" t="s">
        <v>558</v>
      </c>
      <c r="D18">
        <v>16.946169675031101</v>
      </c>
      <c r="E18">
        <v>16.946169675031101</v>
      </c>
      <c r="F18">
        <v>-1.0226192279720601</v>
      </c>
      <c r="G18">
        <v>-1.0226192279720601</v>
      </c>
      <c r="H18">
        <v>1.89267993520897</v>
      </c>
      <c r="I18">
        <v>1.89267993520897</v>
      </c>
      <c r="J18">
        <v>0.660257652432655</v>
      </c>
      <c r="K18">
        <v>0.660257652432655</v>
      </c>
      <c r="L18">
        <v>3.3364831577265999E-3</v>
      </c>
      <c r="M18">
        <v>3.3364831577265999E-3</v>
      </c>
      <c r="N18">
        <v>6.4381013381644303</v>
      </c>
      <c r="O18">
        <v>6.4381013381644303</v>
      </c>
      <c r="P18">
        <v>-1.45068209195763</v>
      </c>
      <c r="Q18">
        <v>-1.45068209195763</v>
      </c>
      <c r="R18">
        <v>1.7702246604446901</v>
      </c>
      <c r="S18">
        <v>1.7702246604446901</v>
      </c>
      <c r="T18">
        <v>0.34957482962952502</v>
      </c>
      <c r="U18">
        <v>0.34957482962952502</v>
      </c>
      <c r="V18">
        <v>1.5643204706179701E-3</v>
      </c>
      <c r="W18">
        <v>1.5643204706179701E-3</v>
      </c>
    </row>
    <row r="19" spans="1:23">
      <c r="C19" t="s">
        <v>559</v>
      </c>
      <c r="D19">
        <v>84.614883714691302</v>
      </c>
      <c r="E19">
        <v>84.614883714691302</v>
      </c>
      <c r="F19">
        <v>-5.2593255017972904</v>
      </c>
      <c r="G19">
        <v>-5.2593255017972904</v>
      </c>
      <c r="H19">
        <v>9.6174017484469392</v>
      </c>
      <c r="I19">
        <v>9.6174017484469392</v>
      </c>
      <c r="J19">
        <v>3.22666011958751</v>
      </c>
      <c r="K19">
        <v>3.22666011958751</v>
      </c>
      <c r="L19">
        <v>1.67293817006362E-2</v>
      </c>
      <c r="M19">
        <v>1.67293817006362E-2</v>
      </c>
      <c r="N19">
        <v>34.018247441292203</v>
      </c>
      <c r="O19">
        <v>34.018247441292203</v>
      </c>
      <c r="P19">
        <v>-7.3577323295268604</v>
      </c>
      <c r="Q19">
        <v>-7.3577323295268604</v>
      </c>
      <c r="R19">
        <v>9.0344669670629507</v>
      </c>
      <c r="S19">
        <v>9.0344669670629507</v>
      </c>
      <c r="T19">
        <v>1.82942843627108</v>
      </c>
      <c r="U19">
        <v>1.82942843627108</v>
      </c>
      <c r="V19">
        <v>8.1775515046602996E-3</v>
      </c>
      <c r="W19">
        <v>8.1775515046602996E-3</v>
      </c>
    </row>
    <row r="21" spans="1:23">
      <c r="A21" s="2" t="s">
        <v>588</v>
      </c>
      <c r="C21" s="2" t="s">
        <v>570</v>
      </c>
      <c r="D21" t="s">
        <v>532</v>
      </c>
      <c r="E21" t="s">
        <v>533</v>
      </c>
      <c r="F21" t="s">
        <v>534</v>
      </c>
      <c r="G21" t="s">
        <v>535</v>
      </c>
      <c r="H21" t="s">
        <v>536</v>
      </c>
      <c r="I21" t="s">
        <v>537</v>
      </c>
      <c r="J21" t="s">
        <v>538</v>
      </c>
      <c r="K21" t="s">
        <v>539</v>
      </c>
      <c r="L21" t="s">
        <v>540</v>
      </c>
      <c r="M21" t="s">
        <v>541</v>
      </c>
      <c r="N21" t="s">
        <v>560</v>
      </c>
      <c r="O21" t="s">
        <v>561</v>
      </c>
      <c r="P21" t="s">
        <v>562</v>
      </c>
      <c r="Q21" t="s">
        <v>563</v>
      </c>
      <c r="R21" t="s">
        <v>564</v>
      </c>
      <c r="S21" t="s">
        <v>565</v>
      </c>
      <c r="T21" t="s">
        <v>566</v>
      </c>
      <c r="U21" t="s">
        <v>567</v>
      </c>
      <c r="V21" t="s">
        <v>568</v>
      </c>
      <c r="W21" t="s">
        <v>569</v>
      </c>
    </row>
    <row r="22" spans="1:23">
      <c r="A22" t="s">
        <v>589</v>
      </c>
      <c r="B22" s="143">
        <f>(D24+H24+J24+L24)/1000000</f>
        <v>22.371859697434367</v>
      </c>
      <c r="C22" t="s">
        <v>571</v>
      </c>
      <c r="D22">
        <v>11858532.5920591</v>
      </c>
      <c r="E22">
        <v>11858532.5920591</v>
      </c>
      <c r="F22">
        <v>-711277.45104475797</v>
      </c>
      <c r="G22">
        <v>-711277.45104475797</v>
      </c>
      <c r="H22">
        <v>1401132.7907461801</v>
      </c>
      <c r="I22">
        <v>1401132.7907461801</v>
      </c>
      <c r="J22">
        <v>454249.45898426097</v>
      </c>
      <c r="K22">
        <v>454249.45898426097</v>
      </c>
      <c r="L22">
        <v>2329.6765668866301</v>
      </c>
      <c r="M22">
        <v>2329.6765668866301</v>
      </c>
      <c r="N22">
        <v>3578484.37023994</v>
      </c>
      <c r="O22">
        <v>3578484.37023994</v>
      </c>
      <c r="P22">
        <v>-780635.47230674699</v>
      </c>
      <c r="Q22">
        <v>-780635.47230674699</v>
      </c>
      <c r="R22">
        <v>958519.67193508497</v>
      </c>
      <c r="S22">
        <v>958519.67193508497</v>
      </c>
      <c r="T22">
        <v>192812.043173124</v>
      </c>
      <c r="U22">
        <v>192812.043173124</v>
      </c>
      <c r="V22">
        <v>860.27390171341494</v>
      </c>
      <c r="W22">
        <v>860.27390171341494</v>
      </c>
    </row>
    <row r="23" spans="1:23">
      <c r="A23" t="s">
        <v>590</v>
      </c>
      <c r="B23" s="143">
        <f>(N24+R24+T24+V24)/1000000</f>
        <v>7.6962658250850016</v>
      </c>
      <c r="C23" t="s">
        <v>572</v>
      </c>
      <c r="D23">
        <v>26828177.762547199</v>
      </c>
      <c r="E23">
        <v>26828177.762547199</v>
      </c>
      <c r="F23">
        <v>-1609304.8939313099</v>
      </c>
      <c r="G23">
        <v>-1609304.8939313099</v>
      </c>
      <c r="H23">
        <v>3166762.00529711</v>
      </c>
      <c r="I23">
        <v>3166762.00529711</v>
      </c>
      <c r="J23">
        <v>1027263.78959431</v>
      </c>
      <c r="K23">
        <v>1027263.78959431</v>
      </c>
      <c r="L23">
        <v>5271.3190735903499</v>
      </c>
      <c r="M23">
        <v>5271.3190735903499</v>
      </c>
      <c r="N23">
        <v>8065387.1866244497</v>
      </c>
      <c r="O23">
        <v>8065387.1866244497</v>
      </c>
      <c r="P23">
        <v>-1759132.85389505</v>
      </c>
      <c r="Q23">
        <v>-1759132.85389505</v>
      </c>
      <c r="R23">
        <v>2159983.7979494398</v>
      </c>
      <c r="S23">
        <v>2159983.7979494398</v>
      </c>
      <c r="T23">
        <v>434545.49038094003</v>
      </c>
      <c r="U23">
        <v>434545.49038094003</v>
      </c>
      <c r="V23">
        <v>1938.8159653058001</v>
      </c>
      <c r="W23">
        <v>1938.8159653058001</v>
      </c>
    </row>
    <row r="24" spans="1:23">
      <c r="A24" t="s">
        <v>591</v>
      </c>
      <c r="B24" s="143">
        <f>F24/1000000</f>
        <v>-1.16029117248803</v>
      </c>
      <c r="C24" t="s">
        <v>573</v>
      </c>
      <c r="D24">
        <v>19343355.177303199</v>
      </c>
      <c r="E24">
        <v>19343355.177303199</v>
      </c>
      <c r="F24">
        <v>-1160291.17248803</v>
      </c>
      <c r="G24">
        <v>-1160291.17248803</v>
      </c>
      <c r="H24">
        <v>2283947.3980216398</v>
      </c>
      <c r="I24">
        <v>2283947.3980216398</v>
      </c>
      <c r="J24">
        <v>740756.624289289</v>
      </c>
      <c r="K24">
        <v>740756.624289289</v>
      </c>
      <c r="L24">
        <v>3800.49782023849</v>
      </c>
      <c r="M24">
        <v>3800.49782023849</v>
      </c>
      <c r="N24">
        <v>5821935.7784321997</v>
      </c>
      <c r="O24">
        <v>5821935.7784321997</v>
      </c>
      <c r="P24">
        <v>-1269884.1631008899</v>
      </c>
      <c r="Q24">
        <v>-1269884.1631008899</v>
      </c>
      <c r="R24">
        <v>1559251.73494226</v>
      </c>
      <c r="S24">
        <v>1559251.73494226</v>
      </c>
      <c r="T24">
        <v>313678.766777032</v>
      </c>
      <c r="U24">
        <v>313678.766777032</v>
      </c>
      <c r="V24">
        <v>1399.5449335096</v>
      </c>
      <c r="W24">
        <v>1399.5449335096</v>
      </c>
    </row>
    <row r="25" spans="1:23">
      <c r="A25" t="s">
        <v>592</v>
      </c>
      <c r="B25" s="143">
        <f>P24/1000000</f>
        <v>-1.2698841631008899</v>
      </c>
      <c r="C25" t="s">
        <v>574</v>
      </c>
      <c r="D25">
        <v>582.29820279236901</v>
      </c>
      <c r="E25">
        <v>582.29820279236901</v>
      </c>
      <c r="F25">
        <v>-35.144795731826001</v>
      </c>
      <c r="G25">
        <v>-35.144795731826001</v>
      </c>
      <c r="H25">
        <v>65.035232646355894</v>
      </c>
      <c r="I25">
        <v>65.035232646355894</v>
      </c>
      <c r="J25">
        <v>22.692777012891</v>
      </c>
      <c r="K25">
        <v>22.692777012891</v>
      </c>
      <c r="L25">
        <v>0.114667959882171</v>
      </c>
      <c r="M25">
        <v>0.114667959882171</v>
      </c>
      <c r="N25">
        <v>221.729657107294</v>
      </c>
      <c r="O25">
        <v>221.729657107294</v>
      </c>
      <c r="P25">
        <v>-49.9548923940999</v>
      </c>
      <c r="Q25">
        <v>-49.9548923940999</v>
      </c>
      <c r="R25">
        <v>60.9580234655308</v>
      </c>
      <c r="S25">
        <v>60.9580234655308</v>
      </c>
      <c r="T25">
        <v>12.0387020484352</v>
      </c>
      <c r="U25">
        <v>12.0387020484352</v>
      </c>
      <c r="V25">
        <v>5.3872763565438103E-2</v>
      </c>
      <c r="W25">
        <v>5.3872763565438103E-2</v>
      </c>
    </row>
    <row r="26" spans="1:23">
      <c r="A26" t="s">
        <v>593</v>
      </c>
      <c r="B26" s="143">
        <f>SUM(B22:B25)</f>
        <v>27.637950186930446</v>
      </c>
      <c r="C26" t="s">
        <v>575</v>
      </c>
      <c r="D26">
        <v>324517.35480740102</v>
      </c>
      <c r="E26">
        <v>324517.35480740102</v>
      </c>
      <c r="F26">
        <v>-19450.973346397001</v>
      </c>
      <c r="G26">
        <v>-19450.973346397001</v>
      </c>
      <c r="H26">
        <v>32937.148290196397</v>
      </c>
      <c r="I26">
        <v>32937.148290196397</v>
      </c>
      <c r="J26">
        <v>11803.189354448599</v>
      </c>
      <c r="K26">
        <v>11803.189354448599</v>
      </c>
      <c r="L26">
        <v>64.437852450034697</v>
      </c>
      <c r="M26">
        <v>64.437852450034697</v>
      </c>
      <c r="N26">
        <v>48264.338077457898</v>
      </c>
      <c r="O26">
        <v>48264.338077457898</v>
      </c>
      <c r="P26">
        <v>-10566.7048910875</v>
      </c>
      <c r="Q26">
        <v>-10566.7048910875</v>
      </c>
      <c r="R26">
        <v>12919.963882682699</v>
      </c>
      <c r="S26">
        <v>12919.963882682699</v>
      </c>
      <c r="T26">
        <v>2601.15467703287</v>
      </c>
      <c r="U26">
        <v>2601.15467703287</v>
      </c>
      <c r="V26">
        <v>11.6180249890614</v>
      </c>
      <c r="W26">
        <v>11.6180249890614</v>
      </c>
    </row>
    <row r="27" spans="1:23">
      <c r="A27" t="s">
        <v>594</v>
      </c>
      <c r="C27" t="s">
        <v>576</v>
      </c>
      <c r="D27">
        <v>34930.6804619451</v>
      </c>
      <c r="E27">
        <v>34930.6804619451</v>
      </c>
      <c r="F27">
        <v>-2093.3204292014202</v>
      </c>
      <c r="G27">
        <v>-2093.3204292014202</v>
      </c>
      <c r="H27">
        <v>3544.8199989800401</v>
      </c>
      <c r="I27">
        <v>3544.8199989800401</v>
      </c>
      <c r="J27">
        <v>1270.29035298449</v>
      </c>
      <c r="K27">
        <v>1270.29035298449</v>
      </c>
      <c r="L27">
        <v>6.9349341859097597</v>
      </c>
      <c r="M27">
        <v>6.9349341859097597</v>
      </c>
      <c r="N27">
        <v>5194.2288415602397</v>
      </c>
      <c r="O27">
        <v>5194.2288415602397</v>
      </c>
      <c r="P27">
        <v>-1137.188886529</v>
      </c>
      <c r="Q27">
        <v>-1137.188886529</v>
      </c>
      <c r="R27">
        <v>1390.44720668016</v>
      </c>
      <c r="S27">
        <v>1390.44720668016</v>
      </c>
      <c r="T27">
        <v>279.936295046466</v>
      </c>
      <c r="U27">
        <v>279.936295046466</v>
      </c>
      <c r="V27">
        <v>1.2503319510593001</v>
      </c>
      <c r="W27">
        <v>1.2503319510593001</v>
      </c>
    </row>
    <row r="28" spans="1:23">
      <c r="A28" t="s">
        <v>595</v>
      </c>
      <c r="C28" t="s">
        <v>577</v>
      </c>
      <c r="D28">
        <v>1281.6446991456401</v>
      </c>
      <c r="E28">
        <v>1281.6446991456401</v>
      </c>
      <c r="F28">
        <v>-77.754518560609995</v>
      </c>
      <c r="G28">
        <v>-77.754518560609995</v>
      </c>
      <c r="H28">
        <v>143.55453532212201</v>
      </c>
      <c r="I28">
        <v>143.55453532212201</v>
      </c>
      <c r="J28">
        <v>49.937008823110801</v>
      </c>
      <c r="K28">
        <v>49.937008823110801</v>
      </c>
      <c r="L28">
        <v>0.25233966982761702</v>
      </c>
      <c r="M28">
        <v>0.25233966982761702</v>
      </c>
      <c r="N28">
        <v>495.93831737253402</v>
      </c>
      <c r="O28">
        <v>495.93831737253402</v>
      </c>
      <c r="P28">
        <v>-111.569330574959</v>
      </c>
      <c r="Q28">
        <v>-111.569330574959</v>
      </c>
      <c r="R28">
        <v>136.26516494792099</v>
      </c>
      <c r="S28">
        <v>136.26516494792099</v>
      </c>
      <c r="T28">
        <v>26.929072204007401</v>
      </c>
      <c r="U28">
        <v>26.929072204007401</v>
      </c>
      <c r="V28">
        <v>0.12047706230946099</v>
      </c>
      <c r="W28">
        <v>0.12047706230946099</v>
      </c>
    </row>
    <row r="29" spans="1:23">
      <c r="C29" t="s">
        <v>578</v>
      </c>
      <c r="D29">
        <v>29.9315888930475</v>
      </c>
      <c r="E29">
        <v>29.9315888930475</v>
      </c>
      <c r="F29">
        <v>-0.99292612012917603</v>
      </c>
      <c r="G29">
        <v>-0.99292612012917603</v>
      </c>
      <c r="H29">
        <v>2.0454684331941499</v>
      </c>
      <c r="I29">
        <v>2.0454684331941499</v>
      </c>
      <c r="J29">
        <v>1.9358665434194</v>
      </c>
      <c r="K29">
        <v>1.9358665434194</v>
      </c>
      <c r="L29">
        <v>5.6399011953234997E-3</v>
      </c>
      <c r="M29">
        <v>5.6399011953234997E-3</v>
      </c>
      <c r="N29">
        <v>98.022379415635399</v>
      </c>
      <c r="O29">
        <v>98.022379415635399</v>
      </c>
      <c r="P29">
        <v>-20.447454988737299</v>
      </c>
      <c r="Q29">
        <v>-20.447454988737299</v>
      </c>
      <c r="R29">
        <v>25.2307386027319</v>
      </c>
      <c r="S29">
        <v>25.2307386027319</v>
      </c>
      <c r="T29">
        <v>5.2294942187789202</v>
      </c>
      <c r="U29">
        <v>5.2294942187789202</v>
      </c>
      <c r="V29">
        <v>2.3290566638090301E-2</v>
      </c>
      <c r="W29">
        <v>2.3290566638090301E-2</v>
      </c>
    </row>
    <row r="30" spans="1:23">
      <c r="A30" s="2" t="s">
        <v>605</v>
      </c>
      <c r="C30" t="s">
        <v>579</v>
      </c>
      <c r="D30">
        <v>13556.5317579231</v>
      </c>
      <c r="E30">
        <v>13556.5317579231</v>
      </c>
      <c r="F30">
        <v>-808.75545560833098</v>
      </c>
      <c r="G30">
        <v>-808.75545560833098</v>
      </c>
      <c r="H30">
        <v>1549.13582405185</v>
      </c>
      <c r="I30">
        <v>1549.13582405185</v>
      </c>
      <c r="J30">
        <v>512.65009832149804</v>
      </c>
      <c r="K30">
        <v>512.65009832149804</v>
      </c>
      <c r="L30">
        <v>2.6743850035863401</v>
      </c>
      <c r="M30">
        <v>2.6743850035863401</v>
      </c>
      <c r="N30">
        <v>3782.2133195343699</v>
      </c>
      <c r="O30">
        <v>3782.2133195343699</v>
      </c>
      <c r="P30">
        <v>-842.48085865460598</v>
      </c>
      <c r="Q30">
        <v>-842.48085865460598</v>
      </c>
      <c r="R30">
        <v>1028.5920787868899</v>
      </c>
      <c r="S30">
        <v>1028.5920787868899</v>
      </c>
      <c r="T30">
        <v>204.70287039225099</v>
      </c>
      <c r="U30">
        <v>204.70287039225099</v>
      </c>
      <c r="V30">
        <v>0.91479461881461099</v>
      </c>
      <c r="W30">
        <v>0.91479461881461099</v>
      </c>
    </row>
    <row r="31" spans="1:23">
      <c r="A31" t="s">
        <v>606</v>
      </c>
      <c r="B31" s="143">
        <f>D24/1000000</f>
        <v>19.343355177303199</v>
      </c>
      <c r="C31" t="s">
        <v>580</v>
      </c>
      <c r="D31">
        <v>12470.0400981938</v>
      </c>
      <c r="E31">
        <v>12470.0400981938</v>
      </c>
      <c r="F31">
        <v>-760.28667056727602</v>
      </c>
      <c r="G31">
        <v>-760.28667056727602</v>
      </c>
      <c r="H31">
        <v>1404.1925286376299</v>
      </c>
      <c r="I31">
        <v>1404.1925286376299</v>
      </c>
      <c r="J31">
        <v>458.908863667167</v>
      </c>
      <c r="K31">
        <v>458.908863667167</v>
      </c>
      <c r="L31">
        <v>2.4680085419648901</v>
      </c>
      <c r="M31">
        <v>2.4680085419648901</v>
      </c>
      <c r="N31">
        <v>2852.6430985011698</v>
      </c>
      <c r="O31">
        <v>2852.6430985011698</v>
      </c>
      <c r="P31">
        <v>-614.54533365639804</v>
      </c>
      <c r="Q31">
        <v>-614.54533365639804</v>
      </c>
      <c r="R31">
        <v>753.573608181748</v>
      </c>
      <c r="S31">
        <v>753.573608181748</v>
      </c>
      <c r="T31">
        <v>152.80046243758201</v>
      </c>
      <c r="U31">
        <v>152.80046243758201</v>
      </c>
      <c r="V31">
        <v>0.68324209919339396</v>
      </c>
      <c r="W31">
        <v>0.68324209919339396</v>
      </c>
    </row>
    <row r="32" spans="1:23">
      <c r="A32" t="s">
        <v>607</v>
      </c>
      <c r="B32" s="143">
        <f>N24/1000000</f>
        <v>5.8219357784321994</v>
      </c>
      <c r="C32" t="s">
        <v>581</v>
      </c>
      <c r="D32">
        <v>324.59572817964403</v>
      </c>
      <c r="E32">
        <v>324.59572817964403</v>
      </c>
      <c r="F32">
        <v>-19.590281053898099</v>
      </c>
      <c r="G32">
        <v>-19.590281053898099</v>
      </c>
      <c r="H32">
        <v>36.253891380982303</v>
      </c>
      <c r="I32">
        <v>36.253891380982303</v>
      </c>
      <c r="J32">
        <v>12.6489937041756</v>
      </c>
      <c r="K32">
        <v>12.6489937041756</v>
      </c>
      <c r="L32">
        <v>6.3917336992296001E-2</v>
      </c>
      <c r="M32">
        <v>6.3917336992296001E-2</v>
      </c>
      <c r="N32">
        <v>123.500836407503</v>
      </c>
      <c r="O32">
        <v>123.500836407503</v>
      </c>
      <c r="P32">
        <v>-27.827218577341601</v>
      </c>
      <c r="Q32">
        <v>-27.827218577341601</v>
      </c>
      <c r="R32">
        <v>33.956223202874703</v>
      </c>
      <c r="S32">
        <v>33.956223202874703</v>
      </c>
      <c r="T32">
        <v>6.7056735459287102</v>
      </c>
      <c r="U32">
        <v>6.7056735459287102</v>
      </c>
      <c r="V32">
        <v>3.0007593303744199E-2</v>
      </c>
      <c r="W32">
        <v>3.0007593303744199E-2</v>
      </c>
    </row>
    <row r="33" spans="1:23">
      <c r="A33" t="s">
        <v>608</v>
      </c>
      <c r="B33" s="143">
        <f>(F24+H24+J24+L24)/1000000</f>
        <v>1.8682133476431375</v>
      </c>
      <c r="C33" t="s">
        <v>582</v>
      </c>
      <c r="D33">
        <v>44776.913409179499</v>
      </c>
      <c r="E33">
        <v>44776.913409179499</v>
      </c>
      <c r="F33">
        <v>-2777.35674769549</v>
      </c>
      <c r="G33">
        <v>-2777.35674769549</v>
      </c>
      <c r="H33">
        <v>5095.2309456092898</v>
      </c>
      <c r="I33">
        <v>5095.2309456092898</v>
      </c>
      <c r="J33">
        <v>1709.1424628648001</v>
      </c>
      <c r="K33">
        <v>1709.1424628648001</v>
      </c>
      <c r="L33">
        <v>8.8496134828302893</v>
      </c>
      <c r="M33">
        <v>8.8496134828302893</v>
      </c>
      <c r="N33">
        <v>17796.372777584002</v>
      </c>
      <c r="O33">
        <v>17796.372777584002</v>
      </c>
      <c r="P33">
        <v>-3850.3242667572499</v>
      </c>
      <c r="Q33">
        <v>-3850.3242667572499</v>
      </c>
      <c r="R33">
        <v>4728.0438448173099</v>
      </c>
      <c r="S33">
        <v>4728.0438448173099</v>
      </c>
      <c r="T33">
        <v>957.16003685053499</v>
      </c>
      <c r="U33">
        <v>957.16003685053499</v>
      </c>
      <c r="V33">
        <v>4.2780794278215302</v>
      </c>
      <c r="W33">
        <v>4.2780794278215302</v>
      </c>
    </row>
    <row r="34" spans="1:23">
      <c r="A34" t="s">
        <v>609</v>
      </c>
      <c r="B34" s="143">
        <f>(P24+R24+T24+V24)/1000000</f>
        <v>0.60444588355191164</v>
      </c>
      <c r="C34" t="s">
        <v>583</v>
      </c>
      <c r="D34">
        <v>11690037.931532299</v>
      </c>
      <c r="E34">
        <v>11690037.931532299</v>
      </c>
      <c r="F34">
        <v>-701105.894462166</v>
      </c>
      <c r="G34">
        <v>-701105.894462166</v>
      </c>
      <c r="H34">
        <v>1382406.6955573501</v>
      </c>
      <c r="I34">
        <v>1382406.6955573501</v>
      </c>
      <c r="J34">
        <v>447814.813390825</v>
      </c>
      <c r="K34">
        <v>447814.813390825</v>
      </c>
      <c r="L34">
        <v>2296.4867265729599</v>
      </c>
      <c r="M34">
        <v>2296.4867265729599</v>
      </c>
      <c r="N34">
        <v>3528358.4279120401</v>
      </c>
      <c r="O34">
        <v>3528358.4279120401</v>
      </c>
      <c r="P34">
        <v>-769262.98495844298</v>
      </c>
      <c r="Q34">
        <v>-769262.98495844298</v>
      </c>
      <c r="R34">
        <v>944669.51041039103</v>
      </c>
      <c r="S34">
        <v>944669.51041039103</v>
      </c>
      <c r="T34">
        <v>190082.965661005</v>
      </c>
      <c r="U34">
        <v>190082.965661005</v>
      </c>
      <c r="V34">
        <v>848.06605458682998</v>
      </c>
      <c r="W34">
        <v>848.06605458682998</v>
      </c>
    </row>
    <row r="35" spans="1:23">
      <c r="A35" t="s">
        <v>610</v>
      </c>
      <c r="B35" s="143">
        <f>SUM(B31:B34)</f>
        <v>27.637950186930446</v>
      </c>
      <c r="C35" t="s">
        <v>584</v>
      </c>
      <c r="D35">
        <v>26370096.427674901</v>
      </c>
      <c r="E35">
        <v>26370096.427674901</v>
      </c>
      <c r="F35">
        <v>-1581775.6844315201</v>
      </c>
      <c r="G35">
        <v>-1581775.6844315201</v>
      </c>
      <c r="H35">
        <v>3118643.5818170598</v>
      </c>
      <c r="I35">
        <v>3118643.5818170598</v>
      </c>
      <c r="J35">
        <v>1010296.24499941</v>
      </c>
      <c r="K35">
        <v>1010296.24499941</v>
      </c>
      <c r="L35">
        <v>5180.6263150125596</v>
      </c>
      <c r="M35">
        <v>5180.6263150125596</v>
      </c>
      <c r="N35">
        <v>7972191.1350606503</v>
      </c>
      <c r="O35">
        <v>7972191.1350606503</v>
      </c>
      <c r="P35">
        <v>-1738330.85054218</v>
      </c>
      <c r="Q35">
        <v>-1738330.85054218</v>
      </c>
      <c r="R35">
        <v>2134604.11974874</v>
      </c>
      <c r="S35">
        <v>2134604.11974874</v>
      </c>
      <c r="T35">
        <v>429495.19448683498</v>
      </c>
      <c r="U35">
        <v>429495.19448683498</v>
      </c>
      <c r="V35">
        <v>1916.2404251412099</v>
      </c>
      <c r="W35">
        <v>1916.2404251412099</v>
      </c>
    </row>
    <row r="36" spans="1:23">
      <c r="C36" t="s">
        <v>585</v>
      </c>
      <c r="D36">
        <v>42870.460928355897</v>
      </c>
      <c r="E36">
        <v>42870.460928355897</v>
      </c>
      <c r="F36">
        <v>-2501.2873989422601</v>
      </c>
      <c r="G36">
        <v>-2501.2873989422601</v>
      </c>
      <c r="H36">
        <v>4878.7071759944502</v>
      </c>
      <c r="I36">
        <v>4878.7071759944502</v>
      </c>
      <c r="J36">
        <v>1721.95377500788</v>
      </c>
      <c r="K36">
        <v>1721.95377500788</v>
      </c>
      <c r="L36">
        <v>8.3330576856250502</v>
      </c>
      <c r="M36">
        <v>8.3330576856250502</v>
      </c>
      <c r="N36">
        <v>12472.8941573254</v>
      </c>
      <c r="O36">
        <v>12472.8941573254</v>
      </c>
      <c r="P36">
        <v>-3182.49825264638</v>
      </c>
      <c r="Q36">
        <v>-3182.49825264638</v>
      </c>
      <c r="R36">
        <v>3807.9660605249001</v>
      </c>
      <c r="S36">
        <v>3807.9660605249001</v>
      </c>
      <c r="T36">
        <v>702.23125426491004</v>
      </c>
      <c r="U36">
        <v>702.23125426491004</v>
      </c>
      <c r="V36">
        <v>3.1490692275766201</v>
      </c>
      <c r="W36">
        <v>3.1490692275766201</v>
      </c>
    </row>
    <row r="37" spans="1:23">
      <c r="C37" t="s">
        <v>586</v>
      </c>
      <c r="D37">
        <v>732.75701187314905</v>
      </c>
      <c r="E37">
        <v>732.75701187314905</v>
      </c>
      <c r="F37">
        <v>-44.218335124834603</v>
      </c>
      <c r="G37">
        <v>-44.218335124834603</v>
      </c>
      <c r="H37">
        <v>81.839998085198303</v>
      </c>
      <c r="I37">
        <v>81.839998085198303</v>
      </c>
      <c r="J37">
        <v>28.549721485191199</v>
      </c>
      <c r="K37">
        <v>28.549721485191199</v>
      </c>
      <c r="L37">
        <v>0.14427044433665001</v>
      </c>
      <c r="M37">
        <v>0.14427044433665001</v>
      </c>
      <c r="N37">
        <v>278.38526281492801</v>
      </c>
      <c r="O37">
        <v>278.38526281492801</v>
      </c>
      <c r="P37">
        <v>-62.727890447540801</v>
      </c>
      <c r="Q37">
        <v>-62.727890447540801</v>
      </c>
      <c r="R37">
        <v>76.544998510364195</v>
      </c>
      <c r="S37">
        <v>76.544998510364195</v>
      </c>
      <c r="T37">
        <v>15.1157112490634</v>
      </c>
      <c r="U37">
        <v>15.1157112490634</v>
      </c>
      <c r="V37">
        <v>6.7641645023249597E-2</v>
      </c>
      <c r="W37">
        <v>6.7641645023249597E-2</v>
      </c>
    </row>
    <row r="38" spans="1:23">
      <c r="C38" t="s">
        <v>587</v>
      </c>
      <c r="D38">
        <v>16938.8066403712</v>
      </c>
      <c r="E38">
        <v>16938.8066403712</v>
      </c>
      <c r="F38">
        <v>-1052.8490239861801</v>
      </c>
      <c r="G38">
        <v>-1052.8490239861801</v>
      </c>
      <c r="H38">
        <v>1925.2795896878999</v>
      </c>
      <c r="I38">
        <v>1925.2795896878999</v>
      </c>
      <c r="J38">
        <v>645.93567302155702</v>
      </c>
      <c r="K38">
        <v>645.93567302155702</v>
      </c>
      <c r="L38">
        <v>3.34900610152176</v>
      </c>
      <c r="M38">
        <v>3.34900610152176</v>
      </c>
      <c r="N38">
        <v>6810.0136802800398</v>
      </c>
      <c r="O38">
        <v>6810.0136802800398</v>
      </c>
      <c r="P38">
        <v>-1472.9229630770601</v>
      </c>
      <c r="Q38">
        <v>-1472.9229630770601</v>
      </c>
      <c r="R38">
        <v>1808.5835769733501</v>
      </c>
      <c r="S38">
        <v>1808.5835769733501</v>
      </c>
      <c r="T38">
        <v>366.22793986080501</v>
      </c>
      <c r="U38">
        <v>366.22793986080501</v>
      </c>
      <c r="V38">
        <v>1.6370401712800899</v>
      </c>
      <c r="W38">
        <v>1.6370401712800899</v>
      </c>
    </row>
  </sheetData>
  <sheetProtection algorithmName="SHA-512" hashValue="Eewb1+lExH2X+7AQoMd3NDPHXCvsS8Yd1YlOsWPk5X+NW4h4/Z0xfqhqLq3+cRVvfl0cCTIOXBpuZTA0jk6ABA==" saltValue="e1wAbjq/c3WAOT3HzZXtE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13"/>
  <sheetViews>
    <sheetView topLeftCell="F88" workbookViewId="0">
      <selection activeCell="C108" sqref="C108:L108"/>
    </sheetView>
  </sheetViews>
  <sheetFormatPr baseColWidth="10" defaultColWidth="8.83203125" defaultRowHeight="15"/>
  <cols>
    <col min="1" max="8" width="12" customWidth="1"/>
    <col min="9" max="9" width="12.83203125" customWidth="1"/>
    <col min="10" max="12" width="12" customWidth="1"/>
    <col min="13" max="13" width="11" customWidth="1"/>
    <col min="14" max="14" width="10.6640625" customWidth="1"/>
    <col min="15" max="15" width="12" customWidth="1"/>
    <col min="16" max="16" width="20" customWidth="1"/>
    <col min="17" max="17" width="25.33203125" customWidth="1"/>
    <col min="18" max="18" width="24.6640625" customWidth="1"/>
    <col min="19" max="19" width="12" customWidth="1"/>
    <col min="20" max="20" width="14" customWidth="1"/>
    <col min="21" max="21" width="11.6640625" customWidth="1"/>
    <col min="22" max="22" width="16" customWidth="1"/>
    <col min="23" max="23" width="14.1640625" customWidth="1"/>
    <col min="24" max="32" width="9.5" bestFit="1" customWidth="1"/>
    <col min="33" max="33" width="13.6640625" bestFit="1" customWidth="1"/>
    <col min="34" max="34" width="13.5" customWidth="1"/>
    <col min="35" max="35" width="12" customWidth="1"/>
  </cols>
  <sheetData>
    <row r="1" spans="1:22">
      <c r="A1" s="2" t="s">
        <v>111</v>
      </c>
      <c r="I1" s="46"/>
    </row>
    <row r="2" spans="1:22">
      <c r="A2" s="2" t="s">
        <v>23</v>
      </c>
    </row>
    <row r="4" spans="1:22">
      <c r="A4" s="2" t="s">
        <v>18</v>
      </c>
      <c r="P4" s="2" t="s">
        <v>501</v>
      </c>
      <c r="R4" s="33" t="s">
        <v>507</v>
      </c>
      <c r="S4" s="281" t="s">
        <v>505</v>
      </c>
      <c r="T4" s="281"/>
      <c r="U4" s="281"/>
      <c r="V4" s="281"/>
    </row>
    <row r="5" spans="1:22" s="2" customFormat="1">
      <c r="A5" s="2" t="s">
        <v>19</v>
      </c>
      <c r="B5" s="2" t="s">
        <v>20</v>
      </c>
      <c r="C5" s="2" t="s">
        <v>2</v>
      </c>
      <c r="D5" s="2" t="s">
        <v>47</v>
      </c>
      <c r="E5" s="2" t="s">
        <v>22</v>
      </c>
      <c r="F5" s="2" t="s">
        <v>24</v>
      </c>
      <c r="G5" s="2" t="s">
        <v>115</v>
      </c>
      <c r="H5" s="2" t="s">
        <v>116</v>
      </c>
      <c r="I5" s="2" t="s">
        <v>117</v>
      </c>
      <c r="J5" s="7"/>
      <c r="K5" s="7"/>
      <c r="L5" s="7"/>
      <c r="M5" s="7"/>
      <c r="P5"/>
      <c r="Q5"/>
      <c r="R5" t="s">
        <v>506</v>
      </c>
      <c r="S5" s="29" t="s">
        <v>2</v>
      </c>
      <c r="T5" s="29" t="s">
        <v>212</v>
      </c>
      <c r="U5" t="s">
        <v>115</v>
      </c>
      <c r="V5" s="29" t="s">
        <v>116</v>
      </c>
    </row>
    <row r="6" spans="1:22">
      <c r="A6">
        <f>'Combined MOVES output'!P16</f>
        <v>2020</v>
      </c>
      <c r="B6" s="33" t="s">
        <v>109</v>
      </c>
      <c r="C6" s="3">
        <f>'Combined MOVES output'!R16/454/2000</f>
        <v>3687.5560095300298</v>
      </c>
      <c r="D6" s="3">
        <f>'Combined MOVES output'!V16/454/2000</f>
        <v>6051676.2486714125</v>
      </c>
      <c r="E6" s="3">
        <f>'Combined MOVES output'!W16</f>
        <v>59777804.66379942</v>
      </c>
      <c r="F6" s="3">
        <f>'Combined MOVES output'!AA16/454/2000</f>
        <v>183.95776681502656</v>
      </c>
      <c r="G6" s="3">
        <f>'Combined MOVES output'!AB16/454/2000</f>
        <v>3530.8839015842159</v>
      </c>
      <c r="H6" s="3">
        <f>'Combined MOVES output'!AC16/454/2000</f>
        <v>83.1598889760444</v>
      </c>
      <c r="I6" s="3">
        <f>'Combined MOVES output'!AD16/454/2000</f>
        <v>379.5336989109191</v>
      </c>
      <c r="J6" s="33"/>
      <c r="K6" s="33"/>
      <c r="L6" s="33"/>
      <c r="M6" s="33"/>
      <c r="P6" s="2" t="s">
        <v>48</v>
      </c>
      <c r="Q6" s="238" t="s">
        <v>494</v>
      </c>
      <c r="R6" s="267">
        <f>'BAU Scenario'!O90*'BAU Scenario'!M90</f>
        <v>8614857.6923303995</v>
      </c>
      <c r="S6" s="263">
        <f>$R6*'GREET factors'!J3/454/2000</f>
        <v>85.59747578659703</v>
      </c>
      <c r="T6" s="263">
        <f>$R6*'GREET factors'!K3/454/2000</f>
        <v>8.935772428527482</v>
      </c>
      <c r="U6" s="263">
        <f>$R6*'GREET factors'!L3/454/2000</f>
        <v>21.26104679084235</v>
      </c>
      <c r="V6" s="263">
        <f>$R6*'GREET factors'!M3/454/2000</f>
        <v>27.755896494694589</v>
      </c>
    </row>
    <row r="7" spans="1:22">
      <c r="A7">
        <v>2025</v>
      </c>
      <c r="B7" s="33" t="s">
        <v>109</v>
      </c>
      <c r="C7" s="3">
        <f>'Combined MOVES output'!R21/454/2000</f>
        <v>2165.4634396385759</v>
      </c>
      <c r="D7" s="3">
        <f>'Combined MOVES output'!V21/454/2000</f>
        <v>5454830.0747226309</v>
      </c>
      <c r="E7" s="3">
        <f>'Combined MOVES output'!W21</f>
        <v>59561506.061589576</v>
      </c>
      <c r="F7" s="3">
        <f>'Combined MOVES output'!AA21/454/2000</f>
        <v>163.62714290277529</v>
      </c>
      <c r="G7" s="3">
        <f>'Combined MOVES output'!AB21/454/2000</f>
        <v>2892.0884348604623</v>
      </c>
      <c r="H7" s="3">
        <f>'Combined MOVES output'!AC21/454/2000</f>
        <v>82.015880959248719</v>
      </c>
      <c r="I7" s="3">
        <f>'Combined MOVES output'!AD21/454/2000</f>
        <v>364.69995504333451</v>
      </c>
      <c r="J7" s="33"/>
      <c r="K7" s="33"/>
      <c r="L7" s="33"/>
      <c r="M7" s="33"/>
      <c r="Q7" s="238" t="s">
        <v>495</v>
      </c>
      <c r="R7" s="267">
        <f>R6</f>
        <v>8614857.6923303995</v>
      </c>
      <c r="S7" s="263">
        <f>$R7*'GREET factors'!J4/454/2000</f>
        <v>3.7673234846477852</v>
      </c>
      <c r="T7" s="263">
        <f>$R7*'GREET factors'!K4/454/2000</f>
        <v>1.7776179182060972</v>
      </c>
      <c r="U7" s="263">
        <f>$R7*'GREET factors'!L4/454/2000</f>
        <v>18.368960565359696</v>
      </c>
      <c r="V7" s="263">
        <f>$R7*'GREET factors'!M4/454/2000</f>
        <v>2.98246188846871</v>
      </c>
    </row>
    <row r="8" spans="1:22">
      <c r="A8">
        <f>'Combined MOVES output'!P26</f>
        <v>2030</v>
      </c>
      <c r="B8" s="33" t="s">
        <v>109</v>
      </c>
      <c r="C8" s="3">
        <f>'Combined MOVES output'!R26/454/2000</f>
        <v>1280.9984113823305</v>
      </c>
      <c r="D8" s="3">
        <f>'Combined MOVES output'!V26/454/2000</f>
        <v>4997640.7312218072</v>
      </c>
      <c r="E8" s="3">
        <f>'Combined MOVES output'!W26</f>
        <v>59396527.769733496</v>
      </c>
      <c r="F8" s="3">
        <f>'Combined MOVES output'!AA26/454/2000</f>
        <v>152.19037153183211</v>
      </c>
      <c r="G8" s="3">
        <f>'Combined MOVES output'!AB26/454/2000</f>
        <v>2393.1851612532696</v>
      </c>
      <c r="H8" s="3">
        <f>'Combined MOVES output'!AC26/454/2000</f>
        <v>81.139565642033389</v>
      </c>
      <c r="I8" s="3">
        <f>'Combined MOVES output'!AD26/454/2000</f>
        <v>352.62666074993172</v>
      </c>
      <c r="J8" s="33"/>
      <c r="K8" s="33"/>
      <c r="L8" s="33"/>
      <c r="M8" s="33"/>
      <c r="Q8" s="238" t="s">
        <v>496</v>
      </c>
      <c r="R8" s="267">
        <f t="shared" ref="R8:R9" si="0">R7</f>
        <v>8614857.6923303995</v>
      </c>
      <c r="S8" s="263">
        <f>$R8*'GREET factors'!J5/454/2000</f>
        <v>1.3363289724403833</v>
      </c>
      <c r="T8" s="263">
        <f>$R8*'GREET factors'!K5/454/2000</f>
        <v>0.66140157270572753</v>
      </c>
      <c r="U8" s="263">
        <f>$R8*'GREET factors'!L5/454/2000</f>
        <v>0.83001963844025917</v>
      </c>
      <c r="V8" s="263">
        <f>$R8*'GREET factors'!M5/454/2000</f>
        <v>3.2646323607947765</v>
      </c>
    </row>
    <row r="9" spans="1:22">
      <c r="A9">
        <v>2035</v>
      </c>
      <c r="B9" s="33" t="s">
        <v>109</v>
      </c>
      <c r="C9" s="3">
        <f>'Combined MOVES output'!R31/454/2000</f>
        <v>792.49770241907345</v>
      </c>
      <c r="D9" s="3">
        <f>'Combined MOVES output'!V31/454/2000</f>
        <v>4802301.9297823431</v>
      </c>
      <c r="E9" s="3">
        <f>'Combined MOVES output'!W31</f>
        <v>57069825.772717491</v>
      </c>
      <c r="F9" s="3">
        <f>'Combined MOVES output'!AA31/454/2000</f>
        <v>132.74612704591755</v>
      </c>
      <c r="G9" s="3">
        <f>'Combined MOVES output'!AB31/454/2000</f>
        <v>2210.3749717170222</v>
      </c>
      <c r="H9" s="3">
        <f>'Combined MOVES output'!AC31/454/2000</f>
        <v>78.917044043943946</v>
      </c>
      <c r="I9" s="3">
        <f>'Combined MOVES output'!AD31/454/2000</f>
        <v>342.54702825172495</v>
      </c>
      <c r="J9" s="33"/>
      <c r="K9" s="33"/>
      <c r="L9" s="33"/>
      <c r="M9" s="33"/>
      <c r="Q9" s="238" t="s">
        <v>497</v>
      </c>
      <c r="R9" s="267">
        <f t="shared" si="0"/>
        <v>8614857.6923303995</v>
      </c>
      <c r="S9" s="263">
        <f>$R9*'GREET factors'!J6/454/2000</f>
        <v>0</v>
      </c>
      <c r="T9" s="263">
        <f>$R9*'GREET factors'!K6/454/2000</f>
        <v>0</v>
      </c>
      <c r="U9" s="263">
        <f>$R9*'GREET factors'!L6/454/2000</f>
        <v>187.37315480818623</v>
      </c>
      <c r="V9" s="263">
        <f>$R9*'GREET factors'!M6/454/2000</f>
        <v>0</v>
      </c>
    </row>
    <row r="10" spans="1:22">
      <c r="A10">
        <v>2040</v>
      </c>
      <c r="B10" s="33" t="s">
        <v>109</v>
      </c>
      <c r="C10" s="3">
        <f>'Combined MOVES output'!R36/454/2000</f>
        <v>727.42586063872352</v>
      </c>
      <c r="D10" s="3">
        <f>'Combined MOVES output'!V36/454/2000</f>
        <v>4788763.1954534994</v>
      </c>
      <c r="E10" s="3">
        <f>'Combined MOVES output'!W36</f>
        <v>56892484.6444664</v>
      </c>
      <c r="F10" s="3">
        <f>'Combined MOVES output'!AA36/454/2000</f>
        <v>118.98140392038577</v>
      </c>
      <c r="G10" s="3">
        <f>'Combined MOVES output'!AB36/454/2000</f>
        <v>2047.4896055461872</v>
      </c>
      <c r="H10" s="3">
        <f>'Combined MOVES output'!AC36/454/2000</f>
        <v>77.322953517090298</v>
      </c>
      <c r="I10" s="3">
        <f>'Combined MOVES output'!AD36/454/2000</f>
        <v>361.62272117635024</v>
      </c>
      <c r="J10" s="33"/>
      <c r="K10" s="33"/>
      <c r="L10" s="33"/>
      <c r="M10" s="33"/>
      <c r="P10" s="2" t="s">
        <v>407</v>
      </c>
      <c r="Q10" s="238" t="s">
        <v>494</v>
      </c>
      <c r="R10" s="267">
        <f>'ACC II - MY2026'!O90*'ACC II - MY2026'!M90</f>
        <v>34235123.557242826</v>
      </c>
      <c r="S10" s="263">
        <f>$R10*'GREET factors'!J3/454/2000</f>
        <v>340.16118018422418</v>
      </c>
      <c r="T10" s="263">
        <f>$R10*'GREET factors'!K3/454/2000</f>
        <v>35.51042676449466</v>
      </c>
      <c r="U10" s="263">
        <f>$R10*'GREET factors'!L3/454/2000</f>
        <v>84.490607951518228</v>
      </c>
      <c r="V10" s="263">
        <f>$R10*'GREET factors'!M3/454/2000</f>
        <v>110.30089873496995</v>
      </c>
    </row>
    <row r="11" spans="1:22">
      <c r="Q11" s="238" t="s">
        <v>495</v>
      </c>
      <c r="R11" s="267">
        <f>R10</f>
        <v>34235123.557242826</v>
      </c>
      <c r="S11" s="263">
        <f>$R11*'GREET factors'!J4/454/2000</f>
        <v>14.971203191416926</v>
      </c>
      <c r="T11" s="263">
        <f>$R11*'GREET factors'!K4/454/2000</f>
        <v>7.0641873889030107</v>
      </c>
      <c r="U11" s="263">
        <f>$R11*'GREET factors'!L4/454/2000</f>
        <v>72.997565024558952</v>
      </c>
      <c r="V11" s="263">
        <f>$R11*'GREET factors'!M4/454/2000</f>
        <v>11.852192445081901</v>
      </c>
    </row>
    <row r="12" spans="1:22">
      <c r="A12" s="2" t="s">
        <v>110</v>
      </c>
      <c r="Q12" s="238" t="s">
        <v>496</v>
      </c>
      <c r="R12" s="267">
        <f t="shared" ref="R12:R13" si="1">R11</f>
        <v>34235123.557242826</v>
      </c>
      <c r="S12" s="263">
        <f>$R12*'GREET factors'!J5/454/2000</f>
        <v>5.3105215568853135</v>
      </c>
      <c r="T12" s="263">
        <f>$R12*'GREET factors'!K5/454/2000</f>
        <v>2.6283852120614797</v>
      </c>
      <c r="U12" s="263">
        <f>$R12*'GREET factors'!L5/454/2000</f>
        <v>3.2984671240986616</v>
      </c>
      <c r="V12" s="263">
        <f>$R12*'GREET factors'!M5/454/2000</f>
        <v>12.973527390972956</v>
      </c>
    </row>
    <row r="13" spans="1:22" s="2" customFormat="1">
      <c r="A13" s="2" t="s">
        <v>19</v>
      </c>
      <c r="B13" s="2" t="s">
        <v>20</v>
      </c>
      <c r="C13" s="2" t="s">
        <v>2</v>
      </c>
      <c r="D13" s="2" t="s">
        <v>47</v>
      </c>
      <c r="E13" s="2" t="s">
        <v>22</v>
      </c>
      <c r="F13" s="2" t="s">
        <v>24</v>
      </c>
      <c r="G13" s="2" t="s">
        <v>115</v>
      </c>
      <c r="H13" s="2" t="s">
        <v>116</v>
      </c>
      <c r="I13" s="2" t="s">
        <v>117</v>
      </c>
      <c r="J13" s="2" t="s">
        <v>52</v>
      </c>
      <c r="K13" s="2" t="s">
        <v>470</v>
      </c>
      <c r="L13" s="2" t="s">
        <v>469</v>
      </c>
      <c r="M13" s="2" t="s">
        <v>499</v>
      </c>
      <c r="N13" s="2" t="s">
        <v>500</v>
      </c>
      <c r="P13"/>
      <c r="Q13" s="238" t="s">
        <v>497</v>
      </c>
      <c r="R13" s="267">
        <f t="shared" si="1"/>
        <v>34235123.557242826</v>
      </c>
      <c r="S13" s="263">
        <f>$R13*'GREET factors'!J6/454/2000</f>
        <v>0</v>
      </c>
      <c r="T13" s="263">
        <f>$R13*'GREET factors'!K6/454/2000</f>
        <v>0</v>
      </c>
      <c r="U13" s="263">
        <f>$R13*'GREET factors'!L6/454/2000</f>
        <v>744.61393737003152</v>
      </c>
      <c r="V13" s="263">
        <f>$R13*'GREET factors'!M6/454/2000</f>
        <v>0</v>
      </c>
    </row>
    <row r="14" spans="1:22">
      <c r="A14">
        <v>2020</v>
      </c>
      <c r="B14" s="33" t="s">
        <v>109</v>
      </c>
      <c r="C14" s="3">
        <f>'BAU Scenario'!C10</f>
        <v>3675.2864416982402</v>
      </c>
      <c r="D14" s="3">
        <f>'BAU Scenario'!D10</f>
        <v>6031540.5674675992</v>
      </c>
      <c r="E14" s="3">
        <f>'BAU Scenario'!E10</f>
        <v>54839424.501843609</v>
      </c>
      <c r="F14" s="3">
        <f>'BAU Scenario'!F10</f>
        <v>183.5304708290293</v>
      </c>
      <c r="G14" s="3">
        <f>'BAU Scenario'!G10</f>
        <v>3519.1356272733451</v>
      </c>
      <c r="H14" s="3">
        <f>'BAU Scenario'!H10</f>
        <v>82.883191918145144</v>
      </c>
      <c r="I14" s="3">
        <f>'BAU Scenario'!I10</f>
        <v>2304.1266558255061</v>
      </c>
      <c r="J14" s="3">
        <f>'BAU Scenario'!J10</f>
        <v>6028029.2829961302</v>
      </c>
      <c r="K14" s="3">
        <f>C14+'BAU Scenario'!AD$10</f>
        <v>3677.9269653478882</v>
      </c>
      <c r="L14" s="3">
        <f>F14+'BAU Scenario'!AE$10</f>
        <v>183.38881616984781</v>
      </c>
      <c r="P14" s="2" t="s">
        <v>502</v>
      </c>
      <c r="Q14" s="238" t="s">
        <v>494</v>
      </c>
      <c r="R14" s="267">
        <f>'ACC II - MY2027'!O90*'ACC II - MY2027'!M90</f>
        <v>33933099.11592219</v>
      </c>
      <c r="S14" s="263">
        <f>$R14*'GREET factors'!J3/454/2000</f>
        <v>337.16025657919243</v>
      </c>
      <c r="T14" s="263">
        <f>$R14*'GREET factors'!K3/454/2000</f>
        <v>35.197151517023421</v>
      </c>
      <c r="U14" s="263">
        <f>$R14*'GREET factors'!L3/454/2000</f>
        <v>83.745226424831756</v>
      </c>
      <c r="V14" s="263">
        <f>$R14*'GREET factors'!M3/454/2000</f>
        <v>109.32781717848333</v>
      </c>
    </row>
    <row r="15" spans="1:22">
      <c r="A15">
        <v>2025</v>
      </c>
      <c r="B15" s="33" t="s">
        <v>109</v>
      </c>
      <c r="C15" s="3">
        <f>'BAU Scenario'!C15</f>
        <v>2178.6011454247887</v>
      </c>
      <c r="D15" s="3">
        <f>'BAU Scenario'!D15</f>
        <v>5203719.2667602431</v>
      </c>
      <c r="E15" s="3">
        <f>'BAU Scenario'!E15</f>
        <v>54636730.791605599</v>
      </c>
      <c r="F15" s="3">
        <f>'BAU Scenario'!F15</f>
        <v>163.83301061513663</v>
      </c>
      <c r="G15" s="3">
        <f>'BAU Scenario'!G15</f>
        <v>2913.3676922336895</v>
      </c>
      <c r="H15" s="3">
        <f>'BAU Scenario'!H15</f>
        <v>78.188005968272648</v>
      </c>
      <c r="I15" s="3">
        <f>'BAU Scenario'!I15</f>
        <v>411.93260493660739</v>
      </c>
      <c r="J15" s="3">
        <f>'BAU Scenario'!J15</f>
        <v>5148304.1862303196</v>
      </c>
      <c r="K15" s="3">
        <f>C15+'BAU Scenario'!AD$15</f>
        <v>2198.0649585277815</v>
      </c>
      <c r="L15" s="3">
        <f>F15+'BAU Scenario'!AE$15</f>
        <v>162.78884658659476</v>
      </c>
      <c r="Q15" s="238" t="s">
        <v>495</v>
      </c>
      <c r="R15" s="267">
        <f>R14</f>
        <v>33933099.11592219</v>
      </c>
      <c r="S15" s="263">
        <f>$R15*'GREET factors'!J4/454/2000</f>
        <v>14.839126282968646</v>
      </c>
      <c r="T15" s="263">
        <f>$R15*'GREET factors'!K4/454/2000</f>
        <v>7.0018666776618108</v>
      </c>
      <c r="U15" s="263">
        <f>$R15*'GREET factors'!L4/454/2000</f>
        <v>72.353575854855933</v>
      </c>
      <c r="V15" s="263">
        <f>$R15*'GREET factors'!M4/454/2000</f>
        <v>11.747631648166266</v>
      </c>
    </row>
    <row r="16" spans="1:22">
      <c r="A16">
        <v>2026</v>
      </c>
      <c r="B16" s="33" t="s">
        <v>109</v>
      </c>
      <c r="C16" s="3">
        <f>'BAU Scenario'!C20</f>
        <v>2000.6132606712381</v>
      </c>
      <c r="D16" s="3">
        <f>'BAU Scenario'!D20</f>
        <v>5083526.2096011778</v>
      </c>
      <c r="E16" s="3">
        <f>'BAU Scenario'!E20</f>
        <v>54606336.602324665</v>
      </c>
      <c r="F16" s="3">
        <f>'BAU Scenario'!F20</f>
        <v>161.41343796564902</v>
      </c>
      <c r="G16" s="3">
        <f>'BAU Scenario'!G20</f>
        <v>2812.9654794807789</v>
      </c>
      <c r="H16" s="3">
        <f>'BAU Scenario'!H20</f>
        <v>77.514965014936294</v>
      </c>
      <c r="I16" s="3">
        <f>'BAU Scenario'!I20</f>
        <v>422.10598813408387</v>
      </c>
      <c r="J16" s="3">
        <f>'BAU Scenario'!J20</f>
        <v>5024441.9087380022</v>
      </c>
      <c r="K16" s="3">
        <f>C16+'BAU Scenario'!AD$20</f>
        <v>2023.8071982584845</v>
      </c>
      <c r="L16" s="3">
        <f>F16+'BAU Scenario'!AE$20</f>
        <v>159.88289930748604</v>
      </c>
      <c r="Q16" s="238" t="s">
        <v>496</v>
      </c>
      <c r="R16" s="267">
        <f t="shared" ref="R16:R17" si="2">R15</f>
        <v>33933099.11592219</v>
      </c>
      <c r="S16" s="263">
        <f>$R16*'GREET factors'!J5/454/2000</f>
        <v>5.2636717973493905</v>
      </c>
      <c r="T16" s="263">
        <f>$R16*'GREET factors'!K5/454/2000</f>
        <v>2.6051974302525149</v>
      </c>
      <c r="U16" s="263">
        <f>$R16*'GREET factors'!L5/454/2000</f>
        <v>3.2693678369672847</v>
      </c>
      <c r="V16" s="263">
        <f>$R16*'GREET factors'!M5/454/2000</f>
        <v>12.859074105718561</v>
      </c>
    </row>
    <row r="17" spans="1:22">
      <c r="A17">
        <v>2027</v>
      </c>
      <c r="B17" s="33" t="s">
        <v>109</v>
      </c>
      <c r="C17" s="3">
        <f>'BAU Scenario'!C25</f>
        <v>1823.4162152143651</v>
      </c>
      <c r="D17" s="3">
        <f>'BAU Scenario'!D25</f>
        <v>4937627.0080297217</v>
      </c>
      <c r="E17" s="3">
        <f>'BAU Scenario'!E25</f>
        <v>54575942.413043723</v>
      </c>
      <c r="F17" s="3">
        <f>'BAU Scenario'!F25</f>
        <v>158.98592603025472</v>
      </c>
      <c r="G17" s="3">
        <f>'BAU Scenario'!G25</f>
        <v>2714.1170003948437</v>
      </c>
      <c r="H17" s="3">
        <f>'BAU Scenario'!H25</f>
        <v>76.423485216630993</v>
      </c>
      <c r="I17" s="3">
        <f>'BAU Scenario'!I25</f>
        <v>419.41426342775128</v>
      </c>
      <c r="J17" s="3">
        <f>'BAU Scenario'!J25</f>
        <v>4866288.2539008493</v>
      </c>
      <c r="K17" s="3">
        <f>C17+'BAU Scenario'!AD$25</f>
        <v>1848.0127083343457</v>
      </c>
      <c r="L17" s="3">
        <f>F17+'BAU Scenario'!AE$25</f>
        <v>156.92435599331841</v>
      </c>
      <c r="Q17" s="238" t="s">
        <v>497</v>
      </c>
      <c r="R17" s="267">
        <f t="shared" si="2"/>
        <v>33933099.11592219</v>
      </c>
      <c r="S17" s="263">
        <f>$R17*'GREET factors'!J6/454/2000</f>
        <v>0</v>
      </c>
      <c r="T17" s="263">
        <f>$R17*'GREET factors'!K6/454/2000</f>
        <v>0</v>
      </c>
      <c r="U17" s="263">
        <f>$R17*'GREET factors'!L6/454/2000</f>
        <v>738.04490577130775</v>
      </c>
      <c r="V17" s="263">
        <f>$R17*'GREET factors'!M6/454/2000</f>
        <v>0</v>
      </c>
    </row>
    <row r="18" spans="1:22">
      <c r="A18">
        <v>2028</v>
      </c>
      <c r="B18" s="33" t="s">
        <v>109</v>
      </c>
      <c r="C18" s="3">
        <f>'BAU Scenario'!C30</f>
        <v>1645.8652409392571</v>
      </c>
      <c r="D18" s="3">
        <f>'BAU Scenario'!D30</f>
        <v>4768180.4127011262</v>
      </c>
      <c r="E18" s="3">
        <f>'BAU Scenario'!E30</f>
        <v>54545548.223762788</v>
      </c>
      <c r="F18" s="3">
        <f>'BAU Scenario'!F30</f>
        <v>156.40454628899394</v>
      </c>
      <c r="G18" s="3">
        <f>'BAU Scenario'!G30</f>
        <v>2615.0433043997587</v>
      </c>
      <c r="H18" s="3">
        <f>'BAU Scenario'!H30</f>
        <v>74.929192691341655</v>
      </c>
      <c r="I18" s="3">
        <f>'BAU Scenario'!I30</f>
        <v>416.63467714021272</v>
      </c>
      <c r="J18" s="3">
        <f>'BAU Scenario'!J30</f>
        <v>4676587.4269107915</v>
      </c>
      <c r="K18" s="3">
        <f>C18+'BAU Scenario'!AD$30</f>
        <v>1669.4649438644806</v>
      </c>
      <c r="L18" s="3">
        <f>F18+'BAU Scenario'!AE$30</f>
        <v>153.76562878727191</v>
      </c>
      <c r="P18" t="s">
        <v>503</v>
      </c>
      <c r="Q18" s="238" t="s">
        <v>494</v>
      </c>
      <c r="R18" s="238"/>
      <c r="S18" s="263">
        <f>S10-S6</f>
        <v>254.56370439762713</v>
      </c>
      <c r="T18" s="263">
        <f t="shared" ref="T18:V18" si="3">T10-T6</f>
        <v>26.574654335967178</v>
      </c>
      <c r="U18" s="263">
        <f t="shared" si="3"/>
        <v>63.229561160675878</v>
      </c>
      <c r="V18" s="263">
        <f t="shared" si="3"/>
        <v>82.545002240275352</v>
      </c>
    </row>
    <row r="19" spans="1:22">
      <c r="A19">
        <v>2029</v>
      </c>
      <c r="B19" s="33" t="s">
        <v>109</v>
      </c>
      <c r="C19" s="3">
        <f>'BAU Scenario'!C35</f>
        <v>1467.7145479113071</v>
      </c>
      <c r="D19" s="3">
        <f>'BAU Scenario'!D35</f>
        <v>4584724.6159829963</v>
      </c>
      <c r="E19" s="3">
        <f>'BAU Scenario'!E35</f>
        <v>54515154.034481846</v>
      </c>
      <c r="F19" s="3">
        <f>'BAU Scenario'!F35</f>
        <v>153.66085485594405</v>
      </c>
      <c r="G19" s="3">
        <f>'BAU Scenario'!G35</f>
        <v>2515.2097004571551</v>
      </c>
      <c r="H19" s="3">
        <f>'BAU Scenario'!H35</f>
        <v>73.167691645193514</v>
      </c>
      <c r="I19" s="3">
        <f>'BAU Scenario'!I35</f>
        <v>413.98050279797002</v>
      </c>
      <c r="J19" s="3">
        <f>'BAU Scenario'!J35</f>
        <v>4467583.4263992282</v>
      </c>
      <c r="K19" s="3">
        <f>C19+'BAU Scenario'!AD$35</f>
        <v>1487.8424062531908</v>
      </c>
      <c r="L19" s="3">
        <f>F19+'BAU Scenario'!AE$35</f>
        <v>150.39653111879426</v>
      </c>
      <c r="Q19" s="238" t="s">
        <v>495</v>
      </c>
      <c r="R19" s="238"/>
      <c r="S19" s="263">
        <f t="shared" ref="S19:V19" si="4">S11-S7</f>
        <v>11.20387970676914</v>
      </c>
      <c r="T19" s="263">
        <f t="shared" si="4"/>
        <v>5.2865694706969135</v>
      </c>
      <c r="U19" s="263">
        <f t="shared" si="4"/>
        <v>54.628604459199252</v>
      </c>
      <c r="V19" s="263">
        <f t="shared" si="4"/>
        <v>8.8697305566131917</v>
      </c>
    </row>
    <row r="20" spans="1:22">
      <c r="A20">
        <v>2030</v>
      </c>
      <c r="B20" s="33" t="s">
        <v>109</v>
      </c>
      <c r="C20" s="3">
        <f>'BAU Scenario'!C40</f>
        <v>1288.3543149091211</v>
      </c>
      <c r="D20" s="3">
        <f>'BAU Scenario'!D40</f>
        <v>4405311.545995607</v>
      </c>
      <c r="E20" s="3">
        <f>'BAU Scenario'!E40</f>
        <v>54484759.845200911</v>
      </c>
      <c r="F20" s="3">
        <f>'BAU Scenario'!F40</f>
        <v>150.06243172577521</v>
      </c>
      <c r="G20" s="3">
        <f>'BAU Scenario'!G40</f>
        <v>2413.0493886787108</v>
      </c>
      <c r="H20" s="3">
        <f>'BAU Scenario'!H40</f>
        <v>71.420113939274543</v>
      </c>
      <c r="I20" s="3">
        <f>'BAU Scenario'!I40</f>
        <v>411.20948997714862</v>
      </c>
      <c r="J20" s="3">
        <f>'BAU Scenario'!J40</f>
        <v>4262480.1310807131</v>
      </c>
      <c r="K20" s="3">
        <f>C20+'BAU Scenario'!AD$40</f>
        <v>1302.4547719957013</v>
      </c>
      <c r="L20" s="3">
        <f>F20+'BAU Scenario'!AE$40</f>
        <v>146.12279813425698</v>
      </c>
      <c r="Q20" s="238" t="s">
        <v>496</v>
      </c>
      <c r="R20" s="238"/>
      <c r="S20" s="263">
        <f t="shared" ref="S20:V20" si="5">S12-S8</f>
        <v>3.9741925844449302</v>
      </c>
      <c r="T20" s="263">
        <f t="shared" si="5"/>
        <v>1.9669836393557523</v>
      </c>
      <c r="U20" s="263">
        <f t="shared" si="5"/>
        <v>2.4684474856584027</v>
      </c>
      <c r="V20" s="263">
        <f t="shared" si="5"/>
        <v>9.70889503017818</v>
      </c>
    </row>
    <row r="21" spans="1:22">
      <c r="A21">
        <v>2031</v>
      </c>
      <c r="B21" s="33" t="s">
        <v>109</v>
      </c>
      <c r="C21" s="3">
        <f>'BAU Scenario'!C45</f>
        <v>1188.9866570242252</v>
      </c>
      <c r="D21" s="3">
        <f>'BAU Scenario'!D45</f>
        <v>4277600.4790055091</v>
      </c>
      <c r="E21" s="3">
        <f>'BAU Scenario'!E45</f>
        <v>54046269.656911105</v>
      </c>
      <c r="F21" s="3">
        <f>'BAU Scenario'!F45</f>
        <v>146.22795707240789</v>
      </c>
      <c r="G21" s="3">
        <f>'BAU Scenario'!G45</f>
        <v>2375.0653539525542</v>
      </c>
      <c r="H21" s="3">
        <f>'BAU Scenario'!H45</f>
        <v>69.496936439489986</v>
      </c>
      <c r="I21" s="3">
        <f>'BAU Scenario'!I45</f>
        <v>408.91089182010961</v>
      </c>
      <c r="J21" s="3">
        <f>'BAU Scenario'!J45</f>
        <v>4111360.4494547695</v>
      </c>
      <c r="K21" s="3">
        <f>C21+'BAU Scenario'!AD$45</f>
        <v>1202.2488221927833</v>
      </c>
      <c r="L21" s="3">
        <f>F21+'BAU Scenario'!AE$45</f>
        <v>141.75073759755614</v>
      </c>
      <c r="Q21" s="238" t="s">
        <v>497</v>
      </c>
      <c r="R21" s="238"/>
      <c r="S21" s="263">
        <f t="shared" ref="S21:V21" si="6">S13-S9</f>
        <v>0</v>
      </c>
      <c r="T21" s="263">
        <f t="shared" si="6"/>
        <v>0</v>
      </c>
      <c r="U21" s="263">
        <f t="shared" si="6"/>
        <v>557.24078256184532</v>
      </c>
      <c r="V21" s="263">
        <f t="shared" si="6"/>
        <v>0</v>
      </c>
    </row>
    <row r="22" spans="1:22">
      <c r="A22">
        <v>2032</v>
      </c>
      <c r="B22" s="33" t="s">
        <v>109</v>
      </c>
      <c r="C22" s="3">
        <f>'BAU Scenario'!C50</f>
        <v>1089.1822269243191</v>
      </c>
      <c r="D22" s="3">
        <f>'BAU Scenario'!D50</f>
        <v>4151480.6251020809</v>
      </c>
      <c r="E22" s="3">
        <f>'BAU Scenario'!E50</f>
        <v>53607779.468621306</v>
      </c>
      <c r="F22" s="3">
        <f>'BAU Scenario'!F50</f>
        <v>141.62883851879653</v>
      </c>
      <c r="G22" s="3">
        <f>'BAU Scenario'!G50</f>
        <v>2336.0046463954691</v>
      </c>
      <c r="H22" s="3">
        <f>'BAU Scenario'!H50</f>
        <v>67.592768154299236</v>
      </c>
      <c r="I22" s="3">
        <f>'BAU Scenario'!I50</f>
        <v>406.60355413193099</v>
      </c>
      <c r="J22" s="3">
        <f>'BAU Scenario'!J50</f>
        <v>3961931.8769071042</v>
      </c>
      <c r="K22" s="3">
        <f>C22+'BAU Scenario'!AD$50</f>
        <v>1100.973233167636</v>
      </c>
      <c r="L22" s="3">
        <f>F22+'BAU Scenario'!AE$50</f>
        <v>136.60885770391525</v>
      </c>
      <c r="P22" t="s">
        <v>504</v>
      </c>
      <c r="Q22" s="238" t="s">
        <v>494</v>
      </c>
      <c r="R22" s="238"/>
      <c r="S22" s="263">
        <f>S14-S6</f>
        <v>251.56278079259539</v>
      </c>
      <c r="T22" s="263">
        <f t="shared" ref="T22:U22" si="7">T14-T6</f>
        <v>26.261379088495939</v>
      </c>
      <c r="U22" s="263">
        <f t="shared" si="7"/>
        <v>62.484179633989406</v>
      </c>
      <c r="V22" s="263">
        <f>V14-V6</f>
        <v>81.571920683788733</v>
      </c>
    </row>
    <row r="23" spans="1:22">
      <c r="A23">
        <v>2033</v>
      </c>
      <c r="B23" s="33" t="s">
        <v>109</v>
      </c>
      <c r="C23" s="3">
        <f>'BAU Scenario'!C55</f>
        <v>989.12515469917616</v>
      </c>
      <c r="D23" s="3">
        <f>'BAU Scenario'!D55</f>
        <v>4030139.6634513396</v>
      </c>
      <c r="E23" s="3">
        <f>'BAU Scenario'!E55</f>
        <v>53169289.2803315</v>
      </c>
      <c r="F23" s="3">
        <f>'BAU Scenario'!F55</f>
        <v>136.94807005469124</v>
      </c>
      <c r="G23" s="3">
        <f>'BAU Scenario'!G55</f>
        <v>2295.8415206073341</v>
      </c>
      <c r="H23" s="3">
        <f>'BAU Scenario'!H55</f>
        <v>65.760484826302161</v>
      </c>
      <c r="I23" s="3">
        <f>'BAU Scenario'!I55</f>
        <v>404.2542311168844</v>
      </c>
      <c r="J23" s="3">
        <f>'BAU Scenario'!J55</f>
        <v>3818297.6777773607</v>
      </c>
      <c r="K23" s="3">
        <f>C23+'BAU Scenario'!AD$55</f>
        <v>998.80945673711415</v>
      </c>
      <c r="L23" s="3">
        <f>F23+'BAU Scenario'!AE$55</f>
        <v>131.38006364058685</v>
      </c>
      <c r="Q23" s="238" t="s">
        <v>495</v>
      </c>
      <c r="R23" s="238"/>
      <c r="S23" s="263">
        <f t="shared" ref="S23:V23" si="8">S15-S7</f>
        <v>11.07180279832086</v>
      </c>
      <c r="T23" s="263">
        <f t="shared" si="8"/>
        <v>5.2242487594557137</v>
      </c>
      <c r="U23" s="263">
        <f t="shared" si="8"/>
        <v>53.984615289496233</v>
      </c>
      <c r="V23" s="263">
        <f t="shared" si="8"/>
        <v>8.7651697596975566</v>
      </c>
    </row>
    <row r="24" spans="1:22">
      <c r="A24">
        <v>2034</v>
      </c>
      <c r="B24" s="33" t="s">
        <v>109</v>
      </c>
      <c r="C24" s="3">
        <f>'BAU Scenario'!C60</f>
        <v>888.8366837966696</v>
      </c>
      <c r="D24" s="3">
        <f>'BAU Scenario'!D60</f>
        <v>3913887.7610823712</v>
      </c>
      <c r="E24" s="3">
        <f>'BAU Scenario'!E60</f>
        <v>52730799.092041701</v>
      </c>
      <c r="F24" s="3">
        <f>'BAU Scenario'!F60</f>
        <v>132.2128229226453</v>
      </c>
      <c r="G24" s="3">
        <f>'BAU Scenario'!G60</f>
        <v>2254.2880216317244</v>
      </c>
      <c r="H24" s="3">
        <f>'BAU Scenario'!H60</f>
        <v>64.006299111898343</v>
      </c>
      <c r="I24" s="3">
        <f>'BAU Scenario'!I60</f>
        <v>401.90488356360709</v>
      </c>
      <c r="J24" s="3">
        <f>'BAU Scenario'!J60</f>
        <v>3680856.1283814586</v>
      </c>
      <c r="K24" s="3">
        <f>C24+'BAU Scenario'!AD$60</f>
        <v>895.77626802396469</v>
      </c>
      <c r="L24" s="3">
        <f>F24+'BAU Scenario'!AE$60</f>
        <v>126.091444142141</v>
      </c>
      <c r="Q24" s="238" t="s">
        <v>496</v>
      </c>
      <c r="R24" s="238"/>
      <c r="S24" s="263">
        <f t="shared" ref="S24:V24" si="9">S16-S8</f>
        <v>3.9273428249090072</v>
      </c>
      <c r="T24" s="263">
        <f t="shared" si="9"/>
        <v>1.9437958575467875</v>
      </c>
      <c r="U24" s="263">
        <f t="shared" si="9"/>
        <v>2.4393481985270258</v>
      </c>
      <c r="V24" s="263">
        <f t="shared" si="9"/>
        <v>9.5944417449237847</v>
      </c>
    </row>
    <row r="25" spans="1:22">
      <c r="A25">
        <v>2035</v>
      </c>
      <c r="B25" s="33" t="s">
        <v>109</v>
      </c>
      <c r="C25" s="3">
        <f>'BAU Scenario'!C65</f>
        <v>785.31299341851309</v>
      </c>
      <c r="D25" s="3">
        <f>'BAU Scenario'!D65</f>
        <v>3804767.8150332724</v>
      </c>
      <c r="E25" s="3">
        <f>'BAU Scenario'!E65</f>
        <v>52292308.903751895</v>
      </c>
      <c r="F25" s="3">
        <f>'BAU Scenario'!F65</f>
        <v>126.50103271872534</v>
      </c>
      <c r="G25" s="3">
        <f>'BAU Scenario'!G65</f>
        <v>2176.8812377468757</v>
      </c>
      <c r="H25" s="3">
        <f>'BAU Scenario'!H65</f>
        <v>62.363408541220551</v>
      </c>
      <c r="I25" s="3">
        <f>'BAU Scenario'!I65</f>
        <v>399.55551148042821</v>
      </c>
      <c r="J25" s="3">
        <f>'BAU Scenario'!J65</f>
        <v>3552236.5017728554</v>
      </c>
      <c r="K25" s="3">
        <f>C25+'BAU Scenario'!AD$65</f>
        <v>788.8672614343858</v>
      </c>
      <c r="L25" s="3">
        <f>F25+'BAU Scenario'!AE$65</f>
        <v>119.82085146563023</v>
      </c>
      <c r="Q25" s="238" t="s">
        <v>497</v>
      </c>
      <c r="R25" s="238"/>
      <c r="S25" s="263">
        <f t="shared" ref="S25:V25" si="10">S17-S9</f>
        <v>0</v>
      </c>
      <c r="T25" s="263">
        <f t="shared" si="10"/>
        <v>0</v>
      </c>
      <c r="U25" s="263">
        <f t="shared" si="10"/>
        <v>550.67175096312155</v>
      </c>
      <c r="V25" s="263">
        <f t="shared" si="10"/>
        <v>0</v>
      </c>
    </row>
    <row r="26" spans="1:22">
      <c r="A26">
        <v>2036</v>
      </c>
      <c r="B26" s="33" t="s">
        <v>109</v>
      </c>
      <c r="C26" s="3">
        <f>'BAU Scenario'!C70</f>
        <v>768.32575439444327</v>
      </c>
      <c r="D26" s="3">
        <f>'BAU Scenario'!D70</f>
        <v>3731620.4409804256</v>
      </c>
      <c r="E26" s="3">
        <f>'BAU Scenario'!E70</f>
        <v>52254617.700019009</v>
      </c>
      <c r="F26" s="3">
        <f>'BAU Scenario'!F70</f>
        <v>122.69160952795468</v>
      </c>
      <c r="G26" s="3">
        <f>'BAU Scenario'!G70</f>
        <v>2130.1845943725302</v>
      </c>
      <c r="H26" s="3">
        <f>'BAU Scenario'!H70</f>
        <v>60.939095031621257</v>
      </c>
      <c r="I26" s="3">
        <f>'BAU Scenario'!I70</f>
        <v>404.03601633165215</v>
      </c>
      <c r="J26" s="3">
        <f>'BAU Scenario'!J70</f>
        <v>3459075.6299012927</v>
      </c>
      <c r="K26" s="3">
        <f>C26+'BAU Scenario'!AD$70</f>
        <v>767.23418997784302</v>
      </c>
      <c r="L26" s="3">
        <f>F26+'BAU Scenario'!AE$70</f>
        <v>115.37799766869352</v>
      </c>
    </row>
    <row r="27" spans="1:22">
      <c r="A27">
        <v>2037</v>
      </c>
      <c r="B27" s="33" t="s">
        <v>109</v>
      </c>
      <c r="C27" s="3">
        <f>'BAU Scenario'!C75</f>
        <v>750.78925725021531</v>
      </c>
      <c r="D27" s="3">
        <f>'BAU Scenario'!D75</f>
        <v>3665620.2219443186</v>
      </c>
      <c r="E27" s="3">
        <f>'BAU Scenario'!E75</f>
        <v>52216926.496286124</v>
      </c>
      <c r="F27" s="3">
        <f>'BAU Scenario'!F75</f>
        <v>118.9117432402209</v>
      </c>
      <c r="G27" s="3">
        <f>'BAU Scenario'!G75</f>
        <v>2081.3673053110856</v>
      </c>
      <c r="H27" s="3">
        <f>'BAU Scenario'!H75</f>
        <v>59.640484953664867</v>
      </c>
      <c r="I27" s="3">
        <f>'BAU Scenario'!I75</f>
        <v>408.48965539531986</v>
      </c>
      <c r="J27" s="3">
        <f>'BAU Scenario'!J75</f>
        <v>3374747.0757222362</v>
      </c>
      <c r="K27" s="3">
        <f>C27+'BAU Scenario'!AD$75</f>
        <v>744.32844336903122</v>
      </c>
      <c r="L27" s="3">
        <f>F27+'BAU Scenario'!AE$75</f>
        <v>110.95078723544111</v>
      </c>
    </row>
    <row r="28" spans="1:22">
      <c r="A28">
        <v>2038</v>
      </c>
      <c r="B28" s="33" t="s">
        <v>109</v>
      </c>
      <c r="C28" s="3">
        <f>'BAU Scenario'!C80</f>
        <v>732.63070940308523</v>
      </c>
      <c r="D28" s="3">
        <f>'BAU Scenario'!D80</f>
        <v>3606280.5272861402</v>
      </c>
      <c r="E28" s="3">
        <f>'BAU Scenario'!E80</f>
        <v>52179235.292553231</v>
      </c>
      <c r="F28" s="3">
        <f>'BAU Scenario'!F80</f>
        <v>115.09451681615501</v>
      </c>
      <c r="G28" s="3">
        <f>'BAU Scenario'!G80</f>
        <v>2030.2330588454909</v>
      </c>
      <c r="H28" s="3">
        <f>'BAU Scenario'!H80</f>
        <v>58.458290194426453</v>
      </c>
      <c r="I28" s="3">
        <f>'BAU Scenario'!I80</f>
        <v>412.94336454360769</v>
      </c>
      <c r="J28" s="3">
        <f>'BAU Scenario'!J80</f>
        <v>3298626.0536367535</v>
      </c>
      <c r="K28" s="3">
        <f>C28+'BAU Scenario'!AD$80</f>
        <v>720.08073769221608</v>
      </c>
      <c r="L28" s="3">
        <f>F28+'BAU Scenario'!AE$80</f>
        <v>106.47236983715155</v>
      </c>
    </row>
    <row r="29" spans="1:22">
      <c r="A29">
        <v>2039</v>
      </c>
      <c r="B29" s="33" t="s">
        <v>109</v>
      </c>
      <c r="C29" s="3">
        <f>'BAU Scenario'!C85</f>
        <v>714.01527339836559</v>
      </c>
      <c r="D29" s="3">
        <f>'BAU Scenario'!D85</f>
        <v>3553113.1597316419</v>
      </c>
      <c r="E29" s="3">
        <f>'BAU Scenario'!E85</f>
        <v>52141544.088820346</v>
      </c>
      <c r="F29" s="3">
        <f>'BAU Scenario'!F85</f>
        <v>111.34883615362956</v>
      </c>
      <c r="G29" s="3">
        <f>'BAU Scenario'!G85</f>
        <v>1976.9121136021411</v>
      </c>
      <c r="H29" s="3">
        <f>'BAU Scenario'!H85</f>
        <v>57.383516217040992</v>
      </c>
      <c r="I29" s="3">
        <f>'BAU Scenario'!I85</f>
        <v>417.39714376707639</v>
      </c>
      <c r="J29" s="3">
        <f>'BAU Scenario'!J85</f>
        <v>3230085.8365444015</v>
      </c>
      <c r="K29" s="3">
        <f>C29+'BAU Scenario'!AD$85</f>
        <v>694.65989649214134</v>
      </c>
      <c r="L29" s="3">
        <f>F29+'BAU Scenario'!AE$85</f>
        <v>102.05172148699657</v>
      </c>
    </row>
    <row r="30" spans="1:22">
      <c r="A30">
        <v>2040</v>
      </c>
      <c r="B30" s="33" t="s">
        <v>109</v>
      </c>
      <c r="C30" s="3">
        <f>'BAU Scenario'!C90</f>
        <v>694.62161399797731</v>
      </c>
      <c r="D30" s="3">
        <f>'BAU Scenario'!D90</f>
        <v>3506611.426531299</v>
      </c>
      <c r="E30" s="3">
        <f>'BAU Scenario'!E90</f>
        <v>52103852.88508746</v>
      </c>
      <c r="F30" s="3">
        <f>'BAU Scenario'!F90</f>
        <v>107.57878869696262</v>
      </c>
      <c r="G30" s="3">
        <f>'BAU Scenario'!G90</f>
        <v>1922.0789564982147</v>
      </c>
      <c r="H30" s="3">
        <f>'BAU Scenario'!H90</f>
        <v>56.422705499043083</v>
      </c>
      <c r="I30" s="3">
        <f>'BAU Scenario'!I90</f>
        <v>421.85099305628671</v>
      </c>
      <c r="J30" s="3">
        <f>'BAU Scenario'!J90</f>
        <v>3169763.4863156751</v>
      </c>
      <c r="K30" s="3">
        <f>C30+'BAU Scenario'!AD$90</f>
        <v>667.74825387824058</v>
      </c>
      <c r="L30" s="3">
        <f>F30+'BAU Scenario'!AE$90</f>
        <v>97.593000014856486</v>
      </c>
      <c r="M30" s="3">
        <f>G30+'BAU Scenario'!AF90</f>
        <v>1695.3292358084545</v>
      </c>
      <c r="N30" s="3">
        <f>H30+'BAU Scenario'!AG90</f>
        <v>59.931250463464764</v>
      </c>
    </row>
    <row r="31" spans="1:22">
      <c r="C31" s="3"/>
      <c r="D31" s="3"/>
      <c r="E31" s="3"/>
      <c r="F31" s="3"/>
      <c r="G31" s="3"/>
      <c r="H31" s="3"/>
      <c r="I31" s="3"/>
      <c r="J31" s="3"/>
    </row>
    <row r="32" spans="1:22">
      <c r="A32" s="2" t="s">
        <v>144</v>
      </c>
    </row>
    <row r="33" spans="1:18" s="2" customFormat="1">
      <c r="A33" s="2" t="s">
        <v>19</v>
      </c>
      <c r="B33" s="2" t="s">
        <v>20</v>
      </c>
      <c r="C33" s="2" t="s">
        <v>2</v>
      </c>
      <c r="D33" s="2" t="s">
        <v>47</v>
      </c>
      <c r="E33" s="2" t="s">
        <v>22</v>
      </c>
      <c r="F33" s="2" t="s">
        <v>24</v>
      </c>
      <c r="G33" s="2" t="s">
        <v>115</v>
      </c>
      <c r="H33" s="2" t="s">
        <v>116</v>
      </c>
      <c r="I33" s="2" t="s">
        <v>117</v>
      </c>
      <c r="J33" s="2" t="s">
        <v>52</v>
      </c>
      <c r="K33" s="2" t="s">
        <v>470</v>
      </c>
      <c r="L33" s="2" t="s">
        <v>469</v>
      </c>
      <c r="M33" s="2" t="s">
        <v>499</v>
      </c>
      <c r="N33" s="2" t="s">
        <v>500</v>
      </c>
      <c r="P33"/>
      <c r="Q33"/>
      <c r="R33"/>
    </row>
    <row r="34" spans="1:18">
      <c r="A34">
        <v>2020</v>
      </c>
      <c r="B34" s="33" t="s">
        <v>109</v>
      </c>
      <c r="C34" s="3">
        <f>'ACC II - MY2026'!C10</f>
        <v>3675.2864416982402</v>
      </c>
      <c r="D34" s="3">
        <f>'ACC II - MY2026'!D10</f>
        <v>6031540.5674675992</v>
      </c>
      <c r="E34" s="3">
        <f>'ACC II - MY2026'!E10</f>
        <v>54839424.501843609</v>
      </c>
      <c r="F34" s="3">
        <f>'ACC II - MY2026'!F10</f>
        <v>183.5304708290293</v>
      </c>
      <c r="G34" s="3">
        <f>'ACC II - MY2026'!G10</f>
        <v>3519.1356272733451</v>
      </c>
      <c r="H34" s="3">
        <f>'ACC II - MY2026'!H10</f>
        <v>82.883191918145144</v>
      </c>
      <c r="I34" s="3">
        <f>'ACC II - MY2026'!I10</f>
        <v>2304.1266558255061</v>
      </c>
      <c r="J34" s="3">
        <f>'ACC II - MY2026'!J10</f>
        <v>6028029.2829961302</v>
      </c>
      <c r="K34" s="3">
        <f>C34+'ACC II - MY2026'!AD$10</f>
        <v>3677.9269653478882</v>
      </c>
      <c r="L34" s="3">
        <f>F34+'ACC II - MY2026'!AE$10</f>
        <v>183.38881616984781</v>
      </c>
      <c r="P34" s="2"/>
      <c r="Q34" s="2"/>
      <c r="R34" s="2"/>
    </row>
    <row r="35" spans="1:18">
      <c r="A35">
        <v>2025</v>
      </c>
      <c r="B35" s="33" t="s">
        <v>109</v>
      </c>
      <c r="C35" s="3">
        <f>'ACC II - MY2026'!C15</f>
        <v>2178.6011454247887</v>
      </c>
      <c r="D35" s="3">
        <f>'ACC II - MY2026'!D15</f>
        <v>5203719.2667602431</v>
      </c>
      <c r="E35" s="3">
        <f>'ACC II - MY2026'!E15</f>
        <v>54636730.791605599</v>
      </c>
      <c r="F35" s="3">
        <f>'ACC II - MY2026'!F15</f>
        <v>163.83301061513663</v>
      </c>
      <c r="G35" s="3">
        <f>'ACC II - MY2026'!G15</f>
        <v>2913.3676922336895</v>
      </c>
      <c r="H35" s="3">
        <f>'ACC II - MY2026'!H15</f>
        <v>78.188005968272648</v>
      </c>
      <c r="I35" s="3">
        <f>'ACC II - MY2026'!I15</f>
        <v>411.93260493660739</v>
      </c>
      <c r="J35" s="3">
        <f>'ACC II - MY2026'!J15</f>
        <v>5148304.1862303196</v>
      </c>
      <c r="K35" s="3">
        <f>C35+'ACC II - MY2026'!AD$15</f>
        <v>2198.0649585277815</v>
      </c>
      <c r="L35" s="3">
        <f>F35+'ACC II - MY2026'!AE$15</f>
        <v>162.78884658659476</v>
      </c>
    </row>
    <row r="36" spans="1:18">
      <c r="A36">
        <v>2026</v>
      </c>
      <c r="B36" s="33" t="s">
        <v>109</v>
      </c>
      <c r="C36" s="3">
        <f>'ACC II - MY2026'!C20</f>
        <v>1986.4710816431923</v>
      </c>
      <c r="D36" s="3">
        <f>'ACC II - MY2026'!D20</f>
        <v>5004723.2315200437</v>
      </c>
      <c r="E36" s="3">
        <f>'ACC II - MY2026'!E20</f>
        <v>54606336.602324665</v>
      </c>
      <c r="F36" s="3">
        <f>'ACC II - MY2026'!F20</f>
        <v>160.59322166067412</v>
      </c>
      <c r="G36" s="3">
        <f>'ACC II - MY2026'!G20</f>
        <v>2802.1942390260629</v>
      </c>
      <c r="H36" s="3">
        <f>'ACC II - MY2026'!H20</f>
        <v>76.090928990656309</v>
      </c>
      <c r="I36" s="3">
        <f>'ACC II - MY2026'!I20</f>
        <v>414.35143218412748</v>
      </c>
      <c r="J36" s="3">
        <f>'ACC II - MY2026'!J20</f>
        <v>4926784.8178224796</v>
      </c>
      <c r="K36" s="3">
        <f>C36+'ACC II - MY2026'!AD$20</f>
        <v>2013.7929585114941</v>
      </c>
      <c r="L36" s="3">
        <f>F36+'ACC II - MY2026'!AE$20</f>
        <v>158.79027679301282</v>
      </c>
    </row>
    <row r="37" spans="1:18">
      <c r="A37">
        <v>2027</v>
      </c>
      <c r="B37" s="33" t="s">
        <v>109</v>
      </c>
      <c r="C37" s="3">
        <f>'ACC II - MY2026'!C25</f>
        <v>1790.5519223542506</v>
      </c>
      <c r="D37" s="3">
        <f>'ACC II - MY2026'!D25</f>
        <v>4741294.4567054166</v>
      </c>
      <c r="E37" s="3">
        <f>'ACC II - MY2026'!E25</f>
        <v>54575942.413043723</v>
      </c>
      <c r="F37" s="3">
        <f>'ACC II - MY2026'!F25</f>
        <v>156.98079273393887</v>
      </c>
      <c r="G37" s="3">
        <f>'ACC II - MY2026'!G25</f>
        <v>2685.9663771302112</v>
      </c>
      <c r="H37" s="3">
        <f>'ACC II - MY2026'!H25</f>
        <v>73.230874696866564</v>
      </c>
      <c r="I37" s="3">
        <f>'ACC II - MY2026'!I25</f>
        <v>401.89312596898367</v>
      </c>
      <c r="J37" s="3">
        <f>'ACC II - MY2026'!J25</f>
        <v>4622418.815355802</v>
      </c>
      <c r="K37" s="3">
        <f>C37+'ACC II - MY2026'!AD$25</f>
        <v>1823.9984582579521</v>
      </c>
      <c r="L37" s="3">
        <f>F37+'ACC II - MY2026'!AE$25</f>
        <v>154.17742445575286</v>
      </c>
    </row>
    <row r="38" spans="1:18">
      <c r="A38">
        <v>2028</v>
      </c>
      <c r="B38" s="33" t="s">
        <v>109</v>
      </c>
      <c r="C38" s="3">
        <f>'ACC II - MY2026'!C30</f>
        <v>1593.446145060502</v>
      </c>
      <c r="D38" s="3">
        <f>'ACC II - MY2026'!D30</f>
        <v>4433869.3161418187</v>
      </c>
      <c r="E38" s="3">
        <f>'ACC II - MY2026'!E30</f>
        <v>54545548.223762788</v>
      </c>
      <c r="F38" s="3">
        <f>'ACC II - MY2026'!F30</f>
        <v>153.00332935726098</v>
      </c>
      <c r="G38" s="3">
        <f>'ACC II - MY2026'!G30</f>
        <v>2565.4253023971469</v>
      </c>
      <c r="H38" s="3">
        <f>'ACC II - MY2026'!H30</f>
        <v>69.674676516665215</v>
      </c>
      <c r="I38" s="3">
        <f>'ACC II - MY2026'!I30</f>
        <v>387.41757801861343</v>
      </c>
      <c r="J38" s="3">
        <f>'ACC II - MY2026'!J30</f>
        <v>4260807.8014841219</v>
      </c>
      <c r="K38" s="3">
        <f>C38+'ACC II - MY2026'!AD$30</f>
        <v>1629.8876346240716</v>
      </c>
      <c r="L38" s="3">
        <f>F38+'ACC II - MY2026'!AE$30</f>
        <v>148.93050175843999</v>
      </c>
    </row>
    <row r="39" spans="1:18">
      <c r="A39">
        <v>2029</v>
      </c>
      <c r="B39" s="33" t="s">
        <v>109</v>
      </c>
      <c r="C39" s="3">
        <f>'ACC II - MY2026'!C35</f>
        <v>1393.6278079590697</v>
      </c>
      <c r="D39" s="3">
        <f>'ACC II - MY2026'!D35</f>
        <v>4098306.9100525156</v>
      </c>
      <c r="E39" s="3">
        <f>'ACC II - MY2026'!E35</f>
        <v>54515154.034481846</v>
      </c>
      <c r="F39" s="3">
        <f>'ACC II - MY2026'!F35</f>
        <v>148.64392071321041</v>
      </c>
      <c r="G39" s="3">
        <f>'ACC II - MY2026'!G35</f>
        <v>2437.0940666485517</v>
      </c>
      <c r="H39" s="3">
        <f>'ACC II - MY2026'!H35</f>
        <v>65.496576299364676</v>
      </c>
      <c r="I39" s="3">
        <f>'ACC II - MY2026'!I35</f>
        <v>370.57757294626595</v>
      </c>
      <c r="J39" s="3">
        <f>'ACC II - MY2026'!J35</f>
        <v>3861614.4595947638</v>
      </c>
      <c r="K39" s="3">
        <f>C39+'ACC II - MY2026'!AD$35</f>
        <v>1428.447121138591</v>
      </c>
      <c r="L39" s="3">
        <f>F39+'ACC II - MY2026'!AE$35</f>
        <v>143.00315954725286</v>
      </c>
    </row>
    <row r="40" spans="1:18">
      <c r="A40">
        <v>2030</v>
      </c>
      <c r="B40" s="33" t="s">
        <v>109</v>
      </c>
      <c r="C40" s="3">
        <f>'ACC II - MY2026'!C40</f>
        <v>1194.0693837265769</v>
      </c>
      <c r="D40" s="3">
        <f>'ACC II - MY2026'!D40</f>
        <v>3753613.6191897262</v>
      </c>
      <c r="E40" s="3">
        <f>'ACC II - MY2026'!E40</f>
        <v>54484759.845200911</v>
      </c>
      <c r="F40" s="3">
        <f>'ACC II - MY2026'!F40</f>
        <v>143.28457682798131</v>
      </c>
      <c r="G40" s="3">
        <f>'ACC II - MY2026'!G40</f>
        <v>2303.4961594710308</v>
      </c>
      <c r="H40" s="3">
        <f>'ACC II - MY2026'!H40</f>
        <v>61.126301352026879</v>
      </c>
      <c r="I40" s="3">
        <f>'ACC II - MY2026'!I40</f>
        <v>351.94168444660119</v>
      </c>
      <c r="J40" s="3">
        <f>'ACC II - MY2026'!J40</f>
        <v>3448697.6009187107</v>
      </c>
      <c r="K40" s="3">
        <f>C40+'ACC II - MY2026'!AD$40</f>
        <v>1221.1943521398243</v>
      </c>
      <c r="L40" s="3">
        <f>F40+'ACC II - MY2026'!AE$40</f>
        <v>135.72223088077561</v>
      </c>
    </row>
    <row r="41" spans="1:18">
      <c r="A41">
        <v>2031</v>
      </c>
      <c r="B41" s="33" t="s">
        <v>109</v>
      </c>
      <c r="C41" s="3">
        <f>'ACC II - MY2026'!C45</f>
        <v>1069.7501163020727</v>
      </c>
      <c r="D41" s="3">
        <f>'ACC II - MY2026'!D45</f>
        <v>3437895.0298619163</v>
      </c>
      <c r="E41" s="3">
        <f>'ACC II - MY2026'!E45</f>
        <v>54046269.656911105</v>
      </c>
      <c r="F41" s="3">
        <f>'ACC II - MY2026'!F45</f>
        <v>137.59195448687262</v>
      </c>
      <c r="G41" s="3">
        <f>'ACC II - MY2026'!G45</f>
        <v>2228.0197263033829</v>
      </c>
      <c r="H41" s="3">
        <f>'ACC II - MY2026'!H45</f>
        <v>56.516646328819448</v>
      </c>
      <c r="I41" s="3">
        <f>'ACC II - MY2026'!I45</f>
        <v>332.53656113490808</v>
      </c>
      <c r="J41" s="3">
        <f>'ACC II - MY2026'!J45</f>
        <v>3066196.2266247869</v>
      </c>
      <c r="K41" s="3">
        <f>C41+'ACC II - MY2026'!AD$45</f>
        <v>1099.2240736320873</v>
      </c>
      <c r="L41" s="3">
        <f>F41+'ACC II - MY2026'!AE$45</f>
        <v>127.67329788504969</v>
      </c>
    </row>
    <row r="42" spans="1:18">
      <c r="A42">
        <v>2032</v>
      </c>
      <c r="B42" s="33" t="s">
        <v>109</v>
      </c>
      <c r="C42" s="3">
        <f>'ACC II - MY2026'!C50</f>
        <v>946.1576415582208</v>
      </c>
      <c r="D42" s="3">
        <f>'ACC II - MY2026'!D50</f>
        <v>3120640.9126357269</v>
      </c>
      <c r="E42" s="3">
        <f>'ACC II - MY2026'!E50</f>
        <v>53607779.468621306</v>
      </c>
      <c r="F42" s="3">
        <f>'ACC II - MY2026'!F50</f>
        <v>131.17712774174274</v>
      </c>
      <c r="G42" s="3">
        <f>'ACC II - MY2026'!G50</f>
        <v>2149.6973402238291</v>
      </c>
      <c r="H42" s="3">
        <f>'ACC II - MY2026'!H50</f>
        <v>52.009151769271554</v>
      </c>
      <c r="I42" s="3">
        <f>'ACC II - MY2026'!I50</f>
        <v>312.86048099848034</v>
      </c>
      <c r="J42" s="3">
        <f>'ACC II - MY2026'!J50</f>
        <v>2681293.9123192374</v>
      </c>
      <c r="K42" s="3">
        <f>C42+'ACC II - MY2026'!AD$50</f>
        <v>975.61450563454355</v>
      </c>
      <c r="L42" s="3">
        <f>F42+'ACC II - MY2026'!AE$50</f>
        <v>118.69332305798012</v>
      </c>
    </row>
    <row r="43" spans="1:18">
      <c r="A43">
        <v>2033</v>
      </c>
      <c r="B43" s="33" t="s">
        <v>109</v>
      </c>
      <c r="C43" s="3">
        <f>'ACC II - MY2026'!C55</f>
        <v>825.42238481049151</v>
      </c>
      <c r="D43" s="3">
        <f>'ACC II - MY2026'!D55</f>
        <v>2813670.2253301232</v>
      </c>
      <c r="E43" s="3">
        <f>'ACC II - MY2026'!E55</f>
        <v>53169289.2803315</v>
      </c>
      <c r="F43" s="3">
        <f>'ACC II - MY2026'!F55</f>
        <v>124.75557330844393</v>
      </c>
      <c r="G43" s="3">
        <f>'ACC II - MY2026'!G55</f>
        <v>2069.5856157313001</v>
      </c>
      <c r="H43" s="3">
        <f>'ACC II - MY2026'!H55</f>
        <v>47.729907929213205</v>
      </c>
      <c r="I43" s="3">
        <f>'ACC II - MY2026'!I55</f>
        <v>293.41354891420082</v>
      </c>
      <c r="J43" s="3">
        <f>'ACC II - MY2026'!J55</f>
        <v>2309015.3553844467</v>
      </c>
      <c r="K43" s="3">
        <f>C43+'ACC II - MY2026'!AD$55</f>
        <v>852.14689682177311</v>
      </c>
      <c r="L43" s="3">
        <f>F43+'ACC II - MY2026'!AE$55</f>
        <v>109.49410131362465</v>
      </c>
    </row>
    <row r="44" spans="1:18">
      <c r="A44">
        <v>2034</v>
      </c>
      <c r="B44" s="33" t="s">
        <v>109</v>
      </c>
      <c r="C44" s="3">
        <f>'ACC II - MY2026'!C60</f>
        <v>708.39230044861142</v>
      </c>
      <c r="D44" s="3">
        <f>'ACC II - MY2026'!D60</f>
        <v>2506597.3797905878</v>
      </c>
      <c r="E44" s="3">
        <f>'ACC II - MY2026'!E60</f>
        <v>52730799.092041701</v>
      </c>
      <c r="F44" s="3">
        <f>'ACC II - MY2026'!F60</f>
        <v>118.38910445202505</v>
      </c>
      <c r="G44" s="3">
        <f>'ACC II - MY2026'!G60</f>
        <v>1986.0088023982239</v>
      </c>
      <c r="H44" s="3">
        <f>'ACC II - MY2026'!H60</f>
        <v>43.640581482709742</v>
      </c>
      <c r="I44" s="3">
        <f>'ACC II - MY2026'!I60</f>
        <v>274.02557346416108</v>
      </c>
      <c r="J44" s="3">
        <f>'ACC II - MY2026'!J60</f>
        <v>1935823.7098246508</v>
      </c>
      <c r="K44" s="3">
        <f>C44+'ACC II - MY2026'!AD$60</f>
        <v>729.37807066572032</v>
      </c>
      <c r="L44" s="3">
        <f>F44+'ACC II - MY2026'!AE$60</f>
        <v>100.13502298259448</v>
      </c>
    </row>
    <row r="45" spans="1:18">
      <c r="A45">
        <v>2035</v>
      </c>
      <c r="B45" s="33" t="s">
        <v>109</v>
      </c>
      <c r="C45" s="3">
        <f>'ACC II - MY2026'!C65</f>
        <v>594.04757640350851</v>
      </c>
      <c r="D45" s="3">
        <f>'ACC II - MY2026'!D65</f>
        <v>2212909.935662359</v>
      </c>
      <c r="E45" s="3">
        <f>'ACC II - MY2026'!E65</f>
        <v>52292308.903751895</v>
      </c>
      <c r="F45" s="3">
        <f>'ACC II - MY2026'!F65</f>
        <v>111.27752700694708</v>
      </c>
      <c r="G45" s="3">
        <f>'ACC II - MY2026'!G65</f>
        <v>1872.3028597863349</v>
      </c>
      <c r="H45" s="3">
        <f>'ACC II - MY2026'!H65</f>
        <v>39.841627350668631</v>
      </c>
      <c r="I45" s="3">
        <f>'ACC II - MY2026'!I65</f>
        <v>255.2609321183435</v>
      </c>
      <c r="J45" s="3">
        <f>'ACC II - MY2026'!J65</f>
        <v>1579039.0565243997</v>
      </c>
      <c r="K45" s="3">
        <f>C45+'ACC II - MY2026'!AD$65</f>
        <v>606.23289512954432</v>
      </c>
      <c r="L45" s="3">
        <f>F45+'ACC II - MY2026'!AE$65</f>
        <v>89.818600210281886</v>
      </c>
    </row>
    <row r="46" spans="1:18">
      <c r="A46">
        <v>2036</v>
      </c>
      <c r="B46" s="33" t="s">
        <v>109</v>
      </c>
      <c r="C46" s="3">
        <f>'ACC II - MY2026'!C70</f>
        <v>548.82362484613327</v>
      </c>
      <c r="D46" s="3">
        <f>'ACC II - MY2026'!D70</f>
        <v>1967694.1654046495</v>
      </c>
      <c r="E46" s="3">
        <f>'ACC II - MY2026'!E70</f>
        <v>52254617.700019009</v>
      </c>
      <c r="F46" s="3">
        <f>'ACC II - MY2026'!F70</f>
        <v>106.11340858206569</v>
      </c>
      <c r="G46" s="3">
        <f>'ACC II - MY2026'!G70</f>
        <v>1785.1612745956306</v>
      </c>
      <c r="H46" s="3">
        <f>'ACC II - MY2026'!H70</f>
        <v>36.563040509427417</v>
      </c>
      <c r="I46" s="3">
        <f>'ACC II - MY2026'!I70</f>
        <v>242.41884827361298</v>
      </c>
      <c r="J46" s="3">
        <f>'ACC II - MY2026'!J70</f>
        <v>1271934.8430638351</v>
      </c>
      <c r="K46" s="3">
        <f>C46+'ACC II - MY2026'!AD$70</f>
        <v>546.3515722849877</v>
      </c>
      <c r="L46" s="3">
        <f>F46+'ACC II - MY2026'!AE$70</f>
        <v>81.186847831318914</v>
      </c>
    </row>
    <row r="47" spans="1:18">
      <c r="A47">
        <v>2037</v>
      </c>
      <c r="B47" s="33" t="s">
        <v>109</v>
      </c>
      <c r="C47" s="3">
        <f>'ACC II - MY2026'!C75</f>
        <v>505.17331149045333</v>
      </c>
      <c r="D47" s="3">
        <f>'ACC II - MY2026'!D75</f>
        <v>1762668.7090785101</v>
      </c>
      <c r="E47" s="3">
        <f>'ACC II - MY2026'!E75</f>
        <v>52216926.496286124</v>
      </c>
      <c r="F47" s="3">
        <f>'ACC II - MY2026'!F75</f>
        <v>101.33942150828128</v>
      </c>
      <c r="G47" s="3">
        <f>'ACC II - MY2026'!G75</f>
        <v>1701.1553266158987</v>
      </c>
      <c r="H47" s="3">
        <f>'ACC II - MY2026'!H75</f>
        <v>33.818478781303121</v>
      </c>
      <c r="I47" s="3">
        <f>'ACC II - MY2026'!I75</f>
        <v>231.62955086802251</v>
      </c>
      <c r="J47" s="3">
        <f>'ACC II - MY2026'!J75</f>
        <v>1014402.9098233116</v>
      </c>
      <c r="K47" s="3">
        <f>C47+'ACC II - MY2026'!AD$75</f>
        <v>483.79333793015076</v>
      </c>
      <c r="L47" s="3">
        <f>F47+'ACC II - MY2026'!AE$75</f>
        <v>72.863613597851554</v>
      </c>
    </row>
    <row r="48" spans="1:18">
      <c r="A48">
        <v>2038</v>
      </c>
      <c r="B48" s="33" t="s">
        <v>109</v>
      </c>
      <c r="C48" s="3">
        <f>'ACC II - MY2026'!C80</f>
        <v>463.14900385352263</v>
      </c>
      <c r="D48" s="3">
        <f>'ACC II - MY2026'!D80</f>
        <v>1590644.101631545</v>
      </c>
      <c r="E48" s="3">
        <f>'ACC II - MY2026'!E80</f>
        <v>52179235.292553231</v>
      </c>
      <c r="F48" s="3">
        <f>'ACC II - MY2026'!F80</f>
        <v>96.761317808964478</v>
      </c>
      <c r="G48" s="3">
        <f>'ACC II - MY2026'!G80</f>
        <v>1615.4715137425142</v>
      </c>
      <c r="H48" s="3">
        <f>'ACC II - MY2026'!H80</f>
        <v>31.493985321814151</v>
      </c>
      <c r="I48" s="3">
        <f>'ACC II - MY2026'!I80</f>
        <v>222.47028126246633</v>
      </c>
      <c r="J48" s="3">
        <f>'ACC II - MY2026'!J80</f>
        <v>797182.16119834047</v>
      </c>
      <c r="K48" s="3">
        <f>C48+'ACC II - MY2026'!AD$80</f>
        <v>418.60211720059573</v>
      </c>
      <c r="L48" s="3">
        <f>F48+'ACC II - MY2026'!AE$80</f>
        <v>64.654407989730728</v>
      </c>
    </row>
    <row r="49" spans="1:14">
      <c r="A49">
        <v>2039</v>
      </c>
      <c r="B49" s="33" t="s">
        <v>109</v>
      </c>
      <c r="C49" s="3">
        <f>'ACC II - MY2026'!C85</f>
        <v>422.96464165425846</v>
      </c>
      <c r="D49" s="3">
        <f>'ACC II - MY2026'!D85</f>
        <v>1448888.5364208159</v>
      </c>
      <c r="E49" s="3">
        <f>'ACC II - MY2026'!E85</f>
        <v>52141544.088820346</v>
      </c>
      <c r="F49" s="3">
        <f>'ACC II - MY2026'!F85</f>
        <v>92.563138389040589</v>
      </c>
      <c r="G49" s="3">
        <f>'ACC II - MY2026'!G85</f>
        <v>1528.512834296474</v>
      </c>
      <c r="H49" s="3">
        <f>'ACC II - MY2026'!H85</f>
        <v>29.54196475889762</v>
      </c>
      <c r="I49" s="3">
        <f>'ACC II - MY2026'!I85</f>
        <v>214.88281869994012</v>
      </c>
      <c r="J49" s="3">
        <f>'ACC II - MY2026'!J85</f>
        <v>616755.17976615287</v>
      </c>
      <c r="K49" s="3">
        <f>C49+'ACC II - MY2026'!AD$85</f>
        <v>350.99141079926602</v>
      </c>
      <c r="L49" s="3">
        <f>F49+'ACC II - MY2026'!AE$85</f>
        <v>56.743205072926457</v>
      </c>
    </row>
    <row r="50" spans="1:14">
      <c r="A50">
        <v>2040</v>
      </c>
      <c r="B50" s="33" t="s">
        <v>109</v>
      </c>
      <c r="C50" s="3">
        <f>'ACC II - MY2026'!C90</f>
        <v>385.56177801971074</v>
      </c>
      <c r="D50" s="3">
        <f>'ACC II - MY2026'!D90</f>
        <v>1335128.6958282492</v>
      </c>
      <c r="E50" s="3">
        <f>'ACC II - MY2026'!E90</f>
        <v>52103852.88508746</v>
      </c>
      <c r="F50" s="3">
        <f>'ACC II - MY2026'!F90</f>
        <v>88.585167086294334</v>
      </c>
      <c r="G50" s="3">
        <f>'ACC II - MY2026'!G90</f>
        <v>1439.9333971134354</v>
      </c>
      <c r="H50" s="3">
        <f>'ACC II - MY2026'!H90</f>
        <v>27.937392288365558</v>
      </c>
      <c r="I50" s="3">
        <f>'ACC II - MY2026'!I90</f>
        <v>208.87719892215972</v>
      </c>
      <c r="J50" s="3">
        <f>'ACC II - MY2026'!J90</f>
        <v>470193.32774465601</v>
      </c>
      <c r="K50" s="3">
        <f>C50+'ACC II - MY2026'!AD$90</f>
        <v>281.89919483172974</v>
      </c>
      <c r="L50" s="3">
        <f>F50+'ACC II - MY2026'!AE$90</f>
        <v>48.970154088994036</v>
      </c>
      <c r="M50" s="3">
        <f>G50+'ACC II - MY2026'!AF90</f>
        <v>538.89160425044065</v>
      </c>
      <c r="N50" s="3">
        <f>H50+'ACC II - MY2026'!AG90</f>
        <v>43.720393330308227</v>
      </c>
    </row>
    <row r="51" spans="1:14">
      <c r="C51" s="3"/>
      <c r="D51" s="3"/>
      <c r="E51" s="3"/>
      <c r="F51" s="3"/>
      <c r="G51" s="3"/>
      <c r="H51" s="3"/>
      <c r="I51" s="3"/>
      <c r="J51" s="3"/>
    </row>
    <row r="52" spans="1:14">
      <c r="A52" s="2" t="s">
        <v>147</v>
      </c>
    </row>
    <row r="53" spans="1:14">
      <c r="A53" s="2" t="s">
        <v>19</v>
      </c>
      <c r="B53" s="2" t="s">
        <v>20</v>
      </c>
      <c r="C53" s="2" t="s">
        <v>2</v>
      </c>
      <c r="D53" s="2" t="s">
        <v>47</v>
      </c>
      <c r="E53" s="2" t="s">
        <v>22</v>
      </c>
      <c r="F53" s="2" t="s">
        <v>24</v>
      </c>
      <c r="G53" s="2" t="s">
        <v>115</v>
      </c>
      <c r="H53" s="2" t="s">
        <v>116</v>
      </c>
      <c r="I53" s="2" t="s">
        <v>117</v>
      </c>
      <c r="J53" s="2" t="s">
        <v>52</v>
      </c>
      <c r="K53" s="2" t="s">
        <v>470</v>
      </c>
      <c r="L53" s="2" t="s">
        <v>469</v>
      </c>
      <c r="M53" s="2" t="s">
        <v>499</v>
      </c>
      <c r="N53" s="2" t="s">
        <v>500</v>
      </c>
    </row>
    <row r="54" spans="1:14">
      <c r="A54">
        <v>2020</v>
      </c>
      <c r="B54" s="33" t="s">
        <v>109</v>
      </c>
      <c r="C54" s="3">
        <f>'ACC II - MY2027'!C10</f>
        <v>3675.2864416982402</v>
      </c>
      <c r="D54" s="3">
        <f>'ACC II - MY2027'!D10</f>
        <v>6031540.5674675992</v>
      </c>
      <c r="E54" s="3">
        <f>'ACC II - MY2027'!E10</f>
        <v>54839424.501843609</v>
      </c>
      <c r="F54" s="3">
        <f>'ACC II - MY2027'!F10</f>
        <v>183.5304708290293</v>
      </c>
      <c r="G54" s="3">
        <f>'ACC II - MY2027'!G10</f>
        <v>3519.1356272733451</v>
      </c>
      <c r="H54" s="3">
        <f>'ACC II - MY2027'!H10</f>
        <v>82.883191918145144</v>
      </c>
      <c r="I54" s="3">
        <f>'ACC II - MY2027'!I10</f>
        <v>2304.1266558255061</v>
      </c>
      <c r="J54" s="3">
        <f>'ACC II - MY2027'!J10</f>
        <v>6028029.2829961302</v>
      </c>
      <c r="K54" s="3">
        <f>C54+'ACC II - MY2027'!AD$10</f>
        <v>3677.9269653478882</v>
      </c>
      <c r="L54" s="3">
        <f>F54+'ACC II - MY2027'!AE$10</f>
        <v>183.38881616984781</v>
      </c>
    </row>
    <row r="55" spans="1:14">
      <c r="A55">
        <v>2025</v>
      </c>
      <c r="B55" s="33" t="s">
        <v>109</v>
      </c>
      <c r="C55" s="3">
        <f>'ACC II - MY2027'!C15</f>
        <v>2178.6011454247887</v>
      </c>
      <c r="D55" s="3">
        <f>'ACC II - MY2027'!D15</f>
        <v>5203719.2667602431</v>
      </c>
      <c r="E55" s="3">
        <f>'ACC II - MY2027'!E15</f>
        <v>54636730.791605599</v>
      </c>
      <c r="F55" s="3">
        <f>'ACC II - MY2027'!F15</f>
        <v>163.83301061513663</v>
      </c>
      <c r="G55" s="3">
        <f>'ACC II - MY2027'!G15</f>
        <v>2913.3676922336895</v>
      </c>
      <c r="H55" s="3">
        <f>'ACC II - MY2027'!H15</f>
        <v>78.188005968272648</v>
      </c>
      <c r="I55" s="3">
        <f>'ACC II - MY2027'!I15</f>
        <v>411.93260493660739</v>
      </c>
      <c r="J55" s="3">
        <f>'ACC II - MY2027'!J15</f>
        <v>5148304.1862303196</v>
      </c>
      <c r="K55" s="3">
        <f>C55+'ACC II - MY2027'!AD$15</f>
        <v>2198.0649585277815</v>
      </c>
      <c r="L55" s="3">
        <f>F55+'ACC II - MY2027'!AE$15</f>
        <v>162.78884658659476</v>
      </c>
    </row>
    <row r="56" spans="1:14">
      <c r="A56">
        <v>2026</v>
      </c>
      <c r="B56" s="33" t="s">
        <v>109</v>
      </c>
      <c r="C56" s="3">
        <f>'ACC II - MY2027'!C20</f>
        <v>2000.6132606712381</v>
      </c>
      <c r="D56" s="3">
        <f>'ACC II - MY2027'!D20</f>
        <v>5083526.2096011778</v>
      </c>
      <c r="E56" s="3">
        <f>'ACC II - MY2027'!E20</f>
        <v>54606336.602324665</v>
      </c>
      <c r="F56" s="3">
        <f>'ACC II - MY2027'!F20</f>
        <v>161.41343796564902</v>
      </c>
      <c r="G56" s="3">
        <f>'ACC II - MY2027'!G20</f>
        <v>2812.9654794807789</v>
      </c>
      <c r="H56" s="3">
        <f>'ACC II - MY2027'!H20</f>
        <v>77.514965014936294</v>
      </c>
      <c r="I56" s="3">
        <f>'ACC II - MY2027'!I20</f>
        <v>422.10598813408387</v>
      </c>
      <c r="J56" s="3">
        <f>J16</f>
        <v>5024441.9087380022</v>
      </c>
      <c r="K56" s="3">
        <f>C56+'ACC II - MY2027'!AD$20</f>
        <v>2023.8071982584845</v>
      </c>
      <c r="L56" s="3">
        <f>F56+'ACC II - MY2027'!AE$20</f>
        <v>159.88289930748604</v>
      </c>
    </row>
    <row r="57" spans="1:14">
      <c r="A57">
        <v>2027</v>
      </c>
      <c r="B57" s="33" t="s">
        <v>109</v>
      </c>
      <c r="C57" s="3">
        <f>'ACC II - MY2027'!C25</f>
        <v>1792.9333252874042</v>
      </c>
      <c r="D57" s="3">
        <f>'ACC II - MY2027'!D25</f>
        <v>4755521.049548517</v>
      </c>
      <c r="E57" s="3">
        <f>'ACC II - MY2027'!E25</f>
        <v>54575942.413043723</v>
      </c>
      <c r="F57" s="3">
        <f>'ACC II - MY2027'!F25</f>
        <v>157.12608812591751</v>
      </c>
      <c r="G57" s="3">
        <f>'ACC II - MY2027'!G25</f>
        <v>2688.0062194934058</v>
      </c>
      <c r="H57" s="3">
        <f>'ACC II - MY2027'!H25</f>
        <v>73.462216721736723</v>
      </c>
      <c r="I57" s="3">
        <f>'ACC II - MY2027'!I25</f>
        <v>403.16273759014649</v>
      </c>
      <c r="J57" s="3">
        <f>'ACC II - MY2027'!J25</f>
        <v>4637297.5943147754</v>
      </c>
      <c r="K57" s="3">
        <f>C57+'ACC II - MY2027'!AD$25</f>
        <v>1822.9706105627215</v>
      </c>
      <c r="L57" s="3">
        <f>F57+'ACC II - MY2027'!AE$25</f>
        <v>154.60847096681647</v>
      </c>
    </row>
    <row r="58" spans="1:14">
      <c r="A58">
        <v>2028</v>
      </c>
      <c r="B58" s="33" t="s">
        <v>109</v>
      </c>
      <c r="C58" s="3">
        <f>'ACC II - MY2027'!C30</f>
        <v>1597.1326535227722</v>
      </c>
      <c r="D58" s="3">
        <f>'ACC II - MY2027'!D30</f>
        <v>4457380.608464512</v>
      </c>
      <c r="E58" s="3">
        <f>'ACC II - MY2027'!E30</f>
        <v>54545548.223762788</v>
      </c>
      <c r="F58" s="3">
        <f>'ACC II - MY2027'!F30</f>
        <v>153.24252873280633</v>
      </c>
      <c r="G58" s="3">
        <f>'ACC II - MY2027'!G30</f>
        <v>2568.9148166895461</v>
      </c>
      <c r="H58" s="3">
        <f>'ACC II - MY2027'!H30</f>
        <v>70.044213953706944</v>
      </c>
      <c r="I58" s="3">
        <f>'ACC II - MY2027'!I30</f>
        <v>389.47234606352379</v>
      </c>
      <c r="J58" s="3">
        <f>'ACC II - MY2027'!J30</f>
        <v>4288017.6031597191</v>
      </c>
      <c r="K58" s="3">
        <f>C58+'ACC II - MY2027'!AD$30</f>
        <v>1630.8954451328532</v>
      </c>
      <c r="L58" s="3">
        <f>F58+'ACC II - MY2027'!AE$30</f>
        <v>149.46908173243321</v>
      </c>
    </row>
    <row r="59" spans="1:14">
      <c r="A59">
        <v>2029</v>
      </c>
      <c r="B59" s="33" t="s">
        <v>109</v>
      </c>
      <c r="C59" s="3">
        <f>'ACC II - MY2027'!C35</f>
        <v>1398.6776358022773</v>
      </c>
      <c r="D59" s="3">
        <f>'ACC II - MY2027'!D35</f>
        <v>4131461.6375573357</v>
      </c>
      <c r="E59" s="3">
        <f>'ACC II - MY2027'!E35</f>
        <v>54515154.034481846</v>
      </c>
      <c r="F59" s="3">
        <f>'ACC II - MY2027'!F35</f>
        <v>148.98588006704145</v>
      </c>
      <c r="G59" s="3">
        <f>'ACC II - MY2027'!G35</f>
        <v>2442.4185080108091</v>
      </c>
      <c r="H59" s="3">
        <f>'ACC II - MY2027'!H35</f>
        <v>66.019447354114789</v>
      </c>
      <c r="I59" s="3">
        <f>'ACC II - MY2027'!I35</f>
        <v>373.53596096257257</v>
      </c>
      <c r="J59" s="3">
        <f>'ACC II - MY2027'!J35</f>
        <v>3901624.0437730462</v>
      </c>
      <c r="K59" s="3">
        <f>C59+'ACC II - MY2027'!AD$35</f>
        <v>1431.5627637546113</v>
      </c>
      <c r="L59" s="3">
        <f>F59+'ACC II - MY2027'!AE$35</f>
        <v>143.65845870939765</v>
      </c>
    </row>
    <row r="60" spans="1:14">
      <c r="A60">
        <v>2030</v>
      </c>
      <c r="B60" s="33" t="s">
        <v>109</v>
      </c>
      <c r="C60" s="3">
        <f>'ACC II - MY2027'!C40</f>
        <v>1200.2633722301762</v>
      </c>
      <c r="D60" s="3">
        <f>'ACC II - MY2027'!D40</f>
        <v>3796426.4994223039</v>
      </c>
      <c r="E60" s="3">
        <f>'ACC II - MY2027'!E40</f>
        <v>54484759.845200911</v>
      </c>
      <c r="F60" s="3">
        <f>'ACC II - MY2027'!F40</f>
        <v>143.72984368864982</v>
      </c>
      <c r="G60" s="3">
        <f>'ACC II - MY2027'!G40</f>
        <v>2310.6931890889532</v>
      </c>
      <c r="H60" s="3">
        <f>'ACC II - MY2027'!H40</f>
        <v>61.802546813776999</v>
      </c>
      <c r="I60" s="3">
        <f>'ACC II - MY2027'!I40</f>
        <v>355.83524518303557</v>
      </c>
      <c r="J60" s="3">
        <f>'ACC II - MY2027'!J40</f>
        <v>3501533.0314605683</v>
      </c>
      <c r="K60" s="3">
        <f>C60+'ACC II - MY2027'!AD$40</f>
        <v>1226.2131478805004</v>
      </c>
      <c r="L60" s="3">
        <f>F60+'ACC II - MY2027'!AE$40</f>
        <v>136.49513735718421</v>
      </c>
    </row>
    <row r="61" spans="1:14">
      <c r="A61">
        <v>2031</v>
      </c>
      <c r="B61" s="33" t="s">
        <v>109</v>
      </c>
      <c r="C61" s="3">
        <f>'ACC II - MY2027'!C45</f>
        <v>1077.2487410263047</v>
      </c>
      <c r="D61" s="3">
        <f>'ACC II - MY2027'!D45</f>
        <v>3490702.9694740963</v>
      </c>
      <c r="E61" s="3">
        <f>'ACC II - MY2027'!E45</f>
        <v>54046269.656911105</v>
      </c>
      <c r="F61" s="3">
        <f>'ACC II - MY2027'!F45</f>
        <v>138.1350610053461</v>
      </c>
      <c r="G61" s="3">
        <f>'ACC II - MY2027'!G45</f>
        <v>2237.2672268799861</v>
      </c>
      <c r="H61" s="3">
        <f>'ACC II - MY2027'!H45</f>
        <v>57.332959212119128</v>
      </c>
      <c r="I61" s="3">
        <f>'ACC II - MY2027'!I45</f>
        <v>337.33963946059737</v>
      </c>
      <c r="J61" s="3">
        <f>'ACC II - MY2027'!J45</f>
        <v>3132019.2368063056</v>
      </c>
      <c r="K61" s="3">
        <f>C61+'ACC II - MY2027'!AD$45</f>
        <v>1105.7473176351707</v>
      </c>
      <c r="L61" s="3">
        <f>F61+'ACC II - MY2027'!AE$45</f>
        <v>128.54464218716345</v>
      </c>
    </row>
    <row r="62" spans="1:14">
      <c r="A62">
        <v>2032</v>
      </c>
      <c r="B62" s="33" t="s">
        <v>109</v>
      </c>
      <c r="C62" s="3">
        <f>'ACC II - MY2027'!C50</f>
        <v>954.72168651103698</v>
      </c>
      <c r="D62" s="3">
        <f>'ACC II - MY2027'!D50</f>
        <v>3182365.6686566076</v>
      </c>
      <c r="E62" s="3">
        <f>'ACC II - MY2027'!E50</f>
        <v>53607779.468621306</v>
      </c>
      <c r="F62" s="3">
        <f>'ACC II - MY2027'!F50</f>
        <v>131.8029566556977</v>
      </c>
      <c r="G62" s="3">
        <f>'ACC II - MY2027'!G50</f>
        <v>2160.8530736315361</v>
      </c>
      <c r="H62" s="3">
        <f>'ACC II - MY2027'!H50</f>
        <v>52.942269602874831</v>
      </c>
      <c r="I62" s="3">
        <f>'ACC II - MY2027'!I50</f>
        <v>318.47364107354741</v>
      </c>
      <c r="J62" s="3">
        <f>'ACC II - MY2027'!J50</f>
        <v>2758715.8727285457</v>
      </c>
      <c r="K62" s="3">
        <f>C62+'ACC II - MY2027'!AD$50</f>
        <v>983.40260104684182</v>
      </c>
      <c r="L62" s="3">
        <f>F62+'ACC II - MY2027'!AE$50</f>
        <v>119.64799901020713</v>
      </c>
    </row>
    <row r="63" spans="1:14">
      <c r="A63">
        <v>2033</v>
      </c>
      <c r="B63" s="33" t="s">
        <v>109</v>
      </c>
      <c r="C63" s="3">
        <f>'ACC II - MY2027'!C55</f>
        <v>834.69246959890154</v>
      </c>
      <c r="D63" s="3">
        <f>'ACC II - MY2027'!D55</f>
        <v>2882555.8944092793</v>
      </c>
      <c r="E63" s="3">
        <f>'ACC II - MY2027'!E55</f>
        <v>53169289.2803315</v>
      </c>
      <c r="F63" s="3">
        <f>'ACC II - MY2027'!F55</f>
        <v>125.44600437871222</v>
      </c>
      <c r="G63" s="3">
        <f>'ACC II - MY2027'!G55</f>
        <v>2082.39793053517</v>
      </c>
      <c r="H63" s="3">
        <f>'ACC II - MY2027'!H55</f>
        <v>48.750935103851837</v>
      </c>
      <c r="I63" s="3">
        <f>'ACC II - MY2027'!I55</f>
        <v>299.69018383444541</v>
      </c>
      <c r="J63" s="3">
        <f>'ACC II - MY2027'!J55</f>
        <v>2395775.0654353094</v>
      </c>
      <c r="K63" s="3">
        <f>C63+'ACC II - MY2027'!AD$55</f>
        <v>860.84004959012645</v>
      </c>
      <c r="L63" s="3">
        <f>F63+'ACC II - MY2027'!AE$55</f>
        <v>110.51399889999973</v>
      </c>
    </row>
    <row r="64" spans="1:14">
      <c r="A64">
        <v>2034</v>
      </c>
      <c r="B64" s="33" t="s">
        <v>109</v>
      </c>
      <c r="C64" s="3">
        <f>'ACC II - MY2027'!C60</f>
        <v>717.98814331345557</v>
      </c>
      <c r="D64" s="3">
        <f>'ACC II - MY2027'!D60</f>
        <v>2581435.6048077368</v>
      </c>
      <c r="E64" s="3">
        <f>'ACC II - MY2027'!E60</f>
        <v>52730799.092041701</v>
      </c>
      <c r="F64" s="3">
        <f>'ACC II - MY2027'!F60</f>
        <v>119.12423528730324</v>
      </c>
      <c r="G64" s="3">
        <f>'ACC II - MY2027'!G60</f>
        <v>2000.2756096210462</v>
      </c>
      <c r="H64" s="3">
        <f>'ACC II - MY2027'!H60</f>
        <v>44.723608965047738</v>
      </c>
      <c r="I64" s="3">
        <f>'ACC II - MY2027'!I60</f>
        <v>280.8260609196891</v>
      </c>
      <c r="J64" s="3">
        <f>'ACC II - MY2027'!J60</f>
        <v>2030364.4215894658</v>
      </c>
      <c r="K64" s="3">
        <f>C64+'ACC II - MY2027'!AD$60</f>
        <v>738.59444767292348</v>
      </c>
      <c r="L64" s="3">
        <f>F64+'ACC II - MY2027'!AE$60</f>
        <v>101.20022512850767</v>
      </c>
    </row>
    <row r="65" spans="1:18">
      <c r="A65">
        <v>2035</v>
      </c>
      <c r="B65" s="33" t="s">
        <v>109</v>
      </c>
      <c r="C65" s="3">
        <f>'ACC II - MY2027'!C65</f>
        <v>603.53244717259918</v>
      </c>
      <c r="D65" s="3">
        <f>'ACC II - MY2027'!D65</f>
        <v>2291850.3238633652</v>
      </c>
      <c r="E65" s="3">
        <f>'ACC II - MY2027'!E65</f>
        <v>52292308.903751895</v>
      </c>
      <c r="F65" s="3">
        <f>'ACC II - MY2027'!F65</f>
        <v>112.03246214672409</v>
      </c>
      <c r="G65" s="3">
        <f>'ACC II - MY2027'!G65</f>
        <v>1887.4069313906036</v>
      </c>
      <c r="H65" s="3">
        <f>'ACC II - MY2027'!H65</f>
        <v>40.958484686489889</v>
      </c>
      <c r="I65" s="3">
        <f>'ACC II - MY2027'!I65</f>
        <v>262.41651444623653</v>
      </c>
      <c r="J65" s="3">
        <f>'ACC II - MY2027'!J65</f>
        <v>1678975.2579371161</v>
      </c>
      <c r="K65" s="3">
        <f>C65+'ACC II - MY2027'!AD$65</f>
        <v>615.53005336524257</v>
      </c>
      <c r="L65" s="3">
        <f>F65+'ACC II - MY2027'!AE$65</f>
        <v>90.904106064165546</v>
      </c>
    </row>
    <row r="66" spans="1:18">
      <c r="A66">
        <v>2036</v>
      </c>
      <c r="B66" s="33" t="s">
        <v>109</v>
      </c>
      <c r="C66" s="3">
        <f>'ACC II - MY2027'!C70</f>
        <v>558.9020906576676</v>
      </c>
      <c r="D66" s="3">
        <f>'ACC II - MY2027'!D70</f>
        <v>2048685.0455343334</v>
      </c>
      <c r="E66" s="3">
        <f>'ACC II - MY2027'!E70</f>
        <v>52254617.700019009</v>
      </c>
      <c r="F66" s="3">
        <f>'ACC II - MY2027'!F70</f>
        <v>106.87459860693565</v>
      </c>
      <c r="G66" s="3">
        <f>'ACC II - MY2027'!G70</f>
        <v>1801.0030604576136</v>
      </c>
      <c r="H66" s="3">
        <f>'ACC II - MY2027'!H70</f>
        <v>37.682269888329451</v>
      </c>
      <c r="I66" s="3">
        <f>'ACC II - MY2027'!I70</f>
        <v>249.83951934492237</v>
      </c>
      <c r="J66" s="3">
        <f>'ACC II - MY2027'!J70</f>
        <v>1374626.5778224822</v>
      </c>
      <c r="K66" s="3">
        <f>C66+'ACC II - MY2027'!AD$70</f>
        <v>556.46319708743363</v>
      </c>
      <c r="L66" s="3">
        <f>F66+'ACC II - MY2027'!AE$70</f>
        <v>82.282391427137767</v>
      </c>
    </row>
    <row r="67" spans="1:18">
      <c r="A67">
        <v>2037</v>
      </c>
      <c r="B67" s="33" t="s">
        <v>109</v>
      </c>
      <c r="C67" s="3">
        <f>'ACC II - MY2027'!C75</f>
        <v>515.54249644583399</v>
      </c>
      <c r="D67" s="3">
        <f>'ACC II - MY2027'!D75</f>
        <v>1843005.7415011807</v>
      </c>
      <c r="E67" s="3">
        <f>'ACC II - MY2027'!E75</f>
        <v>52216926.496286124</v>
      </c>
      <c r="F67" s="3">
        <f>'ACC II - MY2027'!F75</f>
        <v>102.08127340055279</v>
      </c>
      <c r="G67" s="3">
        <f>'ACC II - MY2027'!G75</f>
        <v>1717.2067613757486</v>
      </c>
      <c r="H67" s="3">
        <f>'ACC II - MY2027'!H75</f>
        <v>34.908608158253621</v>
      </c>
      <c r="I67" s="3">
        <f>'ACC II - MY2027'!I75</f>
        <v>239.09606583470642</v>
      </c>
      <c r="J67" s="3">
        <f>'ACC II - MY2027'!J75</f>
        <v>1116367.9709094982</v>
      </c>
      <c r="K67" s="3">
        <f>C67+'ACC II - MY2027'!AD$75</f>
        <v>494.41640081228286</v>
      </c>
      <c r="L67" s="3">
        <f>F67+'ACC II - MY2027'!AE$75</f>
        <v>73.943603376705539</v>
      </c>
    </row>
    <row r="68" spans="1:18">
      <c r="A68">
        <v>2038</v>
      </c>
      <c r="B68" s="33" t="s">
        <v>109</v>
      </c>
      <c r="C68" s="3">
        <f>'ACC II - MY2027'!C80</f>
        <v>473.5376185459433</v>
      </c>
      <c r="D68" s="3">
        <f>'ACC II - MY2027'!D80</f>
        <v>1668347.5959872406</v>
      </c>
      <c r="E68" s="3">
        <f>'ACC II - MY2027'!E80</f>
        <v>52179235.292553231</v>
      </c>
      <c r="F68" s="3">
        <f>'ACC II - MY2027'!F80</f>
        <v>97.468069089823288</v>
      </c>
      <c r="G68" s="3">
        <f>'ACC II - MY2027'!G80</f>
        <v>1631.4607174345451</v>
      </c>
      <c r="H68" s="3">
        <f>'ACC II - MY2027'!H80</f>
        <v>32.533468774686284</v>
      </c>
      <c r="I68" s="3">
        <f>'ACC II - MY2027'!I80</f>
        <v>229.81308573021232</v>
      </c>
      <c r="J68" s="3">
        <f>'ACC II - MY2027'!J80</f>
        <v>895871.37919338676</v>
      </c>
      <c r="K68" s="3">
        <f>C68+'ACC II - MY2027'!AD$80</f>
        <v>429.46513420999611</v>
      </c>
      <c r="L68" s="3">
        <f>F68+'ACC II - MY2027'!AE$80</f>
        <v>65.703081985143683</v>
      </c>
    </row>
    <row r="69" spans="1:18">
      <c r="A69">
        <v>2039</v>
      </c>
      <c r="B69" s="33" t="s">
        <v>109</v>
      </c>
      <c r="C69" s="3">
        <f>'ACC II - MY2027'!C85</f>
        <v>433.00629343904882</v>
      </c>
      <c r="D69" s="3">
        <f>'ACC II - MY2027'!D85</f>
        <v>1521487.2139005691</v>
      </c>
      <c r="E69" s="3">
        <f>'ACC II - MY2027'!E85</f>
        <v>52141544.088820346</v>
      </c>
      <c r="F69" s="3">
        <f>'ACC II - MY2027'!F85</f>
        <v>93.211271101743876</v>
      </c>
      <c r="G69" s="3">
        <f>'ACC II - MY2027'!G85</f>
        <v>1543.9832333688155</v>
      </c>
      <c r="H69" s="3">
        <f>'ACC II - MY2027'!H85</f>
        <v>30.502537025020725</v>
      </c>
      <c r="I69" s="3">
        <f>'ACC II - MY2027'!I85</f>
        <v>221.86984470833565</v>
      </c>
      <c r="J69" s="3">
        <f>'ACC II - MY2027'!J85</f>
        <v>708986.36452683702</v>
      </c>
      <c r="K69" s="3">
        <f>C69+'ACC II - MY2027'!AD$85</f>
        <v>361.72769150297029</v>
      </c>
      <c r="L69" s="3">
        <f>F69+'ACC II - MY2027'!AE$85</f>
        <v>57.737043560670848</v>
      </c>
    </row>
    <row r="70" spans="1:18">
      <c r="A70">
        <v>2040</v>
      </c>
      <c r="B70" s="33" t="s">
        <v>109</v>
      </c>
      <c r="C70" s="3">
        <f>'ACC II - MY2027'!C90</f>
        <v>394.8720262074259</v>
      </c>
      <c r="D70" s="3">
        <f>'ACC II - MY2027'!D90</f>
        <v>1400543.3528126806</v>
      </c>
      <c r="E70" s="3">
        <f>'ACC II - MY2027'!E90</f>
        <v>52103852.88508746</v>
      </c>
      <c r="F70" s="3">
        <f>'ACC II - MY2027'!F90</f>
        <v>89.157338913860144</v>
      </c>
      <c r="G70" s="3">
        <f>'ACC II - MY2027'!G90</f>
        <v>1454.4577522638492</v>
      </c>
      <c r="H70" s="3">
        <f>'ACC II - MY2027'!H90</f>
        <v>28.795495816624921</v>
      </c>
      <c r="I70" s="3">
        <f>'ACC II - MY2027'!I90</f>
        <v>215.29291086542085</v>
      </c>
      <c r="J70" s="3">
        <f>'ACC II - MY2027'!J90</f>
        <v>553289.10539985611</v>
      </c>
      <c r="K70" s="3">
        <f>C70+'ACC II - MY2027'!AD$90</f>
        <v>292.12396093321422</v>
      </c>
      <c r="L70" s="3">
        <f>F70+'ACC II - MY2027'!AE$90</f>
        <v>49.891812085301538</v>
      </c>
      <c r="M70" s="3">
        <f>G70+'ACC II - MY2027'!AF90</f>
        <v>561.36500750757341</v>
      </c>
      <c r="N70" s="3">
        <f>H70+'ACC II - MY2027'!AG90</f>
        <v>44.439258217758081</v>
      </c>
    </row>
    <row r="71" spans="1:18">
      <c r="C71" s="3"/>
      <c r="D71" s="3"/>
      <c r="E71" s="3"/>
      <c r="F71" s="3"/>
      <c r="G71" s="3"/>
      <c r="H71" s="3"/>
      <c r="I71" s="3"/>
      <c r="J71" s="3"/>
    </row>
    <row r="72" spans="1:18">
      <c r="C72" s="3"/>
      <c r="D72" s="3"/>
      <c r="E72" s="3"/>
      <c r="F72" s="3"/>
      <c r="G72" s="3"/>
      <c r="H72" s="3"/>
      <c r="I72" s="3"/>
      <c r="J72" s="3"/>
    </row>
    <row r="73" spans="1:18">
      <c r="A73" s="4" t="s">
        <v>112</v>
      </c>
      <c r="B73" s="2"/>
      <c r="C73" s="2"/>
      <c r="D73" s="2"/>
      <c r="E73" s="2"/>
      <c r="F73" s="2"/>
      <c r="G73" s="2"/>
      <c r="H73" s="2"/>
      <c r="I73" s="2"/>
    </row>
    <row r="74" spans="1:18">
      <c r="A74" s="2" t="s">
        <v>19</v>
      </c>
      <c r="B74" s="2" t="s">
        <v>20</v>
      </c>
      <c r="C74" s="2" t="s">
        <v>2</v>
      </c>
      <c r="D74" s="2" t="s">
        <v>47</v>
      </c>
      <c r="E74" s="2" t="s">
        <v>22</v>
      </c>
      <c r="F74" s="2" t="s">
        <v>24</v>
      </c>
      <c r="G74" s="2" t="s">
        <v>115</v>
      </c>
      <c r="H74" s="2" t="s">
        <v>116</v>
      </c>
      <c r="I74" s="2" t="s">
        <v>117</v>
      </c>
      <c r="J74" s="2" t="s">
        <v>52</v>
      </c>
      <c r="K74" s="2" t="s">
        <v>470</v>
      </c>
      <c r="L74" s="2" t="s">
        <v>469</v>
      </c>
      <c r="M74" s="2" t="s">
        <v>499</v>
      </c>
      <c r="N74" s="2" t="s">
        <v>500</v>
      </c>
    </row>
    <row r="75" spans="1:18" s="2" customFormat="1">
      <c r="A75">
        <v>2026</v>
      </c>
      <c r="B75" s="33" t="s">
        <v>109</v>
      </c>
      <c r="C75" s="3">
        <f t="shared" ref="C75:L89" si="11">C36-C16</f>
        <v>-14.142179028045803</v>
      </c>
      <c r="D75" s="3">
        <f t="shared" si="11"/>
        <v>-78802.978081134148</v>
      </c>
      <c r="E75" s="3">
        <f t="shared" si="11"/>
        <v>0</v>
      </c>
      <c r="F75" s="3">
        <f t="shared" si="11"/>
        <v>-0.82021630497490605</v>
      </c>
      <c r="G75" s="3">
        <f t="shared" si="11"/>
        <v>-10.771240454716008</v>
      </c>
      <c r="H75" s="3">
        <f t="shared" si="11"/>
        <v>-1.4240360242799852</v>
      </c>
      <c r="I75" s="3">
        <f t="shared" si="11"/>
        <v>-7.7545559499563979</v>
      </c>
      <c r="J75" s="3">
        <f t="shared" si="11"/>
        <v>-97657.090915522538</v>
      </c>
      <c r="K75" s="3">
        <f t="shared" si="11"/>
        <v>-10.01423974699037</v>
      </c>
      <c r="L75" s="3">
        <f t="shared" si="11"/>
        <v>-1.09262251447322</v>
      </c>
      <c r="M75" s="118"/>
      <c r="P75"/>
      <c r="Q75"/>
      <c r="R75"/>
    </row>
    <row r="76" spans="1:18">
      <c r="A76">
        <v>2027</v>
      </c>
      <c r="B76" s="33" t="s">
        <v>109</v>
      </c>
      <c r="C76" s="3">
        <f t="shared" si="11"/>
        <v>-32.864292860114574</v>
      </c>
      <c r="D76" s="3">
        <f t="shared" si="11"/>
        <v>-196332.55132430512</v>
      </c>
      <c r="E76" s="3">
        <f t="shared" si="11"/>
        <v>0</v>
      </c>
      <c r="F76" s="3">
        <f t="shared" si="11"/>
        <v>-2.0051332963158472</v>
      </c>
      <c r="G76" s="3">
        <f t="shared" si="11"/>
        <v>-28.150623264632486</v>
      </c>
      <c r="H76" s="3">
        <f t="shared" si="11"/>
        <v>-3.192610519764429</v>
      </c>
      <c r="I76" s="3">
        <f t="shared" si="11"/>
        <v>-17.521137458767612</v>
      </c>
      <c r="J76" s="3">
        <f t="shared" ref="J76:L76" si="12">J37-J17</f>
        <v>-243869.43854504731</v>
      </c>
      <c r="K76" s="3">
        <f t="shared" si="12"/>
        <v>-24.014250076393637</v>
      </c>
      <c r="L76" s="3">
        <f t="shared" si="12"/>
        <v>-2.7469315375655583</v>
      </c>
      <c r="P76" s="2"/>
      <c r="Q76" s="2"/>
      <c r="R76" s="2"/>
    </row>
    <row r="77" spans="1:18">
      <c r="A77">
        <v>2028</v>
      </c>
      <c r="B77" s="33" t="s">
        <v>109</v>
      </c>
      <c r="C77" s="3">
        <f t="shared" si="11"/>
        <v>-52.419095878755115</v>
      </c>
      <c r="D77" s="3">
        <f t="shared" si="11"/>
        <v>-334311.09655930754</v>
      </c>
      <c r="E77" s="3">
        <f t="shared" si="11"/>
        <v>0</v>
      </c>
      <c r="F77" s="3">
        <f t="shared" si="11"/>
        <v>-3.4012169317329608</v>
      </c>
      <c r="G77" s="3">
        <f t="shared" si="11"/>
        <v>-49.618002002611775</v>
      </c>
      <c r="H77" s="3">
        <f t="shared" si="11"/>
        <v>-5.2545161746764393</v>
      </c>
      <c r="I77" s="3">
        <f t="shared" si="11"/>
        <v>-29.21709912159929</v>
      </c>
      <c r="J77" s="3">
        <f t="shared" ref="J77:L77" si="13">J38-J18</f>
        <v>-415779.62542666961</v>
      </c>
      <c r="K77" s="3">
        <f t="shared" si="13"/>
        <v>-39.577309240409022</v>
      </c>
      <c r="L77" s="3">
        <f t="shared" si="13"/>
        <v>-4.8351270288319199</v>
      </c>
    </row>
    <row r="78" spans="1:18">
      <c r="A78">
        <v>2029</v>
      </c>
      <c r="B78" s="33" t="s">
        <v>109</v>
      </c>
      <c r="C78" s="3">
        <f t="shared" si="11"/>
        <v>-74.086739952237394</v>
      </c>
      <c r="D78" s="3">
        <f t="shared" si="11"/>
        <v>-486417.70593048073</v>
      </c>
      <c r="E78" s="3">
        <f t="shared" si="11"/>
        <v>0</v>
      </c>
      <c r="F78" s="3">
        <f t="shared" si="11"/>
        <v>-5.0169341427336462</v>
      </c>
      <c r="G78" s="3">
        <f t="shared" si="11"/>
        <v>-78.115633808603434</v>
      </c>
      <c r="H78" s="3">
        <f t="shared" si="11"/>
        <v>-7.6711153458288379</v>
      </c>
      <c r="I78" s="3">
        <f t="shared" si="11"/>
        <v>-43.402929851704073</v>
      </c>
      <c r="J78" s="3">
        <f t="shared" ref="J78:L78" si="14">J39-J19</f>
        <v>-605968.96680446435</v>
      </c>
      <c r="K78" s="3">
        <f t="shared" si="14"/>
        <v>-59.395285114599801</v>
      </c>
      <c r="L78" s="3">
        <f t="shared" si="14"/>
        <v>-7.3933715715413939</v>
      </c>
    </row>
    <row r="79" spans="1:18">
      <c r="A79">
        <v>2030</v>
      </c>
      <c r="B79" s="33" t="s">
        <v>109</v>
      </c>
      <c r="C79" s="3">
        <f t="shared" si="11"/>
        <v>-94.284931182544142</v>
      </c>
      <c r="D79" s="3">
        <f t="shared" si="11"/>
        <v>-651697.92680588085</v>
      </c>
      <c r="E79" s="3">
        <f t="shared" si="11"/>
        <v>0</v>
      </c>
      <c r="F79" s="3">
        <f t="shared" si="11"/>
        <v>-6.777854897793901</v>
      </c>
      <c r="G79" s="3">
        <f t="shared" si="11"/>
        <v>-109.55322920768003</v>
      </c>
      <c r="H79" s="3">
        <f t="shared" si="11"/>
        <v>-10.293812587247665</v>
      </c>
      <c r="I79" s="3">
        <f t="shared" si="11"/>
        <v>-59.267805530547435</v>
      </c>
      <c r="J79" s="3">
        <f t="shared" ref="J79:L79" si="15">J40-J20</f>
        <v>-813782.53016200243</v>
      </c>
      <c r="K79" s="3">
        <f t="shared" si="15"/>
        <v>-81.260419855876989</v>
      </c>
      <c r="L79" s="3">
        <f t="shared" si="15"/>
        <v>-10.40056725348137</v>
      </c>
    </row>
    <row r="80" spans="1:18">
      <c r="A80">
        <v>2031</v>
      </c>
      <c r="B80" s="33" t="s">
        <v>109</v>
      </c>
      <c r="C80" s="3">
        <f t="shared" si="11"/>
        <v>-119.23654072215254</v>
      </c>
      <c r="D80" s="3">
        <f t="shared" si="11"/>
        <v>-839705.44914359273</v>
      </c>
      <c r="E80" s="3">
        <f t="shared" si="11"/>
        <v>0</v>
      </c>
      <c r="F80" s="3">
        <f t="shared" si="11"/>
        <v>-8.636002585535266</v>
      </c>
      <c r="G80" s="3">
        <f t="shared" si="11"/>
        <v>-147.04562764917137</v>
      </c>
      <c r="H80" s="3">
        <f t="shared" si="11"/>
        <v>-12.980290110670538</v>
      </c>
      <c r="I80" s="3">
        <f t="shared" si="11"/>
        <v>-76.374330685201528</v>
      </c>
      <c r="J80" s="3">
        <f t="shared" ref="J80:L80" si="16">J41-J21</f>
        <v>-1045164.2228299826</v>
      </c>
      <c r="K80" s="3">
        <f t="shared" si="16"/>
        <v>-103.02474856069603</v>
      </c>
      <c r="L80" s="3">
        <f t="shared" si="16"/>
        <v>-14.077439712506447</v>
      </c>
    </row>
    <row r="81" spans="1:14">
      <c r="A81">
        <v>2032</v>
      </c>
      <c r="B81" s="33" t="s">
        <v>109</v>
      </c>
      <c r="C81" s="3">
        <f t="shared" si="11"/>
        <v>-143.02458536609834</v>
      </c>
      <c r="D81" s="3">
        <f t="shared" si="11"/>
        <v>-1030839.712466354</v>
      </c>
      <c r="E81" s="3">
        <f t="shared" si="11"/>
        <v>0</v>
      </c>
      <c r="F81" s="3">
        <f t="shared" si="11"/>
        <v>-10.45171077705379</v>
      </c>
      <c r="G81" s="3">
        <f t="shared" si="11"/>
        <v>-186.30730617163999</v>
      </c>
      <c r="H81" s="3">
        <f t="shared" si="11"/>
        <v>-15.583616385027682</v>
      </c>
      <c r="I81" s="3">
        <f t="shared" si="11"/>
        <v>-93.74307313345065</v>
      </c>
      <c r="J81" s="3">
        <f t="shared" ref="J81:L81" si="17">J42-J22</f>
        <v>-1280637.9645878668</v>
      </c>
      <c r="K81" s="3">
        <f t="shared" si="17"/>
        <v>-125.35872753309241</v>
      </c>
      <c r="L81" s="3">
        <f t="shared" si="17"/>
        <v>-17.915534645935125</v>
      </c>
    </row>
    <row r="82" spans="1:14">
      <c r="A82">
        <v>2033</v>
      </c>
      <c r="B82" s="33" t="s">
        <v>109</v>
      </c>
      <c r="C82" s="3">
        <f t="shared" si="11"/>
        <v>-163.70276988868466</v>
      </c>
      <c r="D82" s="3">
        <f t="shared" si="11"/>
        <v>-1216469.4381212164</v>
      </c>
      <c r="E82" s="3">
        <f t="shared" si="11"/>
        <v>0</v>
      </c>
      <c r="F82" s="3">
        <f t="shared" si="11"/>
        <v>-12.192496746247315</v>
      </c>
      <c r="G82" s="3">
        <f t="shared" si="11"/>
        <v>-226.25590487603404</v>
      </c>
      <c r="H82" s="3">
        <f t="shared" si="11"/>
        <v>-18.030576897088956</v>
      </c>
      <c r="I82" s="3">
        <f t="shared" si="11"/>
        <v>-110.84068220268358</v>
      </c>
      <c r="J82" s="3">
        <f t="shared" ref="J82:L82" si="18">J43-J23</f>
        <v>-1509282.322392914</v>
      </c>
      <c r="K82" s="3">
        <f t="shared" si="18"/>
        <v>-146.66255991534103</v>
      </c>
      <c r="L82" s="3">
        <f t="shared" si="18"/>
        <v>-21.885962326962201</v>
      </c>
    </row>
    <row r="83" spans="1:14">
      <c r="A83">
        <v>2034</v>
      </c>
      <c r="B83" s="33" t="s">
        <v>109</v>
      </c>
      <c r="C83" s="3">
        <f t="shared" si="11"/>
        <v>-180.44438334805818</v>
      </c>
      <c r="D83" s="3">
        <f t="shared" si="11"/>
        <v>-1407290.3812917834</v>
      </c>
      <c r="E83" s="3">
        <f t="shared" si="11"/>
        <v>0</v>
      </c>
      <c r="F83" s="3">
        <f t="shared" si="11"/>
        <v>-13.82371847062025</v>
      </c>
      <c r="G83" s="3">
        <f t="shared" si="11"/>
        <v>-268.2792192335005</v>
      </c>
      <c r="H83" s="3">
        <f t="shared" si="11"/>
        <v>-20.365717629188602</v>
      </c>
      <c r="I83" s="3">
        <f t="shared" si="11"/>
        <v>-127.879310099446</v>
      </c>
      <c r="J83" s="3">
        <f t="shared" ref="J83:L83" si="19">J44-J24</f>
        <v>-1745032.4185568078</v>
      </c>
      <c r="K83" s="3">
        <f t="shared" si="19"/>
        <v>-166.39819735824437</v>
      </c>
      <c r="L83" s="3">
        <f t="shared" si="19"/>
        <v>-25.956421159546522</v>
      </c>
    </row>
    <row r="84" spans="1:14">
      <c r="A84">
        <v>2035</v>
      </c>
      <c r="B84" s="33" t="s">
        <v>109</v>
      </c>
      <c r="C84" s="3">
        <f t="shared" si="11"/>
        <v>-191.26541701500457</v>
      </c>
      <c r="D84" s="3">
        <f t="shared" si="11"/>
        <v>-1591857.8793709134</v>
      </c>
      <c r="E84" s="3">
        <f t="shared" si="11"/>
        <v>0</v>
      </c>
      <c r="F84" s="3">
        <f t="shared" si="11"/>
        <v>-15.223505711778259</v>
      </c>
      <c r="G84" s="3">
        <f t="shared" si="11"/>
        <v>-304.57837796054082</v>
      </c>
      <c r="H84" s="3">
        <f t="shared" si="11"/>
        <v>-22.52178119055192</v>
      </c>
      <c r="I84" s="3">
        <f t="shared" si="11"/>
        <v>-144.2945793620847</v>
      </c>
      <c r="J84" s="3">
        <f t="shared" ref="J84:L84" si="20">J45-J25</f>
        <v>-1973197.4452484557</v>
      </c>
      <c r="K84" s="3">
        <f t="shared" si="20"/>
        <v>-182.63436630484148</v>
      </c>
      <c r="L84" s="3">
        <f t="shared" si="20"/>
        <v>-30.002251255348341</v>
      </c>
      <c r="M84" s="3"/>
    </row>
    <row r="85" spans="1:14">
      <c r="A85">
        <v>2036</v>
      </c>
      <c r="B85" s="33" t="s">
        <v>109</v>
      </c>
      <c r="C85" s="3">
        <f t="shared" si="11"/>
        <v>-219.50212954830999</v>
      </c>
      <c r="D85" s="3">
        <f t="shared" si="11"/>
        <v>-1763926.2755757761</v>
      </c>
      <c r="E85" s="3">
        <f t="shared" si="11"/>
        <v>0</v>
      </c>
      <c r="F85" s="3">
        <f t="shared" si="11"/>
        <v>-16.578200945888995</v>
      </c>
      <c r="G85" s="3">
        <f t="shared" si="11"/>
        <v>-345.0233197768996</v>
      </c>
      <c r="H85" s="3">
        <f t="shared" si="11"/>
        <v>-24.37605452219384</v>
      </c>
      <c r="I85" s="3">
        <f t="shared" si="11"/>
        <v>-161.61716805803917</v>
      </c>
      <c r="J85" s="3">
        <f t="shared" ref="J85:L85" si="21">J46-J26</f>
        <v>-2187140.7868374577</v>
      </c>
      <c r="K85" s="3">
        <f t="shared" si="21"/>
        <v>-220.88261769285532</v>
      </c>
      <c r="L85" s="3">
        <f t="shared" si="21"/>
        <v>-34.19114983737461</v>
      </c>
    </row>
    <row r="86" spans="1:14">
      <c r="A86">
        <v>2037</v>
      </c>
      <c r="B86" s="33" t="s">
        <v>109</v>
      </c>
      <c r="C86" s="3">
        <f t="shared" si="11"/>
        <v>-245.61594575976198</v>
      </c>
      <c r="D86" s="3">
        <f t="shared" si="11"/>
        <v>-1902951.5128658086</v>
      </c>
      <c r="E86" s="3">
        <f t="shared" si="11"/>
        <v>0</v>
      </c>
      <c r="F86" s="3">
        <f t="shared" si="11"/>
        <v>-17.572321731939624</v>
      </c>
      <c r="G86" s="3">
        <f t="shared" si="11"/>
        <v>-380.21197869518687</v>
      </c>
      <c r="H86" s="3">
        <f t="shared" si="11"/>
        <v>-25.822006172361746</v>
      </c>
      <c r="I86" s="3">
        <f t="shared" si="11"/>
        <v>-176.86010452729735</v>
      </c>
      <c r="J86" s="3">
        <f t="shared" ref="J86:L86" si="22">J47-J27</f>
        <v>-2360344.1658989247</v>
      </c>
      <c r="K86" s="3">
        <f t="shared" si="22"/>
        <v>-260.53510543888046</v>
      </c>
      <c r="L86" s="3">
        <f t="shared" si="22"/>
        <v>-38.087173637589558</v>
      </c>
    </row>
    <row r="87" spans="1:14">
      <c r="A87">
        <v>2038</v>
      </c>
      <c r="B87" s="33" t="s">
        <v>109</v>
      </c>
      <c r="C87" s="3">
        <f t="shared" si="11"/>
        <v>-269.48170554956261</v>
      </c>
      <c r="D87" s="3">
        <f t="shared" si="11"/>
        <v>-2015636.4256545953</v>
      </c>
      <c r="E87" s="3">
        <f t="shared" si="11"/>
        <v>0</v>
      </c>
      <c r="F87" s="3">
        <f t="shared" si="11"/>
        <v>-18.33319900719053</v>
      </c>
      <c r="G87" s="3">
        <f t="shared" si="11"/>
        <v>-414.7615451029767</v>
      </c>
      <c r="H87" s="3">
        <f t="shared" si="11"/>
        <v>-26.964304872612303</v>
      </c>
      <c r="I87" s="3">
        <f t="shared" si="11"/>
        <v>-190.47308328114136</v>
      </c>
      <c r="J87" s="3">
        <f t="shared" ref="J87:L87" si="23">J48-J28</f>
        <v>-2501443.8924384131</v>
      </c>
      <c r="K87" s="3">
        <f t="shared" si="23"/>
        <v>-301.47862049162035</v>
      </c>
      <c r="L87" s="3">
        <f t="shared" si="23"/>
        <v>-41.817961847420818</v>
      </c>
    </row>
    <row r="88" spans="1:14">
      <c r="A88">
        <v>2039</v>
      </c>
      <c r="B88" s="33" t="s">
        <v>109</v>
      </c>
      <c r="C88" s="3">
        <f t="shared" si="11"/>
        <v>-291.05063174410714</v>
      </c>
      <c r="D88" s="3">
        <f t="shared" si="11"/>
        <v>-2104224.6233108258</v>
      </c>
      <c r="E88" s="3">
        <f t="shared" si="11"/>
        <v>0</v>
      </c>
      <c r="F88" s="3">
        <f t="shared" si="11"/>
        <v>-18.785697764588974</v>
      </c>
      <c r="G88" s="3">
        <f t="shared" si="11"/>
        <v>-448.39927930566705</v>
      </c>
      <c r="H88" s="3">
        <f t="shared" si="11"/>
        <v>-27.841551458143371</v>
      </c>
      <c r="I88" s="3">
        <f t="shared" si="11"/>
        <v>-202.51432506713627</v>
      </c>
      <c r="J88" s="3">
        <f t="shared" ref="J88:L88" si="24">J49-J29</f>
        <v>-2613330.6567782485</v>
      </c>
      <c r="K88" s="3">
        <f t="shared" si="24"/>
        <v>-343.66848569287532</v>
      </c>
      <c r="L88" s="3">
        <f t="shared" si="24"/>
        <v>-45.308516414070112</v>
      </c>
    </row>
    <row r="89" spans="1:14">
      <c r="A89">
        <v>2040</v>
      </c>
      <c r="B89" s="33" t="s">
        <v>109</v>
      </c>
      <c r="C89" s="3">
        <f t="shared" si="11"/>
        <v>-309.05983597826656</v>
      </c>
      <c r="D89" s="3">
        <f t="shared" si="11"/>
        <v>-2171482.7307030498</v>
      </c>
      <c r="E89" s="3">
        <f t="shared" si="11"/>
        <v>0</v>
      </c>
      <c r="F89" s="3">
        <f t="shared" si="11"/>
        <v>-18.993621610668285</v>
      </c>
      <c r="G89" s="3">
        <f t="shared" si="11"/>
        <v>-482.14555938477929</v>
      </c>
      <c r="H89" s="3">
        <f t="shared" si="11"/>
        <v>-28.485313210677525</v>
      </c>
      <c r="I89" s="3">
        <f t="shared" si="11"/>
        <v>-212.97379413412699</v>
      </c>
      <c r="J89" s="3">
        <f t="shared" ref="J89:N89" si="25">J50-J30</f>
        <v>-2699570.1585710188</v>
      </c>
      <c r="K89" s="3">
        <f t="shared" si="25"/>
        <v>-385.84905904651083</v>
      </c>
      <c r="L89" s="3">
        <f t="shared" si="25"/>
        <v>-48.62284592586245</v>
      </c>
      <c r="M89" s="3">
        <f t="shared" si="25"/>
        <v>-1156.4376315580139</v>
      </c>
      <c r="N89" s="3">
        <f t="shared" si="25"/>
        <v>-16.210857133156537</v>
      </c>
    </row>
    <row r="90" spans="1:14">
      <c r="C90" s="3"/>
      <c r="D90" s="3"/>
      <c r="E90" s="3"/>
      <c r="F90" s="3"/>
      <c r="G90" s="3"/>
      <c r="H90" s="3"/>
      <c r="I90" s="3"/>
      <c r="J90" s="3"/>
    </row>
    <row r="91" spans="1:14">
      <c r="A91" s="4" t="s">
        <v>148</v>
      </c>
      <c r="B91" s="2"/>
      <c r="C91" s="2"/>
      <c r="D91" s="2"/>
      <c r="E91" s="2"/>
      <c r="F91" s="2"/>
      <c r="G91" s="2"/>
      <c r="H91" s="2"/>
      <c r="I91" s="2"/>
    </row>
    <row r="92" spans="1:14">
      <c r="A92" s="2" t="s">
        <v>19</v>
      </c>
      <c r="B92" s="2" t="s">
        <v>20</v>
      </c>
      <c r="C92" s="2" t="s">
        <v>2</v>
      </c>
      <c r="D92" s="2" t="s">
        <v>47</v>
      </c>
      <c r="E92" s="2" t="s">
        <v>22</v>
      </c>
      <c r="F92" s="2" t="s">
        <v>24</v>
      </c>
      <c r="G92" s="2" t="s">
        <v>115</v>
      </c>
      <c r="H92" s="2" t="s">
        <v>116</v>
      </c>
      <c r="I92" s="2" t="s">
        <v>117</v>
      </c>
      <c r="J92" s="2" t="s">
        <v>52</v>
      </c>
      <c r="K92" s="2" t="s">
        <v>470</v>
      </c>
      <c r="L92" s="2" t="s">
        <v>469</v>
      </c>
      <c r="M92" s="2" t="s">
        <v>499</v>
      </c>
      <c r="N92" s="2" t="s">
        <v>500</v>
      </c>
    </row>
    <row r="93" spans="1:14">
      <c r="A93">
        <v>2026</v>
      </c>
      <c r="B93" s="33" t="s">
        <v>109</v>
      </c>
      <c r="C93" s="3">
        <f t="shared" ref="C93:J107" si="26">C56-C16</f>
        <v>0</v>
      </c>
      <c r="D93" s="3">
        <f t="shared" si="26"/>
        <v>0</v>
      </c>
      <c r="E93" s="3">
        <f t="shared" si="26"/>
        <v>0</v>
      </c>
      <c r="F93" s="3">
        <f t="shared" si="26"/>
        <v>0</v>
      </c>
      <c r="G93" s="3">
        <f t="shared" si="26"/>
        <v>0</v>
      </c>
      <c r="H93" s="3">
        <f t="shared" si="26"/>
        <v>0</v>
      </c>
      <c r="I93" s="3">
        <f t="shared" si="26"/>
        <v>0</v>
      </c>
      <c r="J93" s="3">
        <f t="shared" si="26"/>
        <v>0</v>
      </c>
      <c r="K93" s="3">
        <f t="shared" ref="K93:L93" si="27">K56-K16</f>
        <v>0</v>
      </c>
      <c r="L93" s="3">
        <f t="shared" si="27"/>
        <v>0</v>
      </c>
      <c r="M93" s="2"/>
    </row>
    <row r="94" spans="1:14">
      <c r="A94">
        <v>2027</v>
      </c>
      <c r="B94" s="33" t="s">
        <v>109</v>
      </c>
      <c r="C94" s="3">
        <f t="shared" si="26"/>
        <v>-30.482889926960979</v>
      </c>
      <c r="D94" s="3">
        <f t="shared" si="26"/>
        <v>-182105.9584812047</v>
      </c>
      <c r="E94" s="3">
        <f t="shared" si="26"/>
        <v>0</v>
      </c>
      <c r="F94" s="3">
        <f t="shared" si="26"/>
        <v>-1.859837904337212</v>
      </c>
      <c r="G94" s="3">
        <f t="shared" si="26"/>
        <v>-26.11078090143792</v>
      </c>
      <c r="H94" s="3">
        <f t="shared" si="26"/>
        <v>-2.96126849489427</v>
      </c>
      <c r="I94" s="3">
        <f t="shared" si="26"/>
        <v>-16.251525837604788</v>
      </c>
      <c r="J94" s="3">
        <f t="shared" ref="J94:L94" si="28">J57-J17</f>
        <v>-228990.65958607383</v>
      </c>
      <c r="K94" s="3">
        <f t="shared" si="28"/>
        <v>-25.042097771624185</v>
      </c>
      <c r="L94" s="3">
        <f t="shared" si="28"/>
        <v>-2.3158850265019453</v>
      </c>
    </row>
    <row r="95" spans="1:14">
      <c r="A95">
        <v>2028</v>
      </c>
      <c r="B95" s="33" t="s">
        <v>109</v>
      </c>
      <c r="C95" s="3">
        <f t="shared" si="26"/>
        <v>-48.732587416484876</v>
      </c>
      <c r="D95" s="3">
        <f t="shared" si="26"/>
        <v>-310799.80423661415</v>
      </c>
      <c r="E95" s="3">
        <f t="shared" si="26"/>
        <v>0</v>
      </c>
      <c r="F95" s="3">
        <f t="shared" si="26"/>
        <v>-3.1620175561876067</v>
      </c>
      <c r="G95" s="3">
        <f t="shared" si="26"/>
        <v>-46.128487710212539</v>
      </c>
      <c r="H95" s="3">
        <f t="shared" si="26"/>
        <v>-4.8849787376347109</v>
      </c>
      <c r="I95" s="3">
        <f t="shared" si="26"/>
        <v>-27.162331076688929</v>
      </c>
      <c r="J95" s="3">
        <f t="shared" ref="J95:L95" si="29">J58-J18</f>
        <v>-388569.8237510724</v>
      </c>
      <c r="K95" s="3">
        <f t="shared" si="29"/>
        <v>-38.569498731627391</v>
      </c>
      <c r="L95" s="3">
        <f t="shared" si="29"/>
        <v>-4.2965470548386975</v>
      </c>
    </row>
    <row r="96" spans="1:14">
      <c r="A96">
        <v>2029</v>
      </c>
      <c r="B96" s="33" t="s">
        <v>109</v>
      </c>
      <c r="C96" s="3">
        <f t="shared" si="26"/>
        <v>-69.036912109029799</v>
      </c>
      <c r="D96" s="3">
        <f t="shared" si="26"/>
        <v>-453262.97842566064</v>
      </c>
      <c r="E96" s="3">
        <f t="shared" si="26"/>
        <v>0</v>
      </c>
      <c r="F96" s="3">
        <f t="shared" si="26"/>
        <v>-4.6749747889026025</v>
      </c>
      <c r="G96" s="3">
        <f t="shared" si="26"/>
        <v>-72.791192446346031</v>
      </c>
      <c r="H96" s="3">
        <f t="shared" si="26"/>
        <v>-7.1482442910787256</v>
      </c>
      <c r="I96" s="3">
        <f t="shared" si="26"/>
        <v>-40.444541835397445</v>
      </c>
      <c r="J96" s="3">
        <f t="shared" ref="J96:L96" si="30">J59-J19</f>
        <v>-565959.38262618193</v>
      </c>
      <c r="K96" s="3">
        <f t="shared" si="30"/>
        <v>-56.279642498579506</v>
      </c>
      <c r="L96" s="3">
        <f t="shared" si="30"/>
        <v>-6.738072409396608</v>
      </c>
    </row>
    <row r="97" spans="1:19">
      <c r="A97">
        <v>2030</v>
      </c>
      <c r="B97" s="33" t="s">
        <v>109</v>
      </c>
      <c r="C97" s="3">
        <f t="shared" si="26"/>
        <v>-88.090942678944884</v>
      </c>
      <c r="D97" s="3">
        <f t="shared" si="26"/>
        <v>-608885.04657330317</v>
      </c>
      <c r="E97" s="3">
        <f t="shared" si="26"/>
        <v>0</v>
      </c>
      <c r="F97" s="3">
        <f t="shared" si="26"/>
        <v>-6.3325880371253902</v>
      </c>
      <c r="G97" s="3">
        <f t="shared" si="26"/>
        <v>-102.35619958975758</v>
      </c>
      <c r="H97" s="3">
        <f t="shared" si="26"/>
        <v>-9.6175671254975441</v>
      </c>
      <c r="I97" s="3">
        <f t="shared" si="26"/>
        <v>-55.374244794113054</v>
      </c>
      <c r="J97" s="3">
        <f t="shared" ref="J97:L97" si="31">J60-J20</f>
        <v>-760947.09962014481</v>
      </c>
      <c r="K97" s="3">
        <f t="shared" si="31"/>
        <v>-76.241624115200921</v>
      </c>
      <c r="L97" s="3">
        <f t="shared" si="31"/>
        <v>-9.6276607770727765</v>
      </c>
    </row>
    <row r="98" spans="1:19">
      <c r="A98">
        <v>2031</v>
      </c>
      <c r="B98" s="33" t="s">
        <v>109</v>
      </c>
      <c r="C98" s="3">
        <f t="shared" si="26"/>
        <v>-111.73791599792048</v>
      </c>
      <c r="D98" s="3">
        <f t="shared" si="26"/>
        <v>-786897.50953141274</v>
      </c>
      <c r="E98" s="3">
        <f t="shared" si="26"/>
        <v>0</v>
      </c>
      <c r="F98" s="3">
        <f t="shared" si="26"/>
        <v>-8.0928960670617869</v>
      </c>
      <c r="G98" s="3">
        <f t="shared" si="26"/>
        <v>-137.79812707256815</v>
      </c>
      <c r="H98" s="3">
        <f t="shared" si="26"/>
        <v>-12.163977227370857</v>
      </c>
      <c r="I98" s="3">
        <f t="shared" si="26"/>
        <v>-71.571252359512243</v>
      </c>
      <c r="J98" s="3">
        <f t="shared" ref="J98:L98" si="32">J61-J21</f>
        <v>-979341.2126484639</v>
      </c>
      <c r="K98" s="3">
        <f t="shared" si="32"/>
        <v>-96.501504557612634</v>
      </c>
      <c r="L98" s="3">
        <f t="shared" si="32"/>
        <v>-13.206095410392692</v>
      </c>
    </row>
    <row r="99" spans="1:19">
      <c r="A99">
        <v>2032</v>
      </c>
      <c r="B99" s="33" t="s">
        <v>109</v>
      </c>
      <c r="C99" s="3">
        <f t="shared" si="26"/>
        <v>-134.46054041328216</v>
      </c>
      <c r="D99" s="3">
        <f t="shared" si="26"/>
        <v>-969114.95644547325</v>
      </c>
      <c r="E99" s="3">
        <f t="shared" si="26"/>
        <v>0</v>
      </c>
      <c r="F99" s="3">
        <f t="shared" si="26"/>
        <v>-9.8258818630988287</v>
      </c>
      <c r="G99" s="3">
        <f t="shared" si="26"/>
        <v>-175.15157276393302</v>
      </c>
      <c r="H99" s="3">
        <f t="shared" si="26"/>
        <v>-14.650498551424405</v>
      </c>
      <c r="I99" s="3">
        <f t="shared" si="26"/>
        <v>-88.129913058383579</v>
      </c>
      <c r="J99" s="3">
        <f t="shared" ref="J99:L99" si="33">J62-J22</f>
        <v>-1203216.0041785585</v>
      </c>
      <c r="K99" s="3">
        <f t="shared" si="33"/>
        <v>-117.57063212079413</v>
      </c>
      <c r="L99" s="3">
        <f t="shared" si="33"/>
        <v>-16.960858693708118</v>
      </c>
    </row>
    <row r="100" spans="1:19">
      <c r="A100">
        <v>2033</v>
      </c>
      <c r="B100" s="33" t="s">
        <v>109</v>
      </c>
      <c r="C100" s="3">
        <f t="shared" si="26"/>
        <v>-154.43268510027463</v>
      </c>
      <c r="D100" s="3">
        <f t="shared" si="26"/>
        <v>-1147583.7690420602</v>
      </c>
      <c r="E100" s="3">
        <f t="shared" si="26"/>
        <v>0</v>
      </c>
      <c r="F100" s="3">
        <f t="shared" si="26"/>
        <v>-11.502065675979026</v>
      </c>
      <c r="G100" s="3">
        <f t="shared" si="26"/>
        <v>-213.44359007216417</v>
      </c>
      <c r="H100" s="3">
        <f t="shared" si="26"/>
        <v>-17.009549722450323</v>
      </c>
      <c r="I100" s="3">
        <f t="shared" si="26"/>
        <v>-104.56404728243899</v>
      </c>
      <c r="J100" s="3">
        <f t="shared" ref="J100:L100" si="34">J63-J23</f>
        <v>-1422522.6123420512</v>
      </c>
      <c r="K100" s="3">
        <f t="shared" si="34"/>
        <v>-137.96940714698769</v>
      </c>
      <c r="L100" s="3">
        <f t="shared" si="34"/>
        <v>-20.86606474058712</v>
      </c>
    </row>
    <row r="101" spans="1:19">
      <c r="A101">
        <v>2034</v>
      </c>
      <c r="B101" s="33" t="s">
        <v>109</v>
      </c>
      <c r="C101" s="3">
        <f t="shared" si="26"/>
        <v>-170.84854048321404</v>
      </c>
      <c r="D101" s="3">
        <f t="shared" si="26"/>
        <v>-1332452.1562746344</v>
      </c>
      <c r="E101" s="3">
        <f t="shared" si="26"/>
        <v>0</v>
      </c>
      <c r="F101" s="3">
        <f t="shared" si="26"/>
        <v>-13.088587635342066</v>
      </c>
      <c r="G101" s="3">
        <f t="shared" si="26"/>
        <v>-254.01241201067819</v>
      </c>
      <c r="H101" s="3">
        <f t="shared" si="26"/>
        <v>-19.282690146850605</v>
      </c>
      <c r="I101" s="3">
        <f t="shared" si="26"/>
        <v>-121.07882264391799</v>
      </c>
      <c r="J101" s="3">
        <f t="shared" ref="J101:L101" si="35">J64-J24</f>
        <v>-1650491.7067919928</v>
      </c>
      <c r="K101" s="3">
        <f t="shared" si="35"/>
        <v>-157.18182035104121</v>
      </c>
      <c r="L101" s="3">
        <f t="shared" si="35"/>
        <v>-24.891219013633332</v>
      </c>
    </row>
    <row r="102" spans="1:19">
      <c r="A102">
        <v>2035</v>
      </c>
      <c r="B102" s="33" t="s">
        <v>109</v>
      </c>
      <c r="C102" s="3">
        <f t="shared" si="26"/>
        <v>-181.78054624591391</v>
      </c>
      <c r="D102" s="3">
        <f t="shared" si="26"/>
        <v>-1512917.4911699072</v>
      </c>
      <c r="E102" s="3">
        <f t="shared" si="26"/>
        <v>0</v>
      </c>
      <c r="F102" s="3">
        <f t="shared" si="26"/>
        <v>-14.468570572001255</v>
      </c>
      <c r="G102" s="3">
        <f t="shared" si="26"/>
        <v>-289.47430635627211</v>
      </c>
      <c r="H102" s="3">
        <f t="shared" si="26"/>
        <v>-21.404923854730662</v>
      </c>
      <c r="I102" s="3">
        <f t="shared" si="26"/>
        <v>-137.13899703419168</v>
      </c>
      <c r="J102" s="3">
        <f t="shared" ref="J102:L102" si="36">J65-J25</f>
        <v>-1873261.2438357393</v>
      </c>
      <c r="K102" s="3">
        <f t="shared" si="36"/>
        <v>-173.33720806914323</v>
      </c>
      <c r="L102" s="3">
        <f t="shared" si="36"/>
        <v>-28.916745401464681</v>
      </c>
    </row>
    <row r="103" spans="1:19">
      <c r="A103">
        <v>2036</v>
      </c>
      <c r="B103" s="33" t="s">
        <v>109</v>
      </c>
      <c r="C103" s="3">
        <f t="shared" si="26"/>
        <v>-209.42366373677567</v>
      </c>
      <c r="D103" s="3">
        <f t="shared" si="26"/>
        <v>-1682935.3954460921</v>
      </c>
      <c r="E103" s="3">
        <f t="shared" si="26"/>
        <v>0</v>
      </c>
      <c r="F103" s="3">
        <f t="shared" si="26"/>
        <v>-15.817010921019033</v>
      </c>
      <c r="G103" s="3">
        <f t="shared" si="26"/>
        <v>-329.1815339149166</v>
      </c>
      <c r="H103" s="3">
        <f t="shared" si="26"/>
        <v>-23.256825143291806</v>
      </c>
      <c r="I103" s="3">
        <f t="shared" si="26"/>
        <v>-154.19649698672978</v>
      </c>
      <c r="J103" s="3">
        <f t="shared" ref="J103:L103" si="37">J66-J26</f>
        <v>-2084449.0520788105</v>
      </c>
      <c r="K103" s="3">
        <f t="shared" si="37"/>
        <v>-210.77099289040939</v>
      </c>
      <c r="L103" s="3">
        <f t="shared" si="37"/>
        <v>-33.095606241555757</v>
      </c>
    </row>
    <row r="104" spans="1:19">
      <c r="A104">
        <v>2037</v>
      </c>
      <c r="B104" s="33" t="s">
        <v>109</v>
      </c>
      <c r="C104" s="3">
        <f t="shared" si="26"/>
        <v>-235.24676080438132</v>
      </c>
      <c r="D104" s="3">
        <f t="shared" si="26"/>
        <v>-1822614.4804431379</v>
      </c>
      <c r="E104" s="3">
        <f t="shared" si="26"/>
        <v>0</v>
      </c>
      <c r="F104" s="3">
        <f t="shared" si="26"/>
        <v>-16.830469839668112</v>
      </c>
      <c r="G104" s="3">
        <f t="shared" si="26"/>
        <v>-364.16054393533705</v>
      </c>
      <c r="H104" s="3">
        <f t="shared" si="26"/>
        <v>-24.731876795411246</v>
      </c>
      <c r="I104" s="3">
        <f t="shared" si="26"/>
        <v>-169.39358956061344</v>
      </c>
      <c r="J104" s="3">
        <f t="shared" ref="J104:L104" si="38">J67-J27</f>
        <v>-2258379.104812738</v>
      </c>
      <c r="K104" s="3">
        <f t="shared" si="38"/>
        <v>-249.91204255674836</v>
      </c>
      <c r="L104" s="3">
        <f t="shared" si="38"/>
        <v>-37.007183858735573</v>
      </c>
    </row>
    <row r="105" spans="1:19">
      <c r="A105">
        <v>2038</v>
      </c>
      <c r="B105" s="33" t="s">
        <v>109</v>
      </c>
      <c r="C105" s="3">
        <f t="shared" si="26"/>
        <v>-259.09309085714193</v>
      </c>
      <c r="D105" s="3">
        <f t="shared" si="26"/>
        <v>-1937932.9312988997</v>
      </c>
      <c r="E105" s="3">
        <f t="shared" si="26"/>
        <v>0</v>
      </c>
      <c r="F105" s="3">
        <f t="shared" si="26"/>
        <v>-17.626447726331719</v>
      </c>
      <c r="G105" s="3">
        <f t="shared" si="26"/>
        <v>-398.77234141094573</v>
      </c>
      <c r="H105" s="3">
        <f t="shared" si="26"/>
        <v>-25.924821419740169</v>
      </c>
      <c r="I105" s="3">
        <f t="shared" si="26"/>
        <v>-183.13027881339536</v>
      </c>
      <c r="J105" s="3">
        <f t="shared" ref="J105:L105" si="39">J68-J28</f>
        <v>-2402754.6744433669</v>
      </c>
      <c r="K105" s="3">
        <f t="shared" si="39"/>
        <v>-290.61560348221997</v>
      </c>
      <c r="L105" s="3">
        <f t="shared" si="39"/>
        <v>-40.769287852007864</v>
      </c>
    </row>
    <row r="106" spans="1:19">
      <c r="A106">
        <v>2039</v>
      </c>
      <c r="B106" s="33" t="s">
        <v>109</v>
      </c>
      <c r="C106" s="3">
        <f t="shared" si="26"/>
        <v>-281.00897995931678</v>
      </c>
      <c r="D106" s="3">
        <f t="shared" si="26"/>
        <v>-2031625.9458310727</v>
      </c>
      <c r="E106" s="3">
        <f t="shared" si="26"/>
        <v>0</v>
      </c>
      <c r="F106" s="3">
        <f t="shared" si="26"/>
        <v>-18.137565051885687</v>
      </c>
      <c r="G106" s="3">
        <f t="shared" si="26"/>
        <v>-432.92888023332557</v>
      </c>
      <c r="H106" s="3">
        <f t="shared" si="26"/>
        <v>-26.880979192020266</v>
      </c>
      <c r="I106" s="3">
        <f t="shared" si="26"/>
        <v>-195.52729905874074</v>
      </c>
      <c r="J106" s="3">
        <f t="shared" ref="J106:L106" si="40">J69-J29</f>
        <v>-2521099.4720175643</v>
      </c>
      <c r="K106" s="3">
        <f t="shared" si="40"/>
        <v>-332.93220498917105</v>
      </c>
      <c r="L106" s="3">
        <f t="shared" si="40"/>
        <v>-44.314677926325722</v>
      </c>
    </row>
    <row r="107" spans="1:19">
      <c r="A107">
        <v>2040</v>
      </c>
      <c r="B107" s="33" t="s">
        <v>109</v>
      </c>
      <c r="C107" s="3">
        <f t="shared" si="26"/>
        <v>-299.7495877905514</v>
      </c>
      <c r="D107" s="3">
        <f t="shared" si="26"/>
        <v>-2106068.0737186186</v>
      </c>
      <c r="E107" s="3">
        <f t="shared" si="26"/>
        <v>0</v>
      </c>
      <c r="F107" s="3">
        <f t="shared" si="26"/>
        <v>-18.421449783102474</v>
      </c>
      <c r="G107" s="3">
        <f t="shared" si="26"/>
        <v>-467.62120423436545</v>
      </c>
      <c r="H107" s="3">
        <f t="shared" si="26"/>
        <v>-27.627209682418162</v>
      </c>
      <c r="I107" s="3">
        <f t="shared" si="26"/>
        <v>-206.55808219086586</v>
      </c>
      <c r="J107" s="3">
        <f t="shared" ref="J107:N107" si="41">J70-J30</f>
        <v>-2616474.3809158187</v>
      </c>
      <c r="K107" s="3">
        <f t="shared" si="41"/>
        <v>-375.62429294502635</v>
      </c>
      <c r="L107" s="3">
        <f t="shared" si="41"/>
        <v>-47.701187929554948</v>
      </c>
      <c r="M107" s="3">
        <f t="shared" si="41"/>
        <v>-1133.9642283008811</v>
      </c>
      <c r="N107" s="3">
        <f t="shared" si="41"/>
        <v>-15.491992245706683</v>
      </c>
    </row>
    <row r="108" spans="1:19">
      <c r="A108" s="6"/>
      <c r="C108" s="9">
        <f>C107/C29</f>
        <v>-0.41980836959395712</v>
      </c>
      <c r="D108" s="9">
        <f>D107/D29</f>
        <v>-0.59273881214570856</v>
      </c>
      <c r="E108" s="3"/>
      <c r="F108" s="9">
        <f>F107/F29</f>
        <v>-0.16543908692216719</v>
      </c>
      <c r="G108" s="3"/>
      <c r="H108" s="3"/>
      <c r="I108" s="3"/>
      <c r="J108" s="9">
        <f>J107/J29</f>
        <v>-0.81003246146392371</v>
      </c>
      <c r="K108" s="9">
        <f>K107/K29</f>
        <v>-0.54073121946701552</v>
      </c>
      <c r="L108" s="9">
        <f>L107/L29</f>
        <v>-0.46742168808620277</v>
      </c>
      <c r="S108" s="6"/>
    </row>
    <row r="113" spans="17:18">
      <c r="Q113" s="3"/>
      <c r="R113" s="3"/>
    </row>
  </sheetData>
  <sheetProtection algorithmName="SHA-512" hashValue="S+wNmhBt6BSRkerxXJ5ncOrwYiziCV/3iKDbeBqrgl546l6U8WruGwFS2GrUDatgPh/NYQHh2ZjChoNguE9udQ==" saltValue="eV9v12Ghn2EBDH7ihrrUPg==" spinCount="100000" sheet="1" objects="1" scenarios="1"/>
  <mergeCells count="1">
    <mergeCell ref="S4:V4"/>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H90"/>
  <sheetViews>
    <sheetView topLeftCell="O1" workbookViewId="0">
      <selection activeCell="G88" sqref="G88"/>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3" max="13" width="12.33203125" customWidth="1"/>
    <col min="15" max="15" width="24" customWidth="1"/>
    <col min="16" max="19" width="9.1640625" bestFit="1" customWidth="1"/>
    <col min="20" max="20" width="10.5" bestFit="1" customWidth="1"/>
    <col min="21" max="22" width="9.1640625" bestFit="1" customWidth="1"/>
    <col min="24" max="28" width="10.33203125" customWidth="1"/>
    <col min="29" max="29" width="15" customWidth="1"/>
    <col min="30" max="30" width="12.5" customWidth="1"/>
  </cols>
  <sheetData>
    <row r="1" spans="1:34">
      <c r="A1" s="2" t="s">
        <v>399</v>
      </c>
      <c r="D1" s="6"/>
      <c r="F1" s="30"/>
      <c r="AH1" s="2"/>
    </row>
    <row r="2" spans="1:34">
      <c r="A2" s="29" t="s">
        <v>302</v>
      </c>
      <c r="D2" s="6"/>
      <c r="F2" s="30"/>
      <c r="AH2" s="29"/>
    </row>
    <row r="3" spans="1:34">
      <c r="A3" t="s">
        <v>303</v>
      </c>
      <c r="D3" s="6"/>
    </row>
    <row r="4" spans="1:34">
      <c r="A4" s="29" t="s">
        <v>217</v>
      </c>
      <c r="D4" s="6"/>
      <c r="L4" s="284" t="s">
        <v>167</v>
      </c>
      <c r="M4" s="284" t="s">
        <v>275</v>
      </c>
      <c r="AH4" s="29"/>
    </row>
    <row r="5" spans="1:34" ht="15" customHeight="1">
      <c r="F5" s="6"/>
      <c r="L5" s="284"/>
      <c r="M5" s="284"/>
    </row>
    <row r="6" spans="1:34">
      <c r="A6" t="s">
        <v>0</v>
      </c>
      <c r="B6" t="s">
        <v>1</v>
      </c>
      <c r="C6" t="s">
        <v>2</v>
      </c>
      <c r="D6" t="s">
        <v>47</v>
      </c>
      <c r="E6" t="s">
        <v>22</v>
      </c>
      <c r="F6" t="s">
        <v>24</v>
      </c>
      <c r="G6" t="s">
        <v>115</v>
      </c>
      <c r="H6" t="s">
        <v>116</v>
      </c>
      <c r="I6" t="s">
        <v>117</v>
      </c>
      <c r="J6" t="s">
        <v>52</v>
      </c>
      <c r="L6" s="284"/>
      <c r="M6" s="284"/>
    </row>
    <row r="7" spans="1:34">
      <c r="A7">
        <v>2020</v>
      </c>
      <c r="B7">
        <v>20</v>
      </c>
      <c r="C7" s="3"/>
      <c r="D7" s="3"/>
      <c r="E7" s="3"/>
      <c r="F7" s="3"/>
      <c r="G7" s="3"/>
      <c r="H7" s="3"/>
      <c r="I7" s="3"/>
      <c r="J7" s="3"/>
      <c r="P7" s="283" t="s">
        <v>168</v>
      </c>
      <c r="Q7" s="283"/>
      <c r="R7" s="283"/>
      <c r="S7" s="283"/>
      <c r="T7" s="283"/>
      <c r="U7" s="283"/>
      <c r="V7" s="283"/>
      <c r="W7" s="283"/>
      <c r="X7" s="281" t="s">
        <v>169</v>
      </c>
      <c r="Y7" s="281"/>
      <c r="Z7" s="281"/>
      <c r="AA7" s="281"/>
      <c r="AB7" s="281"/>
      <c r="AC7" s="281" t="s">
        <v>417</v>
      </c>
      <c r="AD7" s="281"/>
      <c r="AE7" s="281"/>
      <c r="AF7" s="281"/>
      <c r="AG7" s="281"/>
      <c r="AH7" s="33" t="s">
        <v>19</v>
      </c>
    </row>
    <row r="8" spans="1:34">
      <c r="A8">
        <v>2020</v>
      </c>
      <c r="B8">
        <v>30</v>
      </c>
      <c r="C8" s="3"/>
      <c r="D8" s="3"/>
      <c r="E8" s="3"/>
      <c r="F8" s="3"/>
      <c r="G8" s="3"/>
      <c r="H8" s="3"/>
      <c r="I8" s="3"/>
      <c r="J8" s="3"/>
      <c r="O8" t="s">
        <v>17</v>
      </c>
      <c r="P8" s="63"/>
    </row>
    <row r="9" spans="1:34">
      <c r="A9">
        <v>2020</v>
      </c>
      <c r="B9">
        <v>41</v>
      </c>
      <c r="C9" s="3"/>
      <c r="D9" s="3"/>
      <c r="E9" s="3"/>
      <c r="F9" s="3"/>
      <c r="G9" s="3"/>
      <c r="H9" s="3"/>
      <c r="I9" s="3"/>
      <c r="J9" s="3"/>
      <c r="L9" s="227"/>
      <c r="O9" t="s">
        <v>142</v>
      </c>
      <c r="P9" t="s">
        <v>8</v>
      </c>
      <c r="Q9" t="s">
        <v>10</v>
      </c>
      <c r="R9" t="s">
        <v>14</v>
      </c>
      <c r="S9" t="s">
        <v>15</v>
      </c>
      <c r="T9" s="2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'Combined MOVES output'!C8*(1-'BAU Scenario'!$L$10)/454/2000</f>
        <v>3675.2864416982402</v>
      </c>
      <c r="D10" s="3">
        <f>'Combined MOVES output'!D8*(1-'BAU Scenario'!$L$10)/454/2000</f>
        <v>6031540.5674675992</v>
      </c>
      <c r="E10" s="3">
        <f>'Combined MOVES output'!E8</f>
        <v>54839424.501843609</v>
      </c>
      <c r="F10" s="3">
        <f>'Combined MOVES output'!F8*(1-'BAU Scenario'!$L$10*'Combined MOVES output'!E29)/454/2000</f>
        <v>183.5304708290293</v>
      </c>
      <c r="G10" s="3">
        <f>'Combined MOVES output'!G8*(1-'BAU Scenario'!$L$10)/454/2000</f>
        <v>3519.1356272733451</v>
      </c>
      <c r="H10" s="3">
        <f>'Combined MOVES output'!H8*(1-'BAU Scenario'!$L$10)/454/2000</f>
        <v>82.883191918145144</v>
      </c>
      <c r="I10" s="3">
        <f>'Combined MOVES output'!AB8*(1-'BAU Scenario'!$L$10)/454/2000</f>
        <v>2304.1266558255061</v>
      </c>
      <c r="J10" s="3">
        <f>D10+AC10</f>
        <v>6028029.2829961302</v>
      </c>
      <c r="L10" s="125">
        <f>'Fleet ZEV fractions'!AA12</f>
        <v>3.3272898906701702E-3</v>
      </c>
      <c r="M10" s="42">
        <f>'ZEV efficiency'!K44</f>
        <v>4.5885492022606078</v>
      </c>
      <c r="O10" s="3">
        <f>E10*L10/M10</f>
        <v>39765.654613719678</v>
      </c>
      <c r="P10" s="3">
        <f>$O10*'GREET factors'!B96/454/2000</f>
        <v>4.5616154157354867</v>
      </c>
      <c r="Q10" s="3">
        <f>$O10*'GREET factors'!C96/454/2000</f>
        <v>9.9268684557813569E-2</v>
      </c>
      <c r="R10" s="3">
        <f>$O10*'GREET factors'!D96/454/2000</f>
        <v>1.3300382077770896</v>
      </c>
      <c r="S10" s="3">
        <f>$O10*'GREET factors'!E96/454/2000</f>
        <v>0.19742754646691169</v>
      </c>
      <c r="T10" s="102">
        <f>$O10*'GREET factors'!F96/454/2000</f>
        <v>2279.7374427474228</v>
      </c>
      <c r="U10" s="3">
        <f>$O10*'GREET factors'!G96/454/2000</f>
        <v>7.7432331741964205E-2</v>
      </c>
      <c r="V10" s="3">
        <f>$O10*'GREET factors'!H96/454/2000</f>
        <v>2.680858262550696</v>
      </c>
      <c r="W10" s="3">
        <f>$O10*'GREET factors'!I96/454/2000</f>
        <v>2371.8218067889898</v>
      </c>
      <c r="X10" s="3">
        <f>('Combined MOVES output'!V16/454/2000-'BAU Scenario'!D10)*'GREET factors'!$V$1</f>
        <v>5791.0219142167034</v>
      </c>
      <c r="Y10" s="263">
        <f>O10*M10*'GREET factors'!$J$7/454/2000</f>
        <v>1.9210917660876179</v>
      </c>
      <c r="Z10" s="263">
        <f>O10*M10*'GREET factors'!K$7/454/2000</f>
        <v>0.24092334373929022</v>
      </c>
      <c r="AA10" s="282" t="s">
        <v>498</v>
      </c>
      <c r="AB10" s="282"/>
      <c r="AC10" s="3">
        <f>T10-X10</f>
        <v>-3511.2844714692806</v>
      </c>
      <c r="AD10" s="263">
        <f>P10-Y10</f>
        <v>2.6405236496478688</v>
      </c>
      <c r="AE10" s="263">
        <f>Q10-Z10</f>
        <v>-0.14165465918147666</v>
      </c>
      <c r="AF10" s="282" t="s">
        <v>498</v>
      </c>
      <c r="AG10" s="282"/>
      <c r="AH10">
        <v>2020</v>
      </c>
    </row>
    <row r="11" spans="1:34">
      <c r="C11" s="3"/>
      <c r="D11" s="3"/>
      <c r="E11" s="3"/>
      <c r="F11" s="3"/>
      <c r="G11" s="3"/>
      <c r="H11" s="3"/>
      <c r="L11" s="42"/>
      <c r="M11" s="42"/>
      <c r="T11" s="29"/>
    </row>
    <row r="12" spans="1:34">
      <c r="A12">
        <v>2025</v>
      </c>
      <c r="B12">
        <v>20</v>
      </c>
      <c r="C12" s="3"/>
      <c r="D12" s="3"/>
      <c r="E12" s="3"/>
      <c r="F12" s="3"/>
      <c r="G12" s="3"/>
      <c r="H12" s="3"/>
      <c r="I12" s="3"/>
      <c r="J12" s="3"/>
      <c r="L12" s="42"/>
      <c r="M12" s="42"/>
      <c r="T12" s="29"/>
    </row>
    <row r="13" spans="1:34">
      <c r="A13">
        <v>2025</v>
      </c>
      <c r="B13">
        <v>30</v>
      </c>
      <c r="C13" s="3"/>
      <c r="D13" s="3"/>
      <c r="E13" s="3"/>
      <c r="F13" s="3"/>
      <c r="G13" s="3"/>
      <c r="H13" s="3"/>
      <c r="I13" s="3"/>
      <c r="J13" s="3"/>
      <c r="L13" s="42"/>
      <c r="M13" s="42"/>
      <c r="O13" t="s">
        <v>17</v>
      </c>
      <c r="T13" s="29"/>
    </row>
    <row r="14" spans="1:34">
      <c r="A14">
        <v>2025</v>
      </c>
      <c r="B14">
        <v>41</v>
      </c>
      <c r="C14" s="3"/>
      <c r="D14" s="3"/>
      <c r="E14" s="3"/>
      <c r="F14" s="3"/>
      <c r="G14" s="3"/>
      <c r="H14" s="3"/>
      <c r="I14" s="3"/>
      <c r="J14" s="3"/>
      <c r="L14" s="42"/>
      <c r="M14" s="42"/>
      <c r="O14" t="s">
        <v>142</v>
      </c>
      <c r="P14" t="s">
        <v>8</v>
      </c>
      <c r="Q14" t="s">
        <v>10</v>
      </c>
      <c r="R14" t="s">
        <v>14</v>
      </c>
      <c r="S14" t="s">
        <v>15</v>
      </c>
      <c r="T14" s="29" t="s">
        <v>16</v>
      </c>
      <c r="U14" t="s">
        <v>115</v>
      </c>
      <c r="V14" t="s">
        <v>116</v>
      </c>
      <c r="W14" t="s">
        <v>47</v>
      </c>
      <c r="X14" t="s">
        <v>47</v>
      </c>
      <c r="Y14" t="s">
        <v>8</v>
      </c>
      <c r="Z14" t="s">
        <v>10</v>
      </c>
      <c r="AC14" s="33" t="s">
        <v>47</v>
      </c>
      <c r="AD14" t="s">
        <v>8</v>
      </c>
      <c r="AE14" t="s">
        <v>10</v>
      </c>
    </row>
    <row r="15" spans="1:34">
      <c r="A15">
        <v>2025</v>
      </c>
      <c r="B15" s="8" t="s">
        <v>109</v>
      </c>
      <c r="C15" s="3">
        <f>'Combined MOVES output'!C9*(1+'Federal GHG Rule'!D9)/454/2000</f>
        <v>2178.6011454247887</v>
      </c>
      <c r="D15" s="3">
        <f>'Combined MOVES output'!D9*(1+'Federal GHG Rule'!J9)/454/2000</f>
        <v>5203719.2667602431</v>
      </c>
      <c r="E15" s="3">
        <f>'Combined MOVES output'!E9</f>
        <v>54636730.791605599</v>
      </c>
      <c r="F15" s="3">
        <f>'Combined MOVES output'!F9*(1+'Federal GHG Rule'!C9)/454/2000</f>
        <v>163.83301061513663</v>
      </c>
      <c r="G15" s="3">
        <f>'Combined MOVES output'!G9*(1+'Federal GHG Rule'!F9)/454/2000</f>
        <v>2913.3676922336895</v>
      </c>
      <c r="H15" s="3">
        <f>'Combined MOVES output'!H9*(1+'Federal GHG Rule'!E9)/454/2000</f>
        <v>78.188005968272648</v>
      </c>
      <c r="I15" s="3">
        <f>'Combined MOVES output'!I9*(1-'Federal GHG Rule'!H9)/454/2000</f>
        <v>411.93260493660739</v>
      </c>
      <c r="J15" s="3">
        <f>D15+AC15</f>
        <v>5148304.1862303196</v>
      </c>
      <c r="L15" s="42">
        <f>'Fleet ZEV fractions'!AA17</f>
        <v>2.4617088553578286E-2</v>
      </c>
      <c r="M15" s="42">
        <f>'ZEV efficiency'!K44</f>
        <v>4.5885492022606078</v>
      </c>
      <c r="O15" s="3">
        <f>E15*L15/M15</f>
        <v>293120.37005342392</v>
      </c>
      <c r="P15" s="3">
        <f>$O15*'GREET factors'!B97/454/2000</f>
        <v>33.624553944611066</v>
      </c>
      <c r="Q15" s="3">
        <f>$O15*'GREET factors'!C97/454/2000</f>
        <v>0.73172877034102279</v>
      </c>
      <c r="R15" s="3">
        <f>$O15*'GREET factors'!D97/454/2000</f>
        <v>9.8039701706383031</v>
      </c>
      <c r="S15" s="3">
        <f>$O15*'GREET factors'!E97/454/2000</f>
        <v>1.4552768222041232</v>
      </c>
      <c r="T15" s="102">
        <f>$O15*'GREET factors'!F97/454/2000</f>
        <v>16804.387840058844</v>
      </c>
      <c r="U15" s="3">
        <f>$O15*'GREET factors'!G97/454/2000</f>
        <v>0.57076876904908957</v>
      </c>
      <c r="V15" s="3">
        <f>$O15*'GREET factors'!H97/454/2000</f>
        <v>19.761127375192835</v>
      </c>
      <c r="W15" s="3">
        <f>$O15*'GREET factors'!I97/454/2000</f>
        <v>17483.159587341634</v>
      </c>
      <c r="X15" s="3">
        <f>('Combined MOVES output'!D9/454/2000-'BAU Scenario'!D15)*'GREET factors'!$V$1</f>
        <v>72219.468369982744</v>
      </c>
      <c r="Y15" s="263">
        <f>O15*M15*'GREET factors'!$J$7/454/2000</f>
        <v>14.160740841618322</v>
      </c>
      <c r="Z15" s="263">
        <f>O15*M15*'GREET factors'!K$7/454/2000</f>
        <v>1.7758927988828916</v>
      </c>
      <c r="AA15" s="263"/>
      <c r="AB15" s="263"/>
      <c r="AC15" s="3">
        <f>T15-X15</f>
        <v>-55415.0805299239</v>
      </c>
      <c r="AD15" s="263">
        <f>P15-Y15</f>
        <v>19.463813102992745</v>
      </c>
      <c r="AE15" s="263">
        <f>Q15-Z15</f>
        <v>-1.0441640285418687</v>
      </c>
      <c r="AF15" s="263"/>
      <c r="AG15" s="263"/>
      <c r="AH15">
        <v>2025</v>
      </c>
    </row>
    <row r="16" spans="1:34">
      <c r="C16" s="3"/>
      <c r="D16" s="3"/>
      <c r="E16" s="3"/>
      <c r="F16" s="3"/>
      <c r="G16" s="3"/>
      <c r="H16" s="3"/>
      <c r="L16" s="42"/>
      <c r="M16" s="42"/>
      <c r="O16" s="6"/>
    </row>
    <row r="17" spans="1:34">
      <c r="A17">
        <v>2026</v>
      </c>
      <c r="B17">
        <v>20</v>
      </c>
      <c r="C17" s="3"/>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'Combined MOVES output'!C10*(1+'Federal GHG Rule'!D10)/454/2000</f>
        <v>2000.6132606712381</v>
      </c>
      <c r="D20" s="3">
        <f>'Combined MOVES output'!D10*(1+'Federal GHG Rule'!J10)/454/2000</f>
        <v>5083526.2096011778</v>
      </c>
      <c r="E20" s="3">
        <f>'Combined MOVES output'!E10</f>
        <v>54606336.602324665</v>
      </c>
      <c r="F20" s="3">
        <f>'Combined MOVES output'!F10*(1+'Federal GHG Rule'!C10)/454/2000</f>
        <v>161.41343796564902</v>
      </c>
      <c r="G20" s="3">
        <f>'Combined MOVES output'!G10*(1+'Federal GHG Rule'!F10)/454/2000</f>
        <v>2812.9654794807789</v>
      </c>
      <c r="H20" s="3">
        <f>'Combined MOVES output'!H10*(1+'Federal GHG Rule'!E10)/454/2000</f>
        <v>77.514965014936294</v>
      </c>
      <c r="I20" s="3">
        <f>'Combined MOVES output'!I10*(1-'Federal GHG Rule'!H10)/454/2000</f>
        <v>422.10598813408387</v>
      </c>
      <c r="J20" s="3">
        <f>D20+AC20</f>
        <v>5024441.9087380022</v>
      </c>
      <c r="L20" s="42">
        <f>'Fleet ZEV fractions'!AA18</f>
        <v>3.4155135658701381E-2</v>
      </c>
      <c r="M20" s="42">
        <f>'ZEV efficiency'!K45</f>
        <v>4.5196744686874846</v>
      </c>
      <c r="O20" s="3">
        <f>E20*L20/M20</f>
        <v>412659.55046066217</v>
      </c>
      <c r="P20" s="3">
        <f>$O20*'GREET factors'!B98/454/2000</f>
        <v>42.830417515419853</v>
      </c>
      <c r="Q20" s="3">
        <f>$O20*'GREET factors'!C98/454/2000</f>
        <v>0.93206437157134725</v>
      </c>
      <c r="R20" s="3">
        <f>$O20*'GREET factors'!D98/454/2000</f>
        <v>12.488139958937907</v>
      </c>
      <c r="S20" s="3">
        <f>$O20*'GREET factors'!E98/454/2000</f>
        <v>1.8537082751548453</v>
      </c>
      <c r="T20" s="3">
        <f>$O20*'GREET factors'!F98/454/2000</f>
        <v>21405.159707586721</v>
      </c>
      <c r="U20" s="3">
        <f>$O20*'GREET factors'!G98/454/2000</f>
        <v>0.72703610353923254</v>
      </c>
      <c r="V20" s="3">
        <f>$O20*'GREET factors'!H98/454/2000</f>
        <v>25.171407104734214</v>
      </c>
      <c r="W20" s="3">
        <f>$O20*'GREET factors'!I98/454/2000</f>
        <v>22269.768272556314</v>
      </c>
      <c r="X20" s="3">
        <f>('Combined MOVES output'!D10/454/2000-D20)*'GREET factors'!V1</f>
        <v>80489.460570762632</v>
      </c>
      <c r="Y20" s="263">
        <f>O20*M20*'GREET factors'!$J$7/454/2000</f>
        <v>19.636479928173529</v>
      </c>
      <c r="Z20" s="263">
        <f>O20*M20*'GREET factors'!K$7/454/2000</f>
        <v>2.46260302973432</v>
      </c>
      <c r="AA20" s="263"/>
      <c r="AB20" s="263"/>
      <c r="AC20" s="3">
        <f>T20-X20</f>
        <v>-59084.300863175915</v>
      </c>
      <c r="AD20" s="263">
        <f>P20-Y20</f>
        <v>23.193937587246324</v>
      </c>
      <c r="AE20" s="263">
        <f>Q20-Z20</f>
        <v>-1.5305386581629727</v>
      </c>
      <c r="AF20" s="263"/>
      <c r="AG20" s="263"/>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'Combined MOVES output'!C11*(1+'Federal GHG Rule'!D11)/454/2000</f>
        <v>1823.4162152143651</v>
      </c>
      <c r="D25" s="3">
        <f>'Combined MOVES output'!D11*(1+'Federal GHG Rule'!J11)/454/2000</f>
        <v>4937627.0080297217</v>
      </c>
      <c r="E25" s="3">
        <f>'Combined MOVES output'!E11</f>
        <v>54575942.413043723</v>
      </c>
      <c r="F25" s="3">
        <f>'Combined MOVES output'!F11*(1+'Federal GHG Rule'!C11)/454/2000</f>
        <v>158.98592603025472</v>
      </c>
      <c r="G25" s="3">
        <f>'Combined MOVES output'!G11*(1+'Federal GHG Rule'!F11)/454/2000</f>
        <v>2714.1170003948437</v>
      </c>
      <c r="H25" s="3">
        <f>'Combined MOVES output'!H11*(1+'Federal GHG Rule'!E11)/454/2000</f>
        <v>76.423485216630993</v>
      </c>
      <c r="I25" s="3">
        <f>'Combined MOVES output'!I11*(1-'Federal GHG Rule'!H11)/454/2000</f>
        <v>419.41426342775128</v>
      </c>
      <c r="J25" s="3">
        <f>D25+AC25</f>
        <v>4866288.2539008493</v>
      </c>
      <c r="L25" s="42">
        <f>'Fleet ZEV fractions'!AA19</f>
        <v>4.3603141778209308E-2</v>
      </c>
      <c r="M25" s="42">
        <f>'ZEV efficiency'!K46</f>
        <v>4.4510976554340083</v>
      </c>
      <c r="O25" s="3">
        <f>E25*L25/M25</f>
        <v>534628.25103604677</v>
      </c>
      <c r="P25" s="3">
        <f>$O25*'GREET factors'!B99/454/2000</f>
        <v>49.650870137334387</v>
      </c>
      <c r="Q25" s="3">
        <f>$O25*'GREET factors'!C99/454/2000</f>
        <v>1.0804892820823933</v>
      </c>
      <c r="R25" s="3">
        <f>$O25*'GREET factors'!D99/454/2000</f>
        <v>14.47679129289021</v>
      </c>
      <c r="S25" s="3">
        <f>$O25*'GREET factors'!E99/454/2000</f>
        <v>2.1488987075383901</v>
      </c>
      <c r="T25" s="3">
        <f>$O25*'GREET factors'!F99/454/2000</f>
        <v>24813.785775673703</v>
      </c>
      <c r="U25" s="3">
        <f>$O25*'GREET factors'!G99/454/2000</f>
        <v>0.84281165713558592</v>
      </c>
      <c r="V25" s="3">
        <f>$O25*'GREET factors'!H99/454/2000</f>
        <v>29.179782449731828</v>
      </c>
      <c r="W25" s="3">
        <f>$O25*'GREET factors'!I99/454/2000</f>
        <v>25816.077372842399</v>
      </c>
      <c r="X25" s="3">
        <f>('Combined MOVES output'!D11/454/2000-D25)*'GREET factors'!V1</f>
        <v>96152.539904545891</v>
      </c>
      <c r="Y25" s="263">
        <f>O25*M25*'GREET factors'!$J$7/454/2000</f>
        <v>25.054377017353733</v>
      </c>
      <c r="Z25" s="263">
        <f>O25*M25*'GREET factors'!K$7/454/2000</f>
        <v>3.142059319018697</v>
      </c>
      <c r="AA25" s="263"/>
      <c r="AB25" s="263"/>
      <c r="AC25" s="3">
        <f>T25-X25</f>
        <v>-71338.754128872184</v>
      </c>
      <c r="AD25" s="263">
        <f>P25-Y25</f>
        <v>24.596493119980654</v>
      </c>
      <c r="AE25" s="263">
        <f>Q25-Z25</f>
        <v>-2.0615700369363035</v>
      </c>
      <c r="AF25" s="263"/>
      <c r="AG25" s="263"/>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'Combined MOVES output'!C12*(1+'Federal GHG Rule'!D12)/454/2000</f>
        <v>1645.8652409392571</v>
      </c>
      <c r="D30" s="3">
        <f>'Combined MOVES output'!D12*(1+'Federal GHG Rule'!J12)/454/2000</f>
        <v>4768180.4127011262</v>
      </c>
      <c r="E30" s="3">
        <f>'Combined MOVES output'!E12</f>
        <v>54545548.223762788</v>
      </c>
      <c r="F30" s="3">
        <f>'Combined MOVES output'!F12*(1+'Federal GHG Rule'!C12)/454/2000</f>
        <v>156.40454628899394</v>
      </c>
      <c r="G30" s="3">
        <f>'Combined MOVES output'!G12*(1+'Federal GHG Rule'!F12)/454/2000</f>
        <v>2615.0433043997587</v>
      </c>
      <c r="H30" s="3">
        <f>'Combined MOVES output'!H12*(1+'Federal GHG Rule'!E12)/454/2000</f>
        <v>74.929192691341655</v>
      </c>
      <c r="I30" s="3">
        <f>'Combined MOVES output'!I12*(1-'Federal GHG Rule'!H12)/454/2000</f>
        <v>416.63467714021272</v>
      </c>
      <c r="J30" s="3">
        <f>D30+AC30</f>
        <v>4676587.4269107915</v>
      </c>
      <c r="L30" s="42">
        <f>'Fleet ZEV fractions'!AA20</f>
        <v>5.2962591886787827E-2</v>
      </c>
      <c r="M30" s="42">
        <f>'ZEV efficiency'!K47</f>
        <v>4.3828360072396775</v>
      </c>
      <c r="O30" s="3">
        <f>E30*L30/M30</f>
        <v>659133.40244634752</v>
      </c>
      <c r="P30" s="3">
        <f>$O30*'GREET factors'!B100/454/2000</f>
        <v>54.015074266414118</v>
      </c>
      <c r="Q30" s="3">
        <f>$O30*'GREET factors'!C100/454/2000</f>
        <v>1.1754619537243474</v>
      </c>
      <c r="R30" s="3">
        <f>$O30*'GREET factors'!D100/454/2000</f>
        <v>15.749269945560382</v>
      </c>
      <c r="S30" s="3">
        <f>$O30*'GREET factors'!E100/454/2000</f>
        <v>2.3377822575441183</v>
      </c>
      <c r="T30" s="3">
        <f>$O30*'GREET factors'!F100/454/2000</f>
        <v>26994.863892547739</v>
      </c>
      <c r="U30" s="3">
        <f>$O30*'GREET factors'!G100/454/2000</f>
        <v>0.91689297945549153</v>
      </c>
      <c r="V30" s="3">
        <f>$O30*'GREET factors'!H100/454/2000</f>
        <v>31.744622234020138</v>
      </c>
      <c r="W30" s="3">
        <f>$O30*'GREET factors'!I100/454/2000</f>
        <v>28085.254753934896</v>
      </c>
      <c r="X30" s="3">
        <f>('Combined MOVES output'!D12/454/2000-D30)*'GREET factors'!V1</f>
        <v>118587.84968288268</v>
      </c>
      <c r="Y30" s="263">
        <f>O30*M30*'GREET factors'!$J$7/454/2000</f>
        <v>30.415371341190646</v>
      </c>
      <c r="Z30" s="263">
        <f>O30*M30*'GREET factors'!K$7/454/2000</f>
        <v>3.8143794554463897</v>
      </c>
      <c r="AA30" s="263"/>
      <c r="AB30" s="263"/>
      <c r="AC30" s="3">
        <f>T30-X30</f>
        <v>-91592.985790334933</v>
      </c>
      <c r="AD30" s="263">
        <f>P30-Y30</f>
        <v>23.599702925223472</v>
      </c>
      <c r="AE30" s="263">
        <f>Q30-Z30</f>
        <v>-2.6389175017220423</v>
      </c>
      <c r="AF30" s="263"/>
      <c r="AG30" s="263"/>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'Combined MOVES output'!C13*(1+'Federal GHG Rule'!D13)/454/2000</f>
        <v>1467.7145479113071</v>
      </c>
      <c r="D35" s="3">
        <f>'Combined MOVES output'!D13*(1+'Federal GHG Rule'!J13)/454/2000</f>
        <v>4584724.6159829963</v>
      </c>
      <c r="E35" s="3">
        <f>'Combined MOVES output'!E13</f>
        <v>54515154.034481846</v>
      </c>
      <c r="F35" s="3">
        <f>'Combined MOVES output'!F13*(1+'Federal GHG Rule'!C13)/454/2000</f>
        <v>153.66085485594405</v>
      </c>
      <c r="G35" s="3">
        <f>'Combined MOVES output'!G13*(1+'Federal GHG Rule'!F13)/454/2000</f>
        <v>2515.2097004571551</v>
      </c>
      <c r="H35" s="3">
        <f>'Combined MOVES output'!H13*(1+'Federal GHG Rule'!E13)/454/2000</f>
        <v>73.167691645193514</v>
      </c>
      <c r="I35" s="3">
        <f>'Combined MOVES output'!I13*(1-'Federal GHG Rule'!H13)/454/2000</f>
        <v>413.98050279797002</v>
      </c>
      <c r="J35" s="3">
        <f>D35+AC35</f>
        <v>4467583.4263992282</v>
      </c>
      <c r="L35" s="42">
        <f>'Fleet ZEV fractions'!AA21</f>
        <v>6.2234937005780575E-2</v>
      </c>
      <c r="M35" s="42">
        <f>'ZEV efficiency'!K48</f>
        <v>4.3148690137751311</v>
      </c>
      <c r="O35" s="3">
        <f>E35*L35/M35</f>
        <v>786292.04417680507</v>
      </c>
      <c r="P35" s="3">
        <f>$O35*'GREET factors'!B101/454/2000</f>
        <v>55.848239084940197</v>
      </c>
      <c r="Q35" s="3">
        <f>$O35*'GREET factors'!C101/454/2000</f>
        <v>1.2153548082348382</v>
      </c>
      <c r="R35" s="3">
        <f>$O35*'GREET factors'!D101/454/2000</f>
        <v>16.283769027044066</v>
      </c>
      <c r="S35" s="3">
        <f>$O35*'GREET factors'!E101/454/2000</f>
        <v>2.4171219649518534</v>
      </c>
      <c r="T35" s="3">
        <f>$O35*'GREET factors'!F101/454/2000</f>
        <v>27911.016197081153</v>
      </c>
      <c r="U35" s="3">
        <f>$O35*'GREET factors'!G101/454/2000</f>
        <v>0.94801051423848992</v>
      </c>
      <c r="V35" s="3">
        <f>$O35*'GREET factors'!H101/454/2000</f>
        <v>32.821971945135701</v>
      </c>
      <c r="W35" s="3">
        <f>$O35*'GREET factors'!I101/454/2000</f>
        <v>29038.412768312908</v>
      </c>
      <c r="X35" s="3">
        <f>('Combined MOVES output'!D13/454/2000-D35)*'GREET factors'!V1</f>
        <v>145052.2057808493</v>
      </c>
      <c r="Y35" s="263">
        <f>O35*M35*'GREET factors'!$J$7/454/2000</f>
        <v>35.720380743056609</v>
      </c>
      <c r="Z35" s="263">
        <f>O35*M35*'GREET factors'!K$7/454/2000</f>
        <v>4.4796785453846208</v>
      </c>
      <c r="AA35" s="263"/>
      <c r="AB35" s="263"/>
      <c r="AC35" s="3">
        <f>T35-X35</f>
        <v>-117141.18958376814</v>
      </c>
      <c r="AD35" s="263">
        <f>P35-Y35</f>
        <v>20.127858341883588</v>
      </c>
      <c r="AE35" s="263">
        <f>Q35-Z35</f>
        <v>-3.2643237371497826</v>
      </c>
      <c r="AF35" s="263"/>
      <c r="AG35" s="263"/>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'Combined MOVES output'!C14*(1+'Federal GHG Rule'!D14)/454/2000</f>
        <v>1288.3543149091211</v>
      </c>
      <c r="D40" s="3">
        <f>'Combined MOVES output'!D14*(1+'Federal GHG Rule'!J14)/454/2000</f>
        <v>4405311.545995607</v>
      </c>
      <c r="E40" s="3">
        <f>'Combined MOVES output'!E14</f>
        <v>54484759.845200911</v>
      </c>
      <c r="F40" s="3">
        <f>'Combined MOVES output'!F14*(1+'Federal GHG Rule'!C15)/454/2000</f>
        <v>150.06243172577521</v>
      </c>
      <c r="G40" s="3">
        <f>'Combined MOVES output'!G14*(1+'Federal GHG Rule'!F14)/454/2000</f>
        <v>2413.0493886787108</v>
      </c>
      <c r="H40" s="3">
        <f>'Combined MOVES output'!H14*(1+'Federal GHG Rule'!E14)/454/2000</f>
        <v>71.420113939274543</v>
      </c>
      <c r="I40" s="3">
        <f>'Combined MOVES output'!I14*(1-'Federal GHG Rule'!H14)/454/2000</f>
        <v>411.20948997714862</v>
      </c>
      <c r="J40" s="3">
        <f>D40+AC40</f>
        <v>4262480.1310807131</v>
      </c>
      <c r="L40" s="42">
        <f>'Fleet ZEV fractions'!AA22</f>
        <v>7.1421595168085189E-2</v>
      </c>
      <c r="M40" s="42">
        <f>'ZEV efficiency'!K49</f>
        <v>4.2471919475656934</v>
      </c>
      <c r="O40" s="3">
        <f>E40*L40/M40</f>
        <v>916226.18156560091</v>
      </c>
      <c r="P40" s="3">
        <f>$O40*'GREET factors'!B102/454/2000</f>
        <v>55.070759372074079</v>
      </c>
      <c r="Q40" s="3">
        <f>$O40*'GREET factors'!C102/454/2000</f>
        <v>1.198435497566873</v>
      </c>
      <c r="R40" s="3">
        <f>$O40*'GREET factors'!D102/454/2000</f>
        <v>16.057077903474902</v>
      </c>
      <c r="S40" s="3">
        <f>$O40*'GREET factors'!E102/454/2000</f>
        <v>2.3834725012970552</v>
      </c>
      <c r="T40" s="3">
        <f>$O40*'GREET factors'!F102/454/2000</f>
        <v>27522.458756161584</v>
      </c>
      <c r="U40" s="3">
        <f>$O40*'GREET factors'!G102/454/2000</f>
        <v>0.93481298188150341</v>
      </c>
      <c r="V40" s="3">
        <f>$O40*'GREET factors'!H102/454/2000</f>
        <v>32.365047649191595</v>
      </c>
      <c r="W40" s="3">
        <f>$O40*'GREET factors'!I102/454/2000</f>
        <v>28634.160509134977</v>
      </c>
      <c r="X40" s="3">
        <f>('Combined MOVES output'!D14/454/2000-D40)*'GREET factors'!V1</f>
        <v>170353.87367105519</v>
      </c>
      <c r="Y40" s="263">
        <f>O40*M40*'GREET factors'!$J$7/454/2000</f>
        <v>40.970302285493887</v>
      </c>
      <c r="Z40" s="263">
        <f>O40*M40*'GREET factors'!K$7/454/2000</f>
        <v>5.1380690890850893</v>
      </c>
      <c r="AA40" s="263"/>
      <c r="AB40" s="263"/>
      <c r="AC40" s="3">
        <f>T40-X40</f>
        <v>-142831.4149148936</v>
      </c>
      <c r="AD40" s="263">
        <f>P40-Y40</f>
        <v>14.100457086580192</v>
      </c>
      <c r="AE40" s="263">
        <f>Q40-Z40</f>
        <v>-3.9396335915182163</v>
      </c>
      <c r="AF40" s="263"/>
      <c r="AG40" s="263"/>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'Combined MOVES output'!C15*(1+'Federal GHG Rule'!D15)/454/2000</f>
        <v>1188.9866570242252</v>
      </c>
      <c r="D45" s="3">
        <f>'Combined MOVES output'!D15*(1+'Federal GHG Rule'!J15)/454/2000</f>
        <v>4277600.4790055091</v>
      </c>
      <c r="E45" s="3">
        <f>'Combined MOVES output'!E15</f>
        <v>54046269.656911105</v>
      </c>
      <c r="F45" s="3">
        <f>'Combined MOVES output'!F15*(1+'Federal GHG Rule'!C15)/454/2000</f>
        <v>146.22795707240789</v>
      </c>
      <c r="G45" s="3">
        <f>'Combined MOVES output'!G15*(1+'Federal GHG Rule'!F15)/454/2000</f>
        <v>2375.0653539525542</v>
      </c>
      <c r="H45" s="3">
        <f>'Combined MOVES output'!H15*(1+'Federal GHG Rule'!E15)/454/2000</f>
        <v>69.496936439489986</v>
      </c>
      <c r="I45" s="3">
        <f>'Combined MOVES output'!I15*(1-'Federal GHG Rule'!H15)/454/2000</f>
        <v>408.91089182010961</v>
      </c>
      <c r="J45" s="3">
        <f>D45+AC45</f>
        <v>4111360.4494547695</v>
      </c>
      <c r="L45" s="42">
        <f>'Fleet ZEV fractions'!AA23</f>
        <v>8.0806753932510106E-2</v>
      </c>
      <c r="M45" s="42">
        <f>'ZEV efficiency'!K50</f>
        <v>4.2093733769317128</v>
      </c>
      <c r="O45" s="3">
        <f>E45*L45/M45</f>
        <v>1037518.7045819891</v>
      </c>
      <c r="P45" s="3">
        <f>$O45*'GREET factors'!B103/454/2000</f>
        <v>59.243117987642115</v>
      </c>
      <c r="Q45" s="3">
        <f>$O45*'GREET factors'!C103/454/2000</f>
        <v>1.2892332771960264</v>
      </c>
      <c r="R45" s="3">
        <f>$O45*'GREET factors'!D103/454/2000</f>
        <v>17.273619823276057</v>
      </c>
      <c r="S45" s="3">
        <f>$O45*'GREET factors'!E103/454/2000</f>
        <v>2.5640529425175398</v>
      </c>
      <c r="T45" s="3">
        <f>$O45*'GREET factors'!F103/454/2000</f>
        <v>29607.659127869512</v>
      </c>
      <c r="U45" s="3">
        <f>$O45*'GREET factors'!G103/454/2000</f>
        <v>1.0056377724486005</v>
      </c>
      <c r="V45" s="3">
        <f>$O45*'GREET factors'!H103/454/2000</f>
        <v>34.817139956290802</v>
      </c>
      <c r="W45" s="3">
        <f>$O45*'GREET factors'!I103/454/2000</f>
        <v>30803.587400321641</v>
      </c>
      <c r="X45" s="3">
        <f>('Combined MOVES output'!D15/454/2000-D45)*'GREET factors'!V1</f>
        <v>195847.68867860932</v>
      </c>
      <c r="Y45" s="263">
        <f>O45*M45*'GREET factors'!$J$7/454/2000</f>
        <v>45.98095281908406</v>
      </c>
      <c r="Z45" s="263">
        <f>O45*M45*'GREET factors'!K$7/454/2000</f>
        <v>5.7664527520477806</v>
      </c>
      <c r="AA45" s="263"/>
      <c r="AB45" s="263"/>
      <c r="AC45" s="3">
        <f>T45-X45</f>
        <v>-166240.0295507398</v>
      </c>
      <c r="AD45" s="263">
        <f>P45-Y45</f>
        <v>13.262165168558056</v>
      </c>
      <c r="AE45" s="263">
        <f>Q45-Z45</f>
        <v>-4.4772194748517542</v>
      </c>
      <c r="AF45" s="263"/>
      <c r="AG45" s="263"/>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'Combined MOVES output'!C16*(1+'Federal GHG Rule'!D16)/454/2000</f>
        <v>1089.1822269243191</v>
      </c>
      <c r="D50" s="3">
        <f>'Combined MOVES output'!D16*(1+'Federal GHG Rule'!J16)/454/2000</f>
        <v>4151480.6251020809</v>
      </c>
      <c r="E50" s="3">
        <f>'Combined MOVES output'!E16</f>
        <v>53607779.468621306</v>
      </c>
      <c r="F50" s="3">
        <f>'Combined MOVES output'!F16*(1+'Federal GHG Rule'!C16)/454/2000</f>
        <v>141.62883851879653</v>
      </c>
      <c r="G50" s="3">
        <f>'Combined MOVES output'!G16*(1+'Federal GHG Rule'!F16)/454/2000</f>
        <v>2336.0046463954691</v>
      </c>
      <c r="H50" s="3">
        <f>'Combined MOVES output'!H16*(1+'Federal GHG Rule'!E16)/454/2000</f>
        <v>67.592768154299236</v>
      </c>
      <c r="I50" s="3">
        <f>'Combined MOVES output'!I16*(1-'Federal GHG Rule'!H16)/454/2000</f>
        <v>406.60355413193099</v>
      </c>
      <c r="J50" s="3">
        <f>D50+AC50</f>
        <v>3961931.8769071042</v>
      </c>
      <c r="L50" s="42">
        <f>'Fleet ZEV fractions'!AA24</f>
        <v>9.0198490964339476E-2</v>
      </c>
      <c r="M50" s="42">
        <f>'ZEV efficiency'!K51</f>
        <v>4.1717928268709157</v>
      </c>
      <c r="O50" s="3">
        <f>E50*L50/M50</f>
        <v>1159055.8334713676</v>
      </c>
      <c r="P50" s="3">
        <f>$O50*'GREET factors'!B104/454/2000</f>
        <v>62.699666926509074</v>
      </c>
      <c r="Q50" s="3">
        <f>$O50*'GREET factors'!C104/454/2000</f>
        <v>1.3644537933946077</v>
      </c>
      <c r="R50" s="3">
        <f>$O50*'GREET factors'!D104/454/2000</f>
        <v>18.281451860121095</v>
      </c>
      <c r="S50" s="3">
        <f>$O50*'GREET factors'!E104/454/2000</f>
        <v>2.7136530104867251</v>
      </c>
      <c r="T50" s="3">
        <f>$O50*'GREET factors'!F104/454/2000</f>
        <v>31335.122607460846</v>
      </c>
      <c r="U50" s="3">
        <f>$O50*'GREET factors'!G104/454/2000</f>
        <v>1.0643118647873397</v>
      </c>
      <c r="V50" s="3">
        <f>$O50*'GREET factors'!H104/454/2000</f>
        <v>36.848551405556584</v>
      </c>
      <c r="W50" s="3">
        <f>$O50*'GREET factors'!I104/454/2000</f>
        <v>32600.827501088916</v>
      </c>
      <c r="X50" s="3">
        <f>('Combined MOVES output'!D16/454/2000-D50)*'GREET factors'!V1</f>
        <v>220883.87080243751</v>
      </c>
      <c r="Y50" s="263">
        <f>O50*M50*'GREET factors'!$J$7/454/2000</f>
        <v>50.908660683192245</v>
      </c>
      <c r="Z50" s="263">
        <f>O50*M50*'GREET factors'!K$7/454/2000</f>
        <v>6.3844346082758783</v>
      </c>
      <c r="AA50" s="263"/>
      <c r="AB50" s="263"/>
      <c r="AC50" s="3">
        <f>T50-X50</f>
        <v>-189548.74819497665</v>
      </c>
      <c r="AD50" s="263">
        <f>P50-Y50</f>
        <v>11.791006243316829</v>
      </c>
      <c r="AE50" s="263">
        <f>Q50-Z50</f>
        <v>-5.0199808148812703</v>
      </c>
      <c r="AF50" s="263"/>
      <c r="AG50" s="263"/>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'Combined MOVES output'!C17*(1+'Federal GHG Rule'!D17)/454/2000</f>
        <v>989.12515469917616</v>
      </c>
      <c r="D55" s="3">
        <f>'Combined MOVES output'!D17*(1+'Federal GHG Rule'!J17)/454/2000</f>
        <v>4030139.6634513396</v>
      </c>
      <c r="E55" s="3">
        <f>'Combined MOVES output'!E17</f>
        <v>53169289.2803315</v>
      </c>
      <c r="F55" s="3">
        <f>'Combined MOVES output'!F17*(1+'Federal GHG Rule'!C17)/454/2000</f>
        <v>136.94807005469124</v>
      </c>
      <c r="G55" s="3">
        <f>'Combined MOVES output'!G17*(1+'Federal GHG Rule'!F17)/454/2000</f>
        <v>2295.8415206073341</v>
      </c>
      <c r="H55" s="3">
        <f>'Combined MOVES output'!H17*(1+'Federal GHG Rule'!E17)/454/2000</f>
        <v>65.760484826302161</v>
      </c>
      <c r="I55" s="3">
        <f>'Combined MOVES output'!I17*(1-'Federal GHG Rule'!H17)/454/2000</f>
        <v>404.2542311168844</v>
      </c>
      <c r="J55" s="3">
        <f>D55+AC55</f>
        <v>3818297.6777773607</v>
      </c>
      <c r="L55" s="42">
        <f>'Fleet ZEV fractions'!AA25</f>
        <v>9.9597495009625628E-2</v>
      </c>
      <c r="M55" s="42">
        <f>'ZEV efficiency'!K52</f>
        <v>4.1344371829035831</v>
      </c>
      <c r="O55" s="3">
        <f>E55*L55/M55</f>
        <v>1280834.0747468197</v>
      </c>
      <c r="P55" s="3">
        <f>$O55*'GREET factors'!B105/454/2000</f>
        <v>65.438022361023499</v>
      </c>
      <c r="Q55" s="3">
        <f>$O55*'GREET factors'!C105/454/2000</f>
        <v>1.4240451699272036</v>
      </c>
      <c r="R55" s="3">
        <f>$O55*'GREET factors'!D105/454/2000</f>
        <v>19.079878957200471</v>
      </c>
      <c r="S55" s="3">
        <f>$O55*'GREET factors'!E105/454/2000</f>
        <v>2.8321695327094454</v>
      </c>
      <c r="T55" s="3">
        <f>$O55*'GREET factors'!F105/454/2000</f>
        <v>32703.65784041338</v>
      </c>
      <c r="U55" s="3">
        <f>$O55*'GREET factors'!G105/454/2000</f>
        <v>1.1107947939929235</v>
      </c>
      <c r="V55" s="3">
        <f>$O55*'GREET factors'!H105/454/2000</f>
        <v>38.457881023107213</v>
      </c>
      <c r="W55" s="3">
        <f>$O55*'GREET factors'!I105/454/2000</f>
        <v>34024.641335090804</v>
      </c>
      <c r="X55" s="3">
        <f>('Combined MOVES output'!D17/454/2000-D55)*'GREET factors'!V1</f>
        <v>244545.64351439243</v>
      </c>
      <c r="Y55" s="263">
        <f>O55*M55*'GREET factors'!$J$7/454/2000</f>
        <v>55.753720323085531</v>
      </c>
      <c r="Z55" s="263">
        <f>O55*M55*'GREET factors'!K$7/454/2000</f>
        <v>6.9920515840315982</v>
      </c>
      <c r="AA55" s="263"/>
      <c r="AB55" s="263"/>
      <c r="AC55" s="3">
        <f>T55-X55</f>
        <v>-211841.98567397904</v>
      </c>
      <c r="AD55" s="263">
        <f>P55-Y55</f>
        <v>9.6843020379379681</v>
      </c>
      <c r="AE55" s="263">
        <f>Q55-Z55</f>
        <v>-5.5680064141043948</v>
      </c>
      <c r="AF55" s="263"/>
      <c r="AG55" s="263"/>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'Combined MOVES output'!C18*(1+'Federal GHG Rule'!D18)/454/2000</f>
        <v>888.8366837966696</v>
      </c>
      <c r="D60" s="3">
        <f>'Combined MOVES output'!D18*(1+'Federal GHG Rule'!J18)/454/2000</f>
        <v>3913887.7610823712</v>
      </c>
      <c r="E60" s="3">
        <f>'Combined MOVES output'!E18</f>
        <v>52730799.092041701</v>
      </c>
      <c r="F60" s="3">
        <f>'Combined MOVES output'!F18*(1+'Federal GHG Rule'!C18)/454/2000</f>
        <v>132.2128229226453</v>
      </c>
      <c r="G60" s="3">
        <f>'Combined MOVES output'!G18*(1+'Federal GHG Rule'!F18)/454/2000</f>
        <v>2254.2880216317244</v>
      </c>
      <c r="H60" s="3">
        <f>'Combined MOVES output'!H18*(1+'Federal GHG Rule'!E18)/454/2000</f>
        <v>64.006299111898343</v>
      </c>
      <c r="I60" s="3">
        <f>'Combined MOVES output'!I18*(1-'Federal GHG Rule'!H18)/454/2000</f>
        <v>401.90488356360709</v>
      </c>
      <c r="J60" s="3">
        <f>D60+AC60</f>
        <v>3680856.1283814586</v>
      </c>
      <c r="L60" s="42">
        <f>'Fleet ZEV fractions'!AA26</f>
        <v>0.10900444773415378</v>
      </c>
      <c r="M60" s="42">
        <f>'ZEV efficiency'!K53</f>
        <v>4.0972869571642612</v>
      </c>
      <c r="O60" s="3">
        <f>E60*L60/M60</f>
        <v>1402853.0814904768</v>
      </c>
      <c r="P60" s="3">
        <f>$O60*'GREET factors'!B106/454/2000</f>
        <v>67.45599376182264</v>
      </c>
      <c r="Q60" s="3">
        <f>$O60*'GREET factors'!C106/454/2000</f>
        <v>1.4679597370653279</v>
      </c>
      <c r="R60" s="3">
        <f>$O60*'GREET factors'!D106/454/2000</f>
        <v>19.668262418025741</v>
      </c>
      <c r="S60" s="3">
        <f>$O60*'GREET factors'!E106/454/2000</f>
        <v>2.9195077026756953</v>
      </c>
      <c r="T60" s="3">
        <f>$O60*'GREET factors'!F106/454/2000</f>
        <v>33712.170075996815</v>
      </c>
      <c r="U60" s="3">
        <f>$O60*'GREET factors'!G106/454/2000</f>
        <v>1.145049376352818</v>
      </c>
      <c r="V60" s="3">
        <f>$O60*'GREET factors'!H106/454/2000</f>
        <v>39.643841436333126</v>
      </c>
      <c r="W60" s="3">
        <f>$O60*'GREET factors'!I106/454/2000</f>
        <v>35073.889931844817</v>
      </c>
      <c r="X60" s="3">
        <f>('Combined MOVES output'!D18/454/2000-D60)*'GREET factors'!V1</f>
        <v>266743.80277690967</v>
      </c>
      <c r="Y60" s="263">
        <f>O60*M60*'GREET factors'!$J$7/454/2000</f>
        <v>60.516409534527511</v>
      </c>
      <c r="Z60" s="263">
        <f>O60*M60*'GREET factors'!K$7/454/2000</f>
        <v>7.589338517569634</v>
      </c>
      <c r="AA60" s="263"/>
      <c r="AB60" s="263"/>
      <c r="AC60" s="3">
        <f>T60-X60</f>
        <v>-233031.63270091286</v>
      </c>
      <c r="AD60" s="263">
        <f>P60-Y60</f>
        <v>6.9395842272951285</v>
      </c>
      <c r="AE60" s="263">
        <f>Q60-Z60</f>
        <v>-6.1213787805043065</v>
      </c>
      <c r="AF60" s="263"/>
      <c r="AG60" s="263"/>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'Combined MOVES output'!C19*(1+'Federal GHG Rule'!D19)/454/2000</f>
        <v>785.31299341851309</v>
      </c>
      <c r="D65" s="3">
        <f>'Combined MOVES output'!D19*(1+'Federal GHG Rule'!J19)/454/2000</f>
        <v>3804767.8150332724</v>
      </c>
      <c r="E65" s="3">
        <f>'Combined MOVES output'!E19</f>
        <v>52292308.903751895</v>
      </c>
      <c r="F65" s="3">
        <f>'Combined MOVES output'!F19*(1+'Federal GHG Rule'!C19)/454/2000</f>
        <v>126.50103271872534</v>
      </c>
      <c r="G65" s="3">
        <f>'Combined MOVES output'!G19*(1+'Federal GHG Rule'!F19)/454/2000</f>
        <v>2176.8812377468757</v>
      </c>
      <c r="H65" s="3">
        <f>'Combined MOVES output'!H19*(1+'Federal GHG Rule'!E19)/454/2000</f>
        <v>62.363408541220551</v>
      </c>
      <c r="I65" s="3">
        <f>'Combined MOVES output'!I19*(1-'Federal GHG Rule'!H19)/454/2000</f>
        <v>399.55551148042821</v>
      </c>
      <c r="J65" s="3">
        <f>D65+AC65</f>
        <v>3552236.5017728554</v>
      </c>
      <c r="L65" s="42">
        <f>'Fleet ZEV fractions'!AA27</f>
        <v>0.11842002381418952</v>
      </c>
      <c r="M65" s="42">
        <f>'ZEV efficiency'!K54</f>
        <v>4.0603357356974987</v>
      </c>
      <c r="O65" s="3">
        <f>E65*L65/M65</f>
        <v>1525109.4660076161</v>
      </c>
      <c r="P65" s="3">
        <f>$O65*'GREET factors'!B107/454/2000</f>
        <v>68.751257693047322</v>
      </c>
      <c r="Q65" s="3">
        <f>$O65*'GREET factors'!C107/454/2000</f>
        <v>1.4961469328039947</v>
      </c>
      <c r="R65" s="3">
        <f>$O65*'GREET factors'!D107/454/2000</f>
        <v>20.045924794328148</v>
      </c>
      <c r="S65" s="3">
        <f>$O65*'GREET factors'!E107/454/2000</f>
        <v>2.9755669616580835</v>
      </c>
      <c r="T65" s="3">
        <f>$O65*'GREET factors'!F107/454/2000</f>
        <v>34359.498141415716</v>
      </c>
      <c r="U65" s="3">
        <f>$O65*'GREET factors'!G107/454/2000</f>
        <v>1.1670361720984692</v>
      </c>
      <c r="V65" s="3">
        <f>$O65*'GREET factors'!H107/454/2000</f>
        <v>40.405067163567672</v>
      </c>
      <c r="W65" s="3">
        <f>$O65*'GREET factors'!I107/454/2000</f>
        <v>35747.365215848025</v>
      </c>
      <c r="X65" s="3">
        <f>('Combined MOVES output'!D19/454/2000-D65)*'GREET factors'!V1</f>
        <v>286890.81140183279</v>
      </c>
      <c r="Y65" s="263">
        <f>O65*M65*'GREET factors'!$J$7/454/2000</f>
        <v>65.196989677174585</v>
      </c>
      <c r="Z65" s="263">
        <f>O65*M65*'GREET factors'!K$7/454/2000</f>
        <v>8.1763281858991093</v>
      </c>
      <c r="AA65" s="263"/>
      <c r="AB65" s="263"/>
      <c r="AC65" s="3">
        <f>T65-X65</f>
        <v>-252531.31326041708</v>
      </c>
      <c r="AD65" s="263">
        <f>P65-Y65</f>
        <v>3.5542680158727364</v>
      </c>
      <c r="AE65" s="263">
        <f>Q65-Z65</f>
        <v>-6.6801812530951148</v>
      </c>
      <c r="AF65" s="263"/>
      <c r="AG65" s="263"/>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'Combined MOVES output'!C20*(1+'Federal GHG Rule'!D20)/454/2000</f>
        <v>768.32575439444327</v>
      </c>
      <c r="D70" s="3">
        <f>'Combined MOVES output'!D20*(1+'Federal GHG Rule'!J20)/454/2000</f>
        <v>3731620.4409804256</v>
      </c>
      <c r="E70" s="3">
        <f>'Combined MOVES output'!E20</f>
        <v>52254617.700019009</v>
      </c>
      <c r="F70" s="3">
        <f>'Combined MOVES output'!F20*(1+'Federal GHG Rule'!C20)/454/2000</f>
        <v>122.69160952795468</v>
      </c>
      <c r="G70" s="3">
        <f>'Combined MOVES output'!G20*(1+'Federal GHG Rule'!F20)/454/2000</f>
        <v>2130.1845943725302</v>
      </c>
      <c r="H70" s="3">
        <f>'Combined MOVES output'!H20*(1+'Federal GHG Rule'!E20)/454/2000</f>
        <v>60.939095031621257</v>
      </c>
      <c r="I70" s="3">
        <f>'Combined MOVES output'!I20*(1-'Federal GHG Rule'!H20)/454/2000</f>
        <v>404.03601633165215</v>
      </c>
      <c r="J70" s="3">
        <f>D70+AC70</f>
        <v>3459075.6299012927</v>
      </c>
      <c r="L70" s="42">
        <f>'Fleet ZEV fractions'!AA28</f>
        <v>0.12784079239052668</v>
      </c>
      <c r="M70" s="42">
        <f>'ZEV efficiency'!K55</f>
        <v>4.0592416995872931</v>
      </c>
      <c r="O70" s="3">
        <f>E70*L70/M70</f>
        <v>1645694.49843641</v>
      </c>
      <c r="P70" s="3">
        <f>$O70*'GREET factors'!B108/454/2000</f>
        <v>69.241365595918737</v>
      </c>
      <c r="Q70" s="3">
        <f>$O70*'GREET factors'!C108/454/2000</f>
        <v>1.5068125331177793</v>
      </c>
      <c r="R70" s="3">
        <f>$O70*'GREET factors'!D108/454/2000</f>
        <v>20.188826415210929</v>
      </c>
      <c r="S70" s="3">
        <f>$O70*'GREET factors'!E108/454/2000</f>
        <v>2.9967789210078717</v>
      </c>
      <c r="T70" s="3">
        <f>$O70*'GREET factors'!F108/454/2000</f>
        <v>34604.437101703377</v>
      </c>
      <c r="U70" s="3">
        <f>$O70*'GREET factors'!G108/454/2000</f>
        <v>1.1753556366446445</v>
      </c>
      <c r="V70" s="3">
        <f>$O70*'GREET factors'!H108/454/2000</f>
        <v>40.69310324315952</v>
      </c>
      <c r="W70" s="3">
        <f>$O70*'GREET factors'!I108/454/2000</f>
        <v>36002.197880544001</v>
      </c>
      <c r="X70" s="3">
        <f>('Combined MOVES output'!D20/454/2000-D70)*'GREET factors'!V1</f>
        <v>307149.24818083638</v>
      </c>
      <c r="Y70" s="263">
        <f>O70*M70*'GREET factors'!$J$7/454/2000</f>
        <v>70.332930012518958</v>
      </c>
      <c r="Z70" s="263">
        <f>O70*M70*'GREET factors'!K$7/454/2000</f>
        <v>8.8204243923789321</v>
      </c>
      <c r="AA70" s="263"/>
      <c r="AB70" s="263"/>
      <c r="AC70" s="3">
        <f>T70-X70</f>
        <v>-272544.81107913301</v>
      </c>
      <c r="AD70" s="263">
        <f>P70-Y70</f>
        <v>-1.091564416600221</v>
      </c>
      <c r="AE70" s="263">
        <f>Q70-Z70</f>
        <v>-7.3136118592611528</v>
      </c>
      <c r="AF70" s="263"/>
      <c r="AG70" s="263"/>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'Combined MOVES output'!C21*(1+'Federal GHG Rule'!D21)/454/2000</f>
        <v>750.78925725021531</v>
      </c>
      <c r="D75" s="3">
        <f>'Combined MOVES output'!D21*(1+'Federal GHG Rule'!J21)/454/2000</f>
        <v>3665620.2219443186</v>
      </c>
      <c r="E75" s="3">
        <f>'Combined MOVES output'!E21</f>
        <v>52216926.496286124</v>
      </c>
      <c r="F75" s="3">
        <f>'Combined MOVES output'!F21*(1+'Federal GHG Rule'!C21)/454/2000</f>
        <v>118.9117432402209</v>
      </c>
      <c r="G75" s="3">
        <f>'Combined MOVES output'!G21*(1+'Federal GHG Rule'!F21)/454/2000</f>
        <v>2081.3673053110856</v>
      </c>
      <c r="H75" s="3">
        <f>'Combined MOVES output'!H21*(1+'Federal GHG Rule'!E21)/454/2000</f>
        <v>59.640484953664867</v>
      </c>
      <c r="I75" s="3">
        <f>'Combined MOVES output'!I21*(1-'Federal GHG Rule'!H21)/454/2000</f>
        <v>408.48965539531986</v>
      </c>
      <c r="J75" s="3">
        <f>D75+AC75</f>
        <v>3374747.0757222362</v>
      </c>
      <c r="L75" s="42">
        <f>'Fleet ZEV fractions'!AA29</f>
        <v>0.1372430583971036</v>
      </c>
      <c r="M75" s="42">
        <f>'ZEV efficiency'!K56</f>
        <v>4.0583052188942919</v>
      </c>
      <c r="O75" s="3">
        <f>E75*L75/M75</f>
        <v>1765862.9171315981</v>
      </c>
      <c r="P75" s="3">
        <f>$O75*'GREET factors'!B109/454/2000</f>
        <v>68.990407540759804</v>
      </c>
      <c r="Q75" s="3">
        <f>$O75*'GREET factors'!C109/454/2000</f>
        <v>1.5013512493960348</v>
      </c>
      <c r="R75" s="3">
        <f>$O75*'GREET factors'!D109/454/2000</f>
        <v>20.115654134891241</v>
      </c>
      <c r="S75" s="3">
        <f>$O75*'GREET factors'!E109/454/2000</f>
        <v>2.9859174106479176</v>
      </c>
      <c r="T75" s="3">
        <f>$O75*'GREET factors'!F109/454/2000</f>
        <v>34479.016954943225</v>
      </c>
      <c r="U75" s="3">
        <f>$O75*'GREET factors'!G109/454/2000</f>
        <v>1.1710956836215656</v>
      </c>
      <c r="V75" s="3">
        <f>$O75*'GREET factors'!H109/454/2000</f>
        <v>40.545615365640153</v>
      </c>
      <c r="W75" s="3">
        <f>$O75*'GREET factors'!I109/454/2000</f>
        <v>35871.711696688595</v>
      </c>
      <c r="X75" s="3">
        <f>('Combined MOVES output'!D21/454/2000-D75)*'GREET factors'!V1</f>
        <v>325352.16317702556</v>
      </c>
      <c r="Y75" s="263">
        <f>O75*M75*'GREET factors'!$J$7/454/2000</f>
        <v>75.451221421943927</v>
      </c>
      <c r="Z75" s="263">
        <f>O75*M75*'GREET factors'!K$7/454/2000</f>
        <v>9.4623072541758173</v>
      </c>
      <c r="AA75" s="263"/>
      <c r="AB75" s="263"/>
      <c r="AC75" s="3">
        <f>T75-X75</f>
        <v>-290873.14622208232</v>
      </c>
      <c r="AD75" s="263">
        <f>P75-Y75</f>
        <v>-6.4608138811841229</v>
      </c>
      <c r="AE75" s="263">
        <f>Q75-Z75</f>
        <v>-7.9609560047797823</v>
      </c>
      <c r="AF75" s="263"/>
      <c r="AG75" s="263"/>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'Combined MOVES output'!C22*(1+'Federal GHG Rule'!D22)/454/2000</f>
        <v>732.63070940308523</v>
      </c>
      <c r="D80" s="3">
        <f>'Combined MOVES output'!D22*(1+'Federal GHG Rule'!J22)/454/2000</f>
        <v>3606280.5272861402</v>
      </c>
      <c r="E80" s="3">
        <f>'Combined MOVES output'!E22</f>
        <v>52179235.292553231</v>
      </c>
      <c r="F80" s="3">
        <f>'Combined MOVES output'!F22*(1+'Federal GHG Rule'!C22)/454/2000</f>
        <v>115.09451681615501</v>
      </c>
      <c r="G80" s="3">
        <f>'Combined MOVES output'!G22*(1+'Federal GHG Rule'!F22)/454/2000</f>
        <v>2030.2330588454909</v>
      </c>
      <c r="H80" s="3">
        <f>'Combined MOVES output'!H22*(1+'Federal GHG Rule'!E22)/454/2000</f>
        <v>58.458290194426453</v>
      </c>
      <c r="I80" s="3">
        <f>'Combined MOVES output'!I22*(1-'Federal GHG Rule'!H22)/454/2000</f>
        <v>412.94336454360769</v>
      </c>
      <c r="J80" s="3">
        <f>D80+AC80</f>
        <v>3298626.0536367535</v>
      </c>
      <c r="L80" s="42">
        <f>'Fleet ZEV fractions'!AA30</f>
        <v>0.14662695110853136</v>
      </c>
      <c r="M80" s="42">
        <f>'ZEV efficiency'!K57</f>
        <v>4.0575094521576283</v>
      </c>
      <c r="O80" s="3">
        <f>E80*L80/M80</f>
        <v>1885610.4396881466</v>
      </c>
      <c r="P80" s="3">
        <f>$O80*'GREET factors'!B110/454/2000</f>
        <v>68.001985240869317</v>
      </c>
      <c r="Q80" s="3">
        <f>$O80*'GREET factors'!C110/454/2000</f>
        <v>1.4798414611838877</v>
      </c>
      <c r="R80" s="3">
        <f>$O80*'GREET factors'!D110/454/2000</f>
        <v>19.827458111232968</v>
      </c>
      <c r="S80" s="3">
        <f>$O80*'GREET factors'!E110/454/2000</f>
        <v>2.9431383133861431</v>
      </c>
      <c r="T80" s="3">
        <f>$O80*'GREET factors'!F110/454/2000</f>
        <v>33985.037712735771</v>
      </c>
      <c r="U80" s="3">
        <f>$O80*'GREET factors'!G110/454/2000</f>
        <v>1.1543174512518963</v>
      </c>
      <c r="V80" s="3">
        <f>$O80*'GREET factors'!H110/454/2000</f>
        <v>39.964720255453948</v>
      </c>
      <c r="W80" s="3">
        <f>$O80*'GREET factors'!I110/454/2000</f>
        <v>35357.779382905668</v>
      </c>
      <c r="X80" s="3">
        <f>('Combined MOVES output'!D22/454/2000-D80)*'GREET factors'!V1</f>
        <v>341639.51136212255</v>
      </c>
      <c r="Y80" s="263">
        <f>O80*M80*'GREET factors'!$J$7/454/2000</f>
        <v>80.551956951738504</v>
      </c>
      <c r="Z80" s="263">
        <f>O80*M80*'GREET factors'!K$7/454/2000</f>
        <v>10.101988440187345</v>
      </c>
      <c r="AA80" s="263"/>
      <c r="AB80" s="263"/>
      <c r="AC80" s="3">
        <f>T80-X80</f>
        <v>-307654.47364938678</v>
      </c>
      <c r="AD80" s="263">
        <f>P80-Y80</f>
        <v>-12.549971710869187</v>
      </c>
      <c r="AE80" s="263">
        <f>Q80-Z80</f>
        <v>-8.6221469790034568</v>
      </c>
      <c r="AF80" s="263"/>
      <c r="AG80" s="263"/>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'Combined MOVES output'!C23*(1+'Federal GHG Rule'!D23)/454/2000</f>
        <v>714.01527339836559</v>
      </c>
      <c r="D85" s="3">
        <f>'Combined MOVES output'!D23*(1+'Federal GHG Rule'!J23)/454/2000</f>
        <v>3553113.1597316419</v>
      </c>
      <c r="E85" s="3">
        <f>'Combined MOVES output'!E23</f>
        <v>52141544.088820346</v>
      </c>
      <c r="F85" s="3">
        <f>'Combined MOVES output'!F23*(1+'Federal GHG Rule'!C23)/454/2000</f>
        <v>111.34883615362956</v>
      </c>
      <c r="G85" s="3">
        <f>'Combined MOVES output'!G23*(1+'Federal GHG Rule'!F23)/454/2000</f>
        <v>1976.9121136021411</v>
      </c>
      <c r="H85" s="3">
        <f>'Combined MOVES output'!H23*(1+'Federal GHG Rule'!E23)/454/2000</f>
        <v>57.383516217040992</v>
      </c>
      <c r="I85" s="3">
        <f>'Combined MOVES output'!I23*(1-'Federal GHG Rule'!H23)/454/2000</f>
        <v>417.39714376707639</v>
      </c>
      <c r="J85" s="3">
        <f>D85+AC85</f>
        <v>3230085.8365444015</v>
      </c>
      <c r="L85" s="42">
        <f>'Fleet ZEV fractions'!AA31</f>
        <v>0.15599259859792344</v>
      </c>
      <c r="M85" s="42">
        <f>'ZEV efficiency'!K58</f>
        <v>4.0568355972737384</v>
      </c>
      <c r="O85" s="3">
        <f>E85*L85/M85</f>
        <v>2004935.8082908904</v>
      </c>
      <c r="P85" s="3">
        <f>$O85*'GREET factors'!B111/454/2000</f>
        <v>66.279851877181216</v>
      </c>
      <c r="Q85" s="3">
        <f>$O85*'GREET factors'!C111/454/2000</f>
        <v>1.4423648442256212</v>
      </c>
      <c r="R85" s="3">
        <f>$O85*'GREET factors'!D111/454/2000</f>
        <v>19.325332665784039</v>
      </c>
      <c r="S85" s="3">
        <f>$O85*'GREET factors'!E111/454/2000</f>
        <v>2.8686040675773183</v>
      </c>
      <c r="T85" s="3">
        <f>$O85*'GREET factors'!F111/454/2000</f>
        <v>33124.375084961102</v>
      </c>
      <c r="U85" s="3">
        <f>$O85*'GREET factors'!G111/454/2000</f>
        <v>1.1250846488852151</v>
      </c>
      <c r="V85" s="3">
        <f>$O85*'GREET factors'!H111/454/2000</f>
        <v>38.952623654470962</v>
      </c>
      <c r="W85" s="3">
        <f>$O85*'GREET factors'!I111/454/2000</f>
        <v>34462.352413743749</v>
      </c>
      <c r="X85" s="3">
        <f>('Combined MOVES output'!D23/454/2000-D85)*'GREET factors'!V1</f>
        <v>356151.69827220141</v>
      </c>
      <c r="Y85" s="263">
        <f>O85*M85*'GREET factors'!$J$7/454/2000</f>
        <v>85.635228783405523</v>
      </c>
      <c r="Z85" s="263">
        <f>O85*M85*'GREET factors'!K$7/454/2000</f>
        <v>10.739479510858617</v>
      </c>
      <c r="AA85" s="263"/>
      <c r="AB85" s="263"/>
      <c r="AC85" s="3">
        <f>T85-X85</f>
        <v>-323027.32318724028</v>
      </c>
      <c r="AD85" s="263">
        <f>P85-Y85</f>
        <v>-19.355376906224308</v>
      </c>
      <c r="AE85" s="263">
        <f>Q85-Z85</f>
        <v>-9.2971146666329965</v>
      </c>
      <c r="AF85" s="263"/>
      <c r="AG85" s="263"/>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'Combined MOVES output'!C24*(1+'Federal GHG Rule'!D24)/454/2000</f>
        <v>694.62161399797731</v>
      </c>
      <c r="D90" s="3">
        <f>'Combined MOVES output'!D24*(1+'Federal GHG Rule'!J24)/454/2000</f>
        <v>3506611.426531299</v>
      </c>
      <c r="E90" s="3">
        <f>'Combined MOVES output'!E24</f>
        <v>52103852.88508746</v>
      </c>
      <c r="F90" s="3">
        <f>'Combined MOVES output'!F24*(1+'Federal GHG Rule'!C24)/454/2000</f>
        <v>107.57878869696262</v>
      </c>
      <c r="G90" s="3">
        <f>'Combined MOVES output'!G24*(1+'Federal GHG Rule'!F24)/454/2000</f>
        <v>1922.0789564982147</v>
      </c>
      <c r="H90" s="3">
        <f>'Combined MOVES output'!H24*(1+'Federal GHG Rule'!E24)/454/2000</f>
        <v>56.422705499043083</v>
      </c>
      <c r="I90" s="3">
        <f>'Combined MOVES output'!I24*(1-'Federal GHG Rule'!H24)/454/2000</f>
        <v>421.85099305628671</v>
      </c>
      <c r="J90" s="3">
        <f>D90+AC90</f>
        <v>3169763.4863156751</v>
      </c>
      <c r="L90" s="42">
        <f>'Fleet ZEV fractions'!AA32</f>
        <v>0.16534012775082207</v>
      </c>
      <c r="M90" s="42">
        <f>'ZEV efficiency'!K59</f>
        <v>4.0562696752233567</v>
      </c>
      <c r="O90" s="3">
        <f>E90*L90/M90</f>
        <v>2123837.5113350977</v>
      </c>
      <c r="P90" s="3">
        <f>$O90*'GREET factors'!B112/454/2000</f>
        <v>63.827768123948495</v>
      </c>
      <c r="Q90" s="3">
        <f>$O90*'GREET factors'!C112/454/2000</f>
        <v>1.3890032373331753</v>
      </c>
      <c r="R90" s="3">
        <f>$O90*'GREET factors'!D112/454/2000</f>
        <v>18.610374304932591</v>
      </c>
      <c r="S90" s="3">
        <f>$O90*'GREET factors'!E112/454/2000</f>
        <v>2.7624774358884308</v>
      </c>
      <c r="T90" s="3">
        <f>$O90*'GREET factors'!F112/454/2000</f>
        <v>31898.908526400744</v>
      </c>
      <c r="U90" s="3">
        <f>$O90*'GREET factors'!G112/454/2000</f>
        <v>1.0834611130684013</v>
      </c>
      <c r="V90" s="3">
        <f>$O90*'GREET factors'!H112/454/2000</f>
        <v>37.51153570837976</v>
      </c>
      <c r="W90" s="3">
        <f>$O90*'GREET factors'!I112/454/2000</f>
        <v>33187.386159918809</v>
      </c>
      <c r="X90" s="3">
        <f>('Combined MOVES output'!D24/454/2000-D90)*'GREET factors'!V1</f>
        <v>368746.84874202486</v>
      </c>
      <c r="Y90" s="263">
        <f>O90*M90*'GREET factors'!$J$7/454/2000</f>
        <v>90.701128243685204</v>
      </c>
      <c r="Z90" s="263">
        <f>O90*M90*'GREET factors'!K$7/454/2000</f>
        <v>11.374791919439305</v>
      </c>
      <c r="AA90" s="263">
        <f>O90*M90*'GREET factors'!L7/454/2000</f>
        <v>227.83318180282851</v>
      </c>
      <c r="AB90" s="263">
        <f>O90*M90*'GREET factors'!M7/454/2000</f>
        <v>34.00299074395808</v>
      </c>
      <c r="AC90" s="3">
        <f>T90-X90</f>
        <v>-336847.94021562411</v>
      </c>
      <c r="AD90" s="263">
        <f>P90-Y90</f>
        <v>-26.873360119736709</v>
      </c>
      <c r="AE90" s="263">
        <f>Q90-Z90</f>
        <v>-9.9857886821061292</v>
      </c>
      <c r="AF90" s="263">
        <f>U90-AA90</f>
        <v>-226.7497206897601</v>
      </c>
      <c r="AG90" s="263">
        <f>V90-AB90</f>
        <v>3.5085449644216808</v>
      </c>
      <c r="AH90">
        <v>2040</v>
      </c>
    </row>
  </sheetData>
  <sheetProtection algorithmName="SHA-512" hashValue="tgXmNroyqQdemjaMUd01hPNJxnX1wvuWlcH8htPZJGErgHL4E7VQPjNHU3vzrhKf9/1prBrRezBvWN00TX/FIA==" saltValue="q40cDb26K9hyNQmdplatfA==" spinCount="100000" sheet="1" objects="1" scenarios="1"/>
  <mergeCells count="7">
    <mergeCell ref="AA10:AB10"/>
    <mergeCell ref="AF10:AG10"/>
    <mergeCell ref="AC7:AG7"/>
    <mergeCell ref="P7:W7"/>
    <mergeCell ref="L4:L6"/>
    <mergeCell ref="M4:M6"/>
    <mergeCell ref="X7:AB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90"/>
  <sheetViews>
    <sheetView topLeftCell="F67" workbookViewId="0">
      <selection activeCell="AA14" sqref="AA14"/>
    </sheetView>
  </sheetViews>
  <sheetFormatPr baseColWidth="10" defaultColWidth="8.83203125" defaultRowHeight="15"/>
  <cols>
    <col min="2" max="2" width="9.5" customWidth="1"/>
    <col min="3" max="3" width="12.6640625" customWidth="1"/>
    <col min="4" max="4" width="16.6640625" customWidth="1"/>
    <col min="5" max="5" width="15.1640625" customWidth="1"/>
    <col min="6" max="6" width="11" customWidth="1"/>
    <col min="7" max="7" width="11.6640625" customWidth="1"/>
    <col min="8" max="8" width="11.5" customWidth="1"/>
    <col min="9" max="10" width="11.6640625" customWidth="1"/>
    <col min="11" max="11" width="8.83203125" customWidth="1"/>
    <col min="12" max="12" width="12" customWidth="1"/>
    <col min="13" max="13" width="14.5" customWidth="1"/>
    <col min="14" max="14" width="8.8320312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144</v>
      </c>
      <c r="D1" s="29"/>
      <c r="F1" s="30"/>
      <c r="AH1" s="2"/>
    </row>
    <row r="2" spans="1:34">
      <c r="A2" s="29" t="s">
        <v>431</v>
      </c>
      <c r="D2" s="6"/>
      <c r="AH2" s="29"/>
    </row>
    <row r="3" spans="1:34">
      <c r="A3" t="s">
        <v>432</v>
      </c>
      <c r="D3" s="29"/>
    </row>
    <row r="4" spans="1:34">
      <c r="A4" s="29" t="s">
        <v>217</v>
      </c>
      <c r="D4" s="29"/>
      <c r="AH4" s="29"/>
    </row>
    <row r="5" spans="1:34">
      <c r="G5" s="6"/>
      <c r="L5" s="284" t="s">
        <v>167</v>
      </c>
      <c r="M5" s="284" t="s">
        <v>275</v>
      </c>
    </row>
    <row r="6" spans="1:34">
      <c r="A6" t="s">
        <v>0</v>
      </c>
      <c r="B6" t="s">
        <v>1</v>
      </c>
      <c r="C6" t="s">
        <v>42</v>
      </c>
      <c r="D6" t="s">
        <v>47</v>
      </c>
      <c r="E6" t="s">
        <v>22</v>
      </c>
      <c r="F6" t="s">
        <v>24</v>
      </c>
      <c r="G6" t="s">
        <v>115</v>
      </c>
      <c r="H6" t="s">
        <v>116</v>
      </c>
      <c r="I6" t="s">
        <v>117</v>
      </c>
      <c r="J6" t="s">
        <v>52</v>
      </c>
      <c r="L6" s="284"/>
      <c r="M6" s="284"/>
      <c r="O6" s="6"/>
      <c r="T6" s="3"/>
    </row>
    <row r="7" spans="1:34">
      <c r="A7">
        <v>2020</v>
      </c>
      <c r="B7">
        <v>20</v>
      </c>
      <c r="C7" s="285" t="s">
        <v>145</v>
      </c>
      <c r="D7" s="285"/>
      <c r="E7" s="285"/>
      <c r="F7" s="285"/>
      <c r="G7" s="285"/>
      <c r="H7" s="285"/>
      <c r="I7" s="285"/>
      <c r="J7" s="3"/>
      <c r="P7" s="283" t="s">
        <v>168</v>
      </c>
      <c r="Q7" s="283"/>
      <c r="R7" s="283"/>
      <c r="S7" s="283"/>
      <c r="T7" s="283"/>
      <c r="U7" s="283"/>
      <c r="V7" s="283"/>
      <c r="W7" s="283"/>
      <c r="X7" s="281" t="s">
        <v>169</v>
      </c>
      <c r="Y7" s="281"/>
      <c r="Z7" s="281"/>
      <c r="AA7" s="281"/>
      <c r="AB7" s="281"/>
      <c r="AC7" s="281" t="s">
        <v>416</v>
      </c>
      <c r="AD7" s="281"/>
      <c r="AE7" s="281"/>
      <c r="AF7" s="281"/>
      <c r="AG7" s="281"/>
      <c r="AH7" s="33" t="s">
        <v>19</v>
      </c>
    </row>
    <row r="8" spans="1:34">
      <c r="A8">
        <v>2020</v>
      </c>
      <c r="B8">
        <v>30</v>
      </c>
      <c r="C8" s="285"/>
      <c r="D8" s="285"/>
      <c r="E8" s="285"/>
      <c r="F8" s="285"/>
      <c r="G8" s="285"/>
      <c r="H8" s="285"/>
      <c r="I8" s="285"/>
      <c r="J8" s="3"/>
      <c r="O8" t="s">
        <v>17</v>
      </c>
      <c r="P8" s="63"/>
    </row>
    <row r="9" spans="1:34">
      <c r="A9">
        <v>2020</v>
      </c>
      <c r="B9">
        <v>41</v>
      </c>
      <c r="C9" s="285"/>
      <c r="D9" s="285"/>
      <c r="E9" s="285"/>
      <c r="F9" s="285"/>
      <c r="G9" s="285"/>
      <c r="H9" s="285"/>
      <c r="I9" s="285"/>
      <c r="J9" s="3"/>
      <c r="O9" t="s">
        <v>142</v>
      </c>
      <c r="P9" t="s">
        <v>8</v>
      </c>
      <c r="Q9" t="s">
        <v>10</v>
      </c>
      <c r="R9" t="s">
        <v>14</v>
      </c>
      <c r="S9" t="s">
        <v>15</v>
      </c>
      <c r="T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'BAU Scenario'!C10</f>
        <v>3675.2864416982402</v>
      </c>
      <c r="D10" s="3">
        <f>'BAU Scenario'!D10</f>
        <v>6031540.5674675992</v>
      </c>
      <c r="E10" s="3">
        <f>'BAU Scenario'!E10</f>
        <v>54839424.501843609</v>
      </c>
      <c r="F10" s="3">
        <f>'BAU Scenario'!F10</f>
        <v>183.5304708290293</v>
      </c>
      <c r="G10" s="3">
        <f>'BAU Scenario'!G10</f>
        <v>3519.1356272733451</v>
      </c>
      <c r="H10" s="3">
        <f>'BAU Scenario'!H10</f>
        <v>82.883191918145144</v>
      </c>
      <c r="I10" s="3">
        <f>'BAU Scenario'!I10</f>
        <v>2304.1266558255061</v>
      </c>
      <c r="J10" s="3">
        <f>D10+AC10</f>
        <v>6028029.2829961302</v>
      </c>
      <c r="L10" s="42">
        <f>'BAU Scenario'!L10</f>
        <v>3.3272898906701702E-3</v>
      </c>
      <c r="M10" s="42">
        <f>'ZEV efficiency'!L44</f>
        <v>4.5885492022606078</v>
      </c>
      <c r="O10" s="3">
        <f>E10*L10/M10</f>
        <v>39765.654613719678</v>
      </c>
      <c r="P10" s="3">
        <f>'BAU Scenario'!P10</f>
        <v>4.5616154157354867</v>
      </c>
      <c r="Q10" s="3">
        <f>'BAU Scenario'!Q10</f>
        <v>9.9268684557813569E-2</v>
      </c>
      <c r="R10" s="3">
        <f>'BAU Scenario'!R10</f>
        <v>1.3300382077770896</v>
      </c>
      <c r="S10" s="3">
        <f>'BAU Scenario'!S10</f>
        <v>0.19742754646691169</v>
      </c>
      <c r="T10" s="3">
        <f>'BAU Scenario'!T10</f>
        <v>2279.7374427474228</v>
      </c>
      <c r="U10" s="3">
        <f>'BAU Scenario'!U10</f>
        <v>7.7432331741964205E-2</v>
      </c>
      <c r="V10" s="3">
        <f>'BAU Scenario'!V10</f>
        <v>2.680858262550696</v>
      </c>
      <c r="W10" s="3">
        <f>$O10*'GREET factors'!I96/454/2000</f>
        <v>2371.8218067889898</v>
      </c>
      <c r="X10" s="3">
        <f>('Combined MOVES output'!V16/454/2000-'BAU Scenario'!D10)*'GREET factors'!$V$1</f>
        <v>5791.0219142167034</v>
      </c>
      <c r="Y10" s="263">
        <f>O10*M10*'GREET factors'!$J$7/454/2000</f>
        <v>1.9210917660876179</v>
      </c>
      <c r="Z10" s="263">
        <f>O10*M10*'GREET factors'!K$7/454/2000</f>
        <v>0.24092334373929022</v>
      </c>
      <c r="AA10" s="282" t="s">
        <v>498</v>
      </c>
      <c r="AB10" s="282"/>
      <c r="AC10" s="3">
        <f>T10-X10</f>
        <v>-3511.2844714692806</v>
      </c>
      <c r="AD10" s="263">
        <f>P10-Y10</f>
        <v>2.6405236496478688</v>
      </c>
      <c r="AE10" s="263">
        <f>Q10-Z10</f>
        <v>-0.14165465918147666</v>
      </c>
      <c r="AF10" s="282" t="s">
        <v>498</v>
      </c>
      <c r="AG10" s="282"/>
      <c r="AH10">
        <v>2020</v>
      </c>
    </row>
    <row r="11" spans="1:34">
      <c r="C11" s="3"/>
      <c r="D11" s="3"/>
      <c r="E11" s="3"/>
      <c r="F11" s="3"/>
      <c r="G11" s="3"/>
      <c r="H11" s="3"/>
      <c r="L11" s="42"/>
      <c r="M11" s="42"/>
    </row>
    <row r="12" spans="1:34">
      <c r="A12">
        <v>2025</v>
      </c>
      <c r="B12">
        <v>20</v>
      </c>
      <c r="C12" s="285" t="s">
        <v>145</v>
      </c>
      <c r="D12" s="285"/>
      <c r="E12" s="285"/>
      <c r="F12" s="285"/>
      <c r="G12" s="285"/>
      <c r="H12" s="285"/>
      <c r="I12" s="285"/>
      <c r="J12" s="3"/>
      <c r="L12" s="42"/>
      <c r="M12" s="42"/>
    </row>
    <row r="13" spans="1:34">
      <c r="A13">
        <v>2025</v>
      </c>
      <c r="B13">
        <v>30</v>
      </c>
      <c r="C13" s="285"/>
      <c r="D13" s="285"/>
      <c r="E13" s="285"/>
      <c r="F13" s="285"/>
      <c r="G13" s="285"/>
      <c r="H13" s="285"/>
      <c r="I13" s="285"/>
      <c r="J13" s="3"/>
      <c r="L13" s="42"/>
      <c r="M13" s="42"/>
      <c r="O13" t="s">
        <v>17</v>
      </c>
    </row>
    <row r="14" spans="1:34">
      <c r="A14">
        <v>2025</v>
      </c>
      <c r="B14">
        <v>41</v>
      </c>
      <c r="C14" s="285"/>
      <c r="D14" s="285"/>
      <c r="E14" s="285"/>
      <c r="F14" s="285"/>
      <c r="G14" s="285"/>
      <c r="H14" s="285"/>
      <c r="I14" s="285"/>
      <c r="J14" s="3"/>
      <c r="L14" s="42"/>
      <c r="M14" s="42"/>
      <c r="O14" t="s">
        <v>142</v>
      </c>
      <c r="P14" t="s">
        <v>8</v>
      </c>
      <c r="Q14" t="s">
        <v>10</v>
      </c>
      <c r="R14" t="s">
        <v>14</v>
      </c>
      <c r="S14" t="s">
        <v>15</v>
      </c>
      <c r="T14" t="s">
        <v>16</v>
      </c>
      <c r="U14" t="s">
        <v>115</v>
      </c>
      <c r="V14" t="s">
        <v>116</v>
      </c>
      <c r="W14" t="s">
        <v>47</v>
      </c>
      <c r="X14" t="s">
        <v>47</v>
      </c>
      <c r="Y14" t="s">
        <v>8</v>
      </c>
      <c r="Z14" t="s">
        <v>10</v>
      </c>
      <c r="AC14" s="33" t="s">
        <v>47</v>
      </c>
      <c r="AD14" t="s">
        <v>8</v>
      </c>
      <c r="AE14" t="s">
        <v>10</v>
      </c>
    </row>
    <row r="15" spans="1:34">
      <c r="A15">
        <v>2025</v>
      </c>
      <c r="B15" s="8" t="s">
        <v>109</v>
      </c>
      <c r="C15" s="3">
        <f>'BAU Scenario'!C15</f>
        <v>2178.6011454247887</v>
      </c>
      <c r="D15" s="3">
        <f>'BAU Scenario'!D15</f>
        <v>5203719.2667602431</v>
      </c>
      <c r="E15" s="3">
        <f>'BAU Scenario'!E15</f>
        <v>54636730.791605599</v>
      </c>
      <c r="F15" s="3">
        <f>'BAU Scenario'!F15</f>
        <v>163.83301061513663</v>
      </c>
      <c r="G15" s="3">
        <f>'BAU Scenario'!G15</f>
        <v>2913.3676922336895</v>
      </c>
      <c r="H15" s="3">
        <f>'BAU Scenario'!H15</f>
        <v>78.188005968272648</v>
      </c>
      <c r="I15" s="3">
        <f>'BAU Scenario'!I15</f>
        <v>411.93260493660739</v>
      </c>
      <c r="J15" s="3">
        <f>D15+AC15</f>
        <v>5148304.1862303196</v>
      </c>
      <c r="L15" s="42">
        <f>'BAU Scenario'!L15</f>
        <v>2.4617088553578286E-2</v>
      </c>
      <c r="M15" s="42">
        <f>'ZEV efficiency'!L44</f>
        <v>4.5885492022606078</v>
      </c>
      <c r="O15" s="3">
        <f>E15*L15/M15</f>
        <v>293120.37005342392</v>
      </c>
      <c r="P15" s="3">
        <f>'BAU Scenario'!P15</f>
        <v>33.624553944611066</v>
      </c>
      <c r="Q15" s="3">
        <f>'BAU Scenario'!Q15</f>
        <v>0.73172877034102279</v>
      </c>
      <c r="R15" s="3">
        <f>'BAU Scenario'!R15</f>
        <v>9.8039701706383031</v>
      </c>
      <c r="S15" s="3">
        <f>'BAU Scenario'!S15</f>
        <v>1.4552768222041232</v>
      </c>
      <c r="T15" s="3">
        <f>'BAU Scenario'!T15</f>
        <v>16804.387840058844</v>
      </c>
      <c r="U15" s="3">
        <f>'BAU Scenario'!U15</f>
        <v>0.57076876904908957</v>
      </c>
      <c r="V15" s="3">
        <f>'BAU Scenario'!V15</f>
        <v>19.761127375192835</v>
      </c>
      <c r="W15" s="3">
        <f>$O15*'GREET factors'!I97/454/2000</f>
        <v>17483.159587341634</v>
      </c>
      <c r="X15" s="3">
        <f>('Combined MOVES output'!D9/454/2000-'BAU Scenario'!D15)*'GREET factors'!$V$1</f>
        <v>72219.468369982744</v>
      </c>
      <c r="Y15" s="263">
        <f>O15*M15*'GREET factors'!$J$7/454/2000</f>
        <v>14.160740841618322</v>
      </c>
      <c r="Z15" s="263">
        <f>O15*M15*'GREET factors'!K$7/454/2000</f>
        <v>1.7758927988828916</v>
      </c>
      <c r="AA15" s="263"/>
      <c r="AB15" s="263"/>
      <c r="AC15" s="3">
        <f>T15-X15</f>
        <v>-55415.0805299239</v>
      </c>
      <c r="AD15" s="263">
        <f>P15-Y15</f>
        <v>19.463813102992745</v>
      </c>
      <c r="AE15" s="263">
        <f>Q15-Z15</f>
        <v>-1.0441640285418687</v>
      </c>
      <c r="AF15" s="263"/>
      <c r="AG15" s="263"/>
      <c r="AH15">
        <v>2025</v>
      </c>
    </row>
    <row r="16" spans="1:34">
      <c r="C16" s="3"/>
      <c r="D16" s="3"/>
      <c r="E16" s="3"/>
      <c r="F16" s="3"/>
      <c r="G16" s="3"/>
      <c r="H16" s="3"/>
      <c r="L16" s="42"/>
      <c r="M16" s="42"/>
      <c r="O16" s="6"/>
    </row>
    <row r="17" spans="1:34">
      <c r="A17">
        <v>2026</v>
      </c>
      <c r="B17">
        <v>20</v>
      </c>
      <c r="C17" s="122"/>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'BAU Scenario'!C20*(1-'ACC emissions benefits'!C10)</f>
        <v>1986.4710816431923</v>
      </c>
      <c r="D20" s="3">
        <f>'BAU Scenario'!D20*(1-'ACC emissions benefits'!D10)</f>
        <v>5004723.2315200437</v>
      </c>
      <c r="E20" s="3">
        <f>'Combined MOVES output'!E10*(1-'ACC emissions benefits'!E10)</f>
        <v>54606336.602324665</v>
      </c>
      <c r="F20" s="3">
        <f>'BAU Scenario'!F20*(1-'ACC emissions benefits'!F10)</f>
        <v>160.59322166067412</v>
      </c>
      <c r="G20" s="3">
        <f>'BAU Scenario'!G20*(1-'ACC emissions benefits'!G10)</f>
        <v>2802.1942390260629</v>
      </c>
      <c r="H20" s="3">
        <f>'BAU Scenario'!H20*(1-'ACC emissions benefits'!H10)</f>
        <v>76.090928990656309</v>
      </c>
      <c r="I20" s="3">
        <f>'BAU Scenario'!I20*(1-'ACC emissions benefits'!I10)</f>
        <v>414.35143218412748</v>
      </c>
      <c r="J20" s="3">
        <f>D20+AC20</f>
        <v>4926784.8178224796</v>
      </c>
      <c r="L20" s="42">
        <f>'Fleet ZEV fractions'!AM18</f>
        <v>4.0234039468347069E-2</v>
      </c>
      <c r="M20" s="42">
        <f>'ZEV efficiency'!L45</f>
        <v>4.5196833584062999</v>
      </c>
      <c r="O20" s="3">
        <f>E20*L20/M20</f>
        <v>486103.4120882483</v>
      </c>
      <c r="P20" s="3">
        <f>$O20*'GREET factors'!B98/454/2000</f>
        <v>50.453241836201208</v>
      </c>
      <c r="Q20" s="3">
        <f>$O20*'GREET factors'!C98/454/2000</f>
        <v>1.0979502856554189</v>
      </c>
      <c r="R20" s="3">
        <f>$O20*'GREET factors'!D98/454/2000</f>
        <v>14.710740216477801</v>
      </c>
      <c r="S20" s="3">
        <f>$O20*'GREET factors'!E98/454/2000</f>
        <v>2.1836255008834238</v>
      </c>
      <c r="T20" s="3">
        <f>$O20*'GREET factors'!F98/454/2000</f>
        <v>25214.783369332665</v>
      </c>
      <c r="U20" s="3">
        <f>$O20*'GREET factors'!G98/454/2000</f>
        <v>0.85643172500730991</v>
      </c>
      <c r="V20" s="3">
        <f>$O20*'GREET factors'!H98/454/2000</f>
        <v>29.651335748838068</v>
      </c>
      <c r="W20" s="3">
        <f>$O20*'GREET factors'!I98/454/2000</f>
        <v>26233.272274007868</v>
      </c>
      <c r="X20" s="3">
        <f>('Combined MOVES output'!D10/454/2000-D20)*'GREET factors'!V1</f>
        <v>103153.19706689681</v>
      </c>
      <c r="Y20" s="263">
        <f>O20*M20*'GREET factors'!$J$7/454/2000</f>
        <v>23.131364967899458</v>
      </c>
      <c r="Z20" s="263">
        <f>O20*M20*'GREET factors'!K$7/454/2000</f>
        <v>2.9008951533167138</v>
      </c>
      <c r="AA20" s="263"/>
      <c r="AB20" s="263"/>
      <c r="AC20" s="3">
        <f>T20-X20</f>
        <v>-77938.413697564145</v>
      </c>
      <c r="AD20" s="263">
        <f>P20-Y20</f>
        <v>27.32187686830175</v>
      </c>
      <c r="AE20" s="263">
        <f>Q20-Z20</f>
        <v>-1.8029448676612949</v>
      </c>
      <c r="AF20" s="263"/>
      <c r="AG20" s="263"/>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'BAU Scenario'!C25*(1-'ACC emissions benefits'!C11)</f>
        <v>1790.5519223542506</v>
      </c>
      <c r="D25" s="3">
        <f>'BAU Scenario'!D25*(1-'ACC emissions benefits'!D11)</f>
        <v>4741294.4567054166</v>
      </c>
      <c r="E25" s="3">
        <f>'Combined MOVES output'!E11*(1-'ACC emissions benefits'!E11)</f>
        <v>54575942.413043723</v>
      </c>
      <c r="F25" s="3">
        <f>'BAU Scenario'!F25*(1-'ACC emissions benefits'!F11)</f>
        <v>156.98079273393887</v>
      </c>
      <c r="G25" s="3">
        <f>'BAU Scenario'!G25*(1-'ACC emissions benefits'!G11)</f>
        <v>2685.9663771302112</v>
      </c>
      <c r="H25" s="3">
        <f>'BAU Scenario'!H25*(1-'ACC emissions benefits'!H11)</f>
        <v>73.230874696866564</v>
      </c>
      <c r="I25" s="3">
        <f>'BAU Scenario'!I25*(1-'ACC emissions benefits'!I11)</f>
        <v>401.89312596898367</v>
      </c>
      <c r="J25" s="3">
        <f>D25+AC25</f>
        <v>4622418.815355802</v>
      </c>
      <c r="L25" s="42">
        <f>'Fleet ZEV fractions'!AM19</f>
        <v>5.9292395575803181E-2</v>
      </c>
      <c r="M25" s="42">
        <f>'ZEV efficiency'!L46</f>
        <v>4.4511142158008035</v>
      </c>
      <c r="O25" s="3">
        <f>E25*L25/M25</f>
        <v>726995.13191311411</v>
      </c>
      <c r="P25" s="3">
        <f>$O25*'GREET factors'!B99/454/2000</f>
        <v>67.515962381603686</v>
      </c>
      <c r="Q25" s="3">
        <f>$O25*'GREET factors'!C99/454/2000</f>
        <v>1.4692647585232699</v>
      </c>
      <c r="R25" s="3">
        <f>$O25*'GREET factors'!D99/454/2000</f>
        <v>19.685747573679436</v>
      </c>
      <c r="S25" s="3">
        <f>$O25*'GREET factors'!E99/454/2000</f>
        <v>2.9221031554680406</v>
      </c>
      <c r="T25" s="3">
        <f>$O25*'GREET factors'!F99/454/2000</f>
        <v>33742.14031580116</v>
      </c>
      <c r="U25" s="3">
        <f>$O25*'GREET factors'!G99/454/2000</f>
        <v>1.1460673293448602</v>
      </c>
      <c r="V25" s="3">
        <f>$O25*'GREET factors'!H99/454/2000</f>
        <v>39.679084953197624</v>
      </c>
      <c r="W25" s="3">
        <f>$O25*'GREET factors'!I99/454/2000</f>
        <v>35105.070745472622</v>
      </c>
      <c r="X25" s="3">
        <f>('Combined MOVES output'!D11/454/2000-'ACC II - MY2026'!D25)*'GREET factors'!V1</f>
        <v>152617.78166541606</v>
      </c>
      <c r="Y25" s="263">
        <f>O25*M25*'GREET factors'!$J$7/454/2000</f>
        <v>34.069426477902233</v>
      </c>
      <c r="Z25" s="263">
        <f>O25*M25*'GREET factors'!K$7/454/2000</f>
        <v>4.2726330367092711</v>
      </c>
      <c r="AA25" s="263"/>
      <c r="AB25" s="263"/>
      <c r="AC25" s="3">
        <f>T25-X25</f>
        <v>-118875.64134961489</v>
      </c>
      <c r="AD25" s="263">
        <f>P25-Y25</f>
        <v>33.446535903701452</v>
      </c>
      <c r="AE25" s="263">
        <f>Q25-Z25</f>
        <v>-2.8033682781860012</v>
      </c>
      <c r="AF25" s="263"/>
      <c r="AG25" s="263"/>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'BAU Scenario'!C30*(1-'ACC emissions benefits'!C12)</f>
        <v>1593.446145060502</v>
      </c>
      <c r="D30" s="3">
        <f>'BAU Scenario'!D30*(1-'ACC emissions benefits'!D12)</f>
        <v>4433869.3161418187</v>
      </c>
      <c r="E30" s="3">
        <f>'Combined MOVES output'!E12*(1-'ACC emissions benefits'!E12)</f>
        <v>54545548.223762788</v>
      </c>
      <c r="F30" s="3">
        <f>'BAU Scenario'!F30*(1-'ACC emissions benefits'!F12)</f>
        <v>153.00332935726098</v>
      </c>
      <c r="G30" s="3">
        <f>'BAU Scenario'!G30*(1-'ACC emissions benefits'!G12)</f>
        <v>2565.4253023971469</v>
      </c>
      <c r="H30" s="3">
        <f>'BAU Scenario'!H30*(1-'ACC emissions benefits'!H12)</f>
        <v>69.674676516665215</v>
      </c>
      <c r="I30" s="3">
        <f>'BAU Scenario'!I30*(1-'ACC emissions benefits'!I12)</f>
        <v>387.41757801861343</v>
      </c>
      <c r="J30" s="3">
        <f>D30+AC30</f>
        <v>4260807.8014841219</v>
      </c>
      <c r="L30" s="42">
        <f>'Fleet ZEV fractions'!AM20</f>
        <v>8.1747633503986977E-2</v>
      </c>
      <c r="M30" s="42">
        <f>'ZEV efficiency'!L47</f>
        <v>4.3820263375286919</v>
      </c>
      <c r="O30" s="3">
        <f>E30*L30/M30</f>
        <v>1017558.8054509298</v>
      </c>
      <c r="P30" s="3">
        <f>$O30*'GREET factors'!B100/454/2000</f>
        <v>83.387542253026012</v>
      </c>
      <c r="Q30" s="3">
        <f>$O30*'GREET factors'!C100/454/2000</f>
        <v>1.8146579388109885</v>
      </c>
      <c r="R30" s="3">
        <f>$O30*'GREET factors'!D100/454/2000</f>
        <v>24.313451955324215</v>
      </c>
      <c r="S30" s="3">
        <f>$O30*'GREET factors'!E100/454/2000</f>
        <v>3.6090280246184374</v>
      </c>
      <c r="T30" s="3">
        <f>$O30*'GREET factors'!F100/454/2000</f>
        <v>41674.206395642708</v>
      </c>
      <c r="U30" s="3">
        <f>$O30*'GREET factors'!G100/454/2000</f>
        <v>1.415483605349553</v>
      </c>
      <c r="V30" s="3">
        <f>$O30*'GREET factors'!H100/454/2000</f>
        <v>49.006801597450362</v>
      </c>
      <c r="W30" s="3">
        <f>$O30*'GREET factors'!I100/454/2000</f>
        <v>43357.533045862117</v>
      </c>
      <c r="X30" s="3">
        <f>('Combined MOVES output'!D12/454/2000-'ACC II - MY2026'!D30)*'GREET factors'!V1</f>
        <v>214735.72105333954</v>
      </c>
      <c r="Y30" s="263">
        <f>O30*M30*'GREET factors'!$J$7/454/2000</f>
        <v>46.946052689456479</v>
      </c>
      <c r="Z30" s="263">
        <f>O30*M30*'GREET factors'!K$7/454/2000</f>
        <v>5.8874855376319939</v>
      </c>
      <c r="AA30" s="263"/>
      <c r="AB30" s="263"/>
      <c r="AC30" s="3">
        <f>T30-X30</f>
        <v>-173061.51465769683</v>
      </c>
      <c r="AD30" s="263">
        <f>P30-Y30</f>
        <v>36.441489563569533</v>
      </c>
      <c r="AE30" s="263">
        <f>Q30-Z30</f>
        <v>-4.0728275988210054</v>
      </c>
      <c r="AF30" s="263"/>
      <c r="AG30" s="263"/>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'BAU Scenario'!C35*(1-'ACC emissions benefits'!C13)</f>
        <v>1393.6278079590697</v>
      </c>
      <c r="D35" s="3">
        <f>'BAU Scenario'!D35*(1-'ACC emissions benefits'!D13)</f>
        <v>4098306.9100525156</v>
      </c>
      <c r="E35" s="3">
        <f>'Combined MOVES output'!E13*(1-'ACC emissions benefits'!E13)</f>
        <v>54515154.034481846</v>
      </c>
      <c r="F35" s="3">
        <f>'BAU Scenario'!F35*(1-'ACC emissions benefits'!F13)</f>
        <v>148.64392071321041</v>
      </c>
      <c r="G35" s="3">
        <f>'BAU Scenario'!G35*(1-'ACC emissions benefits'!G13)</f>
        <v>2437.0940666485517</v>
      </c>
      <c r="H35" s="3">
        <f>'BAU Scenario'!H35*(1-'ACC emissions benefits'!H13)</f>
        <v>65.496576299364676</v>
      </c>
      <c r="I35" s="3">
        <f>'BAU Scenario'!I35*(1-'ACC emissions benefits'!I13)</f>
        <v>370.57757294626595</v>
      </c>
      <c r="J35" s="3">
        <f>D35+AC35</f>
        <v>3861614.4595947638</v>
      </c>
      <c r="L35" s="42">
        <f>'Fleet ZEV fractions'!AM21</f>
        <v>0.10755617245545923</v>
      </c>
      <c r="M35" s="42">
        <f>'ZEV efficiency'!L48</f>
        <v>4.3133593585787438</v>
      </c>
      <c r="O35" s="3">
        <f>E35*L35/M35</f>
        <v>1359367.6810412251</v>
      </c>
      <c r="P35" s="3">
        <f>$O35*'GREET factors'!B101/454/2000</f>
        <v>96.552282090825969</v>
      </c>
      <c r="Q35" s="3">
        <f>$O35*'GREET factors'!C101/454/2000</f>
        <v>2.1011455724979982</v>
      </c>
      <c r="R35" s="3">
        <f>$O35*'GREET factors'!D101/454/2000</f>
        <v>28.151918240605291</v>
      </c>
      <c r="S35" s="3">
        <f>$O35*'GREET factors'!E101/454/2000</f>
        <v>4.1788003638398479</v>
      </c>
      <c r="T35" s="3">
        <f>$O35*'GREET factors'!F101/454/2000</f>
        <v>48253.487548703743</v>
      </c>
      <c r="U35" s="3">
        <f>$O35*'GREET factors'!G101/454/2000</f>
        <v>1.6389519185486001</v>
      </c>
      <c r="V35" s="3">
        <f>$O35*'GREET factors'!H101/454/2000</f>
        <v>56.743710203720056</v>
      </c>
      <c r="W35" s="3">
        <f>$O35*'GREET factors'!I101/454/2000</f>
        <v>50202.568013143151</v>
      </c>
      <c r="X35" s="3">
        <f>('Combined MOVES output'!D13/454/2000-'ACC II - MY2026'!D35)*'GREET factors'!V1</f>
        <v>284945.93800645554</v>
      </c>
      <c r="Y35" s="263">
        <f>O35*M35*'GREET factors'!$J$7/454/2000</f>
        <v>61.732968911304745</v>
      </c>
      <c r="Z35" s="263">
        <f>O35*M35*'GREET factors'!K$7/454/2000</f>
        <v>7.741906738455544</v>
      </c>
      <c r="AA35" s="263"/>
      <c r="AB35" s="263"/>
      <c r="AC35" s="3">
        <f>T35-X35</f>
        <v>-236692.45045775181</v>
      </c>
      <c r="AD35" s="263">
        <f>P35-Y35</f>
        <v>34.819313179521224</v>
      </c>
      <c r="AE35" s="263">
        <f>Q35-Z35</f>
        <v>-5.6407611659575458</v>
      </c>
      <c r="AF35" s="263"/>
      <c r="AG35" s="263"/>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'BAU Scenario'!C40*(1-'ACC emissions benefits'!C14)</f>
        <v>1194.0693837265769</v>
      </c>
      <c r="D40" s="3">
        <f>'BAU Scenario'!D40*(1-'ACC emissions benefits'!D14)</f>
        <v>3753613.6191897262</v>
      </c>
      <c r="E40" s="3">
        <f>'Combined MOVES output'!E14*(1-'ACC emissions benefits'!E14)</f>
        <v>54484759.845200911</v>
      </c>
      <c r="F40" s="3">
        <f>'BAU Scenario'!F40*(1-'ACC emissions benefits'!F14)</f>
        <v>143.28457682798131</v>
      </c>
      <c r="G40" s="3">
        <f>'BAU Scenario'!G40*(1-'ACC emissions benefits'!G14)</f>
        <v>2303.4961594710308</v>
      </c>
      <c r="H40" s="3">
        <f>'BAU Scenario'!H40*(1-'ACC emissions benefits'!H14)</f>
        <v>61.126301352026879</v>
      </c>
      <c r="I40" s="3">
        <f>'BAU Scenario'!I40*(1-'ACC emissions benefits'!I14)</f>
        <v>351.94168444660119</v>
      </c>
      <c r="J40" s="3">
        <f>D40+AC40</f>
        <v>3448697.6009187107</v>
      </c>
      <c r="L40" s="42">
        <f>'Fleet ZEV fractions'!AM22</f>
        <v>0.13711908604250045</v>
      </c>
      <c r="M40" s="42">
        <f>'ZEV efficiency'!L49</f>
        <v>4.2450182265177867</v>
      </c>
      <c r="O40" s="3">
        <f>E40*L40/M40</f>
        <v>1759921.8836210982</v>
      </c>
      <c r="P40" s="3">
        <f>$O40*'GREET factors'!B102/454/2000</f>
        <v>105.78199631987428</v>
      </c>
      <c r="Q40" s="3">
        <f>$O40*'GREET factors'!C102/454/2000</f>
        <v>2.3020002055303261</v>
      </c>
      <c r="R40" s="3">
        <f>$O40*'GREET factors'!D102/454/2000</f>
        <v>30.843042207161517</v>
      </c>
      <c r="S40" s="3">
        <f>$O40*'GREET factors'!E102/454/2000</f>
        <v>4.5782640776255379</v>
      </c>
      <c r="T40" s="3">
        <f>$O40*'GREET factors'!F102/454/2000</f>
        <v>52866.179149411058</v>
      </c>
      <c r="U40" s="3">
        <f>$O40*'GREET factors'!G102/454/2000</f>
        <v>1.7956241122635466</v>
      </c>
      <c r="V40" s="3">
        <f>$O40*'GREET factors'!H102/454/2000</f>
        <v>62.168006948809939</v>
      </c>
      <c r="W40" s="3">
        <f>$O40*'GREET factors'!I102/454/2000</f>
        <v>55001.577899722506</v>
      </c>
      <c r="X40" s="3">
        <f>('Combined MOVES output'!D14/454/2000-D40)*'GREET factors'!V1</f>
        <v>357782.19742042653</v>
      </c>
      <c r="Y40" s="263">
        <f>O40*M40*'GREET factors'!$J$7/454/2000</f>
        <v>78.657027906626951</v>
      </c>
      <c r="Z40" s="263">
        <f>O40*M40*'GREET factors'!K$7/454/2000</f>
        <v>9.8643461527360135</v>
      </c>
      <c r="AA40" s="263"/>
      <c r="AB40" s="263"/>
      <c r="AC40" s="3">
        <f>T40-X40</f>
        <v>-304916.01827101549</v>
      </c>
      <c r="AD40" s="263">
        <f>P40-Y40</f>
        <v>27.124968413247331</v>
      </c>
      <c r="AE40" s="263">
        <f>Q40-Z40</f>
        <v>-7.5623459472056869</v>
      </c>
      <c r="AF40" s="263"/>
      <c r="AG40" s="263"/>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'BAU Scenario'!C45*(1-'ACC emissions benefits'!C15)</f>
        <v>1069.7501163020727</v>
      </c>
      <c r="D45" s="3">
        <f>'BAU Scenario'!D45*(1-'ACC emissions benefits'!D15)</f>
        <v>3437895.0298619163</v>
      </c>
      <c r="E45" s="3">
        <f>'Combined MOVES output'!E15*(1-'ACC emissions benefits'!E15)</f>
        <v>54046269.656911105</v>
      </c>
      <c r="F45" s="3">
        <f>'BAU Scenario'!F45*(1-'ACC emissions benefits'!F15)</f>
        <v>137.59195448687262</v>
      </c>
      <c r="G45" s="3">
        <f>'BAU Scenario'!G45*(1-'ACC emissions benefits'!G15)</f>
        <v>2228.0197263033829</v>
      </c>
      <c r="H45" s="3">
        <f>'BAU Scenario'!H45*(1-'ACC emissions benefits'!H15)</f>
        <v>56.516646328819448</v>
      </c>
      <c r="I45" s="3">
        <f>'BAU Scenario'!I45*(1-'ACC emissions benefits'!I15)</f>
        <v>332.53656113490808</v>
      </c>
      <c r="J45" s="3">
        <f>D45+AC45</f>
        <v>3066196.2266247869</v>
      </c>
      <c r="L45" s="42">
        <f>'Fleet ZEV fractions'!AM23</f>
        <v>0.17905060743276371</v>
      </c>
      <c r="M45" s="42">
        <f>'ZEV efficiency'!L50</f>
        <v>4.2065593236946501</v>
      </c>
      <c r="O45" s="3">
        <f>E45*L45/M45</f>
        <v>2300459.0371604431</v>
      </c>
      <c r="P45" s="3">
        <f>$O45*'GREET factors'!B103/454/2000</f>
        <v>131.35798474027777</v>
      </c>
      <c r="Q45" s="3">
        <f>$O45*'GREET factors'!C103/454/2000</f>
        <v>2.8585781927936327</v>
      </c>
      <c r="R45" s="3">
        <f>$O45*'GREET factors'!D103/454/2000</f>
        <v>38.300278010832706</v>
      </c>
      <c r="S45" s="3">
        <f>$O45*'GREET factors'!E103/454/2000</f>
        <v>5.6851975172329787</v>
      </c>
      <c r="T45" s="3">
        <f>$O45*'GREET factors'!F103/454/2000</f>
        <v>65648.172615177056</v>
      </c>
      <c r="U45" s="3">
        <f>$O45*'GREET factors'!G103/454/2000</f>
        <v>2.2297704046418598</v>
      </c>
      <c r="V45" s="3">
        <f>$O45*'GREET factors'!H103/454/2000</f>
        <v>77.198997865584658</v>
      </c>
      <c r="W45" s="3">
        <f>$O45*'GREET factors'!I103/454/2000</f>
        <v>68299.868425583307</v>
      </c>
      <c r="X45" s="3">
        <f>('Combined MOVES output'!D15/454/2000-'ACC II - MY2026'!D45)*'GREET factors'!V1</f>
        <v>437346.97585230664</v>
      </c>
      <c r="Y45" s="263">
        <f>O45*M45*'GREET factors'!$J$7/454/2000</f>
        <v>101.88402741026316</v>
      </c>
      <c r="Z45" s="263">
        <f>O45*M45*'GREET factors'!K$7/454/2000</f>
        <v>12.777234794616566</v>
      </c>
      <c r="AA45" s="263"/>
      <c r="AB45" s="263"/>
      <c r="AC45" s="3">
        <f>T45-X45</f>
        <v>-371698.80323712958</v>
      </c>
      <c r="AD45" s="263">
        <f>P45-Y45</f>
        <v>29.473957330014613</v>
      </c>
      <c r="AE45" s="263">
        <f>Q45-Z45</f>
        <v>-9.9186566018229332</v>
      </c>
      <c r="AF45" s="263"/>
      <c r="AG45" s="263"/>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'BAU Scenario'!C50*(1-'ACC emissions benefits'!C16)</f>
        <v>946.1576415582208</v>
      </c>
      <c r="D50" s="3">
        <f>'BAU Scenario'!D50*(1-'ACC emissions benefits'!D16)</f>
        <v>3120640.9126357269</v>
      </c>
      <c r="E50" s="3">
        <f>'Combined MOVES output'!E16*(1-'ACC emissions benefits'!E16)</f>
        <v>53607779.468621306</v>
      </c>
      <c r="F50" s="3">
        <f>'BAU Scenario'!F50*(1-'ACC emissions benefits'!F16)</f>
        <v>131.17712774174274</v>
      </c>
      <c r="G50" s="3">
        <f>'BAU Scenario'!G50*(1-'ACC emissions benefits'!G16)</f>
        <v>2149.6973402238291</v>
      </c>
      <c r="H50" s="3">
        <f>'BAU Scenario'!H50*(1-'ACC emissions benefits'!H16)</f>
        <v>52.009151769271554</v>
      </c>
      <c r="I50" s="3">
        <f>'BAU Scenario'!I50*(1-'ACC emissions benefits'!I16)</f>
        <v>312.86048099848034</v>
      </c>
      <c r="J50" s="3">
        <f>D50+AC50</f>
        <v>2681293.9123192374</v>
      </c>
      <c r="L50" s="42">
        <f>'Fleet ZEV fractions'!AM24</f>
        <v>0.22435781292158832</v>
      </c>
      <c r="M50" s="42">
        <f>'ZEV efficiency'!L51</f>
        <v>4.1683672854151466</v>
      </c>
      <c r="O50" s="3">
        <f>E50*L50/M50</f>
        <v>2885380.1341464194</v>
      </c>
      <c r="P50" s="3">
        <f>$O50*'GREET factors'!B104/454/2000</f>
        <v>156.08598666512447</v>
      </c>
      <c r="Q50" s="3">
        <f>$O50*'GREET factors'!C104/454/2000</f>
        <v>3.3967025191791844</v>
      </c>
      <c r="R50" s="3">
        <f>$O50*'GREET factors'!D104/454/2000</f>
        <v>45.510264904637644</v>
      </c>
      <c r="S50" s="3">
        <f>$O50*'GREET factors'!E104/454/2000</f>
        <v>6.755429946782149</v>
      </c>
      <c r="T50" s="3">
        <f>$O50*'GREET factors'!F104/454/2000</f>
        <v>78006.371791271755</v>
      </c>
      <c r="U50" s="3">
        <f>$O50*'GREET factors'!G104/454/2000</f>
        <v>2.6495223288737133</v>
      </c>
      <c r="V50" s="3">
        <f>$O50*'GREET factors'!H104/454/2000</f>
        <v>91.731627698410264</v>
      </c>
      <c r="W50" s="3">
        <f>$O50*'GREET factors'!I104/454/2000</f>
        <v>81157.24653802879</v>
      </c>
      <c r="X50" s="3">
        <f>('Combined MOVES output'!D16/454/2000-'ACC II - MY2026'!D50)*'GREET factors'!V1</f>
        <v>517353.37210776098</v>
      </c>
      <c r="Y50" s="263">
        <f>O50*M50*'GREET factors'!$J$7/454/2000</f>
        <v>126.62912258880169</v>
      </c>
      <c r="Z50" s="263">
        <f>O50*M50*'GREET factors'!K$7/454/2000</f>
        <v>15.880507202941795</v>
      </c>
      <c r="AA50" s="263"/>
      <c r="AB50" s="263"/>
      <c r="AC50" s="3">
        <f>T50-X50</f>
        <v>-439347.00031648926</v>
      </c>
      <c r="AD50" s="263">
        <f>P50-Y50</f>
        <v>29.456864076322773</v>
      </c>
      <c r="AE50" s="263">
        <f>Q50-Z50</f>
        <v>-12.48380468376261</v>
      </c>
      <c r="AF50" s="263"/>
      <c r="AG50" s="263"/>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'BAU Scenario'!C55*(1-'ACC emissions benefits'!C17)</f>
        <v>825.42238481049151</v>
      </c>
      <c r="D55" s="3">
        <f>'BAU Scenario'!D55*(1-'ACC emissions benefits'!D17)</f>
        <v>2813670.2253301232</v>
      </c>
      <c r="E55" s="3">
        <f>'Combined MOVES output'!E17*(1-'ACC emissions benefits'!E17)</f>
        <v>53169289.2803315</v>
      </c>
      <c r="F55" s="3">
        <f>'BAU Scenario'!F55*(1-'ACC emissions benefits'!F17)</f>
        <v>124.75557330844393</v>
      </c>
      <c r="G55" s="3">
        <f>'BAU Scenario'!G55*(1-'ACC emissions benefits'!G17)</f>
        <v>2069.5856157313001</v>
      </c>
      <c r="H55" s="3">
        <f>'BAU Scenario'!H55*(1-'ACC emissions benefits'!H17)</f>
        <v>47.729907929213205</v>
      </c>
      <c r="I55" s="3">
        <f>'BAU Scenario'!I55*(1-'ACC emissions benefits'!I17)</f>
        <v>293.41354891420082</v>
      </c>
      <c r="J55" s="3">
        <f>D55+AC55</f>
        <v>2309015.3553844467</v>
      </c>
      <c r="L55" s="42">
        <f>'Fleet ZEV fractions'!AM25</f>
        <v>0.27305671284937405</v>
      </c>
      <c r="M55" s="42">
        <f>'ZEV efficiency'!L52</f>
        <v>4.1304310049999096</v>
      </c>
      <c r="O55" s="3">
        <f>E55*L55/M55</f>
        <v>3514943.4375856617</v>
      </c>
      <c r="P55" s="3">
        <f>$O55*'GREET factors'!B105/454/2000</f>
        <v>179.57903510017817</v>
      </c>
      <c r="Q55" s="3">
        <f>$O55*'GREET factors'!C105/454/2000</f>
        <v>3.9079521099175936</v>
      </c>
      <c r="R55" s="3">
        <f>$O55*'GREET factors'!D105/454/2000</f>
        <v>52.360174243332118</v>
      </c>
      <c r="S55" s="3">
        <f>$O55*'GREET factors'!E105/454/2000</f>
        <v>7.7722133642446121</v>
      </c>
      <c r="T55" s="3">
        <f>$O55*'GREET factors'!F105/454/2000</f>
        <v>89747.383972377647</v>
      </c>
      <c r="U55" s="3">
        <f>$O55*'GREET factors'!G105/454/2000</f>
        <v>3.0483112126928038</v>
      </c>
      <c r="V55" s="3">
        <f>$O55*'GREET factors'!H105/454/2000</f>
        <v>105.53847620921633</v>
      </c>
      <c r="W55" s="3">
        <f>$O55*'GREET factors'!I105/454/2000</f>
        <v>93372.507911005843</v>
      </c>
      <c r="X55" s="3">
        <f>('Combined MOVES output'!D17/454/2000-'ACC II - MY2026'!D55)*'GREET factors'!V1</f>
        <v>594402.25391805428</v>
      </c>
      <c r="Y55" s="263">
        <f>O55*M55*'GREET factors'!$J$7/454/2000</f>
        <v>152.85452308889654</v>
      </c>
      <c r="Z55" s="263">
        <f>O55*M55*'GREET factors'!K$7/454/2000</f>
        <v>19.169424104736862</v>
      </c>
      <c r="AA55" s="263"/>
      <c r="AB55" s="263"/>
      <c r="AC55" s="3">
        <f>T55-X55</f>
        <v>-504654.86994567665</v>
      </c>
      <c r="AD55" s="263">
        <f>P55-Y55</f>
        <v>26.724512011281632</v>
      </c>
      <c r="AE55" s="263">
        <f>Q55-Z55</f>
        <v>-15.261471994819269</v>
      </c>
      <c r="AF55" s="263"/>
      <c r="AG55" s="263"/>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'BAU Scenario'!C60*(1-'ACC emissions benefits'!C18)</f>
        <v>708.39230044861142</v>
      </c>
      <c r="D60" s="3">
        <f>'BAU Scenario'!D60*(1-'ACC emissions benefits'!D18)</f>
        <v>2506597.3797905878</v>
      </c>
      <c r="E60" s="3">
        <f>'Combined MOVES output'!E18*(1-'ACC emissions benefits'!E18)</f>
        <v>52730799.092041701</v>
      </c>
      <c r="F60" s="3">
        <f>'BAU Scenario'!F60*(1-'ACC emissions benefits'!F18)</f>
        <v>118.38910445202505</v>
      </c>
      <c r="G60" s="3">
        <f>'BAU Scenario'!G60*(1-'ACC emissions benefits'!G18)</f>
        <v>1986.0088023982239</v>
      </c>
      <c r="H60" s="3">
        <f>'BAU Scenario'!H60*(1-'ACC emissions benefits'!H18)</f>
        <v>43.640581482709742</v>
      </c>
      <c r="I60" s="3">
        <f>'BAU Scenario'!I60*(1-'ACC emissions benefits'!I18)</f>
        <v>274.02557346416108</v>
      </c>
      <c r="J60" s="3">
        <f>D60+AC60</f>
        <v>1935823.7098246508</v>
      </c>
      <c r="L60" s="42">
        <f>'Fleet ZEV fractions'!AM26</f>
        <v>0.32516392497668184</v>
      </c>
      <c r="M60" s="42">
        <f>'ZEV efficiency'!L53</f>
        <v>4.0914969525160645</v>
      </c>
      <c r="O60" s="3">
        <f>E60*L60/M60</f>
        <v>4190679.7924855133</v>
      </c>
      <c r="P60" s="3">
        <f>$O60*'GREET factors'!B106/454/2000</f>
        <v>201.50825034319033</v>
      </c>
      <c r="Q60" s="3">
        <f>$O60*'GREET factors'!C106/454/2000</f>
        <v>4.3851699707328038</v>
      </c>
      <c r="R60" s="3">
        <f>$O60*'GREET factors'!D106/454/2000</f>
        <v>58.75411399528101</v>
      </c>
      <c r="S60" s="3">
        <f>$O60*'GREET factors'!E106/454/2000</f>
        <v>8.721313796174524</v>
      </c>
      <c r="T60" s="3">
        <f>$O60*'GREET factors'!F106/454/2000</f>
        <v>100706.84647048959</v>
      </c>
      <c r="U60" s="3">
        <f>$O60*'GREET factors'!G106/454/2000</f>
        <v>3.420554401735096</v>
      </c>
      <c r="V60" s="3">
        <f>$O60*'GREET factors'!H106/454/2000</f>
        <v>118.42626102173828</v>
      </c>
      <c r="W60" s="3">
        <f>$O60*'GREET factors'!I106/454/2000</f>
        <v>104774.65083163162</v>
      </c>
      <c r="X60" s="3">
        <f>('Combined MOVES output'!D18/454/2000-'ACC II - MY2026'!D60)*'GREET factors'!V1</f>
        <v>671480.51643642667</v>
      </c>
      <c r="Y60" s="263">
        <f>O60*M60*'GREET factors'!$J$7/454/2000</f>
        <v>180.5224801260814</v>
      </c>
      <c r="Z60" s="263">
        <f>O60*M60*'GREET factors'!K$7/454/2000</f>
        <v>22.639251440163374</v>
      </c>
      <c r="AA60" s="263"/>
      <c r="AB60" s="263"/>
      <c r="AC60" s="3">
        <f>T60-X60</f>
        <v>-570773.66996593704</v>
      </c>
      <c r="AD60" s="263">
        <f>P60-Y60</f>
        <v>20.985770217108922</v>
      </c>
      <c r="AE60" s="263">
        <f>Q60-Z60</f>
        <v>-18.25408146943057</v>
      </c>
      <c r="AF60" s="263"/>
      <c r="AG60" s="263"/>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'BAU Scenario'!C65*(1-'ACC emissions benefits'!C19)</f>
        <v>594.04757640350851</v>
      </c>
      <c r="D65" s="3">
        <f>'BAU Scenario'!D65*(1-'ACC emissions benefits'!D19)</f>
        <v>2212909.935662359</v>
      </c>
      <c r="E65" s="3">
        <f>'Combined MOVES output'!E19*(1-'ACC emissions benefits'!E19)</f>
        <v>52292308.903751895</v>
      </c>
      <c r="F65" s="3">
        <f>'BAU Scenario'!F65*(1-'ACC emissions benefits'!F19)</f>
        <v>111.27752700694708</v>
      </c>
      <c r="G65" s="3">
        <f>'BAU Scenario'!G65*(1-'ACC emissions benefits'!G19)</f>
        <v>1872.3028597863349</v>
      </c>
      <c r="H65" s="3">
        <f>'BAU Scenario'!H65*(1-'ACC emissions benefits'!H19)</f>
        <v>39.841627350668631</v>
      </c>
      <c r="I65" s="3">
        <f>'BAU Scenario'!I65*(1-'ACC emissions benefits'!I19)</f>
        <v>255.2609321183435</v>
      </c>
      <c r="J65" s="3">
        <f>D65+AC65</f>
        <v>1579039.0565243997</v>
      </c>
      <c r="L65" s="42">
        <f>'Fleet ZEV fractions'!AM27</f>
        <v>0.3806966666989387</v>
      </c>
      <c r="M65" s="42">
        <f>'ZEV efficiency'!L54</f>
        <v>4.0464389688696487</v>
      </c>
      <c r="O65" s="3">
        <f>E65*L65/M65</f>
        <v>4919759.7805881733</v>
      </c>
      <c r="P65" s="3">
        <f>$O65*'GREET factors'!B107/454/2000</f>
        <v>221.78058690340481</v>
      </c>
      <c r="Q65" s="3">
        <f>$O65*'GREET factors'!C107/454/2000</f>
        <v>4.8263312699304244</v>
      </c>
      <c r="R65" s="3">
        <f>$O65*'GREET factors'!D107/454/2000</f>
        <v>64.664954723544</v>
      </c>
      <c r="S65" s="3">
        <f>$O65*'GREET factors'!E107/454/2000</f>
        <v>9.5987042167760617</v>
      </c>
      <c r="T65" s="3">
        <f>$O65*'GREET factors'!F107/454/2000</f>
        <v>110838.25837094829</v>
      </c>
      <c r="U65" s="3">
        <f>$O65*'GREET factors'!G107/454/2000</f>
        <v>3.7646724710270423</v>
      </c>
      <c r="V65" s="3">
        <f>$O65*'GREET factors'!H107/454/2000</f>
        <v>130.34029936464336</v>
      </c>
      <c r="W65" s="3">
        <f>$O65*'GREET factors'!I107/454/2000</f>
        <v>115315.29609563616</v>
      </c>
      <c r="X65" s="3">
        <f>('Combined MOVES output'!D19/454/2000-'ACC II - MY2026'!D65)*'GREET factors'!V1</f>
        <v>744709.13750890747</v>
      </c>
      <c r="Y65" s="263">
        <f>O65*M65*'GREET factors'!$J$7/454/2000</f>
        <v>209.59526817736904</v>
      </c>
      <c r="Z65" s="263">
        <f>O65*M65*'GREET factors'!K$7/454/2000</f>
        <v>26.285258066595627</v>
      </c>
      <c r="AA65" s="263"/>
      <c r="AB65" s="263"/>
      <c r="AC65" s="3">
        <f>T65-X65</f>
        <v>-633870.87913795921</v>
      </c>
      <c r="AD65" s="263">
        <f>P65-Y65</f>
        <v>12.185318726035774</v>
      </c>
      <c r="AE65" s="263">
        <f>Q65-Z65</f>
        <v>-21.458926796665203</v>
      </c>
      <c r="AF65" s="263"/>
      <c r="AG65" s="263"/>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'BAU Scenario'!C70*(1-'ACC emissions benefits'!C20)</f>
        <v>548.82362484613327</v>
      </c>
      <c r="D70" s="3">
        <f>'BAU Scenario'!D70*(1-'ACC emissions benefits'!D20)</f>
        <v>1967694.1654046495</v>
      </c>
      <c r="E70" s="3">
        <f>'Combined MOVES output'!E20*(1-'ACC emissions benefits'!E20)</f>
        <v>52254617.700019009</v>
      </c>
      <c r="F70" s="3">
        <f>'BAU Scenario'!F70*(1-'ACC emissions benefits'!F20)</f>
        <v>106.11340858206569</v>
      </c>
      <c r="G70" s="3">
        <f>'BAU Scenario'!G70*(1-'ACC emissions benefits'!G20)</f>
        <v>1785.1612745956306</v>
      </c>
      <c r="H70" s="3">
        <f>'BAU Scenario'!H70*(1-'ACC emissions benefits'!H20)</f>
        <v>36.563040509427417</v>
      </c>
      <c r="I70" s="3">
        <f>'BAU Scenario'!I70*(1-'ACC emissions benefits'!I20)</f>
        <v>242.41884827361298</v>
      </c>
      <c r="J70" s="3">
        <f>D70+AC70</f>
        <v>1271934.8430638351</v>
      </c>
      <c r="L70" s="42">
        <f>'Fleet ZEV fractions'!AM28</f>
        <v>0.43618876301417175</v>
      </c>
      <c r="M70" s="42">
        <f>'ZEV efficiency'!L55</f>
        <v>4.0378375834843245</v>
      </c>
      <c r="O70" s="3">
        <f>E70*L70/M70</f>
        <v>5644822.652000119</v>
      </c>
      <c r="P70" s="3">
        <f>$O70*'GREET factors'!B108/454/2000</f>
        <v>237.50169265475401</v>
      </c>
      <c r="Q70" s="3">
        <f>$O70*'GREET factors'!C108/454/2000</f>
        <v>5.1684498716756107</v>
      </c>
      <c r="R70" s="3">
        <f>$O70*'GREET factors'!D108/454/2000</f>
        <v>69.24878510206949</v>
      </c>
      <c r="S70" s="3">
        <f>$O70*'GREET factors'!E108/454/2000</f>
        <v>10.27911653858844</v>
      </c>
      <c r="T70" s="3">
        <f>$O70*'GREET factors'!F108/454/2000</f>
        <v>118695.12269561517</v>
      </c>
      <c r="U70" s="3">
        <f>$O70*'GREET factors'!G108/454/2000</f>
        <v>4.0315344847973771</v>
      </c>
      <c r="V70" s="3">
        <f>$O70*'GREET factors'!H108/454/2000</f>
        <v>139.57958247135883</v>
      </c>
      <c r="W70" s="3">
        <f>$O70*'GREET factors'!I108/454/2000</f>
        <v>123489.51905166627</v>
      </c>
      <c r="X70" s="3">
        <f>('Combined MOVES output'!D20/454/2000-'ACC II - MY2026'!D70)*'GREET factors'!V1</f>
        <v>814454.44503642956</v>
      </c>
      <c r="Y70" s="263">
        <f>O70*M70*'GREET factors'!$J$7/454/2000</f>
        <v>239.97374521589956</v>
      </c>
      <c r="Z70" s="263">
        <f>O70*M70*'GREET factors'!K$7/454/2000</f>
        <v>30.095010622422375</v>
      </c>
      <c r="AA70" s="263"/>
      <c r="AB70" s="263"/>
      <c r="AC70" s="3">
        <f>T70-X70</f>
        <v>-695759.3223408144</v>
      </c>
      <c r="AD70" s="263">
        <f>P70-Y70</f>
        <v>-2.4720525611455457</v>
      </c>
      <c r="AE70" s="263">
        <f>Q70-Z70</f>
        <v>-24.926560750746766</v>
      </c>
      <c r="AF70" s="263"/>
      <c r="AG70" s="263"/>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'BAU Scenario'!C75*(1-'ACC emissions benefits'!C21)</f>
        <v>505.17331149045333</v>
      </c>
      <c r="D75" s="3">
        <f>'BAU Scenario'!D75*(1-'ACC emissions benefits'!D21)</f>
        <v>1762668.7090785101</v>
      </c>
      <c r="E75" s="3">
        <f>'Combined MOVES output'!E21*(1-'ACC emissions benefits'!E21)</f>
        <v>52216926.496286124</v>
      </c>
      <c r="F75" s="3">
        <f>'BAU Scenario'!F75*(1-'ACC emissions benefits'!F21)</f>
        <v>101.33942150828128</v>
      </c>
      <c r="G75" s="3">
        <f>'BAU Scenario'!G75*(1-'ACC emissions benefits'!G21)</f>
        <v>1701.1553266158987</v>
      </c>
      <c r="H75" s="3">
        <f>'BAU Scenario'!H75*(1-'ACC emissions benefits'!H21)</f>
        <v>33.818478781303121</v>
      </c>
      <c r="I75" s="3">
        <f>'BAU Scenario'!I75*(1-'ACC emissions benefits'!I21)</f>
        <v>231.62955086802251</v>
      </c>
      <c r="J75" s="3">
        <f>D75+AC75</f>
        <v>1014402.9098233116</v>
      </c>
      <c r="L75" s="42">
        <f>'Fleet ZEV fractions'!AM29</f>
        <v>0.49156992386604903</v>
      </c>
      <c r="M75" s="42">
        <f>'ZEV efficiency'!L56</f>
        <v>4.0295879456542387</v>
      </c>
      <c r="O75" s="3">
        <f>E75*L75/M75</f>
        <v>6369949.2177558066</v>
      </c>
      <c r="P75" s="3">
        <f>$O75*'GREET factors'!B109/454/2000</f>
        <v>248.86721856120539</v>
      </c>
      <c r="Q75" s="3">
        <f>$O75*'GREET factors'!C109/454/2000</f>
        <v>5.4157834812011441</v>
      </c>
      <c r="R75" s="3">
        <f>$O75*'GREET factors'!D109/454/2000</f>
        <v>72.56265142559063</v>
      </c>
      <c r="S75" s="3">
        <f>$O75*'GREET factors'!E109/454/2000</f>
        <v>10.77101857098611</v>
      </c>
      <c r="T75" s="3">
        <f>$O75*'GREET factors'!F109/454/2000</f>
        <v>124375.21902203366</v>
      </c>
      <c r="U75" s="3">
        <f>$O75*'GREET factors'!G109/454/2000</f>
        <v>4.2244615714111298</v>
      </c>
      <c r="V75" s="3">
        <f>$O75*'GREET factors'!H109/454/2000</f>
        <v>146.25909427970612</v>
      </c>
      <c r="W75" s="3">
        <f>$O75*'GREET factors'!I109/454/2000</f>
        <v>129399.04884182729</v>
      </c>
      <c r="X75" s="3">
        <f>('Combined MOVES output'!D21/454/2000-'ACC II - MY2026'!D75)*'GREET factors'!V1</f>
        <v>872641.01827723207</v>
      </c>
      <c r="Y75" s="263">
        <f>O75*M75*'GREET factors'!$J$7/454/2000</f>
        <v>270.24719212150796</v>
      </c>
      <c r="Z75" s="263">
        <f>O75*M75*'GREET factors'!K$7/454/2000</f>
        <v>33.891591391630868</v>
      </c>
      <c r="AA75" s="263"/>
      <c r="AB75" s="263"/>
      <c r="AC75" s="3">
        <f>T75-X75</f>
        <v>-748265.79925519845</v>
      </c>
      <c r="AD75" s="263">
        <f>P75-Y75</f>
        <v>-21.379973560302574</v>
      </c>
      <c r="AE75" s="263">
        <f>Q75-Z75</f>
        <v>-28.475807910429722</v>
      </c>
      <c r="AF75" s="263"/>
      <c r="AG75" s="263"/>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'BAU Scenario'!C80*(1-'ACC emissions benefits'!C22)</f>
        <v>463.14900385352263</v>
      </c>
      <c r="D80" s="3">
        <f>'BAU Scenario'!D80*(1-'ACC emissions benefits'!D22)</f>
        <v>1590644.101631545</v>
      </c>
      <c r="E80" s="3">
        <f>'Combined MOVES output'!E22*(1-'ACC emissions benefits'!E22)</f>
        <v>52179235.292553231</v>
      </c>
      <c r="F80" s="3">
        <f>'BAU Scenario'!F80*(1-'ACC emissions benefits'!F22)</f>
        <v>96.761317808964478</v>
      </c>
      <c r="G80" s="3">
        <f>'BAU Scenario'!G80*(1-'ACC emissions benefits'!G22)</f>
        <v>1615.4715137425142</v>
      </c>
      <c r="H80" s="3">
        <f>'BAU Scenario'!H80*(1-'ACC emissions benefits'!H22)</f>
        <v>31.493985321814151</v>
      </c>
      <c r="I80" s="3">
        <f>'BAU Scenario'!I80*(1-'ACC emissions benefits'!I22)</f>
        <v>222.47028126246633</v>
      </c>
      <c r="J80" s="3">
        <f>D80+AC80</f>
        <v>797182.16119834047</v>
      </c>
      <c r="L80" s="42">
        <f>'Fleet ZEV fractions'!AM30</f>
        <v>0.54684092434360221</v>
      </c>
      <c r="M80" s="42">
        <f>'ZEV efficiency'!L57</f>
        <v>4.021704797126664</v>
      </c>
      <c r="O80" s="3">
        <f>E80*L80/M80</f>
        <v>7094936.7739045033</v>
      </c>
      <c r="P80" s="3">
        <f>$O80*'GREET factors'!B110/454/2000</f>
        <v>255.86928011691992</v>
      </c>
      <c r="Q80" s="3">
        <f>$O80*'GREET factors'!C110/454/2000</f>
        <v>5.5681605179480167</v>
      </c>
      <c r="R80" s="3">
        <f>$O80*'GREET factors'!D110/454/2000</f>
        <v>74.604254794910617</v>
      </c>
      <c r="S80" s="3">
        <f>$O80*'GREET factors'!E110/454/2000</f>
        <v>11.07406907111954</v>
      </c>
      <c r="T80" s="3">
        <f>$O80*'GREET factors'!F110/454/2000</f>
        <v>127874.60694717969</v>
      </c>
      <c r="U80" s="3">
        <f>$O80*'GREET factors'!G110/454/2000</f>
        <v>4.3433198932655879</v>
      </c>
      <c r="V80" s="3">
        <f>$O80*'GREET factors'!H110/454/2000</f>
        <v>150.37420107099166</v>
      </c>
      <c r="W80" s="3">
        <f>$O80*'GREET factors'!I110/454/2000</f>
        <v>133039.78590024606</v>
      </c>
      <c r="X80" s="3">
        <f>('Combined MOVES output'!D22/454/2000-'ACC II - MY2026'!D80)*'GREET factors'!V1</f>
        <v>921336.54738038417</v>
      </c>
      <c r="Y80" s="263">
        <f>O80*M80*'GREET factors'!$J$7/454/2000</f>
        <v>300.41616676984682</v>
      </c>
      <c r="Z80" s="263">
        <f>O80*M80*'GREET factors'!K$7/454/2000</f>
        <v>37.675070337181765</v>
      </c>
      <c r="AA80" s="263"/>
      <c r="AB80" s="263"/>
      <c r="AC80" s="3">
        <f>T80-X80</f>
        <v>-793461.94043320452</v>
      </c>
      <c r="AD80" s="263">
        <f>P80-Y80</f>
        <v>-44.546886652926901</v>
      </c>
      <c r="AE80" s="263">
        <f>Q80-Z80</f>
        <v>-32.106909819233749</v>
      </c>
      <c r="AF80" s="263"/>
      <c r="AG80" s="263"/>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'BAU Scenario'!C85*(1-'ACC emissions benefits'!C23)</f>
        <v>422.96464165425846</v>
      </c>
      <c r="D85" s="3">
        <f>'BAU Scenario'!D85*(1-'ACC emissions benefits'!D23)</f>
        <v>1448888.5364208159</v>
      </c>
      <c r="E85" s="3">
        <f>'Combined MOVES output'!E23*(1-'ACC emissions benefits'!E23)</f>
        <v>52141544.088820346</v>
      </c>
      <c r="F85" s="3">
        <f>'BAU Scenario'!F85*(1-'ACC emissions benefits'!F23)</f>
        <v>92.563138389040589</v>
      </c>
      <c r="G85" s="3">
        <f>'BAU Scenario'!G85*(1-'ACC emissions benefits'!G23)</f>
        <v>1528.512834296474</v>
      </c>
      <c r="H85" s="3">
        <f>'BAU Scenario'!H85*(1-'ACC emissions benefits'!H23)</f>
        <v>29.54196475889762</v>
      </c>
      <c r="I85" s="3">
        <f>'BAU Scenario'!I85*(1-'ACC emissions benefits'!I23)</f>
        <v>214.88281869994012</v>
      </c>
      <c r="J85" s="3">
        <f>D85+AC85</f>
        <v>616755.17976615287</v>
      </c>
      <c r="L85" s="42">
        <f>'Fleet ZEV fractions'!AM31</f>
        <v>0.60200253233206957</v>
      </c>
      <c r="M85" s="42">
        <f>'ZEV efficiency'!L58</f>
        <v>4.0141101927609322</v>
      </c>
      <c r="O85" s="3">
        <f>E85*L85/M85</f>
        <v>7819750.847343904</v>
      </c>
      <c r="P85" s="3">
        <f>$O85*'GREET factors'!B111/454/2000</f>
        <v>258.50799099659685</v>
      </c>
      <c r="Q85" s="3">
        <f>$O85*'GREET factors'!C111/454/2000</f>
        <v>5.625583455675371</v>
      </c>
      <c r="R85" s="3">
        <f>$O85*'GREET factors'!D111/454/2000</f>
        <v>75.373628354360832</v>
      </c>
      <c r="S85" s="3">
        <f>$O85*'GREET factors'!E111/454/2000</f>
        <v>11.188272958850433</v>
      </c>
      <c r="T85" s="3">
        <f>$O85*'GREET factors'!F111/454/2000</f>
        <v>129193.34328173203</v>
      </c>
      <c r="U85" s="3">
        <f>$O85*'GREET factors'!G111/454/2000</f>
        <v>4.3881113799616065</v>
      </c>
      <c r="V85" s="3">
        <f>$O85*'GREET factors'!H111/454/2000</f>
        <v>151.92496965175852</v>
      </c>
      <c r="W85" s="3">
        <f>$O85*'GREET factors'!I111/454/2000</f>
        <v>134411.78933232848</v>
      </c>
      <c r="X85" s="3">
        <f>('Combined MOVES output'!D23/454/2000-'ACC II - MY2026'!D85)*'GREET factors'!V1</f>
        <v>961326.69993639505</v>
      </c>
      <c r="Y85" s="263">
        <f>O85*M85*'GREET factors'!$J$7/454/2000</f>
        <v>330.48122185158928</v>
      </c>
      <c r="Z85" s="263">
        <f>O85*M85*'GREET factors'!K$7/454/2000</f>
        <v>41.445516771789499</v>
      </c>
      <c r="AA85" s="263"/>
      <c r="AB85" s="263"/>
      <c r="AC85" s="3">
        <f>T85-X85</f>
        <v>-832133.35665466299</v>
      </c>
      <c r="AD85" s="263">
        <f>P85-Y85</f>
        <v>-71.973230854992437</v>
      </c>
      <c r="AE85" s="263">
        <f>Q85-Z85</f>
        <v>-35.819933316114131</v>
      </c>
      <c r="AF85" s="263"/>
      <c r="AG85" s="263"/>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'BAU Scenario'!C90*(1-'ACC emissions benefits'!C24)</f>
        <v>385.56177801971074</v>
      </c>
      <c r="D90" s="3">
        <f>'BAU Scenario'!D90*(1-'ACC emissions benefits'!D24)</f>
        <v>1335128.6958282492</v>
      </c>
      <c r="E90" s="3">
        <f>'Combined MOVES output'!E24*(1-'ACC emissions benefits'!E24)</f>
        <v>52103852.88508746</v>
      </c>
      <c r="F90" s="3">
        <f>'BAU Scenario'!F90*(1-'ACC emissions benefits'!F24)</f>
        <v>88.585167086294334</v>
      </c>
      <c r="G90" s="3">
        <f>'BAU Scenario'!G90*(1-'ACC emissions benefits'!G24)</f>
        <v>1439.9333971134354</v>
      </c>
      <c r="H90" s="3">
        <f>'BAU Scenario'!H90*(1-'ACC emissions benefits'!H24)</f>
        <v>27.937392288365558</v>
      </c>
      <c r="I90" s="3">
        <f>'BAU Scenario'!I90*(1-'ACC emissions benefits'!I24)</f>
        <v>208.87719892215972</v>
      </c>
      <c r="J90" s="3">
        <f>D90+AC90</f>
        <v>470193.32774465601</v>
      </c>
      <c r="L90" s="42">
        <f>'Fleet ZEV fractions'!AM32</f>
        <v>0.65705550859639383</v>
      </c>
      <c r="M90" s="42">
        <f>'ZEV efficiency'!L59</f>
        <v>4.0068080026283281</v>
      </c>
      <c r="O90" s="3">
        <f>E90*L90/M90</f>
        <v>8544238.5896169133</v>
      </c>
      <c r="P90" s="3">
        <f>$O90*'GREET factors'!B112/454/2000</f>
        <v>256.78032174454546</v>
      </c>
      <c r="Q90" s="3">
        <f>$O90*'GREET factors'!C112/454/2000</f>
        <v>5.5879863681588473</v>
      </c>
      <c r="R90" s="3">
        <f>$O90*'GREET factors'!D112/454/2000</f>
        <v>74.869888800231934</v>
      </c>
      <c r="S90" s="3">
        <f>$O90*'GREET factors'!E112/454/2000</f>
        <v>11.113499118784425</v>
      </c>
      <c r="T90" s="3">
        <f>$O90*'GREET factors'!F112/454/2000</f>
        <v>128329.91400862877</v>
      </c>
      <c r="U90" s="3">
        <f>$O90*'GREET factors'!G112/454/2000</f>
        <v>4.358784607212689</v>
      </c>
      <c r="V90" s="3">
        <f>$O90*'GREET factors'!H112/454/2000</f>
        <v>150.90961961296748</v>
      </c>
      <c r="W90" s="3">
        <f>$O90*'GREET factors'!I112/454/2000</f>
        <v>133513.48396603233</v>
      </c>
      <c r="X90" s="3">
        <f>('Combined MOVES output'!D24/454/2000-D90)*'GREET factors'!V1</f>
        <v>993265.28209222201</v>
      </c>
      <c r="Y90" s="263">
        <f>O90*M90*'GREET factors'!$J$7/454/2000</f>
        <v>360.44290493252646</v>
      </c>
      <c r="Z90" s="263">
        <f>O90*M90*'GREET factors'!K$7/454/2000</f>
        <v>45.202999365459142</v>
      </c>
      <c r="AA90" s="263">
        <f>O90*M90*'GREET factors'!L7/454/2000</f>
        <v>905.40057747020739</v>
      </c>
      <c r="AB90" s="263">
        <f>O90*M90*'GREET factors'!M7/454/2000</f>
        <v>135.12661857102481</v>
      </c>
      <c r="AC90" s="3">
        <f>T90-X90</f>
        <v>-864935.3680835932</v>
      </c>
      <c r="AD90" s="263">
        <f>P90-Y90</f>
        <v>-103.662583187981</v>
      </c>
      <c r="AE90" s="263">
        <f>Q90-Z90</f>
        <v>-39.615012997300298</v>
      </c>
      <c r="AF90" s="263">
        <f>U90-AA90</f>
        <v>-901.04179286299473</v>
      </c>
      <c r="AG90" s="263">
        <f>V90-AB90</f>
        <v>15.783001041942669</v>
      </c>
      <c r="AH90">
        <v>2040</v>
      </c>
    </row>
  </sheetData>
  <sheetProtection algorithmName="SHA-512" hashValue="OswPUjgIsqAdm6AEX39PdVAtQLtlFk4eXO2yykuzA68OAFgrxCwBMvLOMKEVKvLu32hBh1KQbWZVt3uHl8PdFg==" saltValue="ktgSjRbiITsAuSJcCjQhYQ==" spinCount="100000" sheet="1" objects="1" scenarios="1"/>
  <mergeCells count="9">
    <mergeCell ref="AF10:AG10"/>
    <mergeCell ref="AC7:AG7"/>
    <mergeCell ref="C12:I14"/>
    <mergeCell ref="P7:W7"/>
    <mergeCell ref="L5:L6"/>
    <mergeCell ref="M5:M6"/>
    <mergeCell ref="C7:I9"/>
    <mergeCell ref="AA10:AB10"/>
    <mergeCell ref="X7:A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91"/>
  <sheetViews>
    <sheetView workbookViewId="0">
      <selection activeCell="G84" sqref="G84"/>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2" max="12" width="12.6640625" customWidth="1"/>
    <col min="13" max="13" width="14.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147</v>
      </c>
      <c r="D1" s="29"/>
      <c r="F1" s="30"/>
      <c r="AH1" s="2"/>
    </row>
    <row r="2" spans="1:34">
      <c r="A2" s="29" t="s">
        <v>431</v>
      </c>
      <c r="D2" s="6"/>
      <c r="AH2" s="29"/>
    </row>
    <row r="3" spans="1:34">
      <c r="A3" t="s">
        <v>432</v>
      </c>
      <c r="D3" s="29"/>
    </row>
    <row r="4" spans="1:34">
      <c r="A4" s="29" t="s">
        <v>217</v>
      </c>
      <c r="D4" s="29"/>
      <c r="AH4" s="29"/>
    </row>
    <row r="5" spans="1:34" ht="15" customHeight="1">
      <c r="G5" s="6"/>
      <c r="L5" s="284" t="s">
        <v>167</v>
      </c>
      <c r="M5" s="284" t="s">
        <v>275</v>
      </c>
    </row>
    <row r="6" spans="1:34">
      <c r="A6" t="s">
        <v>0</v>
      </c>
      <c r="B6" t="s">
        <v>1</v>
      </c>
      <c r="C6" t="s">
        <v>42</v>
      </c>
      <c r="D6" t="s">
        <v>47</v>
      </c>
      <c r="E6" t="s">
        <v>22</v>
      </c>
      <c r="F6" t="s">
        <v>24</v>
      </c>
      <c r="G6" t="s">
        <v>115</v>
      </c>
      <c r="H6" t="s">
        <v>116</v>
      </c>
      <c r="I6" t="s">
        <v>117</v>
      </c>
      <c r="J6" t="s">
        <v>52</v>
      </c>
      <c r="L6" s="284"/>
      <c r="M6" s="284"/>
      <c r="P6" s="6"/>
    </row>
    <row r="7" spans="1:34">
      <c r="A7">
        <v>2020</v>
      </c>
      <c r="B7">
        <v>20</v>
      </c>
      <c r="C7" s="285" t="s">
        <v>145</v>
      </c>
      <c r="D7" s="285"/>
      <c r="E7" s="285"/>
      <c r="F7" s="285"/>
      <c r="G7" s="285"/>
      <c r="H7" s="285"/>
      <c r="I7" s="285"/>
      <c r="J7" s="3"/>
      <c r="P7" s="283" t="s">
        <v>168</v>
      </c>
      <c r="Q7" s="283"/>
      <c r="R7" s="283"/>
      <c r="S7" s="283"/>
      <c r="T7" s="283"/>
      <c r="U7" s="283"/>
      <c r="V7" s="283"/>
      <c r="W7" s="283"/>
      <c r="X7" s="281" t="s">
        <v>169</v>
      </c>
      <c r="Y7" s="281"/>
      <c r="Z7" s="281"/>
      <c r="AA7" s="281"/>
      <c r="AB7" s="281"/>
      <c r="AC7" s="281" t="s">
        <v>416</v>
      </c>
      <c r="AD7" s="281"/>
      <c r="AE7" s="281"/>
      <c r="AF7" s="281"/>
      <c r="AG7" s="281"/>
      <c r="AH7" s="33" t="s">
        <v>19</v>
      </c>
    </row>
    <row r="8" spans="1:34">
      <c r="A8">
        <v>2020</v>
      </c>
      <c r="B8">
        <v>30</v>
      </c>
      <c r="C8" s="285"/>
      <c r="D8" s="285"/>
      <c r="E8" s="285"/>
      <c r="F8" s="285"/>
      <c r="G8" s="285"/>
      <c r="H8" s="285"/>
      <c r="I8" s="285"/>
      <c r="J8" s="3"/>
      <c r="O8" t="s">
        <v>17</v>
      </c>
      <c r="P8" s="63"/>
    </row>
    <row r="9" spans="1:34">
      <c r="A9">
        <v>2020</v>
      </c>
      <c r="B9">
        <v>41</v>
      </c>
      <c r="C9" s="285"/>
      <c r="D9" s="285"/>
      <c r="E9" s="285"/>
      <c r="F9" s="285"/>
      <c r="G9" s="285"/>
      <c r="H9" s="285"/>
      <c r="I9" s="285"/>
      <c r="J9" s="3"/>
      <c r="O9" t="s">
        <v>142</v>
      </c>
      <c r="P9" s="33" t="s">
        <v>8</v>
      </c>
      <c r="Q9" s="33" t="s">
        <v>10</v>
      </c>
      <c r="R9" s="33" t="s">
        <v>14</v>
      </c>
      <c r="S9" s="33" t="s">
        <v>15</v>
      </c>
      <c r="T9" s="33" t="s">
        <v>16</v>
      </c>
      <c r="U9" s="33" t="s">
        <v>115</v>
      </c>
      <c r="V9" s="33" t="s">
        <v>116</v>
      </c>
      <c r="W9" s="33" t="s">
        <v>47</v>
      </c>
      <c r="X9" s="33" t="s">
        <v>47</v>
      </c>
      <c r="Y9" t="s">
        <v>8</v>
      </c>
      <c r="Z9" t="s">
        <v>10</v>
      </c>
      <c r="AA9" t="s">
        <v>115</v>
      </c>
      <c r="AB9" t="s">
        <v>116</v>
      </c>
      <c r="AC9" s="33" t="s">
        <v>47</v>
      </c>
      <c r="AD9" s="33" t="s">
        <v>8</v>
      </c>
      <c r="AE9" s="33" t="s">
        <v>10</v>
      </c>
      <c r="AF9" t="s">
        <v>115</v>
      </c>
      <c r="AG9" t="s">
        <v>116</v>
      </c>
    </row>
    <row r="10" spans="1:34">
      <c r="A10">
        <v>2020</v>
      </c>
      <c r="B10" s="8" t="s">
        <v>109</v>
      </c>
      <c r="C10" s="3">
        <f>'BAU Scenario'!C10</f>
        <v>3675.2864416982402</v>
      </c>
      <c r="D10" s="3">
        <f>'BAU Scenario'!D10</f>
        <v>6031540.5674675992</v>
      </c>
      <c r="E10" s="3">
        <f>'BAU Scenario'!E10</f>
        <v>54839424.501843609</v>
      </c>
      <c r="F10" s="3">
        <f>'BAU Scenario'!F10</f>
        <v>183.5304708290293</v>
      </c>
      <c r="G10" s="3">
        <f>'BAU Scenario'!G10</f>
        <v>3519.1356272733451</v>
      </c>
      <c r="H10" s="3">
        <f>'BAU Scenario'!H10</f>
        <v>82.883191918145144</v>
      </c>
      <c r="I10" s="3">
        <f>'BAU Scenario'!I10</f>
        <v>2304.1266558255061</v>
      </c>
      <c r="J10" s="3">
        <f>D10+AC10</f>
        <v>6028029.2829961302</v>
      </c>
      <c r="L10" s="42">
        <f>'BAU Scenario'!L10</f>
        <v>3.3272898906701702E-3</v>
      </c>
      <c r="M10" s="42">
        <f>'ZEV efficiency'!L44</f>
        <v>4.5885492022606078</v>
      </c>
      <c r="O10" s="3">
        <f>E10*L10/M10</f>
        <v>39765.654613719678</v>
      </c>
      <c r="P10" s="133">
        <f>'BAU Scenario'!P10</f>
        <v>4.5616154157354867</v>
      </c>
      <c r="Q10" s="133">
        <f>'BAU Scenario'!Q10</f>
        <v>9.9268684557813569E-2</v>
      </c>
      <c r="R10" s="133">
        <f>'BAU Scenario'!R10</f>
        <v>1.3300382077770896</v>
      </c>
      <c r="S10" s="133">
        <f>'BAU Scenario'!S10</f>
        <v>0.19742754646691169</v>
      </c>
      <c r="T10" s="133">
        <f>'BAU Scenario'!T10</f>
        <v>2279.7374427474228</v>
      </c>
      <c r="U10" s="133">
        <f>'BAU Scenario'!U10</f>
        <v>7.7432331741964205E-2</v>
      </c>
      <c r="V10" s="133">
        <f>'BAU Scenario'!V10</f>
        <v>2.680858262550696</v>
      </c>
      <c r="W10" s="133">
        <f>$O10*'GREET factors'!I96/454/2000</f>
        <v>2371.8218067889898</v>
      </c>
      <c r="X10" s="3">
        <f>('Combined MOVES output'!V16/454/2000-'BAU Scenario'!D10)*'GREET factors'!$V$1</f>
        <v>5791.0219142167034</v>
      </c>
      <c r="Y10" s="263">
        <f>O10*M10*'GREET factors'!$J$7/454/2000</f>
        <v>1.9210917660876179</v>
      </c>
      <c r="Z10" s="263">
        <f>O10*M10*'GREET factors'!K$7/454/2000</f>
        <v>0.24092334373929022</v>
      </c>
      <c r="AA10" s="282" t="s">
        <v>498</v>
      </c>
      <c r="AB10" s="282"/>
      <c r="AC10" s="133">
        <f>T10-X10</f>
        <v>-3511.2844714692806</v>
      </c>
      <c r="AD10" s="263">
        <f>P10-Y10</f>
        <v>2.6405236496478688</v>
      </c>
      <c r="AE10" s="263">
        <f>Q10-Z10</f>
        <v>-0.14165465918147666</v>
      </c>
      <c r="AF10" s="282" t="s">
        <v>498</v>
      </c>
      <c r="AG10" s="282"/>
      <c r="AH10">
        <v>2020</v>
      </c>
    </row>
    <row r="11" spans="1:34">
      <c r="C11" s="3"/>
      <c r="D11" s="3"/>
      <c r="E11" s="3"/>
      <c r="F11" s="3"/>
      <c r="G11" s="3"/>
      <c r="H11" s="3"/>
      <c r="L11" s="42"/>
      <c r="M11" s="42"/>
      <c r="P11" s="33"/>
      <c r="Q11" s="33"/>
      <c r="R11" s="33"/>
      <c r="S11" s="33"/>
      <c r="T11" s="33"/>
      <c r="U11" s="33"/>
      <c r="V11" s="33"/>
      <c r="W11" s="33"/>
      <c r="AC11" s="33"/>
    </row>
    <row r="12" spans="1:34">
      <c r="A12">
        <v>2025</v>
      </c>
      <c r="B12">
        <v>20</v>
      </c>
      <c r="C12" s="285" t="s">
        <v>145</v>
      </c>
      <c r="D12" s="285"/>
      <c r="E12" s="285"/>
      <c r="F12" s="285"/>
      <c r="G12" s="285"/>
      <c r="H12" s="285"/>
      <c r="I12" s="285"/>
      <c r="J12" s="3"/>
      <c r="L12" s="42"/>
      <c r="M12" s="42"/>
      <c r="P12" s="33"/>
      <c r="Q12" s="33"/>
      <c r="R12" s="33"/>
      <c r="S12" s="33"/>
      <c r="T12" s="33"/>
      <c r="U12" s="33"/>
      <c r="V12" s="33"/>
      <c r="W12" s="33"/>
      <c r="AC12" s="33"/>
    </row>
    <row r="13" spans="1:34">
      <c r="A13">
        <v>2025</v>
      </c>
      <c r="B13">
        <v>30</v>
      </c>
      <c r="C13" s="285"/>
      <c r="D13" s="285"/>
      <c r="E13" s="285"/>
      <c r="F13" s="285"/>
      <c r="G13" s="285"/>
      <c r="H13" s="285"/>
      <c r="I13" s="285"/>
      <c r="J13" s="3"/>
      <c r="L13" s="42"/>
      <c r="M13" s="42"/>
      <c r="O13" t="s">
        <v>17</v>
      </c>
      <c r="P13" s="33"/>
      <c r="Q13" s="33"/>
      <c r="R13" s="33"/>
      <c r="S13" s="33"/>
      <c r="T13" s="33"/>
      <c r="U13" s="33"/>
      <c r="V13" s="33"/>
      <c r="W13" s="33"/>
      <c r="AC13" s="33"/>
    </row>
    <row r="14" spans="1:34">
      <c r="A14">
        <v>2025</v>
      </c>
      <c r="B14">
        <v>41</v>
      </c>
      <c r="C14" s="285"/>
      <c r="D14" s="285"/>
      <c r="E14" s="285"/>
      <c r="F14" s="285"/>
      <c r="G14" s="285"/>
      <c r="H14" s="285"/>
      <c r="I14" s="285"/>
      <c r="J14" s="3"/>
      <c r="L14" s="42"/>
      <c r="M14" s="42"/>
      <c r="O14" t="s">
        <v>142</v>
      </c>
      <c r="P14" s="33" t="s">
        <v>8</v>
      </c>
      <c r="Q14" s="33" t="s">
        <v>10</v>
      </c>
      <c r="R14" s="33" t="s">
        <v>14</v>
      </c>
      <c r="S14" s="33" t="s">
        <v>15</v>
      </c>
      <c r="T14" s="33" t="s">
        <v>16</v>
      </c>
      <c r="U14" s="33" t="s">
        <v>115</v>
      </c>
      <c r="V14" s="33" t="s">
        <v>116</v>
      </c>
      <c r="W14" s="33" t="s">
        <v>47</v>
      </c>
      <c r="X14" t="s">
        <v>47</v>
      </c>
      <c r="Y14" t="s">
        <v>8</v>
      </c>
      <c r="Z14" t="s">
        <v>10</v>
      </c>
      <c r="AC14" s="33" t="s">
        <v>47</v>
      </c>
      <c r="AD14" s="33" t="s">
        <v>8</v>
      </c>
      <c r="AE14" s="33" t="s">
        <v>10</v>
      </c>
    </row>
    <row r="15" spans="1:34">
      <c r="A15">
        <v>2025</v>
      </c>
      <c r="B15" s="8" t="s">
        <v>109</v>
      </c>
      <c r="C15" s="3">
        <f>'BAU Scenario'!C15</f>
        <v>2178.6011454247887</v>
      </c>
      <c r="D15" s="3">
        <f>'BAU Scenario'!D15</f>
        <v>5203719.2667602431</v>
      </c>
      <c r="E15" s="3">
        <f>'BAU Scenario'!E15</f>
        <v>54636730.791605599</v>
      </c>
      <c r="F15" s="3">
        <f>'BAU Scenario'!F15</f>
        <v>163.83301061513663</v>
      </c>
      <c r="G15" s="3">
        <f>'BAU Scenario'!G15</f>
        <v>2913.3676922336895</v>
      </c>
      <c r="H15" s="3">
        <f>'BAU Scenario'!H15</f>
        <v>78.188005968272648</v>
      </c>
      <c r="I15" s="3">
        <f>'BAU Scenario'!I15</f>
        <v>411.93260493660739</v>
      </c>
      <c r="J15" s="3">
        <f>D15+AC15</f>
        <v>5148304.1862303196</v>
      </c>
      <c r="L15" s="42">
        <f>'BAU Scenario'!L15</f>
        <v>2.4617088553578286E-2</v>
      </c>
      <c r="M15" s="42">
        <f>'ZEV efficiency'!L44</f>
        <v>4.5885492022606078</v>
      </c>
      <c r="O15" s="3">
        <f>E15*L15/M15</f>
        <v>293120.37005342392</v>
      </c>
      <c r="P15" s="133">
        <f>'BAU Scenario'!P15</f>
        <v>33.624553944611066</v>
      </c>
      <c r="Q15" s="133">
        <f>'BAU Scenario'!Q15</f>
        <v>0.73172877034102279</v>
      </c>
      <c r="R15" s="133">
        <f>'BAU Scenario'!R15</f>
        <v>9.8039701706383031</v>
      </c>
      <c r="S15" s="133">
        <f>'BAU Scenario'!S15</f>
        <v>1.4552768222041232</v>
      </c>
      <c r="T15" s="133">
        <f>'BAU Scenario'!T15</f>
        <v>16804.387840058844</v>
      </c>
      <c r="U15" s="133">
        <f>'BAU Scenario'!U15</f>
        <v>0.57076876904908957</v>
      </c>
      <c r="V15" s="133">
        <f>'BAU Scenario'!V15</f>
        <v>19.761127375192835</v>
      </c>
      <c r="W15" s="133">
        <f>$O15*'GREET factors'!I97/454/2000</f>
        <v>17483.159587341634</v>
      </c>
      <c r="X15" s="3">
        <f>('Combined MOVES output'!D9/454/2000-'BAU Scenario'!D15)*'GREET factors'!$V$1</f>
        <v>72219.468369982744</v>
      </c>
      <c r="Y15" s="263">
        <f>O15*M15*'GREET factors'!$J$7/454/2000</f>
        <v>14.160740841618322</v>
      </c>
      <c r="Z15" s="263">
        <f>O15*M15*'GREET factors'!K$7/454/2000</f>
        <v>1.7758927988828916</v>
      </c>
      <c r="AA15" s="263"/>
      <c r="AB15" s="263"/>
      <c r="AC15" s="133">
        <f>T15-X15</f>
        <v>-55415.0805299239</v>
      </c>
      <c r="AD15" s="263">
        <f>P15-Y15</f>
        <v>19.463813102992745</v>
      </c>
      <c r="AE15" s="263">
        <f>Q15-Z15</f>
        <v>-1.0441640285418687</v>
      </c>
      <c r="AF15" s="263"/>
      <c r="AG15" s="263"/>
      <c r="AH15">
        <v>2025</v>
      </c>
    </row>
    <row r="16" spans="1:34">
      <c r="C16" s="3"/>
      <c r="D16" s="3"/>
      <c r="E16" s="3"/>
      <c r="F16" s="3"/>
      <c r="G16" s="3"/>
      <c r="H16" s="3"/>
      <c r="L16" s="42"/>
      <c r="M16" s="42"/>
      <c r="O16" s="6"/>
      <c r="P16" s="33"/>
      <c r="Q16" s="33"/>
      <c r="R16" s="33"/>
      <c r="S16" s="33"/>
      <c r="T16" s="33"/>
      <c r="U16" s="33"/>
      <c r="V16" s="33"/>
      <c r="W16" s="33"/>
      <c r="AC16" s="33"/>
    </row>
    <row r="17" spans="1:34">
      <c r="A17">
        <v>2026</v>
      </c>
      <c r="B17">
        <v>20</v>
      </c>
      <c r="C17" s="285" t="s">
        <v>145</v>
      </c>
      <c r="D17" s="285"/>
      <c r="E17" s="285"/>
      <c r="F17" s="285"/>
      <c r="G17" s="285"/>
      <c r="H17" s="285"/>
      <c r="I17" s="285"/>
      <c r="J17" s="3"/>
      <c r="L17" s="42"/>
      <c r="M17" s="42"/>
      <c r="P17" s="33"/>
      <c r="Q17" s="33"/>
      <c r="R17" s="33"/>
      <c r="S17" s="33"/>
      <c r="T17" s="33"/>
      <c r="U17" s="33"/>
      <c r="V17" s="33"/>
      <c r="W17" s="33"/>
      <c r="AC17" s="33"/>
    </row>
    <row r="18" spans="1:34">
      <c r="A18">
        <v>2026</v>
      </c>
      <c r="B18">
        <v>30</v>
      </c>
      <c r="C18" s="285"/>
      <c r="D18" s="285"/>
      <c r="E18" s="285"/>
      <c r="F18" s="285"/>
      <c r="G18" s="285"/>
      <c r="H18" s="285"/>
      <c r="I18" s="285"/>
      <c r="J18" s="3"/>
      <c r="L18" s="42"/>
      <c r="M18" s="42"/>
      <c r="O18" t="s">
        <v>17</v>
      </c>
      <c r="P18" s="33"/>
      <c r="Q18" s="33"/>
      <c r="R18" s="33"/>
      <c r="S18" s="33"/>
      <c r="T18" s="33"/>
      <c r="U18" s="33"/>
      <c r="V18" s="33"/>
      <c r="W18" s="33"/>
      <c r="AC18" s="33"/>
    </row>
    <row r="19" spans="1:34">
      <c r="A19">
        <v>2026</v>
      </c>
      <c r="B19">
        <v>41</v>
      </c>
      <c r="C19" s="285"/>
      <c r="D19" s="285"/>
      <c r="E19" s="285"/>
      <c r="F19" s="285"/>
      <c r="G19" s="285"/>
      <c r="H19" s="285"/>
      <c r="I19" s="285"/>
      <c r="J19" s="3"/>
      <c r="L19" s="42"/>
      <c r="M19" s="42"/>
      <c r="O19" t="s">
        <v>142</v>
      </c>
      <c r="P19" s="33" t="s">
        <v>8</v>
      </c>
      <c r="Q19" s="33" t="s">
        <v>10</v>
      </c>
      <c r="R19" s="33" t="s">
        <v>14</v>
      </c>
      <c r="S19" s="33" t="s">
        <v>15</v>
      </c>
      <c r="T19" s="33" t="s">
        <v>16</v>
      </c>
      <c r="U19" s="33" t="s">
        <v>115</v>
      </c>
      <c r="V19" s="33" t="s">
        <v>116</v>
      </c>
      <c r="W19" s="33" t="s">
        <v>47</v>
      </c>
      <c r="X19" t="s">
        <v>47</v>
      </c>
      <c r="Y19" t="s">
        <v>8</v>
      </c>
      <c r="Z19" t="s">
        <v>10</v>
      </c>
      <c r="AC19" s="33" t="s">
        <v>47</v>
      </c>
      <c r="AD19" s="33" t="s">
        <v>8</v>
      </c>
      <c r="AE19" s="33" t="s">
        <v>10</v>
      </c>
    </row>
    <row r="20" spans="1:34">
      <c r="A20">
        <v>2026</v>
      </c>
      <c r="B20" s="8" t="s">
        <v>109</v>
      </c>
      <c r="C20" s="3">
        <f>'BAU Scenario'!C20</f>
        <v>2000.6132606712381</v>
      </c>
      <c r="D20" s="3">
        <f>'BAU Scenario'!D20</f>
        <v>5083526.2096011778</v>
      </c>
      <c r="E20" s="3">
        <f>'BAU Scenario'!E20</f>
        <v>54606336.602324665</v>
      </c>
      <c r="F20" s="3">
        <f>'BAU Scenario'!F20</f>
        <v>161.41343796564902</v>
      </c>
      <c r="G20" s="3">
        <f>'BAU Scenario'!G20</f>
        <v>2812.9654794807789</v>
      </c>
      <c r="H20" s="3">
        <f>'BAU Scenario'!H20</f>
        <v>77.514965014936294</v>
      </c>
      <c r="I20" s="3">
        <f>'BAU Scenario'!I20</f>
        <v>422.10598813408387</v>
      </c>
      <c r="J20" s="3">
        <f>D20+AC20</f>
        <v>5024441.9087380022</v>
      </c>
      <c r="L20" s="42">
        <f>'BAU Scenario'!L20</f>
        <v>3.4155135658701381E-2</v>
      </c>
      <c r="M20" s="42">
        <f>'ZEV efficiency'!L45</f>
        <v>4.5196833584062999</v>
      </c>
      <c r="O20" s="3">
        <f>E20*L20/M20</f>
        <v>412658.73880482721</v>
      </c>
      <c r="P20" s="133">
        <f>'BAU Scenario'!P20</f>
        <v>42.830417515419853</v>
      </c>
      <c r="Q20" s="133">
        <f>'BAU Scenario'!Q20</f>
        <v>0.93206437157134725</v>
      </c>
      <c r="R20" s="133">
        <f>'BAU Scenario'!R20</f>
        <v>12.488139958937907</v>
      </c>
      <c r="S20" s="133">
        <f>'BAU Scenario'!S20</f>
        <v>1.8537082751548453</v>
      </c>
      <c r="T20" s="133">
        <f>'BAU Scenario'!T20</f>
        <v>21405.159707586721</v>
      </c>
      <c r="U20" s="133">
        <f>'BAU Scenario'!U20</f>
        <v>0.72703610353923254</v>
      </c>
      <c r="V20" s="133">
        <f>'BAU Scenario'!V20</f>
        <v>25.171407104734214</v>
      </c>
      <c r="W20" s="133">
        <f>$O20*'GREET factors'!I98/454/2000</f>
        <v>22269.724470377634</v>
      </c>
      <c r="X20" s="3">
        <f>('Combined MOVES output'!D10/454/2000-D20)*'GREET factors'!V1</f>
        <v>80489.460570762632</v>
      </c>
      <c r="Y20" s="263">
        <f>O20*M20*'GREET factors'!$J$7/454/2000</f>
        <v>19.636479928173529</v>
      </c>
      <c r="Z20" s="263">
        <f>O20*M20*'GREET factors'!K$7/454/2000</f>
        <v>2.46260302973432</v>
      </c>
      <c r="AA20" s="263"/>
      <c r="AB20" s="263"/>
      <c r="AC20" s="133">
        <f>T20-X20</f>
        <v>-59084.300863175915</v>
      </c>
      <c r="AD20" s="263">
        <f>P20-Y20</f>
        <v>23.193937587246324</v>
      </c>
      <c r="AE20" s="263">
        <f>Q20-Z20</f>
        <v>-1.5305386581629727</v>
      </c>
      <c r="AF20" s="263"/>
      <c r="AG20" s="263"/>
      <c r="AH20">
        <v>2026</v>
      </c>
    </row>
    <row r="21" spans="1:34">
      <c r="L21" s="42"/>
      <c r="M21" s="42"/>
      <c r="O21" s="6"/>
      <c r="P21" s="33"/>
      <c r="Q21" s="33"/>
      <c r="R21" s="33"/>
      <c r="S21" s="33"/>
      <c r="T21" s="33"/>
      <c r="U21" s="33"/>
      <c r="V21" s="33"/>
      <c r="W21" s="33"/>
      <c r="AC21" s="33"/>
    </row>
    <row r="22" spans="1:34">
      <c r="A22">
        <v>2027</v>
      </c>
      <c r="B22">
        <v>20</v>
      </c>
      <c r="C22" s="122"/>
      <c r="D22" s="3"/>
      <c r="E22" s="3"/>
      <c r="F22" s="3"/>
      <c r="G22" s="3"/>
      <c r="H22" s="3"/>
      <c r="I22" s="3"/>
      <c r="J22" s="3"/>
      <c r="L22" s="42"/>
      <c r="M22" s="42"/>
      <c r="P22" s="33"/>
      <c r="Q22" s="33"/>
      <c r="R22" s="33"/>
      <c r="S22" s="33"/>
      <c r="T22" s="33"/>
      <c r="U22" s="33"/>
      <c r="V22" s="33"/>
      <c r="W22" s="33"/>
      <c r="AC22" s="33"/>
    </row>
    <row r="23" spans="1:34">
      <c r="A23">
        <v>2027</v>
      </c>
      <c r="B23">
        <v>30</v>
      </c>
      <c r="C23" s="3"/>
      <c r="D23" s="3"/>
      <c r="E23" s="3"/>
      <c r="F23" s="3"/>
      <c r="G23" s="3"/>
      <c r="H23" s="3"/>
      <c r="I23" s="3"/>
      <c r="J23" s="3"/>
      <c r="L23" s="42"/>
      <c r="M23" s="42"/>
      <c r="O23" s="29" t="s">
        <v>17</v>
      </c>
      <c r="P23" s="33"/>
      <c r="Q23" s="33"/>
      <c r="R23" s="33"/>
      <c r="S23" s="33"/>
      <c r="T23" s="33"/>
      <c r="U23" s="33"/>
      <c r="V23" s="33"/>
      <c r="W23" s="33"/>
      <c r="AC23" s="33"/>
    </row>
    <row r="24" spans="1:34">
      <c r="A24">
        <v>2027</v>
      </c>
      <c r="B24">
        <v>41</v>
      </c>
      <c r="C24" s="3"/>
      <c r="D24" s="3"/>
      <c r="E24" s="3"/>
      <c r="F24" s="3"/>
      <c r="G24" s="3"/>
      <c r="H24" s="3"/>
      <c r="I24" s="3"/>
      <c r="J24" s="3"/>
      <c r="L24" s="42"/>
      <c r="M24" s="42"/>
      <c r="O24" s="29" t="s">
        <v>142</v>
      </c>
      <c r="P24" s="33" t="s">
        <v>8</v>
      </c>
      <c r="Q24" s="33" t="s">
        <v>10</v>
      </c>
      <c r="R24" s="33" t="s">
        <v>14</v>
      </c>
      <c r="S24" s="33" t="s">
        <v>15</v>
      </c>
      <c r="T24" s="33" t="s">
        <v>16</v>
      </c>
      <c r="U24" s="33" t="s">
        <v>115</v>
      </c>
      <c r="V24" s="33" t="s">
        <v>116</v>
      </c>
      <c r="W24" s="33" t="s">
        <v>47</v>
      </c>
      <c r="X24" t="s">
        <v>47</v>
      </c>
      <c r="Y24" t="s">
        <v>8</v>
      </c>
      <c r="Z24" t="s">
        <v>10</v>
      </c>
      <c r="AC24" s="33" t="s">
        <v>47</v>
      </c>
      <c r="AD24" s="33" t="s">
        <v>8</v>
      </c>
      <c r="AE24" s="33" t="s">
        <v>10</v>
      </c>
    </row>
    <row r="25" spans="1:34">
      <c r="A25">
        <v>2027</v>
      </c>
      <c r="B25" s="8" t="s">
        <v>109</v>
      </c>
      <c r="C25" s="3">
        <f>'BAU Scenario'!C25*(1-'ACC emissions benefits'!C30)</f>
        <v>1792.9333252874042</v>
      </c>
      <c r="D25" s="3">
        <f>'BAU Scenario'!D25*(1-'ACC emissions benefits'!D30)</f>
        <v>4755521.049548517</v>
      </c>
      <c r="E25" s="3">
        <f>'Combined MOVES output'!E11</f>
        <v>54575942.413043723</v>
      </c>
      <c r="F25" s="3">
        <f>'BAU Scenario'!F25*(1-'ACC emissions benefits'!F30)</f>
        <v>157.12608812591751</v>
      </c>
      <c r="G25" s="3">
        <f>'BAU Scenario'!G25*(1-'ACC emissions benefits'!G30)</f>
        <v>2688.0062194934058</v>
      </c>
      <c r="H25" s="3">
        <f>'BAU Scenario'!H25*(1-'ACC emissions benefits'!H30)</f>
        <v>73.462216721736723</v>
      </c>
      <c r="I25" s="3">
        <f>'BAU Scenario'!I25*(1-'ACC emissions benefits'!I30)</f>
        <v>403.16273759014649</v>
      </c>
      <c r="J25" s="3">
        <f>D25+AC25</f>
        <v>4637297.5943147754</v>
      </c>
      <c r="L25" s="42">
        <f>'Fleet ZEV fractions'!AS19</f>
        <v>5.324864152434583E-2</v>
      </c>
      <c r="M25" s="42">
        <f>'ZEV efficiency'!L46</f>
        <v>4.4511142158008035</v>
      </c>
      <c r="O25" s="3">
        <f>E25*L25/M25</f>
        <v>652891.53513277555</v>
      </c>
      <c r="P25" s="133">
        <f>$O25*'GREET factors'!B99/454/2000</f>
        <v>60.633969046384479</v>
      </c>
      <c r="Q25" s="133">
        <f>$O25*'GREET factors'!C99/454/2000</f>
        <v>1.3195006150651782</v>
      </c>
      <c r="R25" s="133">
        <f>$O25*'GREET factors'!D99/454/2000</f>
        <v>17.679152706007322</v>
      </c>
      <c r="S25" s="133">
        <f>$O25*'GREET factors'!E99/454/2000</f>
        <v>2.6242492297979609</v>
      </c>
      <c r="T25" s="133">
        <f>$O25*'GREET factors'!F99/454/2000</f>
        <v>30302.758329999131</v>
      </c>
      <c r="U25" s="133">
        <f>$O25*'GREET factors'!G99/454/2000</f>
        <v>1.0292471368445326</v>
      </c>
      <c r="V25" s="133">
        <f>$O25*'GREET factors'!H99/454/2000</f>
        <v>35.634542173046007</v>
      </c>
      <c r="W25" s="133">
        <f>$O25*'GREET factors'!I99/454/2000</f>
        <v>31526.763418129107</v>
      </c>
      <c r="X25" s="3">
        <f>('Combined MOVES output'!D11/454/2000-D25)*'GREET factors'!V1</f>
        <v>148526.21356374037</v>
      </c>
      <c r="Y25" s="263">
        <f>O25*M25*'GREET factors'!$J$7/454/2000</f>
        <v>30.596683771067177</v>
      </c>
      <c r="Z25" s="263">
        <f>O25*M25*'GREET factors'!K$7/454/2000</f>
        <v>3.8371177741662237</v>
      </c>
      <c r="AA25" s="263"/>
      <c r="AB25" s="263"/>
      <c r="AC25" s="133">
        <f>T25-X25</f>
        <v>-118223.45523374123</v>
      </c>
      <c r="AD25" s="263">
        <f>P25-Y25</f>
        <v>30.037285275317302</v>
      </c>
      <c r="AE25" s="263">
        <f>Q25-Z25</f>
        <v>-2.5176171591010457</v>
      </c>
      <c r="AF25" s="263"/>
      <c r="AG25" s="263"/>
      <c r="AH25">
        <v>2027</v>
      </c>
    </row>
    <row r="26" spans="1:34">
      <c r="L26" s="42"/>
      <c r="M26" s="42"/>
      <c r="O26" s="29"/>
      <c r="P26" s="134"/>
      <c r="Q26" s="33"/>
      <c r="R26" s="33"/>
      <c r="S26" s="33"/>
      <c r="T26" s="33"/>
      <c r="U26" s="33"/>
      <c r="V26" s="33"/>
      <c r="W26" s="33"/>
      <c r="X26" s="3"/>
      <c r="Y26" s="3"/>
      <c r="Z26" s="3"/>
      <c r="AA26" s="3"/>
      <c r="AB26" s="3"/>
      <c r="AC26" s="33"/>
    </row>
    <row r="27" spans="1:34">
      <c r="A27">
        <v>2028</v>
      </c>
      <c r="B27">
        <v>20</v>
      </c>
      <c r="C27" s="3"/>
      <c r="D27" s="3"/>
      <c r="E27" s="3"/>
      <c r="F27" s="3"/>
      <c r="G27" s="3"/>
      <c r="H27" s="3"/>
      <c r="I27" s="3"/>
      <c r="J27" s="3"/>
      <c r="L27" s="42"/>
      <c r="M27" s="42"/>
      <c r="O27" s="29"/>
      <c r="P27" s="134"/>
      <c r="Q27" s="33"/>
      <c r="R27" s="33"/>
      <c r="S27" s="33"/>
      <c r="T27" s="33"/>
      <c r="U27" s="33"/>
      <c r="V27" s="33"/>
      <c r="W27" s="33"/>
      <c r="X27" s="3"/>
      <c r="Y27" s="3"/>
      <c r="Z27" s="3"/>
      <c r="AA27" s="3"/>
      <c r="AB27" s="3"/>
      <c r="AC27" s="33"/>
    </row>
    <row r="28" spans="1:34">
      <c r="A28">
        <v>2028</v>
      </c>
      <c r="B28">
        <v>30</v>
      </c>
      <c r="C28" s="3"/>
      <c r="D28" s="3"/>
      <c r="E28" s="3"/>
      <c r="F28" s="3"/>
      <c r="G28" s="3"/>
      <c r="H28" s="3"/>
      <c r="I28" s="3"/>
      <c r="J28" s="3"/>
      <c r="L28" s="42"/>
      <c r="M28" s="42"/>
      <c r="O28" s="29" t="s">
        <v>17</v>
      </c>
      <c r="P28" s="33"/>
      <c r="Q28" s="33"/>
      <c r="R28" s="33"/>
      <c r="S28" s="33"/>
      <c r="T28" s="33"/>
      <c r="U28" s="33"/>
      <c r="V28" s="33"/>
      <c r="W28" s="33"/>
      <c r="X28" s="3"/>
      <c r="Y28" s="3"/>
      <c r="Z28" s="3"/>
      <c r="AA28" s="3"/>
      <c r="AB28" s="3"/>
      <c r="AC28" s="33"/>
      <c r="AE28" s="6"/>
    </row>
    <row r="29" spans="1:34">
      <c r="A29">
        <v>2028</v>
      </c>
      <c r="B29">
        <v>41</v>
      </c>
      <c r="C29" s="3"/>
      <c r="D29" s="3"/>
      <c r="E29" s="3"/>
      <c r="F29" s="3"/>
      <c r="G29" s="3"/>
      <c r="H29" s="3"/>
      <c r="I29" s="3"/>
      <c r="J29" s="3"/>
      <c r="L29" s="42"/>
      <c r="M29" s="42"/>
      <c r="O29" s="29" t="s">
        <v>142</v>
      </c>
      <c r="P29" s="33" t="s">
        <v>8</v>
      </c>
      <c r="Q29" s="33" t="s">
        <v>10</v>
      </c>
      <c r="R29" s="33" t="s">
        <v>14</v>
      </c>
      <c r="S29" s="33" t="s">
        <v>15</v>
      </c>
      <c r="T29" s="33" t="s">
        <v>16</v>
      </c>
      <c r="U29" s="33" t="s">
        <v>115</v>
      </c>
      <c r="V29" s="33" t="s">
        <v>116</v>
      </c>
      <c r="W29" s="33" t="s">
        <v>47</v>
      </c>
      <c r="X29" t="s">
        <v>47</v>
      </c>
      <c r="Y29" t="s">
        <v>8</v>
      </c>
      <c r="Z29" t="s">
        <v>10</v>
      </c>
      <c r="AC29" s="33" t="s">
        <v>47</v>
      </c>
      <c r="AD29" s="33" t="s">
        <v>8</v>
      </c>
      <c r="AE29" s="33" t="s">
        <v>10</v>
      </c>
    </row>
    <row r="30" spans="1:34">
      <c r="A30">
        <v>2028</v>
      </c>
      <c r="B30" s="8" t="s">
        <v>109</v>
      </c>
      <c r="C30" s="3">
        <f>'BAU Scenario'!C30*(1-'ACC emissions benefits'!C31)</f>
        <v>1597.1326535227722</v>
      </c>
      <c r="D30" s="3">
        <f>'BAU Scenario'!D30*(1-'ACC emissions benefits'!D31)</f>
        <v>4457380.608464512</v>
      </c>
      <c r="E30" s="3">
        <f>'Combined MOVES output'!E12</f>
        <v>54545548.223762788</v>
      </c>
      <c r="F30" s="3">
        <f>'BAU Scenario'!F30*(1-'ACC emissions benefits'!F31)</f>
        <v>153.24252873280633</v>
      </c>
      <c r="G30" s="3">
        <f>'BAU Scenario'!G30*(1-'ACC emissions benefits'!G31)</f>
        <v>2568.9148166895461</v>
      </c>
      <c r="H30" s="3">
        <f>'BAU Scenario'!H30*(1-'ACC emissions benefits'!H31)</f>
        <v>70.044213953706944</v>
      </c>
      <c r="I30" s="3">
        <f>'BAU Scenario'!I30*(1-'ACC emissions benefits'!I31)</f>
        <v>389.47234606352379</v>
      </c>
      <c r="J30" s="3">
        <f>D30+AC30</f>
        <v>4288017.6031597191</v>
      </c>
      <c r="L30" s="42">
        <f>'Fleet ZEV fractions'!AS20</f>
        <v>7.5738625058059839E-2</v>
      </c>
      <c r="M30" s="42">
        <f>'ZEV efficiency'!L47</f>
        <v>4.3820263375286919</v>
      </c>
      <c r="O30" s="3">
        <f>E30*L30/M30</f>
        <v>942761.29518558423</v>
      </c>
      <c r="P30" s="133">
        <f>$O30*'GREET factors'!B100/454/2000</f>
        <v>77.257989332584572</v>
      </c>
      <c r="Q30" s="133">
        <f>$O30*'GREET factors'!C100/454/2000</f>
        <v>1.6812682073485832</v>
      </c>
      <c r="R30" s="133">
        <f>$O30*'GREET factors'!D100/454/2000</f>
        <v>22.526247459159059</v>
      </c>
      <c r="S30" s="133">
        <f>$O30*'GREET factors'!E100/454/2000</f>
        <v>3.3437398572189219</v>
      </c>
      <c r="T30" s="133">
        <f>$O30*'GREET factors'!F100/454/2000</f>
        <v>38610.868076539991</v>
      </c>
      <c r="U30" s="133">
        <f>$O30*'GREET factors'!G100/454/2000</f>
        <v>1.3114359091039851</v>
      </c>
      <c r="V30" s="133">
        <f>$O30*'GREET factors'!H100/454/2000</f>
        <v>45.404467534867472</v>
      </c>
      <c r="W30" s="133">
        <f>$O30*'GREET factors'!I100/454/2000</f>
        <v>40170.458740470218</v>
      </c>
      <c r="X30" s="3">
        <f>('Combined MOVES output'!D12/454/2000-D30)*'GREET factors'!V1</f>
        <v>207973.8733813329</v>
      </c>
      <c r="Y30" s="263">
        <f>O30*M30*'GREET factors'!$J$7/454/2000</f>
        <v>43.495197722503512</v>
      </c>
      <c r="Z30" s="263">
        <f>O30*M30*'GREET factors'!K$7/454/2000</f>
        <v>5.4547152077217218</v>
      </c>
      <c r="AA30" s="263"/>
      <c r="AB30" s="263"/>
      <c r="AC30" s="133">
        <f>T30-X30</f>
        <v>-169363.0053047929</v>
      </c>
      <c r="AD30" s="263">
        <f>P30-Y30</f>
        <v>33.762791610081059</v>
      </c>
      <c r="AE30" s="263">
        <f>Q30-Z30</f>
        <v>-3.7734470003731388</v>
      </c>
      <c r="AF30" s="263"/>
      <c r="AG30" s="263"/>
      <c r="AH30">
        <v>2028</v>
      </c>
    </row>
    <row r="31" spans="1:34">
      <c r="L31" s="42"/>
      <c r="M31" s="42"/>
      <c r="O31" s="29"/>
      <c r="P31" s="33"/>
      <c r="Q31" s="33"/>
      <c r="R31" s="33"/>
      <c r="S31" s="33"/>
      <c r="T31" s="33"/>
      <c r="U31" s="33"/>
      <c r="V31" s="33"/>
      <c r="W31" s="33"/>
      <c r="X31" s="3"/>
      <c r="Y31" s="3"/>
      <c r="Z31" s="3"/>
      <c r="AA31" s="3"/>
      <c r="AB31" s="3"/>
      <c r="AC31" s="33"/>
    </row>
    <row r="32" spans="1:34">
      <c r="A32">
        <v>2029</v>
      </c>
      <c r="B32">
        <v>20</v>
      </c>
      <c r="C32" s="3"/>
      <c r="D32" s="3"/>
      <c r="E32" s="3"/>
      <c r="F32" s="3"/>
      <c r="G32" s="3"/>
      <c r="H32" s="3"/>
      <c r="I32" s="3"/>
      <c r="J32" s="3"/>
      <c r="L32" s="42"/>
      <c r="M32" s="42"/>
      <c r="O32" s="29"/>
      <c r="P32" s="33"/>
      <c r="Q32" s="33"/>
      <c r="R32" s="33"/>
      <c r="S32" s="33"/>
      <c r="T32" s="33"/>
      <c r="U32" s="33"/>
      <c r="V32" s="33"/>
      <c r="W32" s="33"/>
      <c r="X32" s="3"/>
      <c r="Y32" s="3"/>
      <c r="Z32" s="3"/>
      <c r="AA32" s="3"/>
      <c r="AB32" s="3"/>
      <c r="AC32" s="33"/>
    </row>
    <row r="33" spans="1:34">
      <c r="A33">
        <v>2029</v>
      </c>
      <c r="B33">
        <v>30</v>
      </c>
      <c r="C33" s="3"/>
      <c r="D33" s="3"/>
      <c r="E33" s="3"/>
      <c r="F33" s="3"/>
      <c r="G33" s="3"/>
      <c r="H33" s="3"/>
      <c r="I33" s="3"/>
      <c r="J33" s="3"/>
      <c r="L33" s="42"/>
      <c r="M33" s="42"/>
      <c r="O33" s="29" t="s">
        <v>17</v>
      </c>
      <c r="P33" s="33"/>
      <c r="Q33" s="33"/>
      <c r="R33" s="33"/>
      <c r="S33" s="33"/>
      <c r="T33" s="33"/>
      <c r="U33" s="33"/>
      <c r="V33" s="33"/>
      <c r="W33" s="33"/>
      <c r="X33" s="3"/>
      <c r="Y33" s="3"/>
      <c r="Z33" s="3"/>
      <c r="AA33" s="3"/>
      <c r="AB33" s="3"/>
      <c r="AC33" s="33"/>
    </row>
    <row r="34" spans="1:34">
      <c r="A34">
        <v>2029</v>
      </c>
      <c r="B34">
        <v>41</v>
      </c>
      <c r="C34" s="3"/>
      <c r="D34" s="3"/>
      <c r="E34" s="3"/>
      <c r="F34" s="3"/>
      <c r="G34" s="3"/>
      <c r="H34" s="3"/>
      <c r="I34" s="3"/>
      <c r="J34" s="3"/>
      <c r="L34" s="42"/>
      <c r="M34" s="42"/>
      <c r="O34" s="29" t="s">
        <v>142</v>
      </c>
      <c r="P34" s="33" t="s">
        <v>8</v>
      </c>
      <c r="Q34" s="33" t="s">
        <v>10</v>
      </c>
      <c r="R34" s="33" t="s">
        <v>14</v>
      </c>
      <c r="S34" s="33" t="s">
        <v>15</v>
      </c>
      <c r="T34" s="33" t="s">
        <v>16</v>
      </c>
      <c r="U34" s="33" t="s">
        <v>115</v>
      </c>
      <c r="V34" s="33" t="s">
        <v>116</v>
      </c>
      <c r="W34" s="33" t="s">
        <v>47</v>
      </c>
      <c r="X34" t="s">
        <v>47</v>
      </c>
      <c r="Y34" t="s">
        <v>8</v>
      </c>
      <c r="Z34" t="s">
        <v>10</v>
      </c>
      <c r="AC34" s="33" t="s">
        <v>47</v>
      </c>
      <c r="AD34" s="33" t="s">
        <v>8</v>
      </c>
      <c r="AE34" s="33" t="s">
        <v>10</v>
      </c>
    </row>
    <row r="35" spans="1:34">
      <c r="A35">
        <v>2029</v>
      </c>
      <c r="B35" s="8" t="s">
        <v>109</v>
      </c>
      <c r="C35" s="3">
        <f>'BAU Scenario'!C35*(1-'ACC emissions benefits'!C32)</f>
        <v>1398.6776358022773</v>
      </c>
      <c r="D35" s="3">
        <f>'BAU Scenario'!D35*(1-'ACC emissions benefits'!D32)</f>
        <v>4131461.6375573357</v>
      </c>
      <c r="E35" s="3">
        <f>'Combined MOVES output'!E13</f>
        <v>54515154.034481846</v>
      </c>
      <c r="F35" s="3">
        <f>'BAU Scenario'!F35*(1-'ACC emissions benefits'!F32)</f>
        <v>148.98588006704145</v>
      </c>
      <c r="G35" s="3">
        <f>'BAU Scenario'!G35*(1-'ACC emissions benefits'!G32)</f>
        <v>2442.4185080108091</v>
      </c>
      <c r="H35" s="3">
        <f>'BAU Scenario'!H35*(1-'ACC emissions benefits'!H32)</f>
        <v>66.019447354114789</v>
      </c>
      <c r="I35" s="3">
        <f>'BAU Scenario'!I35*(1-'ACC emissions benefits'!I32)</f>
        <v>373.53596096257257</v>
      </c>
      <c r="J35" s="3">
        <f>D35+AC35</f>
        <v>3901624.0437730462</v>
      </c>
      <c r="L35" s="42">
        <f>'Fleet ZEV fractions'!AS21</f>
        <v>0.10158151239299376</v>
      </c>
      <c r="M35" s="42">
        <f>'ZEV efficiency'!L48</f>
        <v>4.3133593585787438</v>
      </c>
      <c r="O35" s="3">
        <f>E35*L35/M35</f>
        <v>1283855.8846588591</v>
      </c>
      <c r="P35" s="133">
        <f>$O35*'GREET factors'!B101/454/2000</f>
        <v>91.18887940943317</v>
      </c>
      <c r="Q35" s="133">
        <f>$O35*'GREET factors'!C101/454/2000</f>
        <v>1.9844286026501867</v>
      </c>
      <c r="R35" s="133">
        <f>$O35*'GREET factors'!D101/454/2000</f>
        <v>26.588101513456593</v>
      </c>
      <c r="S35" s="133">
        <f>$O35*'GREET factors'!E101/454/2000</f>
        <v>3.946671318403713</v>
      </c>
      <c r="T35" s="133">
        <f>$O35*'GREET factors'!F101/454/2000</f>
        <v>45573.044591779981</v>
      </c>
      <c r="U35" s="133">
        <f>$O35*'GREET factors'!G101/454/2000</f>
        <v>1.5479094395490007</v>
      </c>
      <c r="V35" s="133">
        <f>$O35*'GREET factors'!H101/454/2000</f>
        <v>53.591642113060956</v>
      </c>
      <c r="W35" s="133">
        <f>$O35*'GREET factors'!I101/454/2000</f>
        <v>47413.855182500694</v>
      </c>
      <c r="X35" s="3">
        <f>('Combined MOVES output'!D13/454/2000-D35)*'GREET factors'!V1</f>
        <v>275410.63837606931</v>
      </c>
      <c r="Y35" s="263">
        <f>O35*M35*'GREET factors'!$J$7/454/2000</f>
        <v>58.303751457099274</v>
      </c>
      <c r="Z35" s="263">
        <f>O35*M35*'GREET factors'!K$7/454/2000</f>
        <v>7.3118499602939968</v>
      </c>
      <c r="AA35" s="263"/>
      <c r="AB35" s="263"/>
      <c r="AC35" s="133">
        <f>T35-X35</f>
        <v>-229837.59378428932</v>
      </c>
      <c r="AD35" s="263">
        <f>P35-Y35</f>
        <v>32.885127952333896</v>
      </c>
      <c r="AE35" s="263">
        <f>Q35-Z35</f>
        <v>-5.3274213576438099</v>
      </c>
      <c r="AF35" s="263"/>
      <c r="AG35" s="263"/>
      <c r="AH35">
        <v>2029</v>
      </c>
    </row>
    <row r="36" spans="1:34">
      <c r="C36" s="3"/>
      <c r="D36" s="3"/>
      <c r="E36" s="3"/>
      <c r="F36" s="3"/>
      <c r="G36" s="3"/>
      <c r="H36" s="3"/>
      <c r="L36" s="42"/>
      <c r="M36" s="42"/>
      <c r="O36" s="29"/>
      <c r="P36" s="33"/>
      <c r="Q36" s="33"/>
      <c r="R36" s="33"/>
      <c r="S36" s="33"/>
      <c r="T36" s="33"/>
      <c r="U36" s="33"/>
      <c r="V36" s="33"/>
      <c r="W36" s="33"/>
      <c r="AC36" s="33"/>
    </row>
    <row r="37" spans="1:34">
      <c r="A37">
        <v>2030</v>
      </c>
      <c r="B37">
        <v>20</v>
      </c>
      <c r="C37" s="3"/>
      <c r="D37" s="3"/>
      <c r="E37" s="3"/>
      <c r="F37" s="3"/>
      <c r="G37" s="3"/>
      <c r="H37" s="3"/>
      <c r="I37" s="3"/>
      <c r="J37" s="3"/>
      <c r="L37" s="42"/>
      <c r="M37" s="42"/>
      <c r="O37" s="29"/>
      <c r="P37" s="33"/>
      <c r="Q37" s="33"/>
      <c r="R37" s="33"/>
      <c r="S37" s="33"/>
      <c r="T37" s="33"/>
      <c r="U37" s="33"/>
      <c r="V37" s="33"/>
      <c r="W37" s="33"/>
      <c r="AC37" s="33"/>
    </row>
    <row r="38" spans="1:34">
      <c r="A38">
        <v>2030</v>
      </c>
      <c r="B38">
        <v>30</v>
      </c>
      <c r="C38" s="3"/>
      <c r="D38" s="3"/>
      <c r="E38" s="3"/>
      <c r="F38" s="3"/>
      <c r="G38" s="3"/>
      <c r="H38" s="3"/>
      <c r="I38" s="3"/>
      <c r="J38" s="3"/>
      <c r="L38" s="42"/>
      <c r="M38" s="42"/>
      <c r="O38" s="29" t="s">
        <v>17</v>
      </c>
      <c r="P38" s="33"/>
      <c r="Q38" s="33"/>
      <c r="R38" s="33"/>
      <c r="S38" s="33"/>
      <c r="T38" s="33"/>
      <c r="U38" s="33"/>
      <c r="V38" s="33"/>
      <c r="W38" s="33"/>
      <c r="AC38" s="33"/>
    </row>
    <row r="39" spans="1:34">
      <c r="A39">
        <v>2030</v>
      </c>
      <c r="B39">
        <v>41</v>
      </c>
      <c r="C39" s="3"/>
      <c r="D39" s="3"/>
      <c r="E39" s="3"/>
      <c r="F39" s="3"/>
      <c r="G39" s="3"/>
      <c r="H39" s="3"/>
      <c r="I39" s="3"/>
      <c r="J39" s="3"/>
      <c r="L39" s="42"/>
      <c r="M39" s="42"/>
      <c r="O39" s="29" t="s">
        <v>142</v>
      </c>
      <c r="P39" s="33" t="s">
        <v>8</v>
      </c>
      <c r="Q39" s="33" t="s">
        <v>10</v>
      </c>
      <c r="R39" s="33" t="s">
        <v>14</v>
      </c>
      <c r="S39" s="33" t="s">
        <v>15</v>
      </c>
      <c r="T39" s="33" t="s">
        <v>16</v>
      </c>
      <c r="U39" s="33" t="s">
        <v>115</v>
      </c>
      <c r="V39" s="33" t="s">
        <v>116</v>
      </c>
      <c r="W39" s="33" t="s">
        <v>47</v>
      </c>
      <c r="X39" t="s">
        <v>47</v>
      </c>
      <c r="Y39" t="s">
        <v>8</v>
      </c>
      <c r="Z39" t="s">
        <v>10</v>
      </c>
      <c r="AC39" s="33" t="s">
        <v>47</v>
      </c>
      <c r="AD39" s="33" t="s">
        <v>8</v>
      </c>
      <c r="AE39" s="33" t="s">
        <v>10</v>
      </c>
    </row>
    <row r="40" spans="1:34">
      <c r="A40">
        <v>2030</v>
      </c>
      <c r="B40" s="8" t="s">
        <v>109</v>
      </c>
      <c r="C40" s="3">
        <f>'BAU Scenario'!C40*(1-'ACC emissions benefits'!C33)</f>
        <v>1200.2633722301762</v>
      </c>
      <c r="D40" s="3">
        <f>'BAU Scenario'!D40*(1-'ACC emissions benefits'!D33)</f>
        <v>3796426.4994223039</v>
      </c>
      <c r="E40" s="3">
        <f>'Combined MOVES output'!E14</f>
        <v>54484759.845200911</v>
      </c>
      <c r="F40" s="3">
        <f>'BAU Scenario'!F40*(1-'ACC emissions benefits'!F33)</f>
        <v>143.72984368864982</v>
      </c>
      <c r="G40" s="3">
        <f>'BAU Scenario'!G40*(1-'ACC emissions benefits'!G33)</f>
        <v>2310.6931890889532</v>
      </c>
      <c r="H40" s="3">
        <f>'BAU Scenario'!H40*(1-'ACC emissions benefits'!H33)</f>
        <v>61.802546813776999</v>
      </c>
      <c r="I40" s="3">
        <f>'BAU Scenario'!I40*(1-'ACC emissions benefits'!I33)</f>
        <v>355.83524518303557</v>
      </c>
      <c r="J40" s="3">
        <f>D40+AC40</f>
        <v>3501533.0314605683</v>
      </c>
      <c r="L40" s="42">
        <f>'Fleet ZEV fractions'!AS22</f>
        <v>0.13117838391445327</v>
      </c>
      <c r="M40" s="42">
        <f>'ZEV efficiency'!L49</f>
        <v>4.2450182265177867</v>
      </c>
      <c r="O40" s="3">
        <f>E40*L40/M40</f>
        <v>1683673.0405097604</v>
      </c>
      <c r="P40" s="133">
        <f>$O40*'GREET factors'!B102/454/2000</f>
        <v>101.19897765497612</v>
      </c>
      <c r="Q40" s="133">
        <f>$O40*'GREET factors'!C102/454/2000</f>
        <v>2.2022657490483137</v>
      </c>
      <c r="R40" s="133">
        <f>$O40*'GREET factors'!D102/454/2000</f>
        <v>29.506763416485065</v>
      </c>
      <c r="S40" s="133">
        <f>$O40*'GREET factors'!E102/454/2000</f>
        <v>4.3799101946345012</v>
      </c>
      <c r="T40" s="133">
        <f>$O40*'GREET factors'!F102/454/2000</f>
        <v>50575.745103801353</v>
      </c>
      <c r="U40" s="133">
        <f>$O40*'GREET factors'!G102/454/2000</f>
        <v>1.7178284654810811</v>
      </c>
      <c r="V40" s="133">
        <f>$O40*'GREET factors'!H102/454/2000</f>
        <v>59.474570011352711</v>
      </c>
      <c r="W40" s="133">
        <f>$O40*'GREET factors'!I102/454/2000</f>
        <v>52618.62742721456</v>
      </c>
      <c r="X40" s="3">
        <f>('Combined MOVES output'!D14/454/2000-D40)*'GREET factors'!V1</f>
        <v>345469.21306553716</v>
      </c>
      <c r="Y40" s="263">
        <f>O40*M40*'GREET factors'!$J$7/454/2000</f>
        <v>75.249202004651991</v>
      </c>
      <c r="Z40" s="263">
        <f>O40*M40*'GREET factors'!K$7/454/2000</f>
        <v>9.4369720805139377</v>
      </c>
      <c r="AA40" s="263"/>
      <c r="AB40" s="263"/>
      <c r="AC40" s="133">
        <f>T40-X40</f>
        <v>-294893.46796173579</v>
      </c>
      <c r="AD40" s="263">
        <f>P40-Y40</f>
        <v>25.949775650324128</v>
      </c>
      <c r="AE40" s="263">
        <f>Q40-Z40</f>
        <v>-7.2347063314656239</v>
      </c>
      <c r="AF40" s="263"/>
      <c r="AG40" s="263"/>
      <c r="AH40">
        <v>2030</v>
      </c>
    </row>
    <row r="41" spans="1:34">
      <c r="A41" s="6"/>
      <c r="C41" s="3"/>
      <c r="D41" s="3"/>
      <c r="E41" s="3"/>
      <c r="F41" s="3"/>
      <c r="G41" s="3"/>
      <c r="H41" s="3"/>
      <c r="L41" s="42"/>
      <c r="M41" s="42"/>
      <c r="O41" s="29"/>
      <c r="P41" s="33"/>
      <c r="Q41" s="33"/>
      <c r="R41" s="33"/>
      <c r="S41" s="33"/>
      <c r="T41" s="33"/>
      <c r="U41" s="33"/>
      <c r="V41" s="33"/>
      <c r="W41" s="33"/>
      <c r="AC41" s="33"/>
      <c r="AH41" s="6"/>
    </row>
    <row r="42" spans="1:34">
      <c r="A42">
        <v>2031</v>
      </c>
      <c r="B42">
        <v>20</v>
      </c>
      <c r="C42" s="3"/>
      <c r="D42" s="3"/>
      <c r="E42" s="3"/>
      <c r="F42" s="3"/>
      <c r="G42" s="3"/>
      <c r="H42" s="3"/>
      <c r="I42" s="3"/>
      <c r="J42" s="3"/>
      <c r="L42" s="42"/>
      <c r="M42" s="42"/>
      <c r="O42" s="29"/>
      <c r="P42" s="33"/>
      <c r="Q42" s="33"/>
      <c r="R42" s="33"/>
      <c r="S42" s="33"/>
      <c r="T42" s="33"/>
      <c r="U42" s="33"/>
      <c r="V42" s="33"/>
      <c r="W42" s="33"/>
      <c r="AC42" s="33"/>
    </row>
    <row r="43" spans="1:34">
      <c r="A43">
        <v>2031</v>
      </c>
      <c r="B43">
        <v>30</v>
      </c>
      <c r="C43" s="3"/>
      <c r="D43" s="3"/>
      <c r="E43" s="3"/>
      <c r="F43" s="3"/>
      <c r="G43" s="3"/>
      <c r="H43" s="3"/>
      <c r="I43" s="3"/>
      <c r="J43" s="3"/>
      <c r="L43" s="42"/>
      <c r="M43" s="42"/>
      <c r="O43" s="29" t="s">
        <v>17</v>
      </c>
      <c r="P43" s="33"/>
      <c r="Q43" s="33"/>
      <c r="R43" s="33"/>
      <c r="S43" s="33"/>
      <c r="T43" s="33"/>
      <c r="U43" s="33"/>
      <c r="V43" s="33"/>
      <c r="W43" s="33"/>
      <c r="AC43" s="33"/>
    </row>
    <row r="44" spans="1:34">
      <c r="A44">
        <v>2031</v>
      </c>
      <c r="B44">
        <v>41</v>
      </c>
      <c r="C44" s="3"/>
      <c r="D44" s="3"/>
      <c r="E44" s="3"/>
      <c r="F44" s="3"/>
      <c r="G44" s="3"/>
      <c r="H44" s="3"/>
      <c r="I44" s="3"/>
      <c r="J44" s="3"/>
      <c r="L44" s="42"/>
      <c r="M44" s="42"/>
      <c r="O44" s="29" t="s">
        <v>142</v>
      </c>
      <c r="P44" s="33" t="s">
        <v>8</v>
      </c>
      <c r="Q44" s="33" t="s">
        <v>10</v>
      </c>
      <c r="R44" s="33" t="s">
        <v>14</v>
      </c>
      <c r="S44" s="33" t="s">
        <v>15</v>
      </c>
      <c r="T44" s="33" t="s">
        <v>16</v>
      </c>
      <c r="U44" s="33" t="s">
        <v>115</v>
      </c>
      <c r="V44" s="33" t="s">
        <v>116</v>
      </c>
      <c r="W44" s="33" t="s">
        <v>47</v>
      </c>
      <c r="X44" t="s">
        <v>47</v>
      </c>
      <c r="Y44" t="s">
        <v>8</v>
      </c>
      <c r="Z44" t="s">
        <v>10</v>
      </c>
      <c r="AC44" s="33" t="s">
        <v>47</v>
      </c>
      <c r="AD44" s="33" t="s">
        <v>8</v>
      </c>
      <c r="AE44" s="33" t="s">
        <v>10</v>
      </c>
    </row>
    <row r="45" spans="1:34">
      <c r="A45">
        <v>2031</v>
      </c>
      <c r="B45" s="8" t="s">
        <v>109</v>
      </c>
      <c r="C45" s="3">
        <f>'BAU Scenario'!C45*(1-'ACC emissions benefits'!C34)</f>
        <v>1077.2487410263047</v>
      </c>
      <c r="D45" s="3">
        <f>'BAU Scenario'!D45*(1-'ACC emissions benefits'!D34)</f>
        <v>3490702.9694740963</v>
      </c>
      <c r="E45" s="3">
        <f>'Combined MOVES output'!E15</f>
        <v>54046269.656911105</v>
      </c>
      <c r="F45" s="3">
        <f>'BAU Scenario'!F45*(1-'ACC emissions benefits'!F34)</f>
        <v>138.1350610053461</v>
      </c>
      <c r="G45" s="3">
        <f>'BAU Scenario'!G45*(1-'ACC emissions benefits'!G34)</f>
        <v>2237.2672268799861</v>
      </c>
      <c r="H45" s="3">
        <f>'BAU Scenario'!H45*(1-'ACC emissions benefits'!H34)</f>
        <v>57.332959212119128</v>
      </c>
      <c r="I45" s="3">
        <f>'BAU Scenario'!I45*(1-'ACC emissions benefits'!I34)</f>
        <v>337.33963946059737</v>
      </c>
      <c r="J45" s="3">
        <f>D45+AC45</f>
        <v>3132019.2368063056</v>
      </c>
      <c r="L45" s="42">
        <f>'Fleet ZEV fractions'!AS23</f>
        <v>0.17312529144467173</v>
      </c>
      <c r="M45" s="42">
        <f>'ZEV efficiency'!L50</f>
        <v>4.2065593236946501</v>
      </c>
      <c r="O45" s="3">
        <f>E45*L45/M45</f>
        <v>2224330.0202960013</v>
      </c>
      <c r="P45" s="133">
        <f>$O45*'GREET factors'!B103/454/2000</f>
        <v>127.0109591797117</v>
      </c>
      <c r="Q45" s="133">
        <f>$O45*'GREET factors'!C103/454/2000</f>
        <v>2.7639793566778064</v>
      </c>
      <c r="R45" s="133">
        <f>$O45*'GREET factors'!D103/454/2000</f>
        <v>37.032808143515027</v>
      </c>
      <c r="S45" s="133">
        <f>$O45*'GREET factors'!E103/454/2000</f>
        <v>5.4970574588030114</v>
      </c>
      <c r="T45" s="133">
        <f>$O45*'GREET factors'!F103/454/2000</f>
        <v>63475.679752052856</v>
      </c>
      <c r="U45" s="133">
        <f>$O45*'GREET factors'!G103/454/2000</f>
        <v>2.1559806844178722</v>
      </c>
      <c r="V45" s="133">
        <f>$O45*'GREET factors'!H103/454/2000</f>
        <v>74.644253914272468</v>
      </c>
      <c r="W45" s="133">
        <f>$O45*'GREET factors'!I103/454/2000</f>
        <v>66039.623078364035</v>
      </c>
      <c r="X45" s="3">
        <f>('Combined MOVES output'!D15/454/2000-D45)*'GREET factors'!V1</f>
        <v>422159.41241984366</v>
      </c>
      <c r="Y45" s="263">
        <f>O45*M45*'GREET factors'!$J$7/454/2000</f>
        <v>98.51238257084573</v>
      </c>
      <c r="Z45" s="263">
        <f>O45*M45*'GREET factors'!K$7/454/2000</f>
        <v>12.354398174860464</v>
      </c>
      <c r="AA45" s="263"/>
      <c r="AB45" s="263"/>
      <c r="AC45" s="133">
        <f>T45-X45</f>
        <v>-358683.73266779078</v>
      </c>
      <c r="AD45" s="263">
        <f>P45-Y45</f>
        <v>28.498576608865974</v>
      </c>
      <c r="AE45" s="263">
        <f>Q45-Z45</f>
        <v>-9.5904188181826573</v>
      </c>
      <c r="AF45" s="263"/>
      <c r="AG45" s="263"/>
      <c r="AH45">
        <v>2031</v>
      </c>
    </row>
    <row r="46" spans="1:34">
      <c r="L46" s="42"/>
      <c r="M46" s="42"/>
      <c r="O46" s="29"/>
      <c r="P46" s="33"/>
      <c r="Q46" s="33"/>
      <c r="R46" s="33"/>
      <c r="S46" s="33"/>
      <c r="T46" s="33"/>
      <c r="U46" s="33"/>
      <c r="V46" s="33"/>
      <c r="W46" s="33"/>
      <c r="AC46" s="33"/>
    </row>
    <row r="47" spans="1:34">
      <c r="A47">
        <v>2032</v>
      </c>
      <c r="B47">
        <v>20</v>
      </c>
      <c r="C47" s="3"/>
      <c r="D47" s="3"/>
      <c r="E47" s="3"/>
      <c r="F47" s="3"/>
      <c r="G47" s="3"/>
      <c r="H47" s="3"/>
      <c r="I47" s="3"/>
      <c r="J47" s="3"/>
      <c r="L47" s="42"/>
      <c r="M47" s="42"/>
      <c r="O47" s="29"/>
      <c r="P47" s="33"/>
      <c r="Q47" s="33"/>
      <c r="R47" s="33"/>
      <c r="S47" s="33"/>
      <c r="T47" s="33"/>
      <c r="U47" s="33"/>
      <c r="V47" s="33"/>
      <c r="W47" s="33"/>
      <c r="AC47" s="33"/>
    </row>
    <row r="48" spans="1:34">
      <c r="A48">
        <v>2032</v>
      </c>
      <c r="B48">
        <v>30</v>
      </c>
      <c r="C48" s="3"/>
      <c r="D48" s="3"/>
      <c r="E48" s="3"/>
      <c r="F48" s="3"/>
      <c r="G48" s="3"/>
      <c r="H48" s="3"/>
      <c r="I48" s="3"/>
      <c r="J48" s="3"/>
      <c r="L48" s="42"/>
      <c r="M48" s="42"/>
      <c r="O48" s="29" t="s">
        <v>17</v>
      </c>
      <c r="P48" s="33"/>
      <c r="Q48" s="33"/>
      <c r="R48" s="33"/>
      <c r="S48" s="33"/>
      <c r="T48" s="33"/>
      <c r="U48" s="33"/>
      <c r="V48" s="33"/>
      <c r="W48" s="33"/>
      <c r="AC48" s="33"/>
    </row>
    <row r="49" spans="1:34">
      <c r="A49">
        <v>2032</v>
      </c>
      <c r="B49">
        <v>41</v>
      </c>
      <c r="C49" s="3"/>
      <c r="D49" s="3"/>
      <c r="E49" s="3"/>
      <c r="F49" s="3"/>
      <c r="G49" s="3"/>
      <c r="H49" s="3"/>
      <c r="I49" s="3"/>
      <c r="J49" s="3"/>
      <c r="L49" s="42"/>
      <c r="M49" s="42"/>
      <c r="O49" s="29" t="s">
        <v>142</v>
      </c>
      <c r="P49" s="33" t="s">
        <v>8</v>
      </c>
      <c r="Q49" s="33" t="s">
        <v>10</v>
      </c>
      <c r="R49" s="33" t="s">
        <v>14</v>
      </c>
      <c r="S49" s="33" t="s">
        <v>15</v>
      </c>
      <c r="T49" s="33" t="s">
        <v>16</v>
      </c>
      <c r="U49" s="33" t="s">
        <v>115</v>
      </c>
      <c r="V49" s="33" t="s">
        <v>116</v>
      </c>
      <c r="W49" s="33" t="s">
        <v>47</v>
      </c>
      <c r="X49" t="s">
        <v>47</v>
      </c>
      <c r="Y49" t="s">
        <v>8</v>
      </c>
      <c r="Z49" t="s">
        <v>10</v>
      </c>
      <c r="AC49" s="33" t="s">
        <v>47</v>
      </c>
      <c r="AD49" s="33" t="s">
        <v>8</v>
      </c>
      <c r="AE49" s="33" t="s">
        <v>10</v>
      </c>
    </row>
    <row r="50" spans="1:34">
      <c r="A50">
        <v>2032</v>
      </c>
      <c r="B50" s="8" t="s">
        <v>109</v>
      </c>
      <c r="C50" s="3">
        <f>'BAU Scenario'!C50*(1-'ACC emissions benefits'!C35)</f>
        <v>954.72168651103698</v>
      </c>
      <c r="D50" s="3">
        <f>'BAU Scenario'!D50*(1-'ACC emissions benefits'!D35)</f>
        <v>3182365.6686566076</v>
      </c>
      <c r="E50" s="3">
        <f>'Combined MOVES output'!E16</f>
        <v>53607779.468621306</v>
      </c>
      <c r="F50" s="3">
        <f>'BAU Scenario'!F50*(1-'ACC emissions benefits'!F35)</f>
        <v>131.8029566556977</v>
      </c>
      <c r="G50" s="3">
        <f>'BAU Scenario'!G50*(1-'ACC emissions benefits'!G35)</f>
        <v>2160.8530736315361</v>
      </c>
      <c r="H50" s="3">
        <f>'BAU Scenario'!H50*(1-'ACC emissions benefits'!H35)</f>
        <v>52.942269602874831</v>
      </c>
      <c r="I50" s="3">
        <f>'BAU Scenario'!I50*(1-'ACC emissions benefits'!I35)</f>
        <v>318.47364107354741</v>
      </c>
      <c r="J50" s="3">
        <f>D50+AC50</f>
        <v>2758715.8727285457</v>
      </c>
      <c r="L50" s="42">
        <f>'Fleet ZEV fractions'!AS24</f>
        <v>0.21844780358057228</v>
      </c>
      <c r="M50" s="42">
        <f>'ZEV efficiency'!L51</f>
        <v>4.1683672854151466</v>
      </c>
      <c r="O50" s="3">
        <f>E50*L50/M50</f>
        <v>2809373.7614548332</v>
      </c>
      <c r="P50" s="133">
        <f>$O50*'GREET factors'!B104/454/2000</f>
        <v>151.97438641737651</v>
      </c>
      <c r="Q50" s="133">
        <f>$O50*'GREET factors'!C104/454/2000</f>
        <v>3.3072269472987545</v>
      </c>
      <c r="R50" s="133">
        <f>$O50*'GREET factors'!D104/454/2000</f>
        <v>44.311438408711147</v>
      </c>
      <c r="S50" s="133">
        <f>$O50*'GREET factors'!E104/454/2000</f>
        <v>6.57747913879306</v>
      </c>
      <c r="T50" s="133">
        <f>$O50*'GREET factors'!F104/454/2000</f>
        <v>75951.536348093738</v>
      </c>
      <c r="U50" s="133">
        <f>$O50*'GREET factors'!G104/454/2000</f>
        <v>2.5797288970829211</v>
      </c>
      <c r="V50" s="133">
        <f>$O50*'GREET factors'!H104/454/2000</f>
        <v>89.315243042558407</v>
      </c>
      <c r="W50" s="133">
        <f>$O50*'GREET factors'!I104/454/2000</f>
        <v>79019.411091671849</v>
      </c>
      <c r="X50" s="3">
        <f>('Combined MOVES output'!D16/454/2000-D50)*'GREET factors'!V1</f>
        <v>499601.33227615565</v>
      </c>
      <c r="Y50" s="263">
        <f>O50*M50*'GREET factors'!$J$7/454/2000</f>
        <v>123.29347188157163</v>
      </c>
      <c r="Z50" s="263">
        <f>O50*M50*'GREET factors'!K$7/454/2000</f>
        <v>15.462184592789324</v>
      </c>
      <c r="AA50" s="263"/>
      <c r="AB50" s="263"/>
      <c r="AC50" s="133">
        <f>T50-X50</f>
        <v>-423649.79592806194</v>
      </c>
      <c r="AD50" s="263">
        <f>P50-Y50</f>
        <v>28.680914535804874</v>
      </c>
      <c r="AE50" s="263">
        <f>Q50-Z50</f>
        <v>-12.154957645490569</v>
      </c>
      <c r="AF50" s="263"/>
      <c r="AG50" s="263"/>
      <c r="AH50">
        <v>2032</v>
      </c>
    </row>
    <row r="51" spans="1:34">
      <c r="A51" s="6"/>
      <c r="C51" s="3"/>
      <c r="D51" s="3"/>
      <c r="E51" s="3"/>
      <c r="F51" s="3"/>
      <c r="G51" s="3"/>
      <c r="H51" s="3"/>
      <c r="L51" s="42"/>
      <c r="M51" s="42"/>
      <c r="O51" s="29"/>
      <c r="P51" s="33"/>
      <c r="Q51" s="33"/>
      <c r="R51" s="33"/>
      <c r="S51" s="33"/>
      <c r="T51" s="33"/>
      <c r="U51" s="33"/>
      <c r="V51" s="33"/>
      <c r="W51" s="33"/>
      <c r="X51" s="3"/>
      <c r="Y51" s="3"/>
      <c r="Z51" s="3"/>
      <c r="AA51" s="3"/>
      <c r="AB51" s="3"/>
      <c r="AC51" s="33"/>
      <c r="AH51" s="6"/>
    </row>
    <row r="52" spans="1:34">
      <c r="A52">
        <v>2033</v>
      </c>
      <c r="B52">
        <v>20</v>
      </c>
      <c r="C52" s="3"/>
      <c r="D52" s="3"/>
      <c r="E52" s="3"/>
      <c r="F52" s="3"/>
      <c r="G52" s="3"/>
      <c r="H52" s="3"/>
      <c r="I52" s="3"/>
      <c r="J52" s="3"/>
      <c r="L52" s="42"/>
      <c r="M52" s="42"/>
      <c r="O52" s="29"/>
      <c r="P52" s="33"/>
      <c r="Q52" s="33"/>
      <c r="R52" s="33"/>
      <c r="S52" s="33"/>
      <c r="T52" s="33"/>
      <c r="U52" s="33"/>
      <c r="V52" s="33"/>
      <c r="W52" s="33"/>
      <c r="X52" s="3"/>
      <c r="Y52" s="3"/>
      <c r="Z52" s="3"/>
      <c r="AA52" s="3"/>
      <c r="AB52" s="3"/>
      <c r="AC52" s="33"/>
    </row>
    <row r="53" spans="1:34">
      <c r="A53">
        <v>2033</v>
      </c>
      <c r="B53">
        <v>30</v>
      </c>
      <c r="C53" s="3"/>
      <c r="D53" s="3"/>
      <c r="E53" s="3"/>
      <c r="F53" s="3"/>
      <c r="G53" s="3"/>
      <c r="H53" s="3"/>
      <c r="I53" s="3"/>
      <c r="J53" s="3"/>
      <c r="L53" s="42"/>
      <c r="M53" s="42"/>
      <c r="O53" s="29" t="s">
        <v>17</v>
      </c>
      <c r="P53" s="33"/>
      <c r="Q53" s="33"/>
      <c r="R53" s="33"/>
      <c r="S53" s="33"/>
      <c r="T53" s="33"/>
      <c r="U53" s="33"/>
      <c r="V53" s="33"/>
      <c r="W53" s="33"/>
      <c r="X53" s="3"/>
      <c r="Y53" s="3"/>
      <c r="Z53" s="3"/>
      <c r="AA53" s="3"/>
      <c r="AB53" s="3"/>
      <c r="AC53" s="33"/>
    </row>
    <row r="54" spans="1:34">
      <c r="A54">
        <v>2033</v>
      </c>
      <c r="B54">
        <v>41</v>
      </c>
      <c r="C54" s="3"/>
      <c r="D54" s="3"/>
      <c r="E54" s="3"/>
      <c r="F54" s="3"/>
      <c r="G54" s="3"/>
      <c r="H54" s="3"/>
      <c r="I54" s="3"/>
      <c r="J54" s="3"/>
      <c r="L54" s="42"/>
      <c r="M54" s="42"/>
      <c r="O54" s="29" t="s">
        <v>142</v>
      </c>
      <c r="P54" s="33" t="s">
        <v>8</v>
      </c>
      <c r="Q54" s="33" t="s">
        <v>10</v>
      </c>
      <c r="R54" s="33" t="s">
        <v>14</v>
      </c>
      <c r="S54" s="33" t="s">
        <v>15</v>
      </c>
      <c r="T54" s="33" t="s">
        <v>16</v>
      </c>
      <c r="U54" s="33" t="s">
        <v>115</v>
      </c>
      <c r="V54" s="33" t="s">
        <v>116</v>
      </c>
      <c r="W54" s="33" t="s">
        <v>47</v>
      </c>
      <c r="X54" t="s">
        <v>47</v>
      </c>
      <c r="Y54" t="s">
        <v>8</v>
      </c>
      <c r="Z54" t="s">
        <v>10</v>
      </c>
      <c r="AC54" s="33" t="s">
        <v>47</v>
      </c>
      <c r="AD54" s="33" t="s">
        <v>8</v>
      </c>
      <c r="AE54" s="33" t="s">
        <v>10</v>
      </c>
    </row>
    <row r="55" spans="1:34">
      <c r="A55">
        <v>2033</v>
      </c>
      <c r="B55" s="8" t="s">
        <v>109</v>
      </c>
      <c r="C55" s="3">
        <f>'BAU Scenario'!C55*(1-'ACC emissions benefits'!C36)</f>
        <v>834.69246959890154</v>
      </c>
      <c r="D55" s="3">
        <f>'BAU Scenario'!D55*(1-'ACC emissions benefits'!D36)</f>
        <v>2882555.8944092793</v>
      </c>
      <c r="E55" s="3">
        <f>'Combined MOVES output'!E17</f>
        <v>53169289.2803315</v>
      </c>
      <c r="F55" s="3">
        <f>'BAU Scenario'!F55*(1-'ACC emissions benefits'!F36)</f>
        <v>125.44600437871222</v>
      </c>
      <c r="G55" s="3">
        <f>'BAU Scenario'!G55*(1-'ACC emissions benefits'!G36)</f>
        <v>2082.39793053517</v>
      </c>
      <c r="H55" s="3">
        <f>'BAU Scenario'!H55*(1-'ACC emissions benefits'!H36)</f>
        <v>48.750935103851837</v>
      </c>
      <c r="I55" s="3">
        <f>'BAU Scenario'!I55*(1-'ACC emissions benefits'!I36)</f>
        <v>299.69018383444541</v>
      </c>
      <c r="J55" s="3">
        <f>D55+AC55</f>
        <v>2395775.0654353094</v>
      </c>
      <c r="L55" s="42">
        <f>'Fleet ZEV fractions'!AS25</f>
        <v>0.26716193127702031</v>
      </c>
      <c r="M55" s="42">
        <f>'ZEV efficiency'!L52</f>
        <v>4.1304310049999096</v>
      </c>
      <c r="O55" s="3">
        <f>E55*L55/M55</f>
        <v>3439062.4105728762</v>
      </c>
      <c r="P55" s="133">
        <f>$O55*'GREET factors'!B105/454/2000</f>
        <v>175.70226101964658</v>
      </c>
      <c r="Q55" s="133">
        <f>$O55*'GREET factors'!C105/454/2000</f>
        <v>3.8235867638222905</v>
      </c>
      <c r="R55" s="133">
        <f>$O55*'GREET factors'!D105/454/2000</f>
        <v>51.22981642486279</v>
      </c>
      <c r="S55" s="133">
        <f>$O55*'GREET factors'!E105/454/2000</f>
        <v>7.6044258755655694</v>
      </c>
      <c r="T55" s="133">
        <f>$O55*'GREET factors'!F105/454/2000</f>
        <v>87809.906516918927</v>
      </c>
      <c r="U55" s="133">
        <f>$O55*'GREET factors'!G105/454/2000</f>
        <v>2.9825038989817751</v>
      </c>
      <c r="V55" s="133">
        <f>$O55*'GREET factors'!H105/454/2000</f>
        <v>103.26009873136407</v>
      </c>
      <c r="W55" s="133">
        <f>$O55*'GREET factors'!I105/454/2000</f>
        <v>91356.770838459037</v>
      </c>
      <c r="X55" s="3">
        <f>('Combined MOVES output'!D17/454/2000-D55)*'GREET factors'!V1</f>
        <v>574590.73549088894</v>
      </c>
      <c r="Y55" s="263">
        <f>O55*M55*'GREET factors'!$J$7/454/2000</f>
        <v>149.55468102842173</v>
      </c>
      <c r="Z55" s="263">
        <f>O55*M55*'GREET factors'!K$7/454/2000</f>
        <v>18.755592242534778</v>
      </c>
      <c r="AA55" s="263"/>
      <c r="AB55" s="263"/>
      <c r="AC55" s="133">
        <f>T55-X55</f>
        <v>-486780.82897397003</v>
      </c>
      <c r="AD55" s="263">
        <f>P55-Y55</f>
        <v>26.147579991224859</v>
      </c>
      <c r="AE55" s="263">
        <f>Q55-Z55</f>
        <v>-14.932005478712487</v>
      </c>
      <c r="AF55" s="263"/>
      <c r="AG55" s="263"/>
      <c r="AH55">
        <v>2033</v>
      </c>
    </row>
    <row r="56" spans="1:34">
      <c r="L56" s="42"/>
      <c r="M56" s="42"/>
      <c r="O56" s="29"/>
      <c r="P56" s="33"/>
      <c r="Q56" s="33"/>
      <c r="R56" s="33"/>
      <c r="S56" s="33"/>
      <c r="T56" s="33"/>
      <c r="U56" s="33"/>
      <c r="V56" s="33"/>
      <c r="W56" s="33"/>
      <c r="X56" s="3"/>
      <c r="Y56" s="3"/>
      <c r="Z56" s="3"/>
      <c r="AA56" s="3"/>
      <c r="AB56" s="3"/>
      <c r="AC56" s="33"/>
    </row>
    <row r="57" spans="1:34">
      <c r="A57">
        <v>2034</v>
      </c>
      <c r="B57">
        <v>20</v>
      </c>
      <c r="C57" s="3"/>
      <c r="D57" s="3"/>
      <c r="E57" s="3"/>
      <c r="F57" s="3"/>
      <c r="G57" s="3"/>
      <c r="H57" s="3"/>
      <c r="I57" s="3"/>
      <c r="J57" s="3"/>
      <c r="L57" s="42"/>
      <c r="M57" s="42"/>
      <c r="O57" s="29"/>
      <c r="P57" s="33"/>
      <c r="Q57" s="33"/>
      <c r="R57" s="33"/>
      <c r="S57" s="33"/>
      <c r="T57" s="33"/>
      <c r="U57" s="33"/>
      <c r="V57" s="33"/>
      <c r="W57" s="33"/>
      <c r="X57" s="3"/>
      <c r="Y57" s="3"/>
      <c r="Z57" s="3"/>
      <c r="AA57" s="3"/>
      <c r="AB57" s="3"/>
      <c r="AC57" s="33"/>
    </row>
    <row r="58" spans="1:34">
      <c r="A58">
        <v>2034</v>
      </c>
      <c r="B58">
        <v>30</v>
      </c>
      <c r="C58" s="3"/>
      <c r="D58" s="3"/>
      <c r="E58" s="3"/>
      <c r="F58" s="3"/>
      <c r="G58" s="3"/>
      <c r="H58" s="3"/>
      <c r="I58" s="3"/>
      <c r="J58" s="3"/>
      <c r="L58" s="42"/>
      <c r="M58" s="42"/>
      <c r="O58" s="29" t="s">
        <v>17</v>
      </c>
      <c r="P58" s="33"/>
      <c r="Q58" s="33"/>
      <c r="R58" s="33"/>
      <c r="S58" s="33"/>
      <c r="T58" s="33"/>
      <c r="U58" s="33"/>
      <c r="V58" s="33"/>
      <c r="W58" s="33"/>
      <c r="X58" s="3"/>
      <c r="Y58" s="3"/>
      <c r="Z58" s="3"/>
      <c r="AA58" s="3"/>
      <c r="AB58" s="3"/>
      <c r="AC58" s="33"/>
    </row>
    <row r="59" spans="1:34">
      <c r="A59">
        <v>2034</v>
      </c>
      <c r="B59">
        <v>41</v>
      </c>
      <c r="C59" s="3"/>
      <c r="D59" s="3"/>
      <c r="E59" s="3"/>
      <c r="F59" s="3"/>
      <c r="G59" s="3"/>
      <c r="H59" s="3"/>
      <c r="I59" s="3"/>
      <c r="J59" s="3"/>
      <c r="L59" s="42"/>
      <c r="M59" s="42"/>
      <c r="O59" s="29" t="s">
        <v>142</v>
      </c>
      <c r="P59" s="33" t="s">
        <v>8</v>
      </c>
      <c r="Q59" s="33" t="s">
        <v>10</v>
      </c>
      <c r="R59" s="33" t="s">
        <v>14</v>
      </c>
      <c r="S59" s="33" t="s">
        <v>15</v>
      </c>
      <c r="T59" s="33" t="s">
        <v>16</v>
      </c>
      <c r="U59" s="33" t="s">
        <v>115</v>
      </c>
      <c r="V59" s="33" t="s">
        <v>116</v>
      </c>
      <c r="W59" s="33" t="s">
        <v>47</v>
      </c>
      <c r="X59" t="s">
        <v>47</v>
      </c>
      <c r="Y59" t="s">
        <v>8</v>
      </c>
      <c r="Z59" t="s">
        <v>10</v>
      </c>
      <c r="AC59" s="33" t="s">
        <v>47</v>
      </c>
      <c r="AD59" s="33" t="s">
        <v>8</v>
      </c>
      <c r="AE59" s="33" t="s">
        <v>10</v>
      </c>
    </row>
    <row r="60" spans="1:34">
      <c r="A60">
        <v>2034</v>
      </c>
      <c r="B60" s="8" t="s">
        <v>109</v>
      </c>
      <c r="C60" s="3">
        <f>'BAU Scenario'!C60*(1-'ACC emissions benefits'!C37)</f>
        <v>717.98814331345557</v>
      </c>
      <c r="D60" s="3">
        <f>'BAU Scenario'!D60*(1-'ACC emissions benefits'!D37)</f>
        <v>2581435.6048077368</v>
      </c>
      <c r="E60" s="3">
        <f>'Combined MOVES output'!E18</f>
        <v>52730799.092041701</v>
      </c>
      <c r="F60" s="3">
        <f>'BAU Scenario'!F60*(1-'ACC emissions benefits'!F37)</f>
        <v>119.12423528730324</v>
      </c>
      <c r="G60" s="3">
        <f>'BAU Scenario'!G60*(1-'ACC emissions benefits'!G37)</f>
        <v>2000.2756096210462</v>
      </c>
      <c r="H60" s="3">
        <f>'BAU Scenario'!H60*(1-'ACC emissions benefits'!H37)</f>
        <v>44.723608965047738</v>
      </c>
      <c r="I60" s="3">
        <f>'BAU Scenario'!I60*(1-'ACC emissions benefits'!I37)</f>
        <v>280.8260609196891</v>
      </c>
      <c r="J60" s="3">
        <f>D60+AC60</f>
        <v>2030364.4215894658</v>
      </c>
      <c r="L60" s="42">
        <f>'Fleet ZEV fractions'!AS26</f>
        <v>0.3192842929027257</v>
      </c>
      <c r="M60" s="42">
        <f>'ZEV efficiency'!L53</f>
        <v>4.0914969525160645</v>
      </c>
      <c r="O60" s="3">
        <f>E60*L60/M60</f>
        <v>4114903.6887207897</v>
      </c>
      <c r="P60" s="133">
        <f>$O60*'GREET factors'!B106/454/2000</f>
        <v>197.86456701648186</v>
      </c>
      <c r="Q60" s="133">
        <f>$O60*'GREET factors'!C106/454/2000</f>
        <v>4.3058770848091301</v>
      </c>
      <c r="R60" s="133">
        <f>$O60*'GREET factors'!D106/454/2000</f>
        <v>57.691718856741879</v>
      </c>
      <c r="S60" s="133">
        <f>$O60*'GREET factors'!E106/454/2000</f>
        <v>8.5636145177976211</v>
      </c>
      <c r="T60" s="133">
        <f>$O60*'GREET factors'!F106/454/2000</f>
        <v>98885.85970322341</v>
      </c>
      <c r="U60" s="133">
        <f>$O60*'GREET factors'!G106/454/2000</f>
        <v>3.3587037478761359</v>
      </c>
      <c r="V60" s="133">
        <f>$O60*'GREET factors'!H106/454/2000</f>
        <v>116.28487082062033</v>
      </c>
      <c r="W60" s="133">
        <f>$O60*'GREET factors'!I106/454/2000</f>
        <v>102880.10980094565</v>
      </c>
      <c r="X60" s="3">
        <f>('Combined MOVES output'!D18/454/2000-D60)*'GREET factors'!V1</f>
        <v>649957.04292149458</v>
      </c>
      <c r="Y60" s="263">
        <f>O60*M60*'GREET factors'!$J$7/454/2000</f>
        <v>177.25826265701394</v>
      </c>
      <c r="Z60" s="263">
        <f>O60*M60*'GREET factors'!K$7/454/2000</f>
        <v>22.229887243604701</v>
      </c>
      <c r="AA60" s="263"/>
      <c r="AB60" s="263"/>
      <c r="AC60" s="133">
        <f>T60-X60</f>
        <v>-551071.18321827112</v>
      </c>
      <c r="AD60" s="263">
        <f>P60-Y60</f>
        <v>20.606304359467913</v>
      </c>
      <c r="AE60" s="263">
        <f>Q60-Z60</f>
        <v>-17.924010158795571</v>
      </c>
      <c r="AF60" s="263"/>
      <c r="AG60" s="263"/>
      <c r="AH60">
        <v>2034</v>
      </c>
    </row>
    <row r="61" spans="1:34">
      <c r="L61" s="42"/>
      <c r="M61" s="42"/>
      <c r="O61" s="29"/>
      <c r="P61" s="33"/>
      <c r="Q61" s="33"/>
      <c r="R61" s="33"/>
      <c r="S61" s="33"/>
      <c r="T61" s="33"/>
      <c r="U61" s="33"/>
      <c r="V61" s="33"/>
      <c r="W61" s="33"/>
      <c r="AC61" s="33"/>
    </row>
    <row r="62" spans="1:34">
      <c r="A62">
        <v>2035</v>
      </c>
      <c r="B62">
        <v>20</v>
      </c>
      <c r="C62" s="3"/>
      <c r="D62" s="3"/>
      <c r="E62" s="3"/>
      <c r="F62" s="3"/>
      <c r="G62" s="3"/>
      <c r="H62" s="3"/>
      <c r="I62" s="3"/>
      <c r="J62" s="3"/>
      <c r="L62" s="42"/>
      <c r="M62" s="42"/>
      <c r="O62" s="29"/>
      <c r="P62" s="33"/>
      <c r="Q62" s="33"/>
      <c r="R62" s="33"/>
      <c r="S62" s="33"/>
      <c r="T62" s="33"/>
      <c r="U62" s="33"/>
      <c r="V62" s="33"/>
      <c r="W62" s="33"/>
      <c r="AC62" s="33"/>
    </row>
    <row r="63" spans="1:34">
      <c r="A63">
        <v>2035</v>
      </c>
      <c r="B63">
        <v>30</v>
      </c>
      <c r="C63" s="3"/>
      <c r="D63" s="3"/>
      <c r="E63" s="3"/>
      <c r="F63" s="3"/>
      <c r="G63" s="3"/>
      <c r="H63" s="3"/>
      <c r="I63" s="3"/>
      <c r="J63" s="3"/>
      <c r="L63" s="42"/>
      <c r="M63" s="42"/>
      <c r="O63" s="29" t="s">
        <v>17</v>
      </c>
      <c r="P63" s="33"/>
      <c r="Q63" s="33"/>
      <c r="R63" s="33"/>
      <c r="S63" s="33"/>
      <c r="T63" s="33"/>
      <c r="U63" s="33"/>
      <c r="V63" s="33"/>
      <c r="W63" s="33"/>
      <c r="AC63" s="33"/>
    </row>
    <row r="64" spans="1:34">
      <c r="A64">
        <v>2035</v>
      </c>
      <c r="B64">
        <v>41</v>
      </c>
      <c r="C64" s="3"/>
      <c r="D64" s="3"/>
      <c r="E64" s="3"/>
      <c r="F64" s="3"/>
      <c r="G64" s="3"/>
      <c r="H64" s="3"/>
      <c r="I64" s="3"/>
      <c r="J64" s="3"/>
      <c r="L64" s="42"/>
      <c r="M64" s="42"/>
      <c r="O64" s="29" t="s">
        <v>142</v>
      </c>
      <c r="P64" s="33" t="s">
        <v>8</v>
      </c>
      <c r="Q64" s="33" t="s">
        <v>10</v>
      </c>
      <c r="R64" s="33" t="s">
        <v>14</v>
      </c>
      <c r="S64" s="33" t="s">
        <v>15</v>
      </c>
      <c r="T64" s="33" t="s">
        <v>16</v>
      </c>
      <c r="U64" s="33" t="s">
        <v>115</v>
      </c>
      <c r="V64" s="33" t="s">
        <v>116</v>
      </c>
      <c r="W64" s="33" t="s">
        <v>47</v>
      </c>
      <c r="X64" t="s">
        <v>47</v>
      </c>
      <c r="Y64" t="s">
        <v>8</v>
      </c>
      <c r="Z64" t="s">
        <v>10</v>
      </c>
      <c r="AC64" s="33" t="s">
        <v>47</v>
      </c>
      <c r="AD64" s="33" t="s">
        <v>8</v>
      </c>
      <c r="AE64" s="33" t="s">
        <v>10</v>
      </c>
    </row>
    <row r="65" spans="1:34">
      <c r="A65">
        <v>2035</v>
      </c>
      <c r="B65" s="8" t="s">
        <v>109</v>
      </c>
      <c r="C65" s="3">
        <f>'BAU Scenario'!C65*(1-'ACC emissions benefits'!C38)</f>
        <v>603.53244717259918</v>
      </c>
      <c r="D65" s="3">
        <f>'BAU Scenario'!D65*(1-'ACC emissions benefits'!D38)</f>
        <v>2291850.3238633652</v>
      </c>
      <c r="E65" s="3">
        <f>'Combined MOVES output'!E19</f>
        <v>52292308.903751895</v>
      </c>
      <c r="F65" s="3">
        <f>'BAU Scenario'!F65*(1-'ACC emissions benefits'!F38)</f>
        <v>112.03246214672409</v>
      </c>
      <c r="G65" s="3">
        <f>'BAU Scenario'!G65*(1-'ACC emissions benefits'!G38)</f>
        <v>1887.4069313906036</v>
      </c>
      <c r="H65" s="3">
        <f>'BAU Scenario'!H65*(1-'ACC emissions benefits'!H38)</f>
        <v>40.958484686489889</v>
      </c>
      <c r="I65" s="3">
        <f>'BAU Scenario'!I65*(1-'ACC emissions benefits'!I38)</f>
        <v>262.41651444623653</v>
      </c>
      <c r="J65" s="3">
        <f>D65+AC65</f>
        <v>1678975.2579371161</v>
      </c>
      <c r="L65" s="42">
        <f>'Fleet ZEV fractions'!AS27</f>
        <v>0.37483210645502879</v>
      </c>
      <c r="M65" s="42">
        <f>'ZEV efficiency'!L54</f>
        <v>4.0464389688696487</v>
      </c>
      <c r="O65" s="3">
        <f>E65*L65/M65</f>
        <v>4843971.8104202049</v>
      </c>
      <c r="P65" s="133">
        <f>$O65*'GREET factors'!B107/454/2000</f>
        <v>218.36409885242514</v>
      </c>
      <c r="Q65" s="133">
        <f>$O65*'GREET factors'!C107/454/2000</f>
        <v>4.7519825483222142</v>
      </c>
      <c r="R65" s="133">
        <f>$O65*'GREET factors'!D107/454/2000</f>
        <v>63.668803310046513</v>
      </c>
      <c r="S65" s="133">
        <f>$O65*'GREET factors'!E107/454/2000</f>
        <v>9.4508379913350282</v>
      </c>
      <c r="T65" s="133">
        <f>$O65*'GREET factors'!F107/454/2000</f>
        <v>109130.81593604901</v>
      </c>
      <c r="U65" s="133">
        <f>$O65*'GREET factors'!G107/454/2000</f>
        <v>3.7066784026881492</v>
      </c>
      <c r="V65" s="133">
        <f>$O65*'GREET factors'!H107/454/2000</f>
        <v>128.33243167181251</v>
      </c>
      <c r="W65" s="133">
        <f>$O65*'GREET factors'!I107/454/2000</f>
        <v>113538.88574021801</v>
      </c>
      <c r="X65" s="3">
        <f>('Combined MOVES output'!D19/454/2000-D65)*'GREET factors'!V1</f>
        <v>722005.88186229812</v>
      </c>
      <c r="Y65" s="263">
        <f>O65*M65*'GREET factors'!$J$7/454/2000</f>
        <v>206.3664926597817</v>
      </c>
      <c r="Z65" s="263">
        <f>O65*M65*'GREET factors'!K$7/454/2000</f>
        <v>25.880338630880747</v>
      </c>
      <c r="AA65" s="263"/>
      <c r="AB65" s="263"/>
      <c r="AC65" s="133">
        <f>T65-X65</f>
        <v>-612875.06592624914</v>
      </c>
      <c r="AD65" s="263">
        <f>P65-Y65</f>
        <v>11.997606192643445</v>
      </c>
      <c r="AE65" s="263">
        <f>Q65-Z65</f>
        <v>-21.128356082558533</v>
      </c>
      <c r="AF65" s="263"/>
      <c r="AG65" s="263"/>
      <c r="AH65">
        <v>2035</v>
      </c>
    </row>
    <row r="66" spans="1:34">
      <c r="A66" s="6"/>
      <c r="C66" s="3"/>
      <c r="D66" s="3"/>
      <c r="E66" s="3"/>
      <c r="F66" s="3"/>
      <c r="G66" s="3"/>
      <c r="H66" s="3"/>
      <c r="L66" s="42"/>
      <c r="M66" s="42"/>
      <c r="O66" s="29"/>
      <c r="P66" s="33"/>
      <c r="Q66" s="33"/>
      <c r="R66" s="33"/>
      <c r="S66" s="33"/>
      <c r="T66" s="33"/>
      <c r="U66" s="33"/>
      <c r="V66" s="33"/>
      <c r="W66" s="33"/>
      <c r="AC66" s="33"/>
      <c r="AH66" s="6"/>
    </row>
    <row r="67" spans="1:34">
      <c r="A67">
        <v>2036</v>
      </c>
      <c r="B67">
        <v>20</v>
      </c>
      <c r="C67" s="3"/>
      <c r="D67" s="3"/>
      <c r="E67" s="3"/>
      <c r="F67" s="3"/>
      <c r="G67" s="3"/>
      <c r="H67" s="3"/>
      <c r="I67" s="3"/>
      <c r="J67" s="3"/>
      <c r="L67" s="42"/>
      <c r="M67" s="42"/>
      <c r="O67" s="29"/>
      <c r="P67" s="33"/>
      <c r="Q67" s="33"/>
      <c r="R67" s="33"/>
      <c r="S67" s="33"/>
      <c r="T67" s="33"/>
      <c r="U67" s="33"/>
      <c r="V67" s="33"/>
      <c r="W67" s="33"/>
      <c r="AC67" s="33"/>
    </row>
    <row r="68" spans="1:34">
      <c r="A68">
        <v>2036</v>
      </c>
      <c r="B68">
        <v>30</v>
      </c>
      <c r="C68" s="3"/>
      <c r="D68" s="3"/>
      <c r="E68" s="3"/>
      <c r="F68" s="3"/>
      <c r="G68" s="3"/>
      <c r="H68" s="3"/>
      <c r="I68" s="3"/>
      <c r="J68" s="3"/>
      <c r="L68" s="42"/>
      <c r="M68" s="42"/>
      <c r="O68" s="29" t="s">
        <v>17</v>
      </c>
      <c r="P68" s="33"/>
      <c r="Q68" s="33"/>
      <c r="R68" s="33"/>
      <c r="S68" s="33"/>
      <c r="T68" s="33"/>
      <c r="U68" s="33"/>
      <c r="V68" s="33"/>
      <c r="W68" s="33"/>
      <c r="AC68" s="33"/>
    </row>
    <row r="69" spans="1:34">
      <c r="A69">
        <v>2036</v>
      </c>
      <c r="B69">
        <v>41</v>
      </c>
      <c r="C69" s="3"/>
      <c r="D69" s="3"/>
      <c r="E69" s="3"/>
      <c r="F69" s="3"/>
      <c r="G69" s="3"/>
      <c r="H69" s="3"/>
      <c r="I69" s="3"/>
      <c r="J69" s="3"/>
      <c r="L69" s="42"/>
      <c r="M69" s="42"/>
      <c r="O69" s="29" t="s">
        <v>142</v>
      </c>
      <c r="P69" s="33" t="s">
        <v>8</v>
      </c>
      <c r="Q69" s="33" t="s">
        <v>10</v>
      </c>
      <c r="R69" s="33" t="s">
        <v>14</v>
      </c>
      <c r="S69" s="33" t="s">
        <v>15</v>
      </c>
      <c r="T69" s="33" t="s">
        <v>16</v>
      </c>
      <c r="U69" s="33" t="s">
        <v>115</v>
      </c>
      <c r="V69" s="33" t="s">
        <v>116</v>
      </c>
      <c r="W69" s="33" t="s">
        <v>47</v>
      </c>
      <c r="X69" t="s">
        <v>47</v>
      </c>
      <c r="Y69" t="s">
        <v>8</v>
      </c>
      <c r="Z69" t="s">
        <v>10</v>
      </c>
      <c r="AC69" s="33" t="s">
        <v>47</v>
      </c>
      <c r="AD69" s="33" t="s">
        <v>8</v>
      </c>
      <c r="AE69" s="33" t="s">
        <v>10</v>
      </c>
    </row>
    <row r="70" spans="1:34">
      <c r="A70">
        <v>2036</v>
      </c>
      <c r="B70" t="s">
        <v>109</v>
      </c>
      <c r="C70" s="3">
        <f>'BAU Scenario'!C70*(1-'ACC emissions benefits'!C39)</f>
        <v>558.9020906576676</v>
      </c>
      <c r="D70" s="3">
        <f>'BAU Scenario'!D70*(1-'ACC emissions benefits'!D39)</f>
        <v>2048685.0455343334</v>
      </c>
      <c r="E70" s="3">
        <f>'Combined MOVES output'!E20</f>
        <v>52254617.700019009</v>
      </c>
      <c r="F70" s="3">
        <f>'BAU Scenario'!F70*(1-'ACC emissions benefits'!F39)</f>
        <v>106.87459860693565</v>
      </c>
      <c r="G70" s="3">
        <f>'BAU Scenario'!G70*(1-'ACC emissions benefits'!G39)</f>
        <v>1801.0030604576136</v>
      </c>
      <c r="H70" s="3">
        <f>'BAU Scenario'!H70*(1-'ACC emissions benefits'!H39)</f>
        <v>37.682269888329451</v>
      </c>
      <c r="I70" s="3">
        <f>'BAU Scenario'!I70*(1-'ACC emissions benefits'!I39)</f>
        <v>249.83951934492237</v>
      </c>
      <c r="J70" s="3">
        <f>D70+AC70</f>
        <v>1374626.5778224822</v>
      </c>
      <c r="L70" s="42">
        <f>'Fleet ZEV fractions'!AS28</f>
        <v>0.43033792494710327</v>
      </c>
      <c r="M70" s="42">
        <f>'ZEV efficiency'!L55</f>
        <v>4.0378375834843245</v>
      </c>
      <c r="O70" s="3">
        <f>E70*L70/M70</f>
        <v>5569105.5633113859</v>
      </c>
      <c r="P70" s="133">
        <f>$O70*'GREET factors'!B108/454/2000</f>
        <v>234.31595275908299</v>
      </c>
      <c r="Q70" s="133">
        <f>$O70*'GREET factors'!C108/454/2000</f>
        <v>5.0991226312213387</v>
      </c>
      <c r="R70" s="133">
        <f>$O70*'GREET factors'!D108/454/2000</f>
        <v>68.319913332944481</v>
      </c>
      <c r="S70" s="133">
        <f>$O70*'GREET factors'!E108/454/2000</f>
        <v>10.141237135358942</v>
      </c>
      <c r="T70" s="133">
        <f>$O70*'GREET factors'!F108/454/2000</f>
        <v>117103.00019928138</v>
      </c>
      <c r="U70" s="133">
        <f>$O70*'GREET factors'!G108/454/2000</f>
        <v>3.9774573112605025</v>
      </c>
      <c r="V70" s="133">
        <f>$O70*'GREET factors'!H108/454/2000</f>
        <v>137.70732531171618</v>
      </c>
      <c r="W70" s="133">
        <f>$O70*'GREET factors'!I108/454/2000</f>
        <v>121833.08669894197</v>
      </c>
      <c r="X70" s="3">
        <f>('Combined MOVES output'!D20/454/2000-D70)*'GREET factors'!V1</f>
        <v>791161.46791113261</v>
      </c>
      <c r="Y70" s="263">
        <f>O70*M70*'GREET factors'!$J$7/454/2000</f>
        <v>236.75484632931693</v>
      </c>
      <c r="Z70" s="263">
        <f>O70*M70*'GREET factors'!K$7/454/2000</f>
        <v>29.691329811019223</v>
      </c>
      <c r="AA70" s="263"/>
      <c r="AB70" s="263"/>
      <c r="AC70" s="133">
        <f>T70-X70</f>
        <v>-674058.46771185123</v>
      </c>
      <c r="AD70" s="263">
        <f>P70-Y70</f>
        <v>-2.4388935702339438</v>
      </c>
      <c r="AE70" s="263">
        <f>Q70-Z70</f>
        <v>-24.592207179797885</v>
      </c>
      <c r="AF70" s="263"/>
      <c r="AG70" s="263"/>
      <c r="AH70">
        <v>2036</v>
      </c>
    </row>
    <row r="71" spans="1:34">
      <c r="L71" s="42"/>
      <c r="M71" s="42"/>
      <c r="O71" s="29"/>
      <c r="P71" s="33"/>
      <c r="Q71" s="33"/>
      <c r="R71" s="33"/>
      <c r="S71" s="33"/>
      <c r="T71" s="33"/>
      <c r="U71" s="33"/>
      <c r="V71" s="33"/>
      <c r="W71" s="33"/>
      <c r="AC71" s="33"/>
    </row>
    <row r="72" spans="1:34">
      <c r="A72">
        <v>2037</v>
      </c>
      <c r="B72">
        <v>20</v>
      </c>
      <c r="C72" s="3"/>
      <c r="D72" s="3"/>
      <c r="E72" s="3"/>
      <c r="F72" s="3"/>
      <c r="G72" s="3"/>
      <c r="H72" s="3"/>
      <c r="I72" s="3"/>
      <c r="J72" s="3"/>
      <c r="L72" s="42"/>
      <c r="M72" s="42"/>
      <c r="O72" s="29"/>
      <c r="P72" s="33"/>
      <c r="Q72" s="33"/>
      <c r="R72" s="33"/>
      <c r="S72" s="33"/>
      <c r="T72" s="33"/>
      <c r="U72" s="33"/>
      <c r="V72" s="33"/>
      <c r="W72" s="33"/>
      <c r="AC72" s="33"/>
    </row>
    <row r="73" spans="1:34">
      <c r="A73">
        <v>2037</v>
      </c>
      <c r="B73">
        <v>30</v>
      </c>
      <c r="C73" s="3"/>
      <c r="D73" s="3"/>
      <c r="E73" s="3"/>
      <c r="F73" s="3"/>
      <c r="G73" s="3"/>
      <c r="H73" s="3"/>
      <c r="I73" s="3"/>
      <c r="J73" s="3"/>
      <c r="L73" s="42"/>
      <c r="M73" s="42"/>
      <c r="O73" s="29" t="s">
        <v>17</v>
      </c>
      <c r="P73" s="33"/>
      <c r="Q73" s="33"/>
      <c r="R73" s="33"/>
      <c r="S73" s="33"/>
      <c r="T73" s="33"/>
      <c r="U73" s="33"/>
      <c r="V73" s="33"/>
      <c r="W73" s="33"/>
      <c r="AC73" s="33"/>
    </row>
    <row r="74" spans="1:34">
      <c r="A74">
        <v>2037</v>
      </c>
      <c r="B74">
        <v>41</v>
      </c>
      <c r="C74" s="3"/>
      <c r="D74" s="3"/>
      <c r="E74" s="3"/>
      <c r="F74" s="3"/>
      <c r="G74" s="3"/>
      <c r="H74" s="3"/>
      <c r="I74" s="3"/>
      <c r="J74" s="3"/>
      <c r="L74" s="42"/>
      <c r="M74" s="42"/>
      <c r="O74" s="29" t="s">
        <v>142</v>
      </c>
      <c r="P74" s="33" t="s">
        <v>8</v>
      </c>
      <c r="Q74" s="33" t="s">
        <v>10</v>
      </c>
      <c r="R74" s="33" t="s">
        <v>14</v>
      </c>
      <c r="S74" s="33" t="s">
        <v>15</v>
      </c>
      <c r="T74" s="33" t="s">
        <v>16</v>
      </c>
      <c r="U74" s="33" t="s">
        <v>115</v>
      </c>
      <c r="V74" s="33" t="s">
        <v>116</v>
      </c>
      <c r="W74" s="33" t="s">
        <v>47</v>
      </c>
      <c r="X74" t="s">
        <v>47</v>
      </c>
      <c r="Y74" t="s">
        <v>8</v>
      </c>
      <c r="Z74" t="s">
        <v>10</v>
      </c>
      <c r="AC74" s="33" t="s">
        <v>47</v>
      </c>
      <c r="AD74" s="33" t="s">
        <v>8</v>
      </c>
      <c r="AE74" s="33" t="s">
        <v>10</v>
      </c>
    </row>
    <row r="75" spans="1:34">
      <c r="A75">
        <v>2037</v>
      </c>
      <c r="B75" t="s">
        <v>109</v>
      </c>
      <c r="C75" s="3">
        <f>'BAU Scenario'!C75*(1-'ACC emissions benefits'!C40)</f>
        <v>515.54249644583399</v>
      </c>
      <c r="D75" s="3">
        <f>'BAU Scenario'!D75*(1-'ACC emissions benefits'!D40)</f>
        <v>1843005.7415011807</v>
      </c>
      <c r="E75" s="3">
        <f>'Combined MOVES output'!E21</f>
        <v>52216926.496286124</v>
      </c>
      <c r="F75" s="3">
        <f>'BAU Scenario'!F75*(1-'ACC emissions benefits'!F40)</f>
        <v>102.08127340055279</v>
      </c>
      <c r="G75" s="3">
        <f>'BAU Scenario'!G75*(1-'ACC emissions benefits'!G40)</f>
        <v>1717.2067613757486</v>
      </c>
      <c r="H75" s="3">
        <f>'BAU Scenario'!H75*(1-'ACC emissions benefits'!H40)</f>
        <v>34.908608158253621</v>
      </c>
      <c r="I75" s="3">
        <f>'BAU Scenario'!I75*(1-'ACC emissions benefits'!I40)</f>
        <v>239.09606583470642</v>
      </c>
      <c r="J75" s="3">
        <f>D75+AC75</f>
        <v>1116367.9709094982</v>
      </c>
      <c r="L75" s="42">
        <f>'Fleet ZEV fractions'!AS29</f>
        <v>0.4857327439101225</v>
      </c>
      <c r="M75" s="42">
        <f>'ZEV efficiency'!L56</f>
        <v>4.0295879456542387</v>
      </c>
      <c r="O75" s="3">
        <f>E75*L75/M75</f>
        <v>6294308.8295039702</v>
      </c>
      <c r="P75" s="133">
        <f>$O75*'GREET factors'!B109/454/2000</f>
        <v>245.91202812065174</v>
      </c>
      <c r="Q75" s="133">
        <f>$O75*'GREET factors'!C109/454/2000</f>
        <v>5.3514733978390892</v>
      </c>
      <c r="R75" s="133">
        <f>$O75*'GREET factors'!D109/454/2000</f>
        <v>71.701001365474767</v>
      </c>
      <c r="S75" s="133">
        <f>$O75*'GREET factors'!E109/454/2000</f>
        <v>10.643117390187658</v>
      </c>
      <c r="T75" s="133">
        <f>$O75*'GREET factors'!F109/454/2000</f>
        <v>122898.31716078958</v>
      </c>
      <c r="U75" s="133">
        <f>$O75*'GREET factors'!G109/454/2000</f>
        <v>4.174297919788005</v>
      </c>
      <c r="V75" s="133">
        <f>$O75*'GREET factors'!H109/454/2000</f>
        <v>144.52233087728507</v>
      </c>
      <c r="W75" s="133">
        <f>$O75*'GREET factors'!I109/454/2000</f>
        <v>127862.49117720239</v>
      </c>
      <c r="X75" s="3">
        <f>('Combined MOVES output'!D21/454/2000-D75)*'GREET factors'!V1</f>
        <v>849536.08775247214</v>
      </c>
      <c r="Y75" s="263">
        <f>O75*M75*'GREET factors'!$J$7/454/2000</f>
        <v>267.0381237542029</v>
      </c>
      <c r="Z75" s="263">
        <f>O75*M75*'GREET factors'!K$7/454/2000</f>
        <v>33.489143421686343</v>
      </c>
      <c r="AA75" s="263"/>
      <c r="AB75" s="263"/>
      <c r="AC75" s="133">
        <f>T75-X75</f>
        <v>-726637.77059168252</v>
      </c>
      <c r="AD75" s="263">
        <f>P75-Y75</f>
        <v>-21.126095633551159</v>
      </c>
      <c r="AE75" s="263">
        <f>Q75-Z75</f>
        <v>-28.137670023847253</v>
      </c>
      <c r="AF75" s="263"/>
      <c r="AG75" s="263"/>
      <c r="AH75">
        <v>2037</v>
      </c>
    </row>
    <row r="76" spans="1:34">
      <c r="C76" s="3"/>
      <c r="D76" s="3"/>
      <c r="E76" s="3"/>
      <c r="F76" s="3"/>
      <c r="G76" s="3"/>
      <c r="H76" s="3"/>
      <c r="L76" s="42"/>
      <c r="M76" s="42"/>
      <c r="O76" s="29"/>
      <c r="P76" s="33"/>
      <c r="Q76" s="33"/>
      <c r="R76" s="33"/>
      <c r="S76" s="33"/>
      <c r="T76" s="33"/>
      <c r="U76" s="33"/>
      <c r="V76" s="33"/>
      <c r="W76" s="33"/>
      <c r="X76" s="3"/>
      <c r="Y76" s="3"/>
      <c r="Z76" s="3"/>
      <c r="AA76" s="3"/>
      <c r="AB76" s="3"/>
      <c r="AC76" s="33"/>
    </row>
    <row r="77" spans="1:34">
      <c r="A77">
        <v>2038</v>
      </c>
      <c r="B77">
        <v>20</v>
      </c>
      <c r="C77" s="3"/>
      <c r="D77" s="3"/>
      <c r="E77" s="3"/>
      <c r="F77" s="3"/>
      <c r="G77" s="3"/>
      <c r="H77" s="3"/>
      <c r="I77" s="3"/>
      <c r="J77" s="3"/>
      <c r="L77" s="42"/>
      <c r="M77" s="42"/>
      <c r="O77" s="29"/>
      <c r="P77" s="33"/>
      <c r="Q77" s="33"/>
      <c r="R77" s="33"/>
      <c r="S77" s="33"/>
      <c r="T77" s="33"/>
      <c r="U77" s="33"/>
      <c r="V77" s="33"/>
      <c r="W77" s="33"/>
      <c r="X77" s="3"/>
      <c r="Y77" s="3"/>
      <c r="Z77" s="3"/>
      <c r="AA77" s="3"/>
      <c r="AB77" s="3"/>
      <c r="AC77" s="33"/>
    </row>
    <row r="78" spans="1:34">
      <c r="A78">
        <v>2038</v>
      </c>
      <c r="B78">
        <v>30</v>
      </c>
      <c r="C78" s="3"/>
      <c r="D78" s="3"/>
      <c r="E78" s="3"/>
      <c r="F78" s="3"/>
      <c r="G78" s="3"/>
      <c r="H78" s="3"/>
      <c r="I78" s="3"/>
      <c r="J78" s="3"/>
      <c r="L78" s="42"/>
      <c r="M78" s="42"/>
      <c r="O78" s="29" t="s">
        <v>17</v>
      </c>
      <c r="P78" s="33"/>
      <c r="Q78" s="33"/>
      <c r="R78" s="33"/>
      <c r="S78" s="33"/>
      <c r="T78" s="33"/>
      <c r="U78" s="33"/>
      <c r="V78" s="33"/>
      <c r="W78" s="33"/>
      <c r="X78" s="3"/>
      <c r="Y78" s="3"/>
      <c r="Z78" s="3"/>
      <c r="AA78" s="3"/>
      <c r="AB78" s="3"/>
      <c r="AC78" s="33"/>
    </row>
    <row r="79" spans="1:34">
      <c r="A79">
        <v>2038</v>
      </c>
      <c r="B79">
        <v>41</v>
      </c>
      <c r="C79" s="3"/>
      <c r="D79" s="3"/>
      <c r="E79" s="3"/>
      <c r="F79" s="3"/>
      <c r="G79" s="3"/>
      <c r="H79" s="3"/>
      <c r="I79" s="3"/>
      <c r="J79" s="3"/>
      <c r="L79" s="42"/>
      <c r="M79" s="42"/>
      <c r="O79" s="29" t="s">
        <v>142</v>
      </c>
      <c r="P79" s="33" t="s">
        <v>8</v>
      </c>
      <c r="Q79" s="33" t="s">
        <v>10</v>
      </c>
      <c r="R79" s="33" t="s">
        <v>14</v>
      </c>
      <c r="S79" s="33" t="s">
        <v>15</v>
      </c>
      <c r="T79" s="33" t="s">
        <v>16</v>
      </c>
      <c r="U79" s="33" t="s">
        <v>115</v>
      </c>
      <c r="V79" s="33" t="s">
        <v>116</v>
      </c>
      <c r="W79" s="33" t="s">
        <v>47</v>
      </c>
      <c r="X79" t="s">
        <v>47</v>
      </c>
      <c r="Y79" t="s">
        <v>8</v>
      </c>
      <c r="Z79" t="s">
        <v>10</v>
      </c>
      <c r="AC79" s="33" t="s">
        <v>47</v>
      </c>
      <c r="AD79" s="33" t="s">
        <v>8</v>
      </c>
      <c r="AE79" s="33" t="s">
        <v>10</v>
      </c>
    </row>
    <row r="80" spans="1:34">
      <c r="A80">
        <v>2038</v>
      </c>
      <c r="B80" t="s">
        <v>109</v>
      </c>
      <c r="C80" s="3">
        <f>'BAU Scenario'!C80*(1-'ACC emissions benefits'!C41)</f>
        <v>473.5376185459433</v>
      </c>
      <c r="D80" s="3">
        <f>'BAU Scenario'!D80*(1-'ACC emissions benefits'!D41)</f>
        <v>1668347.5959872406</v>
      </c>
      <c r="E80" s="3">
        <f>'Combined MOVES output'!E22</f>
        <v>52179235.292553231</v>
      </c>
      <c r="F80" s="3">
        <f>'BAU Scenario'!F80*(1-'ACC emissions benefits'!F41)</f>
        <v>97.468069089823288</v>
      </c>
      <c r="G80" s="3">
        <f>'BAU Scenario'!G80*(1-'ACC emissions benefits'!G41)</f>
        <v>1631.4607174345451</v>
      </c>
      <c r="H80" s="3">
        <f>'BAU Scenario'!H80*(1-'ACC emissions benefits'!H41)</f>
        <v>32.533468774686284</v>
      </c>
      <c r="I80" s="3">
        <f>'BAU Scenario'!I80*(1-'ACC emissions benefits'!I41)</f>
        <v>229.81308573021232</v>
      </c>
      <c r="J80" s="3">
        <f>D80+AC80</f>
        <v>895871.37919338676</v>
      </c>
      <c r="L80" s="42">
        <f>'Fleet ZEV fractions'!AS30</f>
        <v>0.54101733888073555</v>
      </c>
      <c r="M80" s="42">
        <f>'ZEV efficiency'!L57</f>
        <v>4.021704797126664</v>
      </c>
      <c r="O80" s="3">
        <f>E80*L80/M80</f>
        <v>7019379.2053006832</v>
      </c>
      <c r="P80" s="133">
        <f>$O80*'GREET factors'!B110/454/2000</f>
        <v>253.14439879632081</v>
      </c>
      <c r="Q80" s="133">
        <f>$O80*'GREET factors'!C110/454/2000</f>
        <v>5.5088623615670675</v>
      </c>
      <c r="R80" s="133">
        <f>$O80*'GREET factors'!D110/454/2000</f>
        <v>73.809756368858928</v>
      </c>
      <c r="S80" s="133">
        <f>$O80*'GREET factors'!E110/454/2000</f>
        <v>10.956135711002494</v>
      </c>
      <c r="T80" s="133">
        <f>$O80*'GREET factors'!F110/454/2000</f>
        <v>126512.80560983233</v>
      </c>
      <c r="U80" s="133">
        <f>$O80*'GREET factors'!G110/454/2000</f>
        <v>4.2970656839242478</v>
      </c>
      <c r="V80" s="133">
        <f>$O80*'GREET factors'!H110/454/2000</f>
        <v>148.77279018098125</v>
      </c>
      <c r="W80" s="133">
        <f>$O80*'GREET factors'!I110/454/2000</f>
        <v>131622.97796093253</v>
      </c>
      <c r="X80" s="3">
        <f>('Combined MOVES output'!D22/454/2000-D80)*'GREET factors'!V1</f>
        <v>898989.02240368607</v>
      </c>
      <c r="Y80" s="263">
        <f>O80*M80*'GREET factors'!$J$7/454/2000</f>
        <v>297.21688313226798</v>
      </c>
      <c r="Z80" s="263">
        <f>O80*M80*'GREET factors'!K$7/454/2000</f>
        <v>37.273849466246674</v>
      </c>
      <c r="AA80" s="263"/>
      <c r="AB80" s="263"/>
      <c r="AC80" s="133">
        <f>T80-X80</f>
        <v>-772476.21679385379</v>
      </c>
      <c r="AD80" s="263">
        <f>P80-Y80</f>
        <v>-44.072484335947166</v>
      </c>
      <c r="AE80" s="263">
        <f>Q80-Z80</f>
        <v>-31.764987104679605</v>
      </c>
      <c r="AF80" s="263"/>
      <c r="AG80" s="263"/>
      <c r="AH80">
        <v>2038</v>
      </c>
    </row>
    <row r="81" spans="1:34">
      <c r="L81" s="42"/>
      <c r="M81" s="42"/>
      <c r="O81" s="29"/>
      <c r="P81" s="33"/>
      <c r="Q81" s="33"/>
      <c r="R81" s="33"/>
      <c r="S81" s="33"/>
      <c r="T81" s="33"/>
      <c r="U81" s="33"/>
      <c r="V81" s="33"/>
      <c r="W81" s="33"/>
      <c r="X81" s="3"/>
      <c r="Y81" s="3"/>
      <c r="Z81" s="3"/>
      <c r="AA81" s="3"/>
      <c r="AB81" s="3"/>
      <c r="AC81" s="33"/>
    </row>
    <row r="82" spans="1:34">
      <c r="A82">
        <v>2039</v>
      </c>
      <c r="B82">
        <v>20</v>
      </c>
      <c r="C82" s="3"/>
      <c r="D82" s="3"/>
      <c r="E82" s="3"/>
      <c r="F82" s="3"/>
      <c r="G82" s="3"/>
      <c r="H82" s="3"/>
      <c r="I82" s="3"/>
      <c r="J82" s="3"/>
      <c r="L82" s="42"/>
      <c r="M82" s="42"/>
      <c r="O82" s="29"/>
      <c r="P82" s="33"/>
      <c r="Q82" s="33"/>
      <c r="R82" s="33"/>
      <c r="S82" s="33"/>
      <c r="T82" s="33"/>
      <c r="U82" s="33"/>
      <c r="V82" s="33"/>
      <c r="W82" s="33"/>
      <c r="X82" s="3"/>
      <c r="Y82" s="3"/>
      <c r="Z82" s="3"/>
      <c r="AA82" s="3"/>
      <c r="AB82" s="3"/>
      <c r="AC82" s="33"/>
    </row>
    <row r="83" spans="1:34">
      <c r="A83">
        <v>2039</v>
      </c>
      <c r="B83">
        <v>30</v>
      </c>
      <c r="C83" s="3"/>
      <c r="D83" s="3"/>
      <c r="E83" s="3"/>
      <c r="F83" s="3"/>
      <c r="G83" s="3"/>
      <c r="H83" s="3"/>
      <c r="I83" s="3"/>
      <c r="J83" s="3"/>
      <c r="L83" s="42"/>
      <c r="M83" s="42"/>
      <c r="O83" s="29" t="s">
        <v>17</v>
      </c>
      <c r="P83" s="33"/>
      <c r="Q83" s="33"/>
      <c r="R83" s="33"/>
      <c r="S83" s="33"/>
      <c r="T83" s="33"/>
      <c r="U83" s="33"/>
      <c r="V83" s="33"/>
      <c r="W83" s="33"/>
      <c r="X83" s="3"/>
      <c r="Y83" s="3"/>
      <c r="Z83" s="3"/>
      <c r="AA83" s="3"/>
      <c r="AB83" s="3"/>
      <c r="AC83" s="33"/>
    </row>
    <row r="84" spans="1:34">
      <c r="A84">
        <v>2039</v>
      </c>
      <c r="B84">
        <v>41</v>
      </c>
      <c r="C84" s="3"/>
      <c r="D84" s="3"/>
      <c r="E84" s="3"/>
      <c r="F84" s="3"/>
      <c r="G84" s="3"/>
      <c r="H84" s="3"/>
      <c r="I84" s="3"/>
      <c r="J84" s="3"/>
      <c r="L84" s="42"/>
      <c r="M84" s="42"/>
      <c r="O84" s="29" t="s">
        <v>142</v>
      </c>
      <c r="P84" s="33" t="s">
        <v>8</v>
      </c>
      <c r="Q84" s="33" t="s">
        <v>10</v>
      </c>
      <c r="R84" s="33" t="s">
        <v>14</v>
      </c>
      <c r="S84" s="33" t="s">
        <v>15</v>
      </c>
      <c r="T84" s="33" t="s">
        <v>16</v>
      </c>
      <c r="U84" s="33" t="s">
        <v>115</v>
      </c>
      <c r="V84" s="33" t="s">
        <v>116</v>
      </c>
      <c r="W84" s="33" t="s">
        <v>47</v>
      </c>
      <c r="X84" t="s">
        <v>47</v>
      </c>
      <c r="Y84" t="s">
        <v>8</v>
      </c>
      <c r="Z84" t="s">
        <v>10</v>
      </c>
      <c r="AC84" s="33" t="s">
        <v>47</v>
      </c>
      <c r="AD84" s="33" t="s">
        <v>8</v>
      </c>
      <c r="AE84" s="33" t="s">
        <v>10</v>
      </c>
    </row>
    <row r="85" spans="1:34">
      <c r="A85">
        <v>2039</v>
      </c>
      <c r="B85" t="s">
        <v>109</v>
      </c>
      <c r="C85" s="3">
        <f>'BAU Scenario'!C85*(1-'ACC emissions benefits'!C42)</f>
        <v>433.00629343904882</v>
      </c>
      <c r="D85" s="3">
        <f>'BAU Scenario'!D85*(1-'ACC emissions benefits'!D42)</f>
        <v>1521487.2139005691</v>
      </c>
      <c r="E85" s="3">
        <f>'Combined MOVES output'!E23</f>
        <v>52141544.088820346</v>
      </c>
      <c r="F85" s="3">
        <f>'BAU Scenario'!F85*(1-'ACC emissions benefits'!F42)</f>
        <v>93.211271101743876</v>
      </c>
      <c r="G85" s="3">
        <f>'BAU Scenario'!G85*(1-'ACC emissions benefits'!G42)</f>
        <v>1543.9832333688155</v>
      </c>
      <c r="H85" s="3">
        <f>'BAU Scenario'!H85*(1-'ACC emissions benefits'!H42)</f>
        <v>30.502537025020725</v>
      </c>
      <c r="I85" s="3">
        <f>'BAU Scenario'!I85*(1-'ACC emissions benefits'!I42)</f>
        <v>221.86984470833565</v>
      </c>
      <c r="J85" s="3">
        <f>D85+AC85</f>
        <v>708986.36452683702</v>
      </c>
      <c r="L85" s="42">
        <f>'Fleet ZEV fractions'!AS31</f>
        <v>0.59619247818763754</v>
      </c>
      <c r="M85" s="42">
        <f>'ZEV efficiency'!L58</f>
        <v>4.0141101927609322</v>
      </c>
      <c r="O85" s="3">
        <f>E85*L85/M85</f>
        <v>7744280.7730851881</v>
      </c>
      <c r="P85" s="133">
        <f>$O85*'GREET factors'!B111/454/2000</f>
        <v>256.01307553728765</v>
      </c>
      <c r="Q85" s="133">
        <f>$O85*'GREET factors'!C111/454/2000</f>
        <v>5.5712897563700237</v>
      </c>
      <c r="R85" s="133">
        <f>$O85*'GREET factors'!D111/454/2000</f>
        <v>74.646181477842433</v>
      </c>
      <c r="S85" s="133">
        <f>$O85*'GREET factors'!E111/454/2000</f>
        <v>11.080292563117233</v>
      </c>
      <c r="T85" s="133">
        <f>$O85*'GREET factors'!F111/454/2000</f>
        <v>127946.47091948587</v>
      </c>
      <c r="U85" s="133">
        <f>$O85*'GREET factors'!G111/454/2000</f>
        <v>4.3457607861682375</v>
      </c>
      <c r="V85" s="133">
        <f>$O85*'GREET factors'!H111/454/2000</f>
        <v>150.45870954127614</v>
      </c>
      <c r="W85" s="133">
        <f>$O85*'GREET factors'!I111/454/2000</f>
        <v>133114.55264024087</v>
      </c>
      <c r="X85" s="3">
        <f>('Combined MOVES output'!D23/454/2000-D85)*'GREET factors'!V1</f>
        <v>940447.32029321801</v>
      </c>
      <c r="Y85" s="263">
        <f>O85*M85*'GREET factors'!$J$7/454/2000</f>
        <v>327.29167747336618</v>
      </c>
      <c r="Z85" s="263">
        <f>O85*M85*'GREET factors'!K$7/454/2000</f>
        <v>41.045517297443048</v>
      </c>
      <c r="AA85" s="263"/>
      <c r="AB85" s="263"/>
      <c r="AC85" s="133">
        <f>T85-X85</f>
        <v>-812500.84937373211</v>
      </c>
      <c r="AD85" s="263">
        <f>P85-Y85</f>
        <v>-71.27860193607853</v>
      </c>
      <c r="AE85" s="263">
        <f>Q85-Z85</f>
        <v>-35.474227541073027</v>
      </c>
      <c r="AF85" s="263"/>
      <c r="AG85" s="263"/>
      <c r="AH85">
        <v>2039</v>
      </c>
    </row>
    <row r="86" spans="1:34">
      <c r="L86" s="42"/>
      <c r="M86" s="42"/>
      <c r="O86" s="29"/>
      <c r="P86" s="33"/>
      <c r="Q86" s="33"/>
      <c r="R86" s="33"/>
      <c r="S86" s="33"/>
      <c r="T86" s="33"/>
      <c r="U86" s="33"/>
      <c r="V86" s="33"/>
      <c r="W86" s="33"/>
    </row>
    <row r="87" spans="1:34">
      <c r="A87">
        <v>2040</v>
      </c>
      <c r="B87">
        <v>20</v>
      </c>
      <c r="C87" s="3"/>
      <c r="D87" s="3"/>
      <c r="E87" s="3"/>
      <c r="F87" s="3"/>
      <c r="G87" s="3"/>
      <c r="H87" s="3"/>
      <c r="I87" s="3"/>
      <c r="J87" s="3"/>
      <c r="L87" s="42"/>
      <c r="M87" s="42"/>
      <c r="O87" s="29"/>
      <c r="P87" s="33"/>
      <c r="Q87" s="33"/>
      <c r="R87" s="33"/>
      <c r="S87" s="33"/>
      <c r="T87" s="33"/>
      <c r="U87" s="33"/>
      <c r="V87" s="33"/>
      <c r="W87" s="33"/>
    </row>
    <row r="88" spans="1:34">
      <c r="A88">
        <v>2040</v>
      </c>
      <c r="B88">
        <v>30</v>
      </c>
      <c r="C88" s="3"/>
      <c r="D88" s="3"/>
      <c r="E88" s="3"/>
      <c r="F88" s="3"/>
      <c r="G88" s="3"/>
      <c r="H88" s="3"/>
      <c r="I88" s="3"/>
      <c r="J88" s="3"/>
      <c r="L88" s="42"/>
      <c r="M88" s="42"/>
      <c r="O88" s="29" t="s">
        <v>17</v>
      </c>
      <c r="P88" s="33"/>
      <c r="Q88" s="33"/>
      <c r="R88" s="33"/>
      <c r="S88" s="33"/>
      <c r="T88" s="33"/>
      <c r="U88" s="33"/>
      <c r="V88" s="33"/>
      <c r="W88" s="33"/>
    </row>
    <row r="89" spans="1:34">
      <c r="A89">
        <v>2040</v>
      </c>
      <c r="B89">
        <v>41</v>
      </c>
      <c r="C89" s="3"/>
      <c r="D89" s="3"/>
      <c r="E89" s="3"/>
      <c r="F89" s="3"/>
      <c r="G89" s="3"/>
      <c r="H89" s="3"/>
      <c r="I89" s="3"/>
      <c r="J89" s="3"/>
      <c r="L89" s="42"/>
      <c r="M89" s="42"/>
      <c r="O89" s="29" t="s">
        <v>142</v>
      </c>
      <c r="P89" s="33" t="s">
        <v>8</v>
      </c>
      <c r="Q89" s="33" t="s">
        <v>10</v>
      </c>
      <c r="R89" s="33" t="s">
        <v>14</v>
      </c>
      <c r="S89" s="33" t="s">
        <v>15</v>
      </c>
      <c r="T89" s="33" t="s">
        <v>16</v>
      </c>
      <c r="U89" s="33" t="s">
        <v>115</v>
      </c>
      <c r="V89" s="33" t="s">
        <v>116</v>
      </c>
      <c r="W89" s="33" t="s">
        <v>47</v>
      </c>
      <c r="X89" t="s">
        <v>47</v>
      </c>
      <c r="Y89" t="s">
        <v>8</v>
      </c>
      <c r="Z89" t="s">
        <v>10</v>
      </c>
      <c r="AA89" t="s">
        <v>115</v>
      </c>
      <c r="AB89" t="s">
        <v>116</v>
      </c>
      <c r="AC89" s="33" t="s">
        <v>47</v>
      </c>
      <c r="AD89" s="33" t="s">
        <v>8</v>
      </c>
      <c r="AE89" s="33" t="s">
        <v>10</v>
      </c>
      <c r="AF89" t="s">
        <v>115</v>
      </c>
      <c r="AG89" t="s">
        <v>116</v>
      </c>
    </row>
    <row r="90" spans="1:34">
      <c r="A90">
        <v>2040</v>
      </c>
      <c r="B90" s="8" t="s">
        <v>109</v>
      </c>
      <c r="C90" s="3">
        <f>'BAU Scenario'!C90*(1-'ACC emissions benefits'!C43)</f>
        <v>394.8720262074259</v>
      </c>
      <c r="D90" s="3">
        <f>'BAU Scenario'!D90*(1-'ACC emissions benefits'!D43)</f>
        <v>1400543.3528126806</v>
      </c>
      <c r="E90" s="3">
        <f>'Combined MOVES output'!E24</f>
        <v>52103852.88508746</v>
      </c>
      <c r="F90" s="3">
        <f>'BAU Scenario'!F90*(1-'ACC emissions benefits'!F43)</f>
        <v>89.157338913860144</v>
      </c>
      <c r="G90" s="3">
        <f>'BAU Scenario'!G90*(1-'ACC emissions benefits'!G43)</f>
        <v>1454.4577522638492</v>
      </c>
      <c r="H90" s="3">
        <f>'BAU Scenario'!H90*(1-'ACC emissions benefits'!H43)</f>
        <v>28.795495816624921</v>
      </c>
      <c r="I90" s="3">
        <f>'BAU Scenario'!I90*(1-'ACC emissions benefits'!I43)</f>
        <v>215.29291086542085</v>
      </c>
      <c r="J90" s="3">
        <f>D90+AC90</f>
        <v>553289.10539985611</v>
      </c>
      <c r="L90" s="42">
        <f>'Fleet ZEV fractions'!AS32</f>
        <v>0.65125892303511612</v>
      </c>
      <c r="M90" s="42">
        <f>'ZEV efficiency'!L59</f>
        <v>4.0068080026283281</v>
      </c>
      <c r="O90" s="3">
        <f>E90*L90/M90</f>
        <v>8468860.7723812182</v>
      </c>
      <c r="P90" s="133">
        <f>$O90*'GREET factors'!B112/454/2000</f>
        <v>254.51498938529878</v>
      </c>
      <c r="Q90" s="133">
        <f>$O90*'GREET factors'!C112/454/2000</f>
        <v>5.5386887963791347</v>
      </c>
      <c r="R90" s="133">
        <f>$O90*'GREET factors'!D112/454/2000</f>
        <v>74.209381870884371</v>
      </c>
      <c r="S90" s="133">
        <f>$O90*'GREET factors'!E112/454/2000</f>
        <v>11.015455121459398</v>
      </c>
      <c r="T90" s="133">
        <f>$O90*'GREET factors'!F112/454/2000</f>
        <v>127197.77933067516</v>
      </c>
      <c r="U90" s="133">
        <f>$O90*'GREET factors'!G112/454/2000</f>
        <v>4.3203311316869115</v>
      </c>
      <c r="V90" s="133">
        <f>$O90*'GREET factors'!H112/454/2000</f>
        <v>149.57828533350133</v>
      </c>
      <c r="W90" s="133">
        <f>$O90*'GREET factors'!I112/454/2000</f>
        <v>132335.61950364217</v>
      </c>
      <c r="X90" s="3">
        <f>('Combined MOVES output'!D24/454/2000-D90)*'GREET factors'!V1</f>
        <v>974452.02674349968</v>
      </c>
      <c r="Y90" s="263">
        <f>O90*M90*'GREET factors'!$J$7/454/2000</f>
        <v>357.26305465951049</v>
      </c>
      <c r="Z90" s="263">
        <f>O90*M90*'GREET factors'!K$7/454/2000</f>
        <v>44.80421562493774</v>
      </c>
      <c r="AA90" s="263">
        <f>O90*M90*'GREET factors'!L7/454/2000</f>
        <v>897.41307588796269</v>
      </c>
      <c r="AB90" s="263">
        <f>O90*M90*'GREET factors'!M7/454/2000</f>
        <v>133.93452293236817</v>
      </c>
      <c r="AC90" s="3">
        <f>T90-X90</f>
        <v>-847254.24741282454</v>
      </c>
      <c r="AD90" s="263">
        <f>P90-Y90</f>
        <v>-102.74806527421171</v>
      </c>
      <c r="AE90" s="263">
        <f>Q90-Z90</f>
        <v>-39.265526828558606</v>
      </c>
      <c r="AF90" s="263">
        <f>U90-AA90</f>
        <v>-893.09274475627581</v>
      </c>
      <c r="AG90" s="263">
        <f>V90-AB90</f>
        <v>15.643762401133159</v>
      </c>
      <c r="AH90">
        <v>2040</v>
      </c>
    </row>
    <row r="91" spans="1:34">
      <c r="O91" s="29"/>
    </row>
  </sheetData>
  <sheetProtection algorithmName="SHA-512" hashValue="Fb25SaFQhONEna1mahc0BUwJEyH3MRiVUv8la5sAwrBZkRQaZxlCADRAqPnYCYqmQtBVtNg+Pk6bzIiUJ7WNsQ==" saltValue="EZhx691JiQ/DqFF9p1xJBg==" spinCount="100000" sheet="1" objects="1" scenarios="1"/>
  <mergeCells count="10">
    <mergeCell ref="AF10:AG10"/>
    <mergeCell ref="AC7:AG7"/>
    <mergeCell ref="C7:I9"/>
    <mergeCell ref="AA10:AB10"/>
    <mergeCell ref="X7:AB7"/>
    <mergeCell ref="C12:I14"/>
    <mergeCell ref="C17:I19"/>
    <mergeCell ref="P7:W7"/>
    <mergeCell ref="L5:L6"/>
    <mergeCell ref="M5:M6"/>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sheetPr codeName="Sheet9"/>
  <dimension ref="A1:Z90"/>
  <sheetViews>
    <sheetView workbookViewId="0">
      <selection activeCell="H9" sqref="H9"/>
    </sheetView>
  </sheetViews>
  <sheetFormatPr baseColWidth="10" defaultColWidth="8.83203125" defaultRowHeight="15"/>
  <cols>
    <col min="3" max="3" width="12.83203125" customWidth="1"/>
    <col min="4" max="4" width="13.83203125" bestFit="1" customWidth="1"/>
    <col min="5" max="5" width="13.5" bestFit="1" customWidth="1"/>
    <col min="6" max="6" width="18" style="29" bestFit="1" customWidth="1"/>
    <col min="7" max="7" width="13.6640625" bestFit="1" customWidth="1"/>
    <col min="8" max="8" width="13.83203125" customWidth="1"/>
    <col min="9" max="9" width="16.33203125" customWidth="1"/>
    <col min="10" max="10" width="10.33203125" customWidth="1"/>
    <col min="11" max="11" width="19.6640625" customWidth="1"/>
    <col min="12" max="12" width="15.83203125" customWidth="1"/>
    <col min="13" max="13" width="15.6640625" customWidth="1"/>
    <col min="14" max="14" width="17.1640625" customWidth="1"/>
    <col min="15" max="15" width="12.33203125" customWidth="1"/>
    <col min="26" max="26" width="16.33203125" customWidth="1"/>
  </cols>
  <sheetData>
    <row r="1" spans="1:26">
      <c r="A1" s="2" t="s">
        <v>381</v>
      </c>
      <c r="E1" s="29"/>
      <c r="G1" s="30"/>
    </row>
    <row r="2" spans="1:26">
      <c r="A2" t="s">
        <v>395</v>
      </c>
    </row>
    <row r="3" spans="1:26">
      <c r="A3" t="s">
        <v>380</v>
      </c>
      <c r="L3" t="s">
        <v>386</v>
      </c>
    </row>
    <row r="4" spans="1:26" ht="16" thickBot="1">
      <c r="A4" t="s">
        <v>396</v>
      </c>
    </row>
    <row r="5" spans="1:26">
      <c r="L5" s="286" t="s">
        <v>400</v>
      </c>
      <c r="M5" s="287"/>
      <c r="N5" s="287"/>
      <c r="O5" s="288"/>
      <c r="P5" s="289" t="s">
        <v>401</v>
      </c>
      <c r="Q5" s="290"/>
      <c r="R5" s="290"/>
      <c r="S5" s="291"/>
    </row>
    <row r="6" spans="1:26">
      <c r="L6" s="77"/>
      <c r="M6" t="s">
        <v>122</v>
      </c>
      <c r="N6" t="s">
        <v>121</v>
      </c>
      <c r="O6" s="73" t="s">
        <v>49</v>
      </c>
      <c r="P6" s="146"/>
      <c r="Q6" s="29" t="s">
        <v>122</v>
      </c>
      <c r="R6" s="29" t="s">
        <v>121</v>
      </c>
      <c r="S6" s="176" t="s">
        <v>49</v>
      </c>
      <c r="V6" s="29" t="s">
        <v>462</v>
      </c>
    </row>
    <row r="7" spans="1:26">
      <c r="A7" t="s">
        <v>412</v>
      </c>
      <c r="L7" s="77">
        <v>2023</v>
      </c>
      <c r="M7" s="213">
        <v>7.0000000000000001E-3</v>
      </c>
      <c r="N7" s="213">
        <v>6.7000000000000004E-2</v>
      </c>
      <c r="O7" s="215">
        <f>M7+N7</f>
        <v>7.400000000000001E-2</v>
      </c>
      <c r="P7" s="146">
        <v>2023</v>
      </c>
      <c r="Q7" s="256">
        <v>5.6114228986727599E-3</v>
      </c>
      <c r="R7" s="256">
        <v>4.3245790694099603E-2</v>
      </c>
      <c r="S7" s="257">
        <f>Q7+R7</f>
        <v>4.8857213592772362E-2</v>
      </c>
      <c r="U7" s="165" t="s">
        <v>458</v>
      </c>
      <c r="Z7" t="s">
        <v>461</v>
      </c>
    </row>
    <row r="8" spans="1:26">
      <c r="C8" t="s">
        <v>378</v>
      </c>
      <c r="D8" t="s">
        <v>2</v>
      </c>
      <c r="E8" t="s">
        <v>116</v>
      </c>
      <c r="F8" s="29" t="s">
        <v>115</v>
      </c>
      <c r="G8" s="29" t="s">
        <v>47</v>
      </c>
      <c r="H8" s="145" t="s">
        <v>460</v>
      </c>
      <c r="I8" s="228"/>
      <c r="J8" s="234" t="str">
        <f>G8</f>
        <v>CO2e</v>
      </c>
      <c r="L8" s="77">
        <v>2024</v>
      </c>
      <c r="M8" s="213">
        <v>7.0000000000000001E-3</v>
      </c>
      <c r="N8" s="213">
        <v>9.5000000000000001E-2</v>
      </c>
      <c r="O8" s="215">
        <f t="shared" ref="O8:O10" si="0">M8+N8</f>
        <v>0.10200000000000001</v>
      </c>
      <c r="P8" s="146">
        <v>2024</v>
      </c>
      <c r="Q8" s="256">
        <v>5.5430895670552901E-3</v>
      </c>
      <c r="R8" s="256">
        <v>4.7553932131171699E-2</v>
      </c>
      <c r="S8" s="257">
        <f t="shared" ref="S8:S10" si="1">Q8+R8</f>
        <v>5.3097021698226991E-2</v>
      </c>
      <c r="U8" t="str">
        <f>'CARB ZEV counts'!A63</f>
        <v>CY</v>
      </c>
      <c r="V8" t="str">
        <f>'CARB ZEV counts'!B63</f>
        <v xml:space="preserve">PC </v>
      </c>
      <c r="W8" t="str">
        <f>'CARB ZEV counts'!C63</f>
        <v>LDT</v>
      </c>
      <c r="X8" t="s">
        <v>459</v>
      </c>
    </row>
    <row r="9" spans="1:26">
      <c r="B9">
        <v>2025</v>
      </c>
      <c r="C9" s="225">
        <f>C29*$P29*$Q29</f>
        <v>1.2581513599101482E-3</v>
      </c>
      <c r="D9" s="225">
        <f t="shared" ref="D9:F9" si="2">D29*$P29*$Q29</f>
        <v>6.0669256962406085E-3</v>
      </c>
      <c r="E9" s="225">
        <f t="shared" si="2"/>
        <v>-4.6672363281423969E-2</v>
      </c>
      <c r="F9" s="225">
        <f t="shared" si="2"/>
        <v>7.3577478187502408E-3</v>
      </c>
      <c r="G9" s="230">
        <f>J29*P29*Q29</f>
        <v>-4.6034579358579922E-2</v>
      </c>
      <c r="H9" s="230">
        <f>(N29-Z9)*Q29</f>
        <v>-0.12951098359104715</v>
      </c>
      <c r="I9" s="229"/>
      <c r="J9" s="235">
        <f t="shared" ref="J9:J24" si="3">G9</f>
        <v>-4.6034579358579922E-2</v>
      </c>
      <c r="K9" s="140"/>
      <c r="L9" s="77">
        <v>2025</v>
      </c>
      <c r="M9" s="213">
        <v>7.0000000000000001E-3</v>
      </c>
      <c r="N9" s="213">
        <v>0.129</v>
      </c>
      <c r="O9" s="215">
        <f t="shared" si="0"/>
        <v>0.13600000000000001</v>
      </c>
      <c r="P9" s="146">
        <v>2025</v>
      </c>
      <c r="Q9" s="256">
        <v>5.1893396576929898E-3</v>
      </c>
      <c r="R9" s="256">
        <v>5.3288096549831299E-2</v>
      </c>
      <c r="S9" s="257">
        <f t="shared" si="1"/>
        <v>5.847743620752429E-2</v>
      </c>
      <c r="U9">
        <f>'CARB ZEV counts'!A64</f>
        <v>2025</v>
      </c>
      <c r="V9">
        <f>'CARB ZEV counts'!B64</f>
        <v>0.60000000000000009</v>
      </c>
      <c r="W9">
        <f>'CARB ZEV counts'!C64</f>
        <v>0.49</v>
      </c>
      <c r="X9" s="60">
        <f>V9*'Combined MOVES output'!AG$38+'Federal GHG Rule'!W9*(1-'Combined MOVES output'!AG$38)</f>
        <v>0.53600889976408927</v>
      </c>
      <c r="Z9" s="213">
        <f>M9*X9+N9</f>
        <v>0.13275206229834863</v>
      </c>
    </row>
    <row r="10" spans="1:26" ht="16" thickBot="1">
      <c r="B10">
        <v>2026</v>
      </c>
      <c r="C10" s="225">
        <f t="shared" ref="C10:F24" si="4">C30*$P30*$Q30</f>
        <v>4.5648589035858934E-4</v>
      </c>
      <c r="D10" s="225">
        <f t="shared" si="4"/>
        <v>6.0560221946798377E-3</v>
      </c>
      <c r="E10" s="225">
        <f t="shared" si="4"/>
        <v>-5.2854597045888768E-2</v>
      </c>
      <c r="F10" s="225">
        <f t="shared" si="4"/>
        <v>7.3980739117257147E-3</v>
      </c>
      <c r="G10" s="230">
        <f t="shared" ref="G10:G24" si="5">J30*P30*Q30</f>
        <v>-5.2180781429154131E-2</v>
      </c>
      <c r="H10" s="230">
        <f t="shared" ref="H10:H24" si="6">(N30-Z10)*Q30</f>
        <v>-0.16512039704459791</v>
      </c>
      <c r="I10" s="229"/>
      <c r="J10" s="235">
        <f t="shared" si="3"/>
        <v>-5.2180781429154131E-2</v>
      </c>
      <c r="K10" s="140"/>
      <c r="L10" s="231" t="s">
        <v>397</v>
      </c>
      <c r="M10" s="217">
        <v>6.0000000000000001E-3</v>
      </c>
      <c r="N10" s="217">
        <v>0.16600000000000001</v>
      </c>
      <c r="O10" s="218">
        <f t="shared" si="0"/>
        <v>0.17200000000000001</v>
      </c>
      <c r="P10" s="258" t="s">
        <v>397</v>
      </c>
      <c r="Q10" s="259">
        <v>4.4455139967337597E-3</v>
      </c>
      <c r="R10" s="259">
        <v>6.3294250609545702E-2</v>
      </c>
      <c r="S10" s="260">
        <f t="shared" si="1"/>
        <v>6.7739764606279465E-2</v>
      </c>
      <c r="U10">
        <f>'CARB ZEV counts'!A65</f>
        <v>2026</v>
      </c>
      <c r="V10">
        <f>'CARB ZEV counts'!B65</f>
        <v>0.60000000000000009</v>
      </c>
      <c r="W10">
        <f>'CARB ZEV counts'!C65</f>
        <v>0.49</v>
      </c>
      <c r="X10" s="60">
        <f>V10*'Combined MOVES output'!AG$38+'Federal GHG Rule'!W10*(1-'Combined MOVES output'!AG$38)</f>
        <v>0.53600889976408927</v>
      </c>
      <c r="Z10" s="213">
        <f>M10*X10+N10</f>
        <v>0.16921605339858453</v>
      </c>
    </row>
    <row r="11" spans="1:26">
      <c r="B11" s="8">
        <v>2027</v>
      </c>
      <c r="C11" s="225">
        <f t="shared" si="4"/>
        <v>-4.1815344991898932E-4</v>
      </c>
      <c r="D11" s="225">
        <f t="shared" si="4"/>
        <v>6.4795126851410773E-3</v>
      </c>
      <c r="E11" s="225">
        <f t="shared" si="4"/>
        <v>-6.4187189616597806E-2</v>
      </c>
      <c r="F11" s="225">
        <f t="shared" si="4"/>
        <v>8.0184428871483502E-3</v>
      </c>
      <c r="G11" s="230">
        <f t="shared" si="5"/>
        <v>-6.3416203536844212E-2</v>
      </c>
      <c r="H11" s="230">
        <f t="shared" si="6"/>
        <v>-0.16545841734746153</v>
      </c>
      <c r="I11" s="229"/>
      <c r="J11" s="235">
        <f t="shared" si="3"/>
        <v>-6.3416203536844212E-2</v>
      </c>
      <c r="K11" s="140"/>
      <c r="U11">
        <f>'CARB ZEV counts'!A66</f>
        <v>2027</v>
      </c>
      <c r="V11">
        <f>'CARB ZEV counts'!B66</f>
        <v>0.62999999999999989</v>
      </c>
      <c r="W11">
        <f>'CARB ZEV counts'!C66</f>
        <v>0.56499999999999995</v>
      </c>
      <c r="X11" s="60">
        <f>V11*'Combined MOVES output'!AG$38+'Federal GHG Rule'!W11*(1-'Combined MOVES output'!AG$38)</f>
        <v>0.5921870771333253</v>
      </c>
      <c r="Z11" s="213">
        <f>M$10*X11+N$10</f>
        <v>0.16955312246279997</v>
      </c>
    </row>
    <row r="12" spans="1:26">
      <c r="A12" s="6"/>
      <c r="B12">
        <v>2028</v>
      </c>
      <c r="C12" s="225">
        <f t="shared" si="4"/>
        <v>-2.299834829484787E-3</v>
      </c>
      <c r="D12" s="225">
        <f t="shared" si="4"/>
        <v>6.7781525812622657E-3</v>
      </c>
      <c r="E12" s="225">
        <f t="shared" si="4"/>
        <v>-8.0511617242775085E-2</v>
      </c>
      <c r="F12" s="225">
        <f t="shared" si="4"/>
        <v>8.599696868018725E-3</v>
      </c>
      <c r="G12" s="230">
        <f t="shared" si="5"/>
        <v>-7.9593619365653734E-2</v>
      </c>
      <c r="H12" s="230">
        <f t="shared" si="6"/>
        <v>-0.1655552074598598</v>
      </c>
      <c r="I12" s="229"/>
      <c r="J12" s="235">
        <f t="shared" si="3"/>
        <v>-7.9593619365653734E-2</v>
      </c>
      <c r="K12" s="140"/>
      <c r="L12" t="s">
        <v>387</v>
      </c>
      <c r="U12">
        <f>'CARB ZEV counts'!A67</f>
        <v>2028</v>
      </c>
      <c r="V12">
        <f>'CARB ZEV counts'!B67</f>
        <v>0.64500000000000002</v>
      </c>
      <c r="W12">
        <f>'CARB ZEV counts'!C67</f>
        <v>0.58000000000000007</v>
      </c>
      <c r="X12" s="60">
        <f>V12*'Combined MOVES output'!AG$38+'Federal GHG Rule'!W12*(1-'Combined MOVES output'!AG$38)</f>
        <v>0.60718707713332543</v>
      </c>
      <c r="Z12" s="213">
        <f t="shared" ref="Z12:Z24" si="7">M$10*X12+N$10</f>
        <v>0.16964312246279997</v>
      </c>
    </row>
    <row r="13" spans="1:26">
      <c r="B13">
        <v>2029</v>
      </c>
      <c r="C13" s="225">
        <f t="shared" si="4"/>
        <v>-5.2879529771332192E-3</v>
      </c>
      <c r="D13" s="225">
        <f t="shared" si="4"/>
        <v>6.737902948708724E-3</v>
      </c>
      <c r="E13" s="225">
        <f t="shared" si="4"/>
        <v>-0.1001925133457759</v>
      </c>
      <c r="F13" s="225">
        <f t="shared" si="4"/>
        <v>8.922659243825343E-3</v>
      </c>
      <c r="G13" s="230">
        <f t="shared" si="5"/>
        <v>-9.9105166885555512E-2</v>
      </c>
      <c r="H13" s="230">
        <f t="shared" si="6"/>
        <v>-0.16600654609534071</v>
      </c>
      <c r="I13" s="229"/>
      <c r="J13" s="235">
        <f t="shared" si="3"/>
        <v>-9.9105166885555512E-2</v>
      </c>
      <c r="K13" s="140"/>
      <c r="L13" t="s">
        <v>398</v>
      </c>
      <c r="U13">
        <f>'CARB ZEV counts'!A68</f>
        <v>2029</v>
      </c>
      <c r="V13">
        <f>'CARB ZEV counts'!B68</f>
        <v>0.71700000000000008</v>
      </c>
      <c r="W13">
        <f>'CARB ZEV counts'!C68</f>
        <v>0.65800000000000014</v>
      </c>
      <c r="X13" s="60">
        <f>V13*'Combined MOVES output'!AG$38+'Federal GHG Rule'!W13*(1-'Combined MOVES output'!AG$38)</f>
        <v>0.68267750078255696</v>
      </c>
      <c r="Z13" s="213">
        <f t="shared" si="7"/>
        <v>0.17009606500469535</v>
      </c>
    </row>
    <row r="14" spans="1:26">
      <c r="B14">
        <v>2030</v>
      </c>
      <c r="C14" s="225">
        <f t="shared" si="4"/>
        <v>-9.5254702072889129E-3</v>
      </c>
      <c r="D14" s="225">
        <f t="shared" si="4"/>
        <v>5.7423205691979496E-3</v>
      </c>
      <c r="E14" s="225">
        <f t="shared" si="4"/>
        <v>-0.11978683427562987</v>
      </c>
      <c r="F14" s="225">
        <f t="shared" si="4"/>
        <v>8.3003303492984494E-3</v>
      </c>
      <c r="G14" s="230">
        <f t="shared" si="5"/>
        <v>-0.11852176198375698</v>
      </c>
      <c r="H14" s="230">
        <f t="shared" si="6"/>
        <v>-0.166132728315632</v>
      </c>
      <c r="I14" s="229"/>
      <c r="J14" s="235">
        <f t="shared" si="3"/>
        <v>-0.11852176198375698</v>
      </c>
      <c r="K14" s="140"/>
      <c r="U14">
        <f>'CARB ZEV counts'!A69</f>
        <v>2030</v>
      </c>
      <c r="V14">
        <f>'CARB ZEV counts'!B69</f>
        <v>0.7370000000000001</v>
      </c>
      <c r="W14">
        <f>'CARB ZEV counts'!C69</f>
        <v>0.67799999999999994</v>
      </c>
      <c r="X14" s="60">
        <f>V14*'Combined MOVES output'!AG$38+'Federal GHG Rule'!W14*(1-'Combined MOVES output'!AG$38)</f>
        <v>0.70267750078255697</v>
      </c>
      <c r="Z14" s="213">
        <f t="shared" si="7"/>
        <v>0.17021606500469535</v>
      </c>
    </row>
    <row r="15" spans="1:26">
      <c r="B15">
        <v>2031</v>
      </c>
      <c r="C15" s="225">
        <f t="shared" si="4"/>
        <v>-1.3982092195706433E-2</v>
      </c>
      <c r="D15" s="225">
        <f t="shared" si="4"/>
        <v>4.8072304174996009E-3</v>
      </c>
      <c r="E15" s="225">
        <f t="shared" si="4"/>
        <v>-0.13877088262172102</v>
      </c>
      <c r="F15" s="225">
        <f t="shared" si="4"/>
        <v>7.8257021344798998E-3</v>
      </c>
      <c r="G15" s="230">
        <f t="shared" si="5"/>
        <v>-0.13733235265874252</v>
      </c>
      <c r="H15" s="230">
        <f t="shared" si="6"/>
        <v>-0.16628172464394822</v>
      </c>
      <c r="I15" s="229"/>
      <c r="J15" s="235">
        <f t="shared" si="3"/>
        <v>-0.13733235265874252</v>
      </c>
      <c r="K15" s="140"/>
      <c r="L15" s="281"/>
      <c r="M15" s="281"/>
      <c r="U15">
        <f>'CARB ZEV counts'!A70</f>
        <v>2031</v>
      </c>
      <c r="V15">
        <f>'CARB ZEV counts'!B70</f>
        <v>0.75500000000000012</v>
      </c>
      <c r="W15">
        <f>'CARB ZEV counts'!C70</f>
        <v>0.70700000000000007</v>
      </c>
      <c r="X15" s="60">
        <f>V15*'Combined MOVES output'!AG$38+'Federal GHG Rule'!W15*(1-'Combined MOVES output'!AG$38)</f>
        <v>0.72707661080614805</v>
      </c>
      <c r="Z15" s="213">
        <f t="shared" si="7"/>
        <v>0.1703624596648369</v>
      </c>
    </row>
    <row r="16" spans="1:26">
      <c r="B16" s="8">
        <v>2032</v>
      </c>
      <c r="C16" s="225">
        <f t="shared" si="4"/>
        <v>-1.927694534435823E-2</v>
      </c>
      <c r="D16" s="225">
        <f t="shared" si="4"/>
        <v>3.3014971521409054E-3</v>
      </c>
      <c r="E16" s="225">
        <f t="shared" si="4"/>
        <v>-0.15772836128797343</v>
      </c>
      <c r="F16" s="225">
        <f t="shared" si="4"/>
        <v>6.872043609870389E-3</v>
      </c>
      <c r="G16" s="230">
        <f t="shared" si="5"/>
        <v>-0.1561182583732004</v>
      </c>
      <c r="H16" s="230">
        <f t="shared" si="6"/>
        <v>-0.16640737352225826</v>
      </c>
      <c r="I16" s="229"/>
      <c r="J16" s="235">
        <f t="shared" si="3"/>
        <v>-0.1561182583732004</v>
      </c>
      <c r="K16" s="140"/>
      <c r="U16">
        <f>'CARB ZEV counts'!A71</f>
        <v>2032</v>
      </c>
      <c r="V16">
        <f>'CARB ZEV counts'!B71</f>
        <v>0.77600000000000002</v>
      </c>
      <c r="W16">
        <f>'CARB ZEV counts'!C71</f>
        <v>0.72700000000000009</v>
      </c>
      <c r="X16" s="60">
        <f>V16*'Combined MOVES output'!AG$38+'Federal GHG Rule'!W16*(1-'Combined MOVES output'!AG$38)</f>
        <v>0.74749487353127608</v>
      </c>
      <c r="Z16" s="213">
        <f t="shared" si="7"/>
        <v>0.17048496924118767</v>
      </c>
    </row>
    <row r="17" spans="1:26">
      <c r="B17">
        <v>2033</v>
      </c>
      <c r="C17" s="225">
        <f t="shared" si="4"/>
        <v>-2.5445897090093227E-2</v>
      </c>
      <c r="D17" s="225">
        <f t="shared" si="4"/>
        <v>1.2422018388389959E-3</v>
      </c>
      <c r="E17" s="225">
        <f t="shared" si="4"/>
        <v>-0.17599627327311562</v>
      </c>
      <c r="F17" s="225">
        <f t="shared" si="4"/>
        <v>5.4050703849231833E-3</v>
      </c>
      <c r="G17" s="230">
        <f t="shared" si="5"/>
        <v>-0.17422573192581203</v>
      </c>
      <c r="H17" s="230">
        <f t="shared" si="6"/>
        <v>-0.16641334191423446</v>
      </c>
      <c r="I17" s="229"/>
      <c r="J17" s="235">
        <f t="shared" si="3"/>
        <v>-0.17422573192581203</v>
      </c>
      <c r="K17" s="140"/>
      <c r="U17">
        <f>'CARB ZEV counts'!A72</f>
        <v>2033</v>
      </c>
      <c r="V17">
        <f>'CARB ZEV counts'!B72</f>
        <v>0.77600000000000002</v>
      </c>
      <c r="W17">
        <f>'CARB ZEV counts'!C72</f>
        <v>0.72700000000000009</v>
      </c>
      <c r="X17" s="60">
        <f>V17*'Combined MOVES output'!AG$38+'Federal GHG Rule'!W17*(1-'Combined MOVES output'!AG$38)</f>
        <v>0.74749487353127608</v>
      </c>
      <c r="Z17" s="213">
        <f t="shared" si="7"/>
        <v>0.17048496924118767</v>
      </c>
    </row>
    <row r="18" spans="1:26">
      <c r="B18">
        <v>2034</v>
      </c>
      <c r="C18" s="225">
        <f t="shared" si="4"/>
        <v>-3.2364722062795198E-2</v>
      </c>
      <c r="D18" s="225">
        <f t="shared" si="4"/>
        <v>-1.5290538209073367E-3</v>
      </c>
      <c r="E18" s="225">
        <f t="shared" si="4"/>
        <v>-0.19348474882722574</v>
      </c>
      <c r="F18" s="225">
        <f t="shared" si="4"/>
        <v>3.2715701312345993E-3</v>
      </c>
      <c r="G18" s="230">
        <f t="shared" si="5"/>
        <v>-0.19157428338723068</v>
      </c>
      <c r="H18" s="230">
        <f t="shared" si="6"/>
        <v>-0.16641930892895374</v>
      </c>
      <c r="I18" s="229"/>
      <c r="J18" s="235">
        <f t="shared" si="3"/>
        <v>-0.19157428338723068</v>
      </c>
      <c r="K18" s="140"/>
      <c r="U18">
        <f>'CARB ZEV counts'!A73</f>
        <v>2034</v>
      </c>
      <c r="V18">
        <f>'CARB ZEV counts'!B73</f>
        <v>0.77600000000000002</v>
      </c>
      <c r="W18">
        <f>'CARB ZEV counts'!C73</f>
        <v>0.72700000000000009</v>
      </c>
      <c r="X18" s="60">
        <f>V18*'Combined MOVES output'!AG$38+'Federal GHG Rule'!W18*(1-'Combined MOVES output'!AG$38)</f>
        <v>0.74749487353127608</v>
      </c>
      <c r="Z18" s="213">
        <f t="shared" si="7"/>
        <v>0.17048496924118767</v>
      </c>
    </row>
    <row r="19" spans="1:26">
      <c r="B19">
        <v>2035</v>
      </c>
      <c r="C19" s="225">
        <f t="shared" si="4"/>
        <v>-4.7045397603442091E-2</v>
      </c>
      <c r="D19" s="225">
        <f t="shared" si="4"/>
        <v>-9.0659051485313374E-3</v>
      </c>
      <c r="E19" s="225">
        <f t="shared" si="4"/>
        <v>-0.20975995367370462</v>
      </c>
      <c r="F19" s="225">
        <f t="shared" si="4"/>
        <v>-1.5152964722600342E-2</v>
      </c>
      <c r="G19" s="230">
        <f t="shared" si="5"/>
        <v>-0.20771999123226345</v>
      </c>
      <c r="H19" s="230">
        <f t="shared" si="6"/>
        <v>-0.16642527456641623</v>
      </c>
      <c r="I19" s="229"/>
      <c r="J19" s="235">
        <f t="shared" si="3"/>
        <v>-0.20771999123226345</v>
      </c>
      <c r="K19" s="140"/>
      <c r="U19">
        <f>'CARB ZEV counts'!A74</f>
        <v>2035</v>
      </c>
      <c r="V19">
        <f>'CARB ZEV counts'!B74</f>
        <v>0.77600000000000002</v>
      </c>
      <c r="W19">
        <f>'CARB ZEV counts'!C74</f>
        <v>0.72700000000000009</v>
      </c>
      <c r="X19" s="60">
        <f>V19*'Combined MOVES output'!AG$38+'Federal GHG Rule'!W19*(1-'Combined MOVES output'!AG$38)</f>
        <v>0.74749487353127608</v>
      </c>
      <c r="Z19" s="213">
        <f t="shared" si="7"/>
        <v>0.17048496924118767</v>
      </c>
    </row>
    <row r="20" spans="1:26">
      <c r="B20">
        <v>2036</v>
      </c>
      <c r="C20" s="225">
        <f t="shared" si="4"/>
        <v>-5.6168890990144472E-2</v>
      </c>
      <c r="D20" s="225">
        <f t="shared" si="4"/>
        <v>-1.4314070847932285E-2</v>
      </c>
      <c r="E20" s="225">
        <f t="shared" si="4"/>
        <v>-0.22467594778478955</v>
      </c>
      <c r="F20" s="225">
        <f t="shared" si="4"/>
        <v>-2.1863049892505839E-2</v>
      </c>
      <c r="G20" s="230">
        <f t="shared" si="5"/>
        <v>-0.22251334201075565</v>
      </c>
      <c r="H20" s="230">
        <f t="shared" si="6"/>
        <v>-0.16651313283359273</v>
      </c>
      <c r="I20" s="229"/>
      <c r="J20" s="235">
        <f t="shared" si="3"/>
        <v>-0.22251334201075565</v>
      </c>
      <c r="K20" s="140"/>
      <c r="U20">
        <f>'CARB ZEV counts'!A75</f>
        <v>2036</v>
      </c>
      <c r="V20">
        <f>'CARB ZEV counts'!B75</f>
        <v>0.79</v>
      </c>
      <c r="W20">
        <f>'CARB ZEV counts'!C75</f>
        <v>0.74</v>
      </c>
      <c r="X20" s="60">
        <f>V20*'Combined MOVES output'!AG$38+'Federal GHG Rule'!W20*(1-'Combined MOVES output'!AG$38)</f>
        <v>0.76091313625640411</v>
      </c>
      <c r="Z20" s="213">
        <f t="shared" si="7"/>
        <v>0.17056547881753845</v>
      </c>
    </row>
    <row r="21" spans="1:26">
      <c r="B21" s="8">
        <v>2037</v>
      </c>
      <c r="C21" s="225">
        <f t="shared" si="4"/>
        <v>-6.5454880466791224E-2</v>
      </c>
      <c r="D21" s="225">
        <f t="shared" si="4"/>
        <v>-2.0457068920274445E-2</v>
      </c>
      <c r="E21" s="225">
        <f t="shared" si="4"/>
        <v>-0.23810761214818313</v>
      </c>
      <c r="F21" s="225">
        <f t="shared" si="4"/>
        <v>-2.9765476442361383E-2</v>
      </c>
      <c r="G21" s="230">
        <f t="shared" si="5"/>
        <v>-0.23583343679026902</v>
      </c>
      <c r="H21" s="230">
        <f t="shared" si="6"/>
        <v>-0.16652235616338171</v>
      </c>
      <c r="I21" s="229"/>
      <c r="J21" s="235">
        <f t="shared" si="3"/>
        <v>-0.23583343679026902</v>
      </c>
      <c r="K21" s="140"/>
      <c r="U21">
        <f>'CARB ZEV counts'!A76</f>
        <v>2037</v>
      </c>
      <c r="V21">
        <f>'CARB ZEV counts'!B76</f>
        <v>0.79</v>
      </c>
      <c r="W21">
        <f>'CARB ZEV counts'!C76</f>
        <v>0.74</v>
      </c>
      <c r="X21" s="60">
        <f>V21*'Combined MOVES output'!AG$38+'Federal GHG Rule'!W21*(1-'Combined MOVES output'!AG$38)</f>
        <v>0.76091313625640411</v>
      </c>
      <c r="Z21" s="213">
        <f t="shared" si="7"/>
        <v>0.17056547881753845</v>
      </c>
    </row>
    <row r="22" spans="1:26">
      <c r="A22" s="6"/>
      <c r="B22">
        <v>2038</v>
      </c>
      <c r="C22" s="225">
        <f t="shared" si="4"/>
        <v>-7.5451687599725883E-2</v>
      </c>
      <c r="D22" s="225">
        <f t="shared" si="4"/>
        <v>-2.7637880266435048E-2</v>
      </c>
      <c r="E22" s="225">
        <f t="shared" si="4"/>
        <v>-0.2501558749297535</v>
      </c>
      <c r="F22" s="225">
        <f t="shared" si="4"/>
        <v>-3.9008324565108166E-2</v>
      </c>
      <c r="G22" s="230">
        <f t="shared" si="5"/>
        <v>-0.2477792837756799</v>
      </c>
      <c r="H22" s="230">
        <f t="shared" si="6"/>
        <v>-0.16653157866845628</v>
      </c>
      <c r="I22" s="229"/>
      <c r="J22" s="235">
        <f t="shared" si="3"/>
        <v>-0.2477792837756799</v>
      </c>
      <c r="K22" s="140"/>
      <c r="U22">
        <f>'CARB ZEV counts'!A77</f>
        <v>2038</v>
      </c>
      <c r="V22">
        <f>'CARB ZEV counts'!B77</f>
        <v>0.79</v>
      </c>
      <c r="W22">
        <f>'CARB ZEV counts'!C77</f>
        <v>0.74</v>
      </c>
      <c r="X22" s="60">
        <f>V22*'Combined MOVES output'!AG$38+'Federal GHG Rule'!W22*(1-'Combined MOVES output'!AG$38)</f>
        <v>0.76091313625640411</v>
      </c>
      <c r="Z22" s="213">
        <f t="shared" si="7"/>
        <v>0.17056547881753845</v>
      </c>
    </row>
    <row r="23" spans="1:26">
      <c r="B23">
        <v>2039</v>
      </c>
      <c r="C23" s="225">
        <f t="shared" si="4"/>
        <v>-8.5312917150753939E-2</v>
      </c>
      <c r="D23" s="225">
        <f t="shared" si="4"/>
        <v>-3.5688168418809126E-2</v>
      </c>
      <c r="E23" s="225">
        <f t="shared" si="4"/>
        <v>-0.26091954088744052</v>
      </c>
      <c r="F23" s="225">
        <f t="shared" si="4"/>
        <v>-4.9591951176631392E-2</v>
      </c>
      <c r="G23" s="230">
        <f t="shared" si="5"/>
        <v>-0.2584504419405308</v>
      </c>
      <c r="H23" s="230">
        <f t="shared" si="6"/>
        <v>-0.16654080034881652</v>
      </c>
      <c r="I23" s="229"/>
      <c r="J23" s="235">
        <f t="shared" si="3"/>
        <v>-0.2584504419405308</v>
      </c>
      <c r="K23" s="140"/>
      <c r="U23">
        <f>'CARB ZEV counts'!A78</f>
        <v>2039</v>
      </c>
      <c r="V23">
        <f>'CARB ZEV counts'!B78</f>
        <v>0.79</v>
      </c>
      <c r="W23">
        <f>'CARB ZEV counts'!C78</f>
        <v>0.74</v>
      </c>
      <c r="X23" s="60">
        <f>V23*'Combined MOVES output'!AG$38+'Federal GHG Rule'!W23*(1-'Combined MOVES output'!AG$38)</f>
        <v>0.76091313625640411</v>
      </c>
      <c r="Z23" s="213">
        <f t="shared" si="7"/>
        <v>0.17056547881753845</v>
      </c>
    </row>
    <row r="24" spans="1:26">
      <c r="B24">
        <v>2040</v>
      </c>
      <c r="C24" s="225">
        <f t="shared" si="4"/>
        <v>-9.5835272132551053E-2</v>
      </c>
      <c r="D24" s="225">
        <f t="shared" si="4"/>
        <v>-4.5096343718027926E-2</v>
      </c>
      <c r="E24" s="225">
        <f t="shared" si="4"/>
        <v>-0.27029810770779394</v>
      </c>
      <c r="F24" s="225">
        <f t="shared" si="4"/>
        <v>-6.1250933195588914E-2</v>
      </c>
      <c r="G24" s="230">
        <f t="shared" si="5"/>
        <v>-0.26774173551523461</v>
      </c>
      <c r="H24" s="230">
        <f t="shared" si="6"/>
        <v>-0.16655002120446241</v>
      </c>
      <c r="I24" s="229"/>
      <c r="J24" s="235">
        <f t="shared" si="3"/>
        <v>-0.26774173551523461</v>
      </c>
      <c r="K24" s="140"/>
      <c r="U24">
        <f>'CARB ZEV counts'!A79</f>
        <v>2040</v>
      </c>
      <c r="V24">
        <f>'CARB ZEV counts'!B79</f>
        <v>0.79</v>
      </c>
      <c r="W24">
        <f>'CARB ZEV counts'!C79</f>
        <v>0.74</v>
      </c>
      <c r="X24" s="60">
        <f>V24*'Combined MOVES output'!AG$38+'Federal GHG Rule'!W24*(1-'Combined MOVES output'!AG$38)</f>
        <v>0.76091313625640411</v>
      </c>
      <c r="Z24" s="213">
        <f t="shared" si="7"/>
        <v>0.17056547881753845</v>
      </c>
    </row>
    <row r="25" spans="1:26">
      <c r="C25" s="42"/>
      <c r="D25" s="3"/>
      <c r="E25" s="3"/>
      <c r="F25" s="102"/>
      <c r="G25" s="3"/>
      <c r="H25" s="3"/>
      <c r="I25" s="3"/>
      <c r="K25" s="3"/>
    </row>
    <row r="26" spans="1:26">
      <c r="C26" s="3"/>
      <c r="D26" s="3"/>
      <c r="E26" s="3"/>
      <c r="F26" s="102"/>
      <c r="G26" s="3"/>
      <c r="H26" s="3"/>
      <c r="I26" s="3"/>
    </row>
    <row r="27" spans="1:26">
      <c r="A27" t="s">
        <v>410</v>
      </c>
      <c r="C27" s="3"/>
      <c r="D27" s="3"/>
      <c r="E27" s="3"/>
      <c r="F27" s="102"/>
      <c r="G27" s="3"/>
      <c r="H27" s="3"/>
      <c r="I27" s="3"/>
      <c r="N27" s="6"/>
    </row>
    <row r="28" spans="1:26">
      <c r="C28" t="s">
        <v>378</v>
      </c>
      <c r="D28" t="s">
        <v>2</v>
      </c>
      <c r="E28" t="s">
        <v>116</v>
      </c>
      <c r="F28" s="29" t="s">
        <v>115</v>
      </c>
      <c r="G28" s="228" t="s">
        <v>3</v>
      </c>
      <c r="H28" s="228" t="s">
        <v>26</v>
      </c>
      <c r="I28" s="228" t="s">
        <v>21</v>
      </c>
      <c r="J28" s="145" t="s">
        <v>402</v>
      </c>
      <c r="K28" s="3"/>
      <c r="L28" s="29" t="s">
        <v>411</v>
      </c>
      <c r="M28" s="29" t="s">
        <v>413</v>
      </c>
      <c r="N28" s="29" t="s">
        <v>415</v>
      </c>
      <c r="O28" s="29" t="s">
        <v>414</v>
      </c>
      <c r="P28" s="29" t="s">
        <v>249</v>
      </c>
      <c r="Q28" s="29" t="s">
        <v>429</v>
      </c>
    </row>
    <row r="29" spans="1:26">
      <c r="B29">
        <v>2025</v>
      </c>
      <c r="C29" s="225">
        <v>4.3843912724878811E-4</v>
      </c>
      <c r="D29" s="225">
        <v>2.1141952328636699E-3</v>
      </c>
      <c r="E29" s="225">
        <v>-1.6264331046152738E-2</v>
      </c>
      <c r="F29" s="230">
        <v>2.5640194295858901E-3</v>
      </c>
      <c r="G29" s="229">
        <v>-1.6139560551236515E-2</v>
      </c>
      <c r="H29" s="229">
        <v>-2.1802198780865108E-3</v>
      </c>
      <c r="I29" s="229">
        <v>-6.375505763797207E-3</v>
      </c>
      <c r="J29" s="225">
        <f>(G29*'Combined MOVES output'!L9+'Federal GHG Rule'!H29*'Combined MOVES output'!M9+'Federal GHG Rule'!I29*'Combined MOVES output'!N9)/'Combined MOVES output'!D9</f>
        <v>-1.6042076844142397E-2</v>
      </c>
      <c r="L29" s="213">
        <f>O7-S7</f>
        <v>2.5142786407227648E-2</v>
      </c>
      <c r="M29" s="213">
        <f>O7</f>
        <v>7.400000000000001E-2</v>
      </c>
      <c r="N29" s="233">
        <f>'Fleet ZEV fractions'!AG44</f>
        <v>1.0001580265022582E-4</v>
      </c>
      <c r="O29" s="213">
        <f>M29-N29</f>
        <v>7.3899984197349791E-2</v>
      </c>
      <c r="P29" s="232">
        <f>O29/L29</f>
        <v>2.9392121859694198</v>
      </c>
      <c r="Q29">
        <f>1-G69</f>
        <v>0.97632103697131356</v>
      </c>
    </row>
    <row r="30" spans="1:26">
      <c r="A30" s="6"/>
      <c r="B30">
        <v>2026</v>
      </c>
      <c r="C30" s="225">
        <v>2.2438498960867549E-4</v>
      </c>
      <c r="D30" s="225">
        <v>2.9768290891875855E-3</v>
      </c>
      <c r="E30" s="225">
        <v>-2.5980601940612261E-2</v>
      </c>
      <c r="F30" s="230">
        <v>3.6365127003219599E-3</v>
      </c>
      <c r="G30" s="229">
        <v>-2.5804091026653559E-2</v>
      </c>
      <c r="H30" s="229">
        <v>-3.8182050941960315E-3</v>
      </c>
      <c r="I30" s="229">
        <v>-1.0795175770601632E-2</v>
      </c>
      <c r="J30" s="225">
        <f>(G30*'Combined MOVES output'!L10+'Federal GHG Rule'!H30*'Combined MOVES output'!M10+'Federal GHG Rule'!I30*'Combined MOVES output'!N10)/'Combined MOVES output'!D10</f>
        <v>-2.564938883336727E-2</v>
      </c>
      <c r="L30" s="213">
        <f>O8-S8</f>
        <v>4.8902978301773016E-2</v>
      </c>
      <c r="M30" s="213">
        <f>O8</f>
        <v>0.10200000000000001</v>
      </c>
      <c r="N30" s="233">
        <f>'Fleet ZEV fractions'!AG45</f>
        <v>1.1251777798150404E-4</v>
      </c>
      <c r="O30" s="213">
        <f t="shared" ref="O30:O44" si="8">M30-N30</f>
        <v>0.1018874822220185</v>
      </c>
      <c r="P30" s="232">
        <f t="shared" ref="P30:P44" si="9">O30/L30</f>
        <v>2.0834616982484375</v>
      </c>
      <c r="Q30">
        <f>Q29+1/5*(Q34-Q29)</f>
        <v>0.97644556300146435</v>
      </c>
    </row>
    <row r="31" spans="1:26">
      <c r="B31" s="8">
        <v>2027</v>
      </c>
      <c r="C31" s="225">
        <v>-2.4429855547648647E-4</v>
      </c>
      <c r="D31" s="225">
        <v>3.7855375567945313E-3</v>
      </c>
      <c r="E31" s="225">
        <v>-3.7500199284420811E-2</v>
      </c>
      <c r="F31" s="230">
        <v>4.6846295657265403E-3</v>
      </c>
      <c r="G31" s="229">
        <v>-3.7271503606420724E-2</v>
      </c>
      <c r="H31" s="229">
        <v>-5.96070491851209E-3</v>
      </c>
      <c r="I31" s="229">
        <v>-1.5820952986733923E-2</v>
      </c>
      <c r="J31" s="225">
        <f>(G31*'Combined MOVES output'!L11+'Federal GHG Rule'!H31*'Combined MOVES output'!M11+'Federal GHG Rule'!I31*'Combined MOVES output'!N11)/'Combined MOVES output'!D11</f>
        <v>-3.7049764675755568E-2</v>
      </c>
      <c r="L31" s="213">
        <f>O9-S9</f>
        <v>7.7522563792475713E-2</v>
      </c>
      <c r="M31" s="213">
        <f>O9</f>
        <v>0.13600000000000001</v>
      </c>
      <c r="N31" s="233">
        <f>'Fleet ZEV fractions'!AG46</f>
        <v>1.2501975331278227E-4</v>
      </c>
      <c r="O31" s="213">
        <f t="shared" si="8"/>
        <v>0.13587498024668723</v>
      </c>
      <c r="P31" s="232">
        <f t="shared" si="9"/>
        <v>1.7527152560436239</v>
      </c>
      <c r="Q31">
        <f>Q29+2/5*(Q34-Q29)</f>
        <v>0.97657008903161513</v>
      </c>
      <c r="S31" s="8"/>
    </row>
    <row r="32" spans="1:26">
      <c r="B32">
        <v>2028</v>
      </c>
      <c r="C32" s="225">
        <v>-1.4284843428198999E-3</v>
      </c>
      <c r="D32" s="225">
        <v>4.2100783549514822E-3</v>
      </c>
      <c r="E32" s="225">
        <v>-5.0007758458105234E-2</v>
      </c>
      <c r="F32" s="230">
        <v>5.3414846020546965E-3</v>
      </c>
      <c r="G32" s="229">
        <v>-4.9731038597155039E-2</v>
      </c>
      <c r="H32" s="229">
        <v>-8.9785807848540775E-3</v>
      </c>
      <c r="I32" s="229">
        <v>-2.1731429741623499E-2</v>
      </c>
      <c r="J32" s="225">
        <f>(G32*'Combined MOVES output'!L12+'Federal GHG Rule'!H32*'Combined MOVES output'!M12+'Federal GHG Rule'!I32*'Combined MOVES output'!N12)/'Combined MOVES output'!D12</f>
        <v>-4.9437567252459604E-2</v>
      </c>
      <c r="L32" s="213">
        <f>O10-S10</f>
        <v>0.10426023539372055</v>
      </c>
      <c r="M32" s="213">
        <f>O10</f>
        <v>0.17200000000000001</v>
      </c>
      <c r="N32" s="233">
        <f>'Fleet ZEV fractions'!AG47</f>
        <v>1.3752172864406049E-4</v>
      </c>
      <c r="O32" s="213">
        <f t="shared" si="8"/>
        <v>0.17186247827135595</v>
      </c>
      <c r="P32" s="232">
        <f t="shared" si="9"/>
        <v>1.6483991007918537</v>
      </c>
      <c r="Q32">
        <f>Q29+3/5*(Q34-Q29)</f>
        <v>0.97669461506176591</v>
      </c>
    </row>
    <row r="33" spans="1:19">
      <c r="B33">
        <v>2029</v>
      </c>
      <c r="C33" s="225">
        <v>-3.2842986964852681E-3</v>
      </c>
      <c r="D33" s="225">
        <v>4.1848492161678319E-3</v>
      </c>
      <c r="E33" s="225">
        <v>-6.2228643560576918E-2</v>
      </c>
      <c r="F33" s="230">
        <v>5.5417811486600764E-3</v>
      </c>
      <c r="G33" s="229">
        <v>-6.1915580079079512E-2</v>
      </c>
      <c r="H33" s="229">
        <v>-1.2721217084206149E-2</v>
      </c>
      <c r="I33" s="229">
        <v>-2.7901359951336194E-2</v>
      </c>
      <c r="J33" s="225">
        <f>(G33*'Combined MOVES output'!L13+'Federal GHG Rule'!H33*'Combined MOVES output'!M13+'Federal GHG Rule'!I33*'Combined MOVES output'!N13)/'Combined MOVES output'!D13</f>
        <v>-6.1553302728808441E-2</v>
      </c>
      <c r="L33" s="213">
        <f>L32</f>
        <v>0.10426023539372055</v>
      </c>
      <c r="M33" s="213">
        <f>M32</f>
        <v>0.17200000000000001</v>
      </c>
      <c r="N33" s="233">
        <f>'Fleet ZEV fractions'!AG48</f>
        <v>1.5002370397533874E-4</v>
      </c>
      <c r="O33" s="213">
        <f t="shared" si="8"/>
        <v>0.17184997629602466</v>
      </c>
      <c r="P33" s="232">
        <f t="shared" si="9"/>
        <v>1.6482791895401279</v>
      </c>
      <c r="Q33">
        <f>Q29+4/5*(Q34-Q29)</f>
        <v>0.9768191410919167</v>
      </c>
    </row>
    <row r="34" spans="1:19">
      <c r="B34">
        <v>2030</v>
      </c>
      <c r="C34" s="225">
        <v>-5.9158577332338105E-3</v>
      </c>
      <c r="D34" s="225">
        <v>3.5663070490738365E-3</v>
      </c>
      <c r="E34" s="225">
        <v>-7.4394424051300631E-2</v>
      </c>
      <c r="F34" s="230">
        <v>5.1549763336321561E-3</v>
      </c>
      <c r="G34" s="229">
        <v>-7.4038111335541765E-2</v>
      </c>
      <c r="H34" s="229">
        <v>-1.7161738138571359E-2</v>
      </c>
      <c r="I34" s="229">
        <v>-3.4462973225395703E-2</v>
      </c>
      <c r="J34" s="225">
        <f>(G34*'Combined MOVES output'!L14+'Federal GHG Rule'!H34*'Combined MOVES output'!M14+'Federal GHG Rule'!I34*'Combined MOVES output'!N14)/'Combined MOVES output'!D14</f>
        <v>-7.3608742343404546E-2</v>
      </c>
      <c r="L34" s="213">
        <f t="shared" ref="L34:L44" si="10">L33</f>
        <v>0.10426023539372055</v>
      </c>
      <c r="M34" s="213">
        <f t="shared" ref="M34:M44" si="11">M33</f>
        <v>0.17200000000000001</v>
      </c>
      <c r="N34" s="233">
        <f>'Fleet ZEV fractions'!AG49</f>
        <v>1.6252567930661696E-4</v>
      </c>
      <c r="O34" s="213">
        <f t="shared" si="8"/>
        <v>0.17183747432069341</v>
      </c>
      <c r="P34" s="232">
        <f t="shared" si="9"/>
        <v>1.6481592782884025</v>
      </c>
      <c r="Q34">
        <f>1-G76</f>
        <v>0.97694366712206748</v>
      </c>
    </row>
    <row r="35" spans="1:19">
      <c r="B35">
        <v>2031</v>
      </c>
      <c r="C35" s="225">
        <v>-8.6833678596257829E-3</v>
      </c>
      <c r="D35" s="225">
        <v>2.985458078580667E-3</v>
      </c>
      <c r="E35" s="225">
        <v>-8.6181567475243859E-2</v>
      </c>
      <c r="F35" s="230">
        <v>4.8600344957255058E-3</v>
      </c>
      <c r="G35" s="229">
        <v>-8.5782843860438954E-2</v>
      </c>
      <c r="H35" s="229">
        <v>-2.1848418679714418E-2</v>
      </c>
      <c r="I35" s="229">
        <v>-4.1078514557174227E-2</v>
      </c>
      <c r="J35" s="225">
        <f>(G35*'Combined MOVES output'!L15+'Federal GHG Rule'!H35*'Combined MOVES output'!M15+'Federal GHG Rule'!I35*'Combined MOVES output'!N15)/'Combined MOVES output'!D15</f>
        <v>-8.5288190098611202E-2</v>
      </c>
      <c r="L35" s="213">
        <f t="shared" si="10"/>
        <v>0.10426023539372055</v>
      </c>
      <c r="M35" s="213">
        <f t="shared" si="11"/>
        <v>0.17200000000000001</v>
      </c>
      <c r="N35" s="233">
        <f>'Fleet ZEV fractions'!AG50</f>
        <v>1.4809394885019857E-4</v>
      </c>
      <c r="O35" s="213">
        <f t="shared" si="8"/>
        <v>0.17185190605114981</v>
      </c>
      <c r="P35" s="232">
        <f t="shared" si="9"/>
        <v>1.6482976985634181</v>
      </c>
      <c r="Q35">
        <f>Q34+1/5*(Q39-Q34)</f>
        <v>0.97689595084706116</v>
      </c>
    </row>
    <row r="36" spans="1:19">
      <c r="B36" s="8">
        <v>2032</v>
      </c>
      <c r="C36" s="225">
        <v>-1.1971236158820099E-2</v>
      </c>
      <c r="D36" s="225">
        <v>2.0502730790549219E-3</v>
      </c>
      <c r="E36" s="225">
        <v>-9.7951383281513899E-2</v>
      </c>
      <c r="F36" s="230">
        <v>4.2676293094095425E-3</v>
      </c>
      <c r="G36" s="229">
        <v>-9.7510500220374774E-2</v>
      </c>
      <c r="H36" s="229">
        <v>-2.7255901292055615E-2</v>
      </c>
      <c r="I36" s="229">
        <v>-4.8051717895765428E-2</v>
      </c>
      <c r="J36" s="225">
        <f>(G36*'Combined MOVES output'!L16+'Federal GHG Rule'!H36*'Combined MOVES output'!M16+'Federal GHG Rule'!I36*'Combined MOVES output'!N16)/'Combined MOVES output'!D16</f>
        <v>-9.695148823131633E-2</v>
      </c>
      <c r="L36" s="213">
        <f t="shared" si="10"/>
        <v>0.10426023539372055</v>
      </c>
      <c r="M36" s="213">
        <f t="shared" si="11"/>
        <v>0.17200000000000001</v>
      </c>
      <c r="N36" s="233">
        <f>'Fleet ZEV fractions'!AG51</f>
        <v>1.3366221839378021E-4</v>
      </c>
      <c r="O36" s="213">
        <f t="shared" si="8"/>
        <v>0.17186633778160623</v>
      </c>
      <c r="P36" s="232">
        <f t="shared" si="9"/>
        <v>1.648436118838434</v>
      </c>
      <c r="Q36">
        <f>Q34+2/5*(Q39-Q34)</f>
        <v>0.97684823457205472</v>
      </c>
      <c r="S36" s="8"/>
    </row>
    <row r="37" spans="1:19">
      <c r="B37">
        <v>2033</v>
      </c>
      <c r="C37" s="225">
        <v>-1.5801681243850191E-2</v>
      </c>
      <c r="D37" s="225">
        <v>7.713965606463304E-4</v>
      </c>
      <c r="E37" s="225">
        <v>-0.10929215820219822</v>
      </c>
      <c r="F37" s="230">
        <v>3.3565017975484509E-3</v>
      </c>
      <c r="G37" s="229">
        <v>-0.10881277687776238</v>
      </c>
      <c r="H37" s="229">
        <v>-3.3143844462513651E-2</v>
      </c>
      <c r="I37" s="229">
        <v>-5.5052327393082183E-2</v>
      </c>
      <c r="J37" s="225">
        <f>(G37*'Combined MOVES output'!L17+'Federal GHG Rule'!H37*'Combined MOVES output'!M17+'Federal GHG Rule'!I37*'Combined MOVES output'!N17)/'Combined MOVES output'!D17</f>
        <v>-0.10819266739234028</v>
      </c>
      <c r="L37" s="213">
        <f t="shared" si="10"/>
        <v>0.10426023539372055</v>
      </c>
      <c r="M37" s="213">
        <f t="shared" si="11"/>
        <v>0.17200000000000001</v>
      </c>
      <c r="N37" s="233">
        <f>'Fleet ZEV fractions'!AG52</f>
        <v>1.1923048793736183E-4</v>
      </c>
      <c r="O37" s="213">
        <f t="shared" si="8"/>
        <v>0.17188076951206266</v>
      </c>
      <c r="P37" s="232">
        <f t="shared" si="9"/>
        <v>1.6485745391134501</v>
      </c>
      <c r="Q37">
        <f>Q34+3/5*(Q39-Q34)</f>
        <v>0.97680051829704839</v>
      </c>
    </row>
    <row r="38" spans="1:19">
      <c r="B38">
        <v>2034</v>
      </c>
      <c r="C38" s="225">
        <v>-2.0097505879815198E-2</v>
      </c>
      <c r="D38" s="225">
        <v>-9.4949581512287736E-4</v>
      </c>
      <c r="E38" s="225">
        <v>-0.12014813134081642</v>
      </c>
      <c r="F38" s="230">
        <v>2.0315453295456655E-3</v>
      </c>
      <c r="G38" s="229">
        <v>-0.11963947738095373</v>
      </c>
      <c r="H38" s="229">
        <v>-3.948802809727997E-2</v>
      </c>
      <c r="I38" s="229">
        <v>-6.2058769501049757E-2</v>
      </c>
      <c r="J38" s="225">
        <f>(G38*'Combined MOVES output'!L18+'Federal GHG Rule'!H38*'Combined MOVES output'!M18+'Federal GHG Rule'!I38*'Combined MOVES output'!N18)/'Combined MOVES output'!D18</f>
        <v>-0.11896179053619008</v>
      </c>
      <c r="K38" s="3"/>
      <c r="L38" s="213">
        <f t="shared" si="10"/>
        <v>0.10426023539372055</v>
      </c>
      <c r="M38" s="213">
        <f t="shared" si="11"/>
        <v>0.17200000000000001</v>
      </c>
      <c r="N38" s="233">
        <f>'Fleet ZEV fractions'!AG53</f>
        <v>1.0479875748094346E-4</v>
      </c>
      <c r="O38" s="213">
        <f t="shared" si="8"/>
        <v>0.17189520124251906</v>
      </c>
      <c r="P38" s="232">
        <f t="shared" si="9"/>
        <v>1.6487129593884657</v>
      </c>
      <c r="Q38">
        <f>Q34+4/5*(Q39-Q34)</f>
        <v>0.97675280202204195</v>
      </c>
    </row>
    <row r="39" spans="1:19">
      <c r="B39">
        <v>2035</v>
      </c>
      <c r="C39" s="225">
        <v>-2.9212732521398679E-2</v>
      </c>
      <c r="D39" s="225">
        <v>-5.6294531592828972E-3</v>
      </c>
      <c r="E39" s="225">
        <v>-0.13024996561879582</v>
      </c>
      <c r="F39" s="230">
        <v>-9.4091989418137387E-3</v>
      </c>
      <c r="G39" s="229">
        <v>-0.12971328528255432</v>
      </c>
      <c r="H39" s="229">
        <v>-5.0057024818928764E-2</v>
      </c>
      <c r="I39" s="229">
        <v>-6.881427523417849E-2</v>
      </c>
      <c r="J39" s="225">
        <f>(G39*'Combined MOVES output'!L19+'Federal GHG Rule'!H39*'Combined MOVES output'!M19+'Federal GHG Rule'!I39*'Combined MOVES output'!N19)/'Combined MOVES output'!D19</f>
        <v>-0.12898325558569451</v>
      </c>
      <c r="K39" s="3"/>
      <c r="L39" s="213">
        <f t="shared" si="10"/>
        <v>0.10426023539372055</v>
      </c>
      <c r="M39" s="213">
        <f t="shared" si="11"/>
        <v>0.17200000000000001</v>
      </c>
      <c r="N39" s="233">
        <f>'Fleet ZEV fractions'!AG54</f>
        <v>9.0367027024525085E-5</v>
      </c>
      <c r="O39" s="213">
        <f t="shared" si="8"/>
        <v>0.17190963297297548</v>
      </c>
      <c r="P39" s="232">
        <f t="shared" si="9"/>
        <v>1.6488513796634816</v>
      </c>
      <c r="Q39">
        <f>1-G83</f>
        <v>0.97670508574703563</v>
      </c>
    </row>
    <row r="40" spans="1:19">
      <c r="B40">
        <v>2036</v>
      </c>
      <c r="C40" s="225">
        <v>-3.4876037503987815E-2</v>
      </c>
      <c r="D40" s="225">
        <v>-8.8878036031514139E-3</v>
      </c>
      <c r="E40" s="225">
        <v>-0.13950438833768711</v>
      </c>
      <c r="F40" s="230">
        <v>-1.357506859333185E-2</v>
      </c>
      <c r="G40" s="229">
        <v>-0.13894643327782633</v>
      </c>
      <c r="H40" s="229">
        <v>-5.6822564123230133E-2</v>
      </c>
      <c r="I40" s="229">
        <v>-7.5280661392159762E-2</v>
      </c>
      <c r="J40" s="225">
        <f>(G40*'Combined MOVES output'!L20+'Federal GHG Rule'!H40*'Combined MOVES output'!M20+'Federal GHG Rule'!I40*'Combined MOVES output'!N20)/'Combined MOVES output'!D20</f>
        <v>-0.13816159664726935</v>
      </c>
      <c r="K40" s="6"/>
      <c r="L40" s="213">
        <f t="shared" si="10"/>
        <v>0.10426023539372055</v>
      </c>
      <c r="M40" s="213">
        <f t="shared" si="11"/>
        <v>0.17200000000000001</v>
      </c>
      <c r="N40" s="233">
        <f>'Fleet ZEV fractions'!AG55</f>
        <v>7.5935296568106712E-5</v>
      </c>
      <c r="O40" s="213">
        <f t="shared" si="8"/>
        <v>0.17192406470343191</v>
      </c>
      <c r="P40" s="232">
        <f t="shared" si="9"/>
        <v>1.6489897999384975</v>
      </c>
      <c r="Q40">
        <f>Q39+1/5*(Q44-Q39)</f>
        <v>0.9766765127921847</v>
      </c>
    </row>
    <row r="41" spans="1:19">
      <c r="A41" s="6"/>
      <c r="B41" s="8">
        <v>2037</v>
      </c>
      <c r="C41" s="225">
        <v>-4.0639613813002379E-2</v>
      </c>
      <c r="D41" s="225">
        <v>-1.2701381084756913E-2</v>
      </c>
      <c r="E41" s="225">
        <v>-0.14783620922732835</v>
      </c>
      <c r="F41" s="230">
        <v>-1.8480783387746166E-2</v>
      </c>
      <c r="G41" s="229">
        <v>-0.14725903294722856</v>
      </c>
      <c r="H41" s="229">
        <v>-6.3500401297167358E-2</v>
      </c>
      <c r="I41" s="229">
        <v>-8.1418831102806899E-2</v>
      </c>
      <c r="J41" s="225">
        <f>(G41*'Combined MOVES output'!L21+'Federal GHG Rule'!H41*'Combined MOVES output'!M21+'Federal GHG Rule'!I41*'Combined MOVES output'!N21)/'Combined MOVES output'!D21</f>
        <v>-0.14642421966093436</v>
      </c>
      <c r="L41" s="213">
        <f t="shared" si="10"/>
        <v>0.10426023539372055</v>
      </c>
      <c r="M41" s="213">
        <f t="shared" si="11"/>
        <v>0.17200000000000001</v>
      </c>
      <c r="N41" s="233">
        <f>'Fleet ZEV fractions'!AG56</f>
        <v>6.150356611168834E-5</v>
      </c>
      <c r="O41" s="213">
        <f t="shared" si="8"/>
        <v>0.17193849643388834</v>
      </c>
      <c r="P41" s="232">
        <f t="shared" si="9"/>
        <v>1.6491282202135136</v>
      </c>
      <c r="Q41">
        <f>Q39+2/5*(Q44-Q39)</f>
        <v>0.97664793983733378</v>
      </c>
      <c r="S41" s="8"/>
    </row>
    <row r="42" spans="1:19">
      <c r="B42">
        <v>2038</v>
      </c>
      <c r="C42" s="225">
        <v>-4.6843868262445895E-2</v>
      </c>
      <c r="D42" s="225">
        <v>-1.7158863684035609E-2</v>
      </c>
      <c r="E42" s="225">
        <v>-0.15530824058505002</v>
      </c>
      <c r="F42" s="230">
        <v>-2.4218157011418488E-2</v>
      </c>
      <c r="G42" s="229">
        <v>-0.15471300460723958</v>
      </c>
      <c r="H42" s="229">
        <v>-7.00141431662544E-2</v>
      </c>
      <c r="I42" s="229">
        <v>-8.7050288573406909E-2</v>
      </c>
      <c r="J42" s="225">
        <f>(G42*'Combined MOVES output'!L22+'Federal GHG Rule'!H42*'Combined MOVES output'!M22+'Federal GHG Rule'!I42*'Combined MOVES output'!N22)/'Combined MOVES output'!D22</f>
        <v>-0.15383274379396805</v>
      </c>
      <c r="L42" s="213">
        <f t="shared" si="10"/>
        <v>0.10426023539372055</v>
      </c>
      <c r="M42" s="213">
        <f t="shared" si="11"/>
        <v>0.17200000000000001</v>
      </c>
      <c r="N42" s="233">
        <f>'Fleet ZEV fractions'!AG57</f>
        <v>4.7071835655269954E-5</v>
      </c>
      <c r="O42" s="213">
        <f t="shared" si="8"/>
        <v>0.17195292816434474</v>
      </c>
      <c r="P42" s="232">
        <f t="shared" si="9"/>
        <v>1.6492666404885292</v>
      </c>
      <c r="Q42">
        <f>Q39+3/5*(Q44-Q39)</f>
        <v>0.97661936688248285</v>
      </c>
    </row>
    <row r="43" spans="1:19">
      <c r="B43">
        <v>2039</v>
      </c>
      <c r="C43" s="225">
        <v>-5.296327640900339E-2</v>
      </c>
      <c r="D43" s="225">
        <v>-2.2155640571478796E-2</v>
      </c>
      <c r="E43" s="225">
        <v>-0.16198196270926188</v>
      </c>
      <c r="F43" s="230">
        <v>-3.0787274724042392E-2</v>
      </c>
      <c r="G43" s="229">
        <v>-0.16137060946241441</v>
      </c>
      <c r="H43" s="229">
        <v>-7.6111394543952424E-2</v>
      </c>
      <c r="I43" s="229">
        <v>-9.2196665492204843E-2</v>
      </c>
      <c r="J43" s="225">
        <f>(G43*'Combined MOVES output'!L23+'Federal GHG Rule'!H43*'Combined MOVES output'!M23+'Federal GHG Rule'!I43*'Combined MOVES output'!N23)/'Combined MOVES output'!D23</f>
        <v>-0.16044911663654732</v>
      </c>
      <c r="L43" s="213">
        <f t="shared" si="10"/>
        <v>0.10426023539372055</v>
      </c>
      <c r="M43" s="213">
        <f t="shared" si="11"/>
        <v>0.17200000000000001</v>
      </c>
      <c r="N43" s="233">
        <f>'Fleet ZEV fractions'!AG58</f>
        <v>3.2640105198851569E-5</v>
      </c>
      <c r="O43" s="213">
        <f t="shared" si="8"/>
        <v>0.17196735989480116</v>
      </c>
      <c r="P43" s="232">
        <f t="shared" si="9"/>
        <v>1.6494050607635451</v>
      </c>
      <c r="Q43">
        <f>Q39+4/5*(Q44-Q39)</f>
        <v>0.97659079392763193</v>
      </c>
    </row>
    <row r="44" spans="1:19">
      <c r="B44">
        <v>2040</v>
      </c>
      <c r="C44" s="225">
        <v>-5.9492427954404105E-2</v>
      </c>
      <c r="D44" s="225">
        <v>-2.7994817773784559E-2</v>
      </c>
      <c r="E44" s="225">
        <v>-0.1677951169875771</v>
      </c>
      <c r="F44" s="230">
        <v>-3.8023231417745364E-2</v>
      </c>
      <c r="G44" s="229">
        <v>-0.16716624392245472</v>
      </c>
      <c r="H44" s="229">
        <v>-8.2067464282356409E-2</v>
      </c>
      <c r="I44" s="229">
        <v>-9.6866515443365372E-2</v>
      </c>
      <c r="J44" s="225">
        <f>(G44*'Combined MOVES output'!L24+'Federal GHG Rule'!H44*'Combined MOVES output'!M24+'Federal GHG Rule'!I44*'Combined MOVES output'!N24)/'Combined MOVES output'!D24</f>
        <v>-0.16620817738688262</v>
      </c>
      <c r="L44" s="213">
        <f t="shared" si="10"/>
        <v>0.10426023539372055</v>
      </c>
      <c r="M44" s="213">
        <f t="shared" si="11"/>
        <v>0.17200000000000001</v>
      </c>
      <c r="N44" s="233">
        <f>'Fleet ZEV fractions'!AG59</f>
        <v>1.8208374742433213E-5</v>
      </c>
      <c r="O44" s="213">
        <f t="shared" si="8"/>
        <v>0.17198179162525759</v>
      </c>
      <c r="P44" s="232">
        <f t="shared" si="9"/>
        <v>1.6495434810385612</v>
      </c>
      <c r="Q44">
        <f>1-G90</f>
        <v>0.976562220972781</v>
      </c>
    </row>
    <row r="45" spans="1:19">
      <c r="A45" t="s">
        <v>379</v>
      </c>
      <c r="C45" s="3"/>
      <c r="D45" s="3"/>
      <c r="E45" s="3"/>
      <c r="F45" s="102"/>
      <c r="G45" s="3"/>
      <c r="H45" s="3"/>
      <c r="I45" s="3"/>
      <c r="L45" s="69" t="s">
        <v>418</v>
      </c>
    </row>
    <row r="46" spans="1:19">
      <c r="C46" s="3"/>
      <c r="D46" s="3"/>
      <c r="E46" s="3"/>
      <c r="F46" s="102"/>
      <c r="G46" s="3"/>
      <c r="H46" s="3"/>
      <c r="I46" s="3"/>
      <c r="L46" s="69" t="s">
        <v>419</v>
      </c>
    </row>
    <row r="47" spans="1:19">
      <c r="C47" s="3"/>
      <c r="D47" s="3"/>
      <c r="E47" s="3"/>
      <c r="F47" s="102"/>
      <c r="G47" s="3"/>
      <c r="H47" s="3"/>
      <c r="I47" s="3"/>
      <c r="L47" s="69" t="s">
        <v>420</v>
      </c>
    </row>
    <row r="48" spans="1:19">
      <c r="A48" t="s">
        <v>422</v>
      </c>
      <c r="C48" s="3"/>
      <c r="D48" s="3"/>
      <c r="E48" s="3"/>
      <c r="F48" s="102"/>
      <c r="G48" s="3"/>
      <c r="H48" s="3"/>
      <c r="I48" s="3"/>
    </row>
    <row r="49" spans="1:11">
      <c r="A49" s="69" t="s">
        <v>430</v>
      </c>
      <c r="C49" s="3"/>
      <c r="D49" s="3"/>
      <c r="E49" s="3"/>
      <c r="F49" s="102"/>
      <c r="G49" s="3"/>
      <c r="H49" s="3"/>
      <c r="I49" s="3"/>
    </row>
    <row r="50" spans="1:11">
      <c r="C50" s="3"/>
      <c r="D50" s="3"/>
      <c r="E50" s="3"/>
      <c r="F50" s="102"/>
      <c r="G50" s="3"/>
      <c r="H50" s="3"/>
      <c r="I50" s="3"/>
      <c r="K50" s="3"/>
    </row>
    <row r="51" spans="1:11">
      <c r="A51" t="s">
        <v>423</v>
      </c>
      <c r="B51" t="s">
        <v>424</v>
      </c>
      <c r="C51" t="s">
        <v>425</v>
      </c>
      <c r="D51" t="s">
        <v>426</v>
      </c>
      <c r="E51" s="3" t="s">
        <v>427</v>
      </c>
      <c r="F51"/>
      <c r="G51" s="240" t="s">
        <v>428</v>
      </c>
      <c r="I51" s="3"/>
      <c r="K51" s="3"/>
    </row>
    <row r="52" spans="1:11">
      <c r="A52">
        <v>2020</v>
      </c>
      <c r="B52">
        <v>21</v>
      </c>
      <c r="C52">
        <v>20</v>
      </c>
      <c r="D52">
        <v>6</v>
      </c>
      <c r="E52">
        <v>114183856</v>
      </c>
      <c r="F52"/>
      <c r="I52" s="3"/>
    </row>
    <row r="53" spans="1:11">
      <c r="A53">
        <v>2020</v>
      </c>
      <c r="B53">
        <v>31</v>
      </c>
      <c r="C53">
        <v>30</v>
      </c>
      <c r="D53">
        <v>6</v>
      </c>
      <c r="E53">
        <v>120339120</v>
      </c>
      <c r="F53"/>
      <c r="I53" s="3"/>
    </row>
    <row r="54" spans="1:11">
      <c r="A54">
        <v>2020</v>
      </c>
      <c r="B54">
        <v>32</v>
      </c>
      <c r="C54">
        <v>30</v>
      </c>
      <c r="D54">
        <v>6</v>
      </c>
      <c r="E54">
        <v>12016034</v>
      </c>
      <c r="F54"/>
      <c r="I54" s="3"/>
    </row>
    <row r="55" spans="1:11">
      <c r="A55">
        <v>2020</v>
      </c>
      <c r="B55">
        <v>31</v>
      </c>
      <c r="C55">
        <v>41</v>
      </c>
      <c r="D55">
        <v>6</v>
      </c>
      <c r="E55" s="3">
        <v>6155894.4960000003</v>
      </c>
      <c r="F55"/>
      <c r="I55" s="3"/>
    </row>
    <row r="56" spans="1:11">
      <c r="A56">
        <v>2020</v>
      </c>
      <c r="B56">
        <v>32</v>
      </c>
      <c r="C56">
        <v>41</v>
      </c>
      <c r="D56">
        <v>6</v>
      </c>
      <c r="E56" s="3">
        <v>2795431.9109999998</v>
      </c>
      <c r="F56"/>
      <c r="I56" s="3"/>
    </row>
    <row r="57" spans="1:11">
      <c r="A57">
        <v>2020</v>
      </c>
      <c r="B57">
        <v>43</v>
      </c>
      <c r="C57">
        <v>41</v>
      </c>
      <c r="D57">
        <v>6</v>
      </c>
      <c r="E57" s="3">
        <v>404.31029510000002</v>
      </c>
      <c r="F57"/>
      <c r="I57" s="3"/>
    </row>
    <row r="58" spans="1:11">
      <c r="A58">
        <v>2020</v>
      </c>
      <c r="B58">
        <v>51</v>
      </c>
      <c r="C58">
        <v>41</v>
      </c>
      <c r="D58">
        <v>6</v>
      </c>
      <c r="E58" s="3">
        <v>58.1487999</v>
      </c>
      <c r="F58"/>
      <c r="I58" s="3"/>
    </row>
    <row r="59" spans="1:11">
      <c r="A59">
        <v>2020</v>
      </c>
      <c r="B59">
        <v>52</v>
      </c>
      <c r="C59">
        <v>41</v>
      </c>
      <c r="D59">
        <v>6</v>
      </c>
      <c r="E59" s="3">
        <v>3516541.7030000002</v>
      </c>
      <c r="F59"/>
      <c r="I59" s="3"/>
    </row>
    <row r="60" spans="1:11">
      <c r="A60">
        <v>2020</v>
      </c>
      <c r="B60">
        <v>53</v>
      </c>
      <c r="C60">
        <v>41</v>
      </c>
      <c r="D60">
        <v>6</v>
      </c>
      <c r="E60" s="3">
        <v>164178.87030000001</v>
      </c>
      <c r="F60">
        <f>SUM(E52:E60)</f>
        <v>259171519.43939501</v>
      </c>
      <c r="G60">
        <f>(E56+E57+E58+E59+E60)/F60</f>
        <v>2.4989686202420473E-2</v>
      </c>
      <c r="I60" s="3"/>
    </row>
    <row r="61" spans="1:11">
      <c r="A61">
        <v>2025</v>
      </c>
      <c r="B61">
        <v>21</v>
      </c>
      <c r="C61">
        <v>20</v>
      </c>
      <c r="D61">
        <v>6</v>
      </c>
      <c r="E61">
        <v>118568047</v>
      </c>
      <c r="F61"/>
      <c r="I61" s="3"/>
    </row>
    <row r="62" spans="1:11">
      <c r="A62">
        <v>2025</v>
      </c>
      <c r="B62">
        <v>31</v>
      </c>
      <c r="C62">
        <v>30</v>
      </c>
      <c r="D62">
        <v>6</v>
      </c>
      <c r="E62">
        <v>123649678</v>
      </c>
      <c r="F62"/>
      <c r="I62" s="3"/>
      <c r="K62" s="3"/>
    </row>
    <row r="63" spans="1:11">
      <c r="A63">
        <v>2025</v>
      </c>
      <c r="B63">
        <v>32</v>
      </c>
      <c r="C63">
        <v>30</v>
      </c>
      <c r="D63">
        <v>6</v>
      </c>
      <c r="E63">
        <v>12754461.1</v>
      </c>
      <c r="F63"/>
      <c r="I63" s="3"/>
      <c r="K63" s="3"/>
    </row>
    <row r="64" spans="1:11">
      <c r="A64">
        <v>2025</v>
      </c>
      <c r="B64">
        <v>31</v>
      </c>
      <c r="C64">
        <v>41</v>
      </c>
      <c r="D64">
        <v>6</v>
      </c>
      <c r="E64" s="3">
        <v>5897261.8090000004</v>
      </c>
      <c r="F64"/>
      <c r="I64" s="3"/>
    </row>
    <row r="65" spans="1:11">
      <c r="A65">
        <v>2025</v>
      </c>
      <c r="B65">
        <v>32</v>
      </c>
      <c r="C65">
        <v>41</v>
      </c>
      <c r="D65">
        <v>6</v>
      </c>
      <c r="E65" s="3">
        <v>2414349.8960000002</v>
      </c>
      <c r="F65"/>
      <c r="I65" s="3"/>
    </row>
    <row r="66" spans="1:11">
      <c r="A66">
        <v>2025</v>
      </c>
      <c r="B66">
        <v>43</v>
      </c>
      <c r="C66">
        <v>41</v>
      </c>
      <c r="D66">
        <v>6</v>
      </c>
      <c r="E66" s="3">
        <v>167.226799</v>
      </c>
      <c r="F66"/>
      <c r="I66" s="3"/>
    </row>
    <row r="67" spans="1:11">
      <c r="A67">
        <v>2025</v>
      </c>
      <c r="B67">
        <v>51</v>
      </c>
      <c r="C67">
        <v>41</v>
      </c>
      <c r="D67">
        <v>6</v>
      </c>
      <c r="E67" s="3">
        <v>39.45829964</v>
      </c>
      <c r="F67"/>
      <c r="I67" s="3"/>
    </row>
    <row r="68" spans="1:11">
      <c r="A68">
        <v>2025</v>
      </c>
      <c r="B68">
        <v>52</v>
      </c>
      <c r="C68">
        <v>41</v>
      </c>
      <c r="D68">
        <v>6</v>
      </c>
      <c r="E68" s="3">
        <v>3744218.406</v>
      </c>
      <c r="F68"/>
      <c r="I68" s="3"/>
    </row>
    <row r="69" spans="1:11">
      <c r="A69">
        <v>2025</v>
      </c>
      <c r="B69">
        <v>53</v>
      </c>
      <c r="C69">
        <v>41</v>
      </c>
      <c r="D69">
        <v>6</v>
      </c>
      <c r="E69" s="3">
        <v>168158.2433</v>
      </c>
      <c r="F69">
        <f>SUM(E61:E69)</f>
        <v>267196381.1393986</v>
      </c>
      <c r="G69">
        <f>(E65+E66+E67+E68+E69)/F69</f>
        <v>2.3678963028686478E-2</v>
      </c>
      <c r="I69" s="3"/>
    </row>
    <row r="70" spans="1:11">
      <c r="A70">
        <v>2030</v>
      </c>
      <c r="B70">
        <v>21</v>
      </c>
      <c r="C70">
        <v>20</v>
      </c>
      <c r="D70">
        <v>6</v>
      </c>
      <c r="E70">
        <v>123423400</v>
      </c>
      <c r="F70"/>
      <c r="I70" s="3"/>
    </row>
    <row r="71" spans="1:11">
      <c r="A71">
        <v>2030</v>
      </c>
      <c r="B71">
        <v>31</v>
      </c>
      <c r="C71">
        <v>30</v>
      </c>
      <c r="D71">
        <v>6</v>
      </c>
      <c r="E71">
        <v>124463416</v>
      </c>
      <c r="F71"/>
      <c r="I71" s="3"/>
    </row>
    <row r="72" spans="1:11">
      <c r="A72">
        <v>2030</v>
      </c>
      <c r="B72">
        <v>32</v>
      </c>
      <c r="C72">
        <v>30</v>
      </c>
      <c r="D72">
        <v>6</v>
      </c>
      <c r="E72">
        <v>13086647.4</v>
      </c>
      <c r="F72"/>
      <c r="I72" s="3"/>
    </row>
    <row r="73" spans="1:11">
      <c r="A73">
        <v>2030</v>
      </c>
      <c r="B73">
        <v>31</v>
      </c>
      <c r="C73">
        <v>41</v>
      </c>
      <c r="D73">
        <v>6</v>
      </c>
      <c r="E73" s="3">
        <v>5830223.7970000003</v>
      </c>
      <c r="F73"/>
      <c r="I73" s="3"/>
    </row>
    <row r="74" spans="1:11">
      <c r="A74">
        <v>2030</v>
      </c>
      <c r="B74">
        <v>32</v>
      </c>
      <c r="C74">
        <v>41</v>
      </c>
      <c r="D74">
        <v>6</v>
      </c>
      <c r="E74" s="3">
        <v>2169596.4959999998</v>
      </c>
      <c r="F74"/>
      <c r="I74" s="3"/>
      <c r="K74" s="3"/>
    </row>
    <row r="75" spans="1:11">
      <c r="A75">
        <v>2030</v>
      </c>
      <c r="B75">
        <v>52</v>
      </c>
      <c r="C75">
        <v>41</v>
      </c>
      <c r="D75">
        <v>6</v>
      </c>
      <c r="E75" s="3">
        <v>3952762.895</v>
      </c>
      <c r="F75"/>
      <c r="I75" s="3"/>
      <c r="K75" s="3"/>
    </row>
    <row r="76" spans="1:11">
      <c r="A76">
        <v>2030</v>
      </c>
      <c r="B76">
        <v>53</v>
      </c>
      <c r="C76">
        <v>41</v>
      </c>
      <c r="D76">
        <v>6</v>
      </c>
      <c r="E76" s="3">
        <v>174333.8904</v>
      </c>
      <c r="F76">
        <f>SUM(E70:E76)</f>
        <v>273100380.47839999</v>
      </c>
      <c r="G76">
        <f>(E74+E75+E76)/F76</f>
        <v>2.3056332877932465E-2</v>
      </c>
      <c r="I76" s="3"/>
    </row>
    <row r="77" spans="1:11">
      <c r="A77">
        <v>2035</v>
      </c>
      <c r="B77">
        <v>21</v>
      </c>
      <c r="C77">
        <v>20</v>
      </c>
      <c r="D77">
        <v>6</v>
      </c>
      <c r="E77">
        <v>129524061</v>
      </c>
      <c r="F77"/>
      <c r="I77" s="3"/>
    </row>
    <row r="78" spans="1:11">
      <c r="A78">
        <v>2035</v>
      </c>
      <c r="B78">
        <v>31</v>
      </c>
      <c r="C78">
        <v>30</v>
      </c>
      <c r="D78">
        <v>6</v>
      </c>
      <c r="E78">
        <v>123266008</v>
      </c>
      <c r="F78"/>
      <c r="H78" s="3"/>
      <c r="I78" s="3"/>
    </row>
    <row r="79" spans="1:11">
      <c r="A79">
        <v>2035</v>
      </c>
      <c r="B79">
        <v>32</v>
      </c>
      <c r="C79">
        <v>30</v>
      </c>
      <c r="D79">
        <v>6</v>
      </c>
      <c r="E79">
        <v>13137474.710000001</v>
      </c>
      <c r="F79"/>
      <c r="H79" s="3"/>
      <c r="I79" s="3"/>
    </row>
    <row r="80" spans="1:11">
      <c r="A80">
        <v>2035</v>
      </c>
      <c r="B80">
        <v>31</v>
      </c>
      <c r="C80">
        <v>41</v>
      </c>
      <c r="D80">
        <v>6</v>
      </c>
      <c r="E80" s="3">
        <v>5719219.2050000001</v>
      </c>
      <c r="F80"/>
      <c r="H80" s="3"/>
      <c r="I80" s="3"/>
    </row>
    <row r="81" spans="1:11">
      <c r="A81">
        <v>2035</v>
      </c>
      <c r="B81">
        <v>32</v>
      </c>
      <c r="C81">
        <v>41</v>
      </c>
      <c r="D81">
        <v>6</v>
      </c>
      <c r="E81" s="3">
        <v>1965564.0930000001</v>
      </c>
      <c r="F81"/>
      <c r="H81" s="3"/>
      <c r="I81" s="3"/>
    </row>
    <row r="82" spans="1:11">
      <c r="A82">
        <v>2035</v>
      </c>
      <c r="B82">
        <v>52</v>
      </c>
      <c r="C82">
        <v>41</v>
      </c>
      <c r="D82">
        <v>6</v>
      </c>
      <c r="E82" s="3">
        <v>4322700.0920000002</v>
      </c>
      <c r="F82"/>
      <c r="H82" s="3"/>
      <c r="I82" s="3"/>
    </row>
    <row r="83" spans="1:11">
      <c r="A83">
        <v>2035</v>
      </c>
      <c r="B83">
        <v>53</v>
      </c>
      <c r="C83">
        <v>41</v>
      </c>
      <c r="D83">
        <v>6</v>
      </c>
      <c r="E83" s="3">
        <v>190649.6054</v>
      </c>
      <c r="F83">
        <f>SUM(E77:E83)</f>
        <v>278125676.70540005</v>
      </c>
      <c r="G83">
        <f>(E81+E82+E83)/F83</f>
        <v>2.3294914252964427E-2</v>
      </c>
      <c r="H83" s="3"/>
      <c r="I83" s="3"/>
    </row>
    <row r="84" spans="1:11">
      <c r="A84">
        <v>2040</v>
      </c>
      <c r="B84">
        <v>21</v>
      </c>
      <c r="C84">
        <v>20</v>
      </c>
      <c r="D84">
        <v>6</v>
      </c>
      <c r="E84">
        <v>137226234</v>
      </c>
      <c r="F84"/>
      <c r="H84" s="3"/>
      <c r="I84" s="3"/>
    </row>
    <row r="85" spans="1:11">
      <c r="A85">
        <v>2040</v>
      </c>
      <c r="B85">
        <v>31</v>
      </c>
      <c r="C85">
        <v>30</v>
      </c>
      <c r="D85">
        <v>6</v>
      </c>
      <c r="E85">
        <v>120733767</v>
      </c>
      <c r="F85"/>
      <c r="H85" s="3"/>
      <c r="I85" s="3"/>
    </row>
    <row r="86" spans="1:11">
      <c r="A86">
        <v>2040</v>
      </c>
      <c r="B86">
        <v>32</v>
      </c>
      <c r="C86">
        <v>30</v>
      </c>
      <c r="D86">
        <v>6</v>
      </c>
      <c r="E86">
        <v>13035329.9</v>
      </c>
      <c r="F86"/>
      <c r="H86" s="3"/>
      <c r="I86" s="3"/>
      <c r="K86" s="3"/>
    </row>
    <row r="87" spans="1:11">
      <c r="A87">
        <v>2040</v>
      </c>
      <c r="B87">
        <v>31</v>
      </c>
      <c r="C87">
        <v>41</v>
      </c>
      <c r="D87">
        <v>6</v>
      </c>
      <c r="E87" s="3">
        <v>5615211.3049999997</v>
      </c>
      <c r="F87"/>
      <c r="H87" s="3"/>
      <c r="I87" s="3"/>
      <c r="K87" s="3"/>
    </row>
    <row r="88" spans="1:11">
      <c r="A88">
        <v>2040</v>
      </c>
      <c r="B88">
        <v>32</v>
      </c>
      <c r="C88">
        <v>41</v>
      </c>
      <c r="D88">
        <v>6</v>
      </c>
      <c r="E88" s="3">
        <v>1759031.1059999999</v>
      </c>
      <c r="F88"/>
      <c r="H88" s="3"/>
      <c r="I88" s="3"/>
    </row>
    <row r="89" spans="1:11">
      <c r="A89">
        <v>2040</v>
      </c>
      <c r="B89">
        <v>52</v>
      </c>
      <c r="C89">
        <v>41</v>
      </c>
      <c r="D89">
        <v>6</v>
      </c>
      <c r="E89" s="3">
        <v>4673578.199</v>
      </c>
      <c r="F89"/>
    </row>
    <row r="90" spans="1:11">
      <c r="A90">
        <v>2040</v>
      </c>
      <c r="B90">
        <v>53</v>
      </c>
      <c r="C90">
        <v>41</v>
      </c>
      <c r="D90">
        <v>6</v>
      </c>
      <c r="E90" s="3">
        <v>206124.639</v>
      </c>
      <c r="F90">
        <f>SUM(E84:E90)</f>
        <v>283249276.14899999</v>
      </c>
      <c r="G90">
        <f>(E88+E89+E90)/F90</f>
        <v>2.3437779027219018E-2</v>
      </c>
    </row>
  </sheetData>
  <sheetProtection algorithmName="SHA-512" hashValue="BSbKUBPFOTxEJFgwnBvHvecA+BpbRjkTa7GnsMJ6CY/wAzHreZniSBcmestAtBgDiLdn3K2fImis0BD1KPMxKg==" saltValue="HECDMb9lKfg5dlXHeLblMg==" spinCount="100000" sheet="1" objects="1" scenarios="1"/>
  <mergeCells count="3">
    <mergeCell ref="L15:M15"/>
    <mergeCell ref="L5:O5"/>
    <mergeCell ref="P5:S5"/>
  </mergeCells>
  <pageMargins left="0.7" right="0.7" top="0.75" bottom="0.75" header="0.3" footer="0.3"/>
  <pageSetup orientation="portrait" r:id="rId1"/>
  <ignoredErrors>
    <ignoredError sqref="F60 F69 F76 F83 F9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SharedWithUsers xmlns="7a85390b-7aaa-4221-b896-e8172d900df9">
      <UserInfo>
        <DisplayName/>
        <AccountId xsi:nil="true"/>
        <AccountType/>
      </UserInfo>
    </SharedWithUsers>
    <MediaLengthInSeconds xmlns="bec0360e-1764-4e96-82f3-8ef208e821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970964-7B80-4F8C-8D90-4308EE1051F2}"/>
</file>

<file path=customXml/itemProps2.xml><?xml version="1.0" encoding="utf-8"?>
<ds:datastoreItem xmlns:ds="http://schemas.openxmlformats.org/officeDocument/2006/customXml" ds:itemID="{42767156-BC30-43E9-9109-181AE02E4E78}">
  <ds:schemaRefs>
    <ds:schemaRef ds:uri="http://schemas.microsoft.com/office/2006/metadata/properties"/>
    <ds:schemaRef ds:uri="http://schemas.microsoft.com/office/2006/documentManagement/types"/>
    <ds:schemaRef ds:uri="http://www.w3.org/XML/1998/namespace"/>
    <ds:schemaRef ds:uri="http://purl.org/dc/elements/1.1/"/>
    <ds:schemaRef ds:uri="50cfde11-9472-42b2-b357-4113ea8bd1a2"/>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08CFA44-0EE6-4317-A7F7-B00A0A35D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Houk</dc:creator>
  <cp:lastModifiedBy>Aaron Isenstadt</cp:lastModifiedBy>
  <cp:lastPrinted>2021-02-04T16:18:20Z</cp:lastPrinted>
  <dcterms:created xsi:type="dcterms:W3CDTF">2021-02-03T22:25:35Z</dcterms:created>
  <dcterms:modified xsi:type="dcterms:W3CDTF">2023-05-23T22:10:29Z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0x010100EBC795D553D2EF43A3E3831099A82ADB</vt:lpwstr>
  </property>
  <property fmtid="{D5CDD505-2E9C-101B-9397-08002B2CF9AE}" pid="4" name="MSIP_Label_edb26152-23a6-4a6e-8fcb-d99d6e3b8e71_Enabled">
    <vt:lpwstr>true</vt:lpwstr>
  </property>
  <property fmtid="{D5CDD505-2E9C-101B-9397-08002B2CF9AE}" pid="5" name="MSIP_Label_edb26152-23a6-4a6e-8fcb-d99d6e3b8e71_SetDate">
    <vt:lpwstr>2023-05-23T22:10:29Z</vt:lpwstr>
  </property>
  <property fmtid="{D5CDD505-2E9C-101B-9397-08002B2CF9AE}" pid="6" name="MSIP_Label_edb26152-23a6-4a6e-8fcb-d99d6e3b8e71_Method">
    <vt:lpwstr>Standard</vt:lpwstr>
  </property>
  <property fmtid="{D5CDD505-2E9C-101B-9397-08002B2CF9AE}" pid="7" name="MSIP_Label_edb26152-23a6-4a6e-8fcb-d99d6e3b8e71_Name">
    <vt:lpwstr>defa4170-0d19-0005-0004-bc88714345d2</vt:lpwstr>
  </property>
  <property fmtid="{D5CDD505-2E9C-101B-9397-08002B2CF9AE}" pid="8" name="MSIP_Label_edb26152-23a6-4a6e-8fcb-d99d6e3b8e71_SiteId">
    <vt:lpwstr>7fbdd19f-c389-4ced-8a04-0b5090b80cfe</vt:lpwstr>
  </property>
  <property fmtid="{D5CDD505-2E9C-101B-9397-08002B2CF9AE}" pid="9" name="MSIP_Label_edb26152-23a6-4a6e-8fcb-d99d6e3b8e71_ActionId">
    <vt:lpwstr>7a02f4b6-4330-487a-a3e7-0ffea5ed8ff8</vt:lpwstr>
  </property>
  <property fmtid="{D5CDD505-2E9C-101B-9397-08002B2CF9AE}" pid="10" name="MSIP_Label_edb26152-23a6-4a6e-8fcb-d99d6e3b8e71_ContentBits">
    <vt:lpwstr>0</vt:lpwstr>
  </property>
  <property fmtid="{D5CDD505-2E9C-101B-9397-08002B2CF9AE}" pid="11" name="Order">
    <vt:r8>1797300</vt:r8>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