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1A7E09A9-1022-624C-B54D-75E291030858}"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16" i="1" s="1"/>
  <c r="E18" i="1"/>
  <c r="E17" i="1"/>
  <c r="E14" i="1"/>
  <c r="E15" i="1" s="1"/>
  <c r="E9" i="1"/>
  <c r="E10" i="1" s="1"/>
  <c r="E8" i="1"/>
  <c r="W37" i="1"/>
  <c r="W32" i="1"/>
  <c r="W27" i="1"/>
  <c r="W22" i="1"/>
  <c r="W17"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26" i="1"/>
  <c r="K24" i="2"/>
  <c r="L24" i="2"/>
  <c r="K25" i="2"/>
  <c r="L25" i="2"/>
  <c r="K26" i="2"/>
  <c r="L26" i="2"/>
  <c r="K27" i="2"/>
  <c r="L27" i="2"/>
  <c r="K28" i="2"/>
  <c r="L28" i="2"/>
  <c r="K29" i="2"/>
  <c r="L29" i="2"/>
  <c r="K30" i="2"/>
  <c r="L30" i="2"/>
  <c r="K31" i="2"/>
  <c r="L31" i="2"/>
  <c r="K32" i="2"/>
  <c r="L32" i="2"/>
  <c r="K23" i="2"/>
  <c r="L23" i="2"/>
  <c r="B34" i="36"/>
  <c r="B33" i="36"/>
  <c r="B32" i="36"/>
  <c r="B31" i="36"/>
  <c r="M24" i="2"/>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B35" i="36" l="1"/>
  <c r="E12" i="1"/>
  <c r="E20" i="1"/>
  <c r="E13" i="1"/>
  <c r="E21" i="1"/>
  <c r="E11" i="1"/>
  <c r="E22" i="1"/>
  <c r="E23" i="1"/>
  <c r="F108" i="11"/>
  <c r="D108" i="11"/>
  <c r="C108" i="11"/>
  <c r="B25" i="36"/>
  <c r="B24" i="36"/>
  <c r="B23" i="36"/>
  <c r="B22" i="36"/>
  <c r="O146" i="23"/>
  <c r="N146" i="23"/>
  <c r="M146" i="23"/>
  <c r="L146" i="23"/>
  <c r="K146" i="23"/>
  <c r="O145" i="23"/>
  <c r="N145" i="23"/>
  <c r="M145" i="23"/>
  <c r="L145" i="23"/>
  <c r="K145" i="23"/>
  <c r="O144" i="23"/>
  <c r="N144" i="23"/>
  <c r="M144" i="23"/>
  <c r="L144" i="23"/>
  <c r="K144" i="23"/>
  <c r="O143" i="23"/>
  <c r="N143" i="23"/>
  <c r="M143" i="23"/>
  <c r="L143" i="23"/>
  <c r="K143" i="23"/>
  <c r="O142" i="23"/>
  <c r="N142" i="23"/>
  <c r="M142" i="23"/>
  <c r="L142" i="23"/>
  <c r="K142" i="23"/>
  <c r="O141" i="23"/>
  <c r="N141" i="23"/>
  <c r="M141" i="23"/>
  <c r="L141" i="23"/>
  <c r="K141" i="23"/>
  <c r="O140" i="23"/>
  <c r="N140" i="23"/>
  <c r="M140" i="23"/>
  <c r="L140" i="23"/>
  <c r="K140" i="23"/>
  <c r="B26" i="36" l="1"/>
  <c r="D13" i="2"/>
  <c r="L101" i="9" l="1"/>
  <c r="M101" i="9"/>
  <c r="N101" i="9"/>
  <c r="O101" i="9"/>
  <c r="K101" i="9"/>
  <c r="O27" i="31"/>
  <c r="C13" i="31" s="1"/>
  <c r="C9" i="31" s="1"/>
  <c r="L16" i="31"/>
  <c r="E135" i="23"/>
  <c r="G139" i="23" s="1"/>
  <c r="Q97" i="9" s="1"/>
  <c r="E134" i="23"/>
  <c r="D135" i="23"/>
  <c r="F123" i="23"/>
  <c r="B123" i="23"/>
  <c r="H107" i="9" l="1"/>
  <c r="H111" i="9" s="1"/>
  <c r="H112" i="9"/>
  <c r="H102" i="9"/>
  <c r="H96" i="9"/>
  <c r="H97" i="9"/>
  <c r="H101" i="9" s="1"/>
  <c r="A139" i="23"/>
  <c r="K97" i="9" s="1"/>
  <c r="C139" i="23"/>
  <c r="M97" i="9" s="1"/>
  <c r="D139" i="23"/>
  <c r="N97" i="9" s="1"/>
  <c r="E139" i="23"/>
  <c r="O97" i="9" s="1"/>
  <c r="H98" i="9"/>
  <c r="H100" i="9"/>
  <c r="H110" i="9"/>
  <c r="D9" i="31"/>
  <c r="E9" i="31" s="1"/>
  <c r="F9" i="31" s="1"/>
  <c r="G9" i="31" s="1"/>
  <c r="B139" i="23"/>
  <c r="L97" i="9" s="1"/>
  <c r="F139" i="23"/>
  <c r="P97" i="9" s="1"/>
  <c r="E96" i="9" l="1"/>
  <c r="E97" i="9"/>
  <c r="E112" i="9"/>
  <c r="E102" i="9"/>
  <c r="E107" i="9"/>
  <c r="H108" i="9"/>
  <c r="D96" i="9"/>
  <c r="D97" i="9"/>
  <c r="D112" i="9"/>
  <c r="D102" i="9"/>
  <c r="D107" i="9"/>
  <c r="B96" i="9"/>
  <c r="B97" i="9"/>
  <c r="B112" i="9"/>
  <c r="B102" i="9"/>
  <c r="B107" i="9"/>
  <c r="H104" i="9"/>
  <c r="F96" i="9"/>
  <c r="F97" i="9"/>
  <c r="F112" i="9"/>
  <c r="F102" i="9"/>
  <c r="F107" i="9"/>
  <c r="H109" i="9"/>
  <c r="H105" i="9"/>
  <c r="H103" i="9"/>
  <c r="C96" i="9"/>
  <c r="C112" i="9"/>
  <c r="C102" i="9"/>
  <c r="C97" i="9"/>
  <c r="C107" i="9"/>
  <c r="H106" i="9"/>
  <c r="G112" i="9"/>
  <c r="G102" i="9"/>
  <c r="G107" i="9"/>
  <c r="G97" i="9"/>
  <c r="G96" i="9"/>
  <c r="H99" i="9"/>
  <c r="AA68" i="2"/>
  <c r="Z68" i="2"/>
  <c r="Y68" i="2"/>
  <c r="X68" i="2"/>
  <c r="W68" i="2"/>
  <c r="AA67" i="2"/>
  <c r="Z67" i="2"/>
  <c r="Y67" i="2"/>
  <c r="X67" i="2"/>
  <c r="W67" i="2"/>
  <c r="AA66" i="2"/>
  <c r="AC68" i="2" s="1"/>
  <c r="Z66" i="2"/>
  <c r="Y66" i="2"/>
  <c r="X66" i="2"/>
  <c r="W66" i="2"/>
  <c r="AA65" i="2"/>
  <c r="Z65" i="2"/>
  <c r="Y65" i="2"/>
  <c r="X65" i="2"/>
  <c r="W65" i="2"/>
  <c r="AA64" i="2"/>
  <c r="Z64" i="2"/>
  <c r="Y64" i="2"/>
  <c r="X64" i="2"/>
  <c r="W64" i="2"/>
  <c r="AA63" i="2"/>
  <c r="Z63" i="2"/>
  <c r="Y63" i="2"/>
  <c r="X63" i="2"/>
  <c r="W63" i="2"/>
  <c r="AA62" i="2"/>
  <c r="Z62" i="2"/>
  <c r="Y62" i="2"/>
  <c r="X62" i="2"/>
  <c r="W62" i="2"/>
  <c r="AA61" i="2"/>
  <c r="Z61" i="2"/>
  <c r="Y61" i="2"/>
  <c r="X61" i="2"/>
  <c r="W61" i="2"/>
  <c r="AA60" i="2"/>
  <c r="Z60" i="2"/>
  <c r="Y60" i="2"/>
  <c r="X60" i="2"/>
  <c r="W60" i="2"/>
  <c r="AA59" i="2"/>
  <c r="Z59" i="2"/>
  <c r="Y59" i="2"/>
  <c r="X59" i="2"/>
  <c r="W59" i="2"/>
  <c r="AA58" i="2"/>
  <c r="Z58" i="2"/>
  <c r="Y58" i="2"/>
  <c r="X58" i="2"/>
  <c r="W58" i="2"/>
  <c r="AA57" i="2"/>
  <c r="Z57" i="2"/>
  <c r="Y57" i="2"/>
  <c r="X57" i="2"/>
  <c r="W57" i="2"/>
  <c r="AA56" i="2"/>
  <c r="Z56" i="2"/>
  <c r="Y56" i="2"/>
  <c r="X56" i="2"/>
  <c r="W56" i="2"/>
  <c r="AA55" i="2"/>
  <c r="Z55" i="2"/>
  <c r="Y55" i="2"/>
  <c r="X55" i="2"/>
  <c r="W55" i="2"/>
  <c r="AA54" i="2"/>
  <c r="Z54" i="2"/>
  <c r="Y54" i="2"/>
  <c r="X54" i="2"/>
  <c r="W54" i="2"/>
  <c r="AA53" i="2"/>
  <c r="Z53" i="2"/>
  <c r="Y53" i="2"/>
  <c r="X53" i="2"/>
  <c r="W53" i="2"/>
  <c r="AA52" i="2"/>
  <c r="AC58" i="2" s="1"/>
  <c r="Z52" i="2"/>
  <c r="Y52" i="2"/>
  <c r="X52" i="2"/>
  <c r="W52" i="2"/>
  <c r="AA51" i="2"/>
  <c r="Z51" i="2"/>
  <c r="Y51" i="2"/>
  <c r="X51" i="2"/>
  <c r="W51" i="2"/>
  <c r="AA50" i="2"/>
  <c r="Z50" i="2"/>
  <c r="Y50" i="2"/>
  <c r="X50" i="2"/>
  <c r="W50" i="2"/>
  <c r="AA49" i="2"/>
  <c r="Z49" i="2"/>
  <c r="Y49" i="2"/>
  <c r="X49" i="2"/>
  <c r="W49" i="2"/>
  <c r="AA48" i="2"/>
  <c r="Z48" i="2"/>
  <c r="Y48" i="2"/>
  <c r="X48" i="2"/>
  <c r="W48" i="2"/>
  <c r="AA47" i="2"/>
  <c r="Z47" i="2"/>
  <c r="Y47" i="2"/>
  <c r="X47" i="2"/>
  <c r="W47" i="2"/>
  <c r="AA46" i="2"/>
  <c r="Z46" i="2"/>
  <c r="Y46" i="2"/>
  <c r="X46" i="2"/>
  <c r="W46" i="2"/>
  <c r="AA45" i="2"/>
  <c r="Z45" i="2"/>
  <c r="Y45" i="2"/>
  <c r="X45" i="2"/>
  <c r="W45" i="2"/>
  <c r="AA44" i="2"/>
  <c r="Z44" i="2"/>
  <c r="Y44" i="2"/>
  <c r="X44" i="2"/>
  <c r="W44" i="2"/>
  <c r="AA43" i="2"/>
  <c r="Z43" i="2"/>
  <c r="Y43" i="2"/>
  <c r="X43" i="2"/>
  <c r="W43" i="2"/>
  <c r="AA42" i="2"/>
  <c r="AC48" i="2" s="1"/>
  <c r="Z42" i="2"/>
  <c r="Y42" i="2"/>
  <c r="X42" i="2"/>
  <c r="W42" i="2"/>
  <c r="AA41" i="2"/>
  <c r="Z41" i="2"/>
  <c r="Y41" i="2"/>
  <c r="X41" i="2"/>
  <c r="W41" i="2"/>
  <c r="AA40" i="2"/>
  <c r="Z40" i="2"/>
  <c r="Y40" i="2"/>
  <c r="X40" i="2"/>
  <c r="W40" i="2"/>
  <c r="AA39" i="2"/>
  <c r="Z39" i="2"/>
  <c r="Y39" i="2"/>
  <c r="X39" i="2"/>
  <c r="W39" i="2"/>
  <c r="AA38" i="2"/>
  <c r="Z38" i="2"/>
  <c r="Y38" i="2"/>
  <c r="X38" i="2"/>
  <c r="W38" i="2"/>
  <c r="B128" i="9"/>
  <c r="B111" i="9" l="1"/>
  <c r="B109" i="9"/>
  <c r="B108" i="9"/>
  <c r="B110" i="9"/>
  <c r="D98" i="9"/>
  <c r="D100" i="9"/>
  <c r="D99" i="9"/>
  <c r="D101" i="9"/>
  <c r="B104" i="9"/>
  <c r="B103" i="9"/>
  <c r="B105" i="9"/>
  <c r="B106" i="9"/>
  <c r="I107" i="9"/>
  <c r="F111" i="9"/>
  <c r="I111" i="9" s="1"/>
  <c r="F109" i="9"/>
  <c r="F110" i="9"/>
  <c r="I110" i="9" s="1"/>
  <c r="F108" i="9"/>
  <c r="C101" i="9"/>
  <c r="C98" i="9"/>
  <c r="C99" i="9"/>
  <c r="C100" i="9"/>
  <c r="I102" i="9"/>
  <c r="F103" i="9"/>
  <c r="F104" i="9"/>
  <c r="I104" i="9" s="1"/>
  <c r="F106" i="9"/>
  <c r="F105" i="9"/>
  <c r="B99" i="9"/>
  <c r="B98" i="9"/>
  <c r="B101" i="9"/>
  <c r="B100" i="9"/>
  <c r="E111" i="9"/>
  <c r="E108" i="9"/>
  <c r="E109" i="9"/>
  <c r="E110" i="9"/>
  <c r="I112" i="9"/>
  <c r="C106" i="9"/>
  <c r="C103" i="9"/>
  <c r="C105" i="9"/>
  <c r="C104" i="9"/>
  <c r="E106" i="9"/>
  <c r="E105" i="9"/>
  <c r="E103" i="9"/>
  <c r="E104" i="9"/>
  <c r="G101" i="9"/>
  <c r="G99" i="9"/>
  <c r="G98" i="9"/>
  <c r="G100" i="9"/>
  <c r="I97" i="9"/>
  <c r="F101" i="9"/>
  <c r="F100" i="9"/>
  <c r="F98" i="9"/>
  <c r="I98" i="9" s="1"/>
  <c r="F99" i="9"/>
  <c r="D111" i="9"/>
  <c r="D109" i="9"/>
  <c r="D110" i="9"/>
  <c r="D108" i="9"/>
  <c r="C110" i="9"/>
  <c r="C111" i="9"/>
  <c r="C108" i="9"/>
  <c r="C109" i="9"/>
  <c r="G111" i="9"/>
  <c r="G109" i="9"/>
  <c r="G108" i="9"/>
  <c r="G110" i="9"/>
  <c r="I96" i="9"/>
  <c r="D106" i="9"/>
  <c r="D103" i="9"/>
  <c r="D104" i="9"/>
  <c r="D105" i="9"/>
  <c r="E101" i="9"/>
  <c r="E98" i="9"/>
  <c r="E100" i="9"/>
  <c r="E99" i="9"/>
  <c r="G106" i="9"/>
  <c r="G105" i="9"/>
  <c r="G103" i="9"/>
  <c r="G104" i="9"/>
  <c r="AD48" i="2"/>
  <c r="AG42" i="2" s="1"/>
  <c r="AB58" i="2"/>
  <c r="AB48" i="2"/>
  <c r="AD58" i="2"/>
  <c r="AG51" i="2" s="1"/>
  <c r="AB68" i="2"/>
  <c r="AD68" i="2"/>
  <c r="AG59" i="2" s="1"/>
  <c r="AG44" i="2"/>
  <c r="AG39" i="2"/>
  <c r="AG46" i="2"/>
  <c r="AG47" i="2"/>
  <c r="AG43" i="2"/>
  <c r="AG40" i="2"/>
  <c r="AG55" i="2"/>
  <c r="AG56" i="2"/>
  <c r="AG52" i="2"/>
  <c r="AG49" i="2"/>
  <c r="AG58" i="2"/>
  <c r="K7" i="9"/>
  <c r="M5" i="9"/>
  <c r="K5" i="9"/>
  <c r="J5" i="9"/>
  <c r="M4" i="9"/>
  <c r="L4" i="9"/>
  <c r="K4" i="9"/>
  <c r="J4" i="9"/>
  <c r="M3" i="9"/>
  <c r="M7" i="9" s="1"/>
  <c r="K3" i="9"/>
  <c r="K125" i="9"/>
  <c r="L6" i="9" s="1"/>
  <c r="J119" i="9"/>
  <c r="J120" i="9"/>
  <c r="J121" i="9"/>
  <c r="J122" i="9"/>
  <c r="J123" i="9"/>
  <c r="J124" i="9"/>
  <c r="J118" i="9"/>
  <c r="L5" i="9" s="1"/>
  <c r="D119" i="9"/>
  <c r="J3" i="9" s="1"/>
  <c r="J7" i="9" s="1"/>
  <c r="D120" i="9"/>
  <c r="D121" i="9"/>
  <c r="D122" i="9"/>
  <c r="D123" i="9"/>
  <c r="D124" i="9"/>
  <c r="D118" i="9"/>
  <c r="L3" i="9" s="1"/>
  <c r="I103" i="9" l="1"/>
  <c r="I109" i="9"/>
  <c r="I99" i="9"/>
  <c r="I100" i="9"/>
  <c r="I105" i="9"/>
  <c r="I101" i="9"/>
  <c r="I106" i="9"/>
  <c r="I108" i="9"/>
  <c r="AG54" i="2"/>
  <c r="AG50" i="2"/>
  <c r="AG45" i="2"/>
  <c r="AG41" i="2"/>
  <c r="AG57" i="2"/>
  <c r="AG48" i="2"/>
  <c r="AG53" i="2"/>
  <c r="L7" i="9"/>
  <c r="G103" i="23" l="1"/>
  <c r="E103" i="23"/>
  <c r="D103" i="23"/>
  <c r="C103" i="23"/>
  <c r="A103" i="23"/>
  <c r="K10" i="34" l="1"/>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7" i="9"/>
  <c r="M17" i="9"/>
  <c r="N17" i="9"/>
  <c r="O17" i="9"/>
  <c r="K17" i="9"/>
  <c r="L38" i="9"/>
  <c r="M38" i="9"/>
  <c r="N38" i="9"/>
  <c r="O38" i="9"/>
  <c r="K38" i="9"/>
  <c r="L59" i="9"/>
  <c r="M59" i="9"/>
  <c r="N59" i="9"/>
  <c r="O59" i="9"/>
  <c r="K59" i="9"/>
  <c r="L80" i="9"/>
  <c r="M80" i="9"/>
  <c r="N80" i="9"/>
  <c r="O80" i="9"/>
  <c r="K80" i="9"/>
  <c r="Q43" i="35" l="1"/>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N44" i="35" l="1"/>
  <c r="N38" i="35" l="1"/>
  <c r="N37" i="35"/>
  <c r="N34" i="35"/>
  <c r="N36" i="35"/>
  <c r="N43" i="35"/>
  <c r="N35" i="35"/>
  <c r="N42" i="35"/>
  <c r="N41" i="35"/>
  <c r="N39" i="35"/>
  <c r="N40" i="35"/>
  <c r="J8" i="35"/>
  <c r="N29" i="35" l="1"/>
  <c r="N33" i="35"/>
  <c r="N32" i="35"/>
  <c r="N31" i="35"/>
  <c r="N30" i="35"/>
  <c r="T493" i="34" l="1"/>
  <c r="T462" i="34"/>
  <c r="T431" i="34"/>
  <c r="U431" i="34" s="1"/>
  <c r="Y42" i="34" s="1"/>
  <c r="E41" i="34" s="1"/>
  <c r="T400" i="34"/>
  <c r="T369" i="34"/>
  <c r="T338" i="34"/>
  <c r="T307" i="34"/>
  <c r="T276" i="34"/>
  <c r="T245" i="34"/>
  <c r="T214" i="34"/>
  <c r="T183" i="34"/>
  <c r="U183" i="34" s="1"/>
  <c r="Y34" i="34" s="1"/>
  <c r="E33" i="34" s="1"/>
  <c r="T152" i="34"/>
  <c r="T121" i="34"/>
  <c r="T90" i="34"/>
  <c r="T59" i="34"/>
  <c r="S493" i="34"/>
  <c r="S462" i="34"/>
  <c r="S431" i="34"/>
  <c r="S400" i="34"/>
  <c r="S369" i="34"/>
  <c r="S338" i="34"/>
  <c r="S307" i="34"/>
  <c r="S276" i="34"/>
  <c r="S245" i="34"/>
  <c r="S214" i="34"/>
  <c r="S183" i="34"/>
  <c r="S152" i="34"/>
  <c r="S121" i="34"/>
  <c r="S90" i="34"/>
  <c r="S59" i="34"/>
  <c r="S10" i="35"/>
  <c r="S9" i="35"/>
  <c r="S8" i="35"/>
  <c r="S7" i="35"/>
  <c r="U152" i="34" l="1"/>
  <c r="Y33" i="34" s="1"/>
  <c r="E32" i="34" s="1"/>
  <c r="U59" i="34"/>
  <c r="Y30" i="34" s="1"/>
  <c r="U307" i="34"/>
  <c r="Y38" i="34" s="1"/>
  <c r="E37" i="34" s="1"/>
  <c r="U245" i="34"/>
  <c r="Y36" i="34" s="1"/>
  <c r="E35" i="34" s="1"/>
  <c r="U400" i="34"/>
  <c r="Y41" i="34" s="1"/>
  <c r="E40" i="34" s="1"/>
  <c r="U276" i="34"/>
  <c r="Y37" i="34" s="1"/>
  <c r="E36" i="34" s="1"/>
  <c r="U214" i="34"/>
  <c r="Y35" i="34" s="1"/>
  <c r="E34" i="34" s="1"/>
  <c r="U462" i="34"/>
  <c r="Y43" i="34" s="1"/>
  <c r="E42" i="34" s="1"/>
  <c r="U369" i="34"/>
  <c r="Y40" i="34" s="1"/>
  <c r="E39" i="34" s="1"/>
  <c r="U493" i="34"/>
  <c r="Y44" i="34" s="1"/>
  <c r="E43" i="34" s="1"/>
  <c r="U121" i="34"/>
  <c r="Y32" i="34" s="1"/>
  <c r="E31" i="34" s="1"/>
  <c r="U90" i="34"/>
  <c r="Y31" i="34" s="1"/>
  <c r="E30" i="34" s="1"/>
  <c r="U338" i="34"/>
  <c r="Y39" i="34" s="1"/>
  <c r="E3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D25" i="2"/>
  <c r="C20" i="2"/>
  <c r="G16" i="2"/>
  <c r="D16" i="2" s="1"/>
  <c r="C27" i="2"/>
  <c r="D24" i="2"/>
  <c r="C19" i="2"/>
  <c r="D30" i="2"/>
  <c r="D22" i="2"/>
  <c r="D27" i="2"/>
  <c r="D29" i="2"/>
  <c r="C24" i="2"/>
  <c r="D21" i="2"/>
  <c r="C29" i="2"/>
  <c r="D26" i="2"/>
  <c r="C21" i="2"/>
  <c r="D18" i="2"/>
  <c r="B16" i="2"/>
  <c r="D19" i="2"/>
  <c r="D31" i="2"/>
  <c r="C26" i="2"/>
  <c r="D23" i="2"/>
  <c r="C18" i="2"/>
  <c r="G17" i="2"/>
  <c r="D17" i="2" s="1"/>
  <c r="E19" i="2"/>
  <c r="D14"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C9" i="35" l="1"/>
  <c r="E9" i="35"/>
  <c r="F9" i="35"/>
  <c r="D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E11" i="35" l="1"/>
  <c r="C11" i="35"/>
  <c r="F11" i="35"/>
  <c r="D11" i="35"/>
  <c r="F10" i="35"/>
  <c r="C10" i="35"/>
  <c r="D10" i="35"/>
  <c r="E10" i="35"/>
  <c r="D12" i="35"/>
  <c r="E12" i="35"/>
  <c r="C12" i="35"/>
  <c r="F12" i="35"/>
  <c r="O33" i="35"/>
  <c r="P33" i="35" s="1"/>
  <c r="M34" i="35"/>
  <c r="E21" i="2"/>
  <c r="B20" i="2"/>
  <c r="D75" i="23"/>
  <c r="F103" i="23"/>
  <c r="B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B79" i="23" l="1"/>
  <c r="L13" i="9" s="1"/>
  <c r="C28" i="9" s="1"/>
  <c r="E13" i="35"/>
  <c r="F13" i="35"/>
  <c r="C13" i="35"/>
  <c r="D13" i="35"/>
  <c r="M35" i="35"/>
  <c r="O34" i="35"/>
  <c r="P34" i="35" s="1"/>
  <c r="E22" i="2"/>
  <c r="B21" i="2"/>
  <c r="M10" i="40"/>
  <c r="I49" i="39" s="1"/>
  <c r="E79" i="23"/>
  <c r="O13" i="9" s="1"/>
  <c r="F12" i="9" s="1"/>
  <c r="F13" i="9" s="1"/>
  <c r="A79" i="23"/>
  <c r="K13" i="9" s="1"/>
  <c r="B23" i="9" s="1"/>
  <c r="G79" i="23"/>
  <c r="Q13" i="9" s="1"/>
  <c r="H12" i="9" s="1"/>
  <c r="F79" i="23"/>
  <c r="P13" i="9" s="1"/>
  <c r="G18" i="9" s="1"/>
  <c r="D79" i="23"/>
  <c r="N13" i="9" s="1"/>
  <c r="C79" i="23"/>
  <c r="M13" i="9" s="1"/>
  <c r="G99" i="23"/>
  <c r="Q34" i="9" s="1"/>
  <c r="F99" i="23"/>
  <c r="P34" i="9" s="1"/>
  <c r="E99" i="23"/>
  <c r="O34" i="9" s="1"/>
  <c r="D99" i="23"/>
  <c r="N34" i="9" s="1"/>
  <c r="A99" i="23"/>
  <c r="K34" i="9" s="1"/>
  <c r="C99" i="23"/>
  <c r="M34" i="9" s="1"/>
  <c r="B99" i="23"/>
  <c r="L34" i="9" s="1"/>
  <c r="A119" i="23"/>
  <c r="K55" i="9" s="1"/>
  <c r="B119" i="23"/>
  <c r="L55" i="9" s="1"/>
  <c r="C119" i="23"/>
  <c r="M55" i="9" s="1"/>
  <c r="F119" i="23"/>
  <c r="P55" i="9" s="1"/>
  <c r="G119" i="23"/>
  <c r="Q55" i="9" s="1"/>
  <c r="D119" i="23"/>
  <c r="N55" i="9" s="1"/>
  <c r="E119" i="23"/>
  <c r="O55" i="9" s="1"/>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C18" i="9" l="1"/>
  <c r="C12" i="9"/>
  <c r="C13" i="9" s="1"/>
  <c r="C23" i="9"/>
  <c r="C25" i="9" s="1"/>
  <c r="D14" i="35"/>
  <c r="E14" i="35"/>
  <c r="F14" i="35"/>
  <c r="C14" i="35"/>
  <c r="H18" i="9"/>
  <c r="F28" i="9"/>
  <c r="M36" i="35"/>
  <c r="O35" i="35"/>
  <c r="P35" i="35" s="1"/>
  <c r="F18" i="9"/>
  <c r="H28" i="9"/>
  <c r="F23" i="9"/>
  <c r="E23" i="2"/>
  <c r="B22" i="2"/>
  <c r="B28" i="9"/>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3" i="9"/>
  <c r="G23" i="9"/>
  <c r="B12" i="9"/>
  <c r="B18" i="9"/>
  <c r="B22" i="9" s="1"/>
  <c r="H23" i="9"/>
  <c r="D23" i="9"/>
  <c r="D12" i="9"/>
  <c r="D18" i="9"/>
  <c r="D28" i="9"/>
  <c r="E28" i="9"/>
  <c r="E23" i="9"/>
  <c r="E12" i="9"/>
  <c r="E18" i="9"/>
  <c r="G28" i="9"/>
  <c r="G12" i="9"/>
  <c r="B60" i="9"/>
  <c r="B65" i="9"/>
  <c r="B54" i="9"/>
  <c r="B70" i="9"/>
  <c r="H44" i="9"/>
  <c r="H49" i="9"/>
  <c r="H33" i="9"/>
  <c r="H34" i="9" s="1"/>
  <c r="H39" i="9"/>
  <c r="C70" i="9"/>
  <c r="C65" i="9"/>
  <c r="C54" i="9"/>
  <c r="C60" i="9"/>
  <c r="G44" i="9"/>
  <c r="G39" i="9"/>
  <c r="G49" i="9"/>
  <c r="G33" i="9"/>
  <c r="G34" i="9" s="1"/>
  <c r="F60" i="9"/>
  <c r="F70" i="9"/>
  <c r="F54" i="9"/>
  <c r="F65" i="9"/>
  <c r="E65" i="9"/>
  <c r="E70" i="9"/>
  <c r="E54" i="9"/>
  <c r="E60" i="9"/>
  <c r="C33" i="9"/>
  <c r="C34" i="9" s="1"/>
  <c r="C39" i="9"/>
  <c r="C44" i="9"/>
  <c r="C49" i="9"/>
  <c r="F39" i="9"/>
  <c r="F44" i="9"/>
  <c r="F33" i="9"/>
  <c r="F49" i="9"/>
  <c r="H54" i="9"/>
  <c r="H65" i="9"/>
  <c r="H70" i="9"/>
  <c r="H60" i="9"/>
  <c r="D49" i="9"/>
  <c r="D33" i="9"/>
  <c r="D34" i="9" s="1"/>
  <c r="D39" i="9"/>
  <c r="D44" i="9"/>
  <c r="G70" i="9"/>
  <c r="G60" i="9"/>
  <c r="G54" i="9"/>
  <c r="G65" i="9"/>
  <c r="B33" i="9"/>
  <c r="B34" i="9" s="1"/>
  <c r="B39" i="9"/>
  <c r="B44" i="9"/>
  <c r="B49" i="9"/>
  <c r="D60" i="9"/>
  <c r="D65" i="9"/>
  <c r="D70" i="9"/>
  <c r="D54" i="9"/>
  <c r="E33" i="9"/>
  <c r="E34" i="9" s="1"/>
  <c r="E39" i="9"/>
  <c r="E49" i="9"/>
  <c r="E44"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C26" i="9" l="1"/>
  <c r="C24" i="9"/>
  <c r="C27" i="9"/>
  <c r="C20" i="9"/>
  <c r="C19" i="9"/>
  <c r="C21" i="9"/>
  <c r="C22" i="9"/>
  <c r="H55" i="9"/>
  <c r="C55" i="9"/>
  <c r="B55" i="9"/>
  <c r="E55" i="9"/>
  <c r="D55" i="9"/>
  <c r="G55" i="9"/>
  <c r="D15" i="35"/>
  <c r="C15" i="35"/>
  <c r="E15" i="35"/>
  <c r="F15" i="35"/>
  <c r="F17" i="9"/>
  <c r="H21" i="9"/>
  <c r="F16" i="9"/>
  <c r="F14" i="9"/>
  <c r="F15" i="9"/>
  <c r="H16" i="9"/>
  <c r="G19" i="9"/>
  <c r="H14" i="9"/>
  <c r="H17" i="9"/>
  <c r="H15" i="9"/>
  <c r="B20" i="9"/>
  <c r="F19" i="9"/>
  <c r="M37" i="35"/>
  <c r="O36" i="35"/>
  <c r="P36" i="35" s="1"/>
  <c r="B27" i="9"/>
  <c r="H20" i="9"/>
  <c r="F24" i="9"/>
  <c r="F27" i="9"/>
  <c r="F26" i="9"/>
  <c r="F20" i="9"/>
  <c r="F21" i="9"/>
  <c r="B24" i="9"/>
  <c r="F25" i="9"/>
  <c r="B26" i="9"/>
  <c r="F22" i="9"/>
  <c r="B25" i="9"/>
  <c r="E24" i="2"/>
  <c r="B23" i="2"/>
  <c r="C47" i="34"/>
  <c r="C51" i="34"/>
  <c r="C54" i="34"/>
  <c r="M10" i="26"/>
  <c r="M15" i="6"/>
  <c r="M10" i="6"/>
  <c r="M15" i="26"/>
  <c r="Q76" i="40"/>
  <c r="C58" i="34" s="1"/>
  <c r="C49" i="34"/>
  <c r="C50" i="34"/>
  <c r="C53" i="34"/>
  <c r="C56" i="34"/>
  <c r="C59" i="34"/>
  <c r="C61" i="34"/>
  <c r="C55" i="34"/>
  <c r="C57" i="34"/>
  <c r="C48" i="34"/>
  <c r="M15" i="5"/>
  <c r="M10" i="5"/>
  <c r="C14" i="9"/>
  <c r="G22" i="9"/>
  <c r="G20" i="9"/>
  <c r="C16" i="9"/>
  <c r="B19" i="9"/>
  <c r="B21" i="9"/>
  <c r="B13" i="9"/>
  <c r="G21" i="9"/>
  <c r="H22" i="9"/>
  <c r="C17" i="9"/>
  <c r="C15" i="9"/>
  <c r="I23" i="9"/>
  <c r="H19" i="9"/>
  <c r="I18" i="9"/>
  <c r="G13" i="9"/>
  <c r="I28" i="9"/>
  <c r="G24" i="9"/>
  <c r="G26" i="9"/>
  <c r="D13" i="9"/>
  <c r="I12" i="9"/>
  <c r="E20" i="9"/>
  <c r="E21" i="9"/>
  <c r="E22" i="9"/>
  <c r="E19" i="9"/>
  <c r="D26" i="9"/>
  <c r="D25" i="9"/>
  <c r="D27" i="9"/>
  <c r="D24" i="9"/>
  <c r="H45" i="9"/>
  <c r="G27" i="9"/>
  <c r="G25" i="9"/>
  <c r="E13" i="9"/>
  <c r="H27" i="9"/>
  <c r="H25" i="9"/>
  <c r="H24" i="9"/>
  <c r="H26" i="9"/>
  <c r="D19" i="9"/>
  <c r="D22" i="9"/>
  <c r="D21" i="9"/>
  <c r="D20" i="9"/>
  <c r="E26" i="9"/>
  <c r="E27" i="9"/>
  <c r="E25" i="9"/>
  <c r="E24" i="9"/>
  <c r="G48" i="9"/>
  <c r="D45" i="9"/>
  <c r="D62" i="9"/>
  <c r="D68" i="9"/>
  <c r="D67" i="9"/>
  <c r="D66" i="9"/>
  <c r="D69" i="9"/>
  <c r="F43" i="9"/>
  <c r="F42" i="9"/>
  <c r="F41" i="9"/>
  <c r="F40" i="9"/>
  <c r="I39" i="9"/>
  <c r="C38" i="9"/>
  <c r="C41" i="9"/>
  <c r="C43" i="9"/>
  <c r="C40" i="9"/>
  <c r="C42" i="9"/>
  <c r="F55" i="9"/>
  <c r="I54" i="9"/>
  <c r="G41" i="9"/>
  <c r="G43" i="9"/>
  <c r="G42" i="9"/>
  <c r="G40" i="9"/>
  <c r="F48" i="9"/>
  <c r="F47" i="9"/>
  <c r="F46" i="9"/>
  <c r="F45" i="9"/>
  <c r="I44" i="9"/>
  <c r="H36" i="9"/>
  <c r="H38" i="9"/>
  <c r="H35" i="9"/>
  <c r="H37" i="9"/>
  <c r="G64" i="9"/>
  <c r="G63" i="9"/>
  <c r="G62" i="9"/>
  <c r="G61" i="9"/>
  <c r="D63" i="9"/>
  <c r="D64" i="9"/>
  <c r="D61" i="9"/>
  <c r="H68" i="9"/>
  <c r="H67" i="9"/>
  <c r="H66" i="9"/>
  <c r="H69" i="9"/>
  <c r="C36" i="9"/>
  <c r="C35" i="9"/>
  <c r="C37" i="9"/>
  <c r="I70" i="9"/>
  <c r="G46" i="9"/>
  <c r="G45" i="9"/>
  <c r="G47" i="9"/>
  <c r="H48" i="9"/>
  <c r="H46" i="9"/>
  <c r="H47" i="9"/>
  <c r="E48" i="9"/>
  <c r="E47" i="9"/>
  <c r="E46" i="9"/>
  <c r="E45" i="9"/>
  <c r="E61" i="9"/>
  <c r="E63" i="9"/>
  <c r="E62" i="9"/>
  <c r="E64" i="9"/>
  <c r="F63" i="9"/>
  <c r="F62" i="9"/>
  <c r="F61" i="9"/>
  <c r="I60" i="9"/>
  <c r="F64" i="9"/>
  <c r="C61" i="9"/>
  <c r="C64" i="9"/>
  <c r="C62" i="9"/>
  <c r="C63" i="9"/>
  <c r="C48" i="9"/>
  <c r="C47" i="9"/>
  <c r="C46" i="9"/>
  <c r="C45" i="9"/>
  <c r="B45" i="9"/>
  <c r="B46" i="9"/>
  <c r="B48" i="9"/>
  <c r="B47" i="9"/>
  <c r="D47" i="9"/>
  <c r="D48" i="9"/>
  <c r="D46" i="9"/>
  <c r="H64" i="9"/>
  <c r="H63" i="9"/>
  <c r="H62" i="9"/>
  <c r="H61" i="9"/>
  <c r="E41" i="9"/>
  <c r="E40" i="9"/>
  <c r="E43" i="9"/>
  <c r="E42" i="9"/>
  <c r="B36" i="9"/>
  <c r="B43" i="9"/>
  <c r="B42" i="9"/>
  <c r="B40" i="9"/>
  <c r="B41" i="9"/>
  <c r="D40" i="9"/>
  <c r="D43" i="9"/>
  <c r="D41" i="9"/>
  <c r="D42" i="9"/>
  <c r="C67" i="9"/>
  <c r="C66" i="9"/>
  <c r="C68" i="9"/>
  <c r="C69" i="9"/>
  <c r="I65" i="9"/>
  <c r="F69" i="9"/>
  <c r="F68" i="9"/>
  <c r="F66" i="9"/>
  <c r="F67" i="9"/>
  <c r="E38" i="9"/>
  <c r="E37" i="9"/>
  <c r="E36" i="9"/>
  <c r="E35" i="9"/>
  <c r="B37" i="9"/>
  <c r="B35" i="9"/>
  <c r="B38" i="9"/>
  <c r="D35" i="9"/>
  <c r="D37" i="9"/>
  <c r="D36" i="9"/>
  <c r="D38" i="9"/>
  <c r="I49" i="9"/>
  <c r="E68" i="9"/>
  <c r="E66" i="9"/>
  <c r="E67" i="9"/>
  <c r="E69" i="9"/>
  <c r="B66" i="9"/>
  <c r="B68" i="9"/>
  <c r="B69" i="9"/>
  <c r="B67" i="9"/>
  <c r="G66" i="9"/>
  <c r="G69" i="9"/>
  <c r="G67" i="9"/>
  <c r="G68" i="9"/>
  <c r="F34" i="9"/>
  <c r="F38" i="9" s="1"/>
  <c r="I33" i="9"/>
  <c r="G37" i="9"/>
  <c r="G36" i="9"/>
  <c r="G35" i="9"/>
  <c r="G38" i="9"/>
  <c r="H43" i="9"/>
  <c r="H41" i="9"/>
  <c r="H40" i="9"/>
  <c r="H42" i="9"/>
  <c r="B61" i="9"/>
  <c r="B64" i="9"/>
  <c r="B63" i="9"/>
  <c r="B62"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E58" i="9" l="1"/>
  <c r="E56" i="9"/>
  <c r="C57" i="9"/>
  <c r="G58" i="9"/>
  <c r="C59" i="9"/>
  <c r="G59" i="9"/>
  <c r="E59" i="9"/>
  <c r="H56" i="9"/>
  <c r="B57" i="9"/>
  <c r="D57" i="9"/>
  <c r="E57" i="9"/>
  <c r="B59" i="9"/>
  <c r="C56" i="9"/>
  <c r="C58" i="9"/>
  <c r="G57" i="9"/>
  <c r="B56" i="9"/>
  <c r="D58" i="9"/>
  <c r="G56" i="9"/>
  <c r="B58" i="9"/>
  <c r="D59" i="9"/>
  <c r="D56" i="9"/>
  <c r="H57" i="9"/>
  <c r="H59" i="9"/>
  <c r="H58" i="9"/>
  <c r="E16" i="35"/>
  <c r="C16" i="35"/>
  <c r="F16" i="35"/>
  <c r="D16" i="35"/>
  <c r="M38" i="35"/>
  <c r="O37" i="35"/>
  <c r="P37" i="35" s="1"/>
  <c r="E25" i="2"/>
  <c r="B24" i="2"/>
  <c r="B14" i="9"/>
  <c r="B15" i="9"/>
  <c r="B16" i="9"/>
  <c r="B17" i="9"/>
  <c r="D26" i="39"/>
  <c r="D27" i="39" s="1"/>
  <c r="D37" i="39" s="1"/>
  <c r="I19" i="9"/>
  <c r="I27" i="9"/>
  <c r="I26" i="9"/>
  <c r="I24" i="9"/>
  <c r="D16" i="9"/>
  <c r="D17" i="9"/>
  <c r="D14" i="9"/>
  <c r="D15" i="9"/>
  <c r="I13" i="9"/>
  <c r="I20" i="9"/>
  <c r="I21" i="9"/>
  <c r="I22" i="9"/>
  <c r="G16" i="9"/>
  <c r="G17" i="9"/>
  <c r="G14" i="9"/>
  <c r="G15" i="9"/>
  <c r="E16" i="9"/>
  <c r="E14" i="9"/>
  <c r="E17" i="9"/>
  <c r="E15" i="9"/>
  <c r="I25" i="9"/>
  <c r="I67" i="9"/>
  <c r="I38" i="9"/>
  <c r="I62" i="9"/>
  <c r="I46" i="9"/>
  <c r="I64" i="9"/>
  <c r="I48" i="9"/>
  <c r="I43" i="9"/>
  <c r="I47" i="9"/>
  <c r="I42" i="9"/>
  <c r="D20" i="39"/>
  <c r="D21" i="39" s="1"/>
  <c r="D34" i="39" s="1"/>
  <c r="D28" i="39"/>
  <c r="D29" i="39" s="1"/>
  <c r="D38" i="39" s="1"/>
  <c r="I34" i="9"/>
  <c r="I61" i="9"/>
  <c r="I66" i="9"/>
  <c r="I63" i="9"/>
  <c r="F37" i="9"/>
  <c r="I37" i="9" s="1"/>
  <c r="F36" i="9"/>
  <c r="I36" i="9" s="1"/>
  <c r="F35" i="9"/>
  <c r="I35" i="9" s="1"/>
  <c r="I68" i="9"/>
  <c r="I69" i="9"/>
  <c r="I45" i="9"/>
  <c r="I40" i="9"/>
  <c r="I55" i="9"/>
  <c r="F58" i="9"/>
  <c r="F57" i="9"/>
  <c r="F59" i="9"/>
  <c r="F56" i="9"/>
  <c r="I41" i="9"/>
  <c r="D24" i="39"/>
  <c r="D25" i="39" s="1"/>
  <c r="D36" i="39" s="1"/>
  <c r="C40" i="39"/>
  <c r="F8" i="39"/>
  <c r="E22" i="39"/>
  <c r="E23" i="39" s="1"/>
  <c r="E35" i="39" s="1"/>
  <c r="E6" i="39"/>
  <c r="E10" i="39"/>
  <c r="E14" i="39"/>
  <c r="D22" i="39"/>
  <c r="D23" i="39" s="1"/>
  <c r="D35" i="39" s="1"/>
  <c r="E12" i="39"/>
  <c r="I56" i="9" l="1"/>
  <c r="I59" i="9"/>
  <c r="I57" i="9"/>
  <c r="I58" i="9"/>
  <c r="C17" i="35"/>
  <c r="E17" i="35"/>
  <c r="D17" i="35"/>
  <c r="F17" i="35"/>
  <c r="M39" i="35"/>
  <c r="O38" i="35"/>
  <c r="P38" i="35" s="1"/>
  <c r="E26" i="2"/>
  <c r="B25" i="2"/>
  <c r="I15" i="9"/>
  <c r="I14" i="9"/>
  <c r="I17" i="9"/>
  <c r="I16" i="9"/>
  <c r="D39" i="39"/>
  <c r="E28" i="39"/>
  <c r="E29" i="39" s="1"/>
  <c r="E38" i="39" s="1"/>
  <c r="F14" i="39"/>
  <c r="F6" i="39"/>
  <c r="E20" i="39"/>
  <c r="E21" i="39" s="1"/>
  <c r="E34" i="39" s="1"/>
  <c r="G8" i="39"/>
  <c r="F22" i="39"/>
  <c r="F23" i="39" s="1"/>
  <c r="F35" i="39" s="1"/>
  <c r="F10" i="39"/>
  <c r="E24" i="39"/>
  <c r="E25" i="39" s="1"/>
  <c r="E36" i="39" s="1"/>
  <c r="F12" i="39"/>
  <c r="E26" i="39"/>
  <c r="E27" i="39" s="1"/>
  <c r="E37" i="39" s="1"/>
  <c r="C18" i="35" l="1"/>
  <c r="F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E19" i="35" l="1"/>
  <c r="F19" i="35"/>
  <c r="C19" i="35"/>
  <c r="D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E20" i="35" l="1"/>
  <c r="C20" i="35"/>
  <c r="D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D23" i="35" l="1"/>
  <c r="C23" i="35"/>
  <c r="E23" i="35"/>
  <c r="F23" i="35"/>
  <c r="F24" i="35"/>
  <c r="E24" i="35"/>
  <c r="D24" i="35"/>
  <c r="C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M76" i="9" s="1"/>
  <c r="F59" i="23"/>
  <c r="P76" i="9" s="1"/>
  <c r="G59" i="23"/>
  <c r="Q76" i="9" s="1"/>
  <c r="I23" i="1"/>
  <c r="I22" i="1"/>
  <c r="I21" i="1"/>
  <c r="I20" i="1"/>
  <c r="I18" i="1"/>
  <c r="I16" i="1"/>
  <c r="I15" i="1"/>
  <c r="A59" i="23"/>
  <c r="K76" i="9" s="1"/>
  <c r="D59" i="23"/>
  <c r="N76" i="9" s="1"/>
  <c r="E59" i="23"/>
  <c r="O76" i="9" s="1"/>
  <c r="B59" i="23"/>
  <c r="L76" i="9" s="1"/>
  <c r="E76" i="9" l="1"/>
  <c r="E75" i="9"/>
  <c r="E81" i="9"/>
  <c r="E86" i="9"/>
  <c r="E91" i="9"/>
  <c r="C81" i="9"/>
  <c r="C76" i="9"/>
  <c r="C91" i="9"/>
  <c r="C86" i="9"/>
  <c r="C75" i="9"/>
  <c r="B75" i="9"/>
  <c r="B86" i="9"/>
  <c r="B81" i="9"/>
  <c r="B91" i="9"/>
  <c r="B76" i="9"/>
  <c r="G91" i="9"/>
  <c r="G76" i="9"/>
  <c r="G86" i="9"/>
  <c r="G81" i="9"/>
  <c r="G75" i="9"/>
  <c r="F81" i="9"/>
  <c r="F91" i="9"/>
  <c r="F86" i="9"/>
  <c r="F76" i="9"/>
  <c r="F75" i="9"/>
  <c r="H81" i="9"/>
  <c r="H75" i="9"/>
  <c r="H86" i="9"/>
  <c r="H91" i="9"/>
  <c r="H76" i="9"/>
  <c r="D81" i="9"/>
  <c r="D75" i="9"/>
  <c r="D76" i="9"/>
  <c r="D91" i="9"/>
  <c r="D86" i="9"/>
  <c r="AN14" i="22"/>
  <c r="AO14" i="22"/>
  <c r="AP14" i="22"/>
  <c r="AQ14" i="22"/>
  <c r="AN15" i="22"/>
  <c r="AO15" i="22"/>
  <c r="AP15" i="22"/>
  <c r="AQ15" i="22"/>
  <c r="AN16" i="22"/>
  <c r="AO16" i="22"/>
  <c r="AP16" i="22"/>
  <c r="AQ16" i="22"/>
  <c r="AN9" i="22"/>
  <c r="AO9" i="22"/>
  <c r="AP9" i="22"/>
  <c r="AQ9" i="22"/>
  <c r="AN10" i="22"/>
  <c r="AO10" i="22"/>
  <c r="AP10" i="22"/>
  <c r="AQ10" i="22"/>
  <c r="AN11" i="22"/>
  <c r="AO11" i="22"/>
  <c r="AP11" i="22"/>
  <c r="AQ11" i="22"/>
  <c r="I91" i="9" l="1"/>
  <c r="F89" i="9"/>
  <c r="F88" i="9"/>
  <c r="F87" i="9"/>
  <c r="F90" i="9"/>
  <c r="I86" i="9"/>
  <c r="E90" i="9"/>
  <c r="E89" i="9"/>
  <c r="E87" i="9"/>
  <c r="E88" i="9"/>
  <c r="B78" i="9"/>
  <c r="B77" i="9"/>
  <c r="B79" i="9"/>
  <c r="B80" i="9"/>
  <c r="H80" i="9"/>
  <c r="H79" i="9"/>
  <c r="H78" i="9"/>
  <c r="H77" i="9"/>
  <c r="C84" i="9"/>
  <c r="C85" i="9"/>
  <c r="C83" i="9"/>
  <c r="C82" i="9"/>
  <c r="H88" i="9"/>
  <c r="H87" i="9"/>
  <c r="H90" i="9"/>
  <c r="H89" i="9"/>
  <c r="D89" i="9"/>
  <c r="D87" i="9"/>
  <c r="D88" i="9"/>
  <c r="D90" i="9"/>
  <c r="G82" i="9"/>
  <c r="G83" i="9"/>
  <c r="G85" i="9"/>
  <c r="G84" i="9"/>
  <c r="E84" i="9"/>
  <c r="E82" i="9"/>
  <c r="E83" i="9"/>
  <c r="E85" i="9"/>
  <c r="F79" i="9"/>
  <c r="I76" i="9"/>
  <c r="F80" i="9"/>
  <c r="F78" i="9"/>
  <c r="F77" i="9"/>
  <c r="D85" i="9"/>
  <c r="D84" i="9"/>
  <c r="D82" i="9"/>
  <c r="D83" i="9"/>
  <c r="C80" i="9"/>
  <c r="C77" i="9"/>
  <c r="C79" i="9"/>
  <c r="C78" i="9"/>
  <c r="F85" i="9"/>
  <c r="I81" i="9"/>
  <c r="F83" i="9"/>
  <c r="F82" i="9"/>
  <c r="F84" i="9"/>
  <c r="B85" i="9"/>
  <c r="B83" i="9"/>
  <c r="B84" i="9"/>
  <c r="B82" i="9"/>
  <c r="B90" i="9"/>
  <c r="B89" i="9"/>
  <c r="B87" i="9"/>
  <c r="B88" i="9"/>
  <c r="H85" i="9"/>
  <c r="H84" i="9"/>
  <c r="H83" i="9"/>
  <c r="H82" i="9"/>
  <c r="G88" i="9"/>
  <c r="G87" i="9"/>
  <c r="G89" i="9"/>
  <c r="G90" i="9"/>
  <c r="D77" i="9"/>
  <c r="D80" i="9"/>
  <c r="D78" i="9"/>
  <c r="D79" i="9"/>
  <c r="I75" i="9"/>
  <c r="G77" i="9"/>
  <c r="G79" i="9"/>
  <c r="G78" i="9"/>
  <c r="G80" i="9"/>
  <c r="C87" i="9"/>
  <c r="C89" i="9"/>
  <c r="C88" i="9"/>
  <c r="C90" i="9"/>
  <c r="E78" i="9"/>
  <c r="E77" i="9"/>
  <c r="E80" i="9"/>
  <c r="E79" i="9"/>
  <c r="P33" i="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I84" i="9" l="1"/>
  <c r="I82" i="9"/>
  <c r="I80" i="9"/>
  <c r="I83" i="9"/>
  <c r="I79" i="9"/>
  <c r="I90" i="9"/>
  <c r="I85" i="9"/>
  <c r="I87" i="9"/>
  <c r="I77" i="9"/>
  <c r="I88" i="9"/>
  <c r="I78" i="9"/>
  <c r="I89" i="9"/>
  <c r="AG24" i="1"/>
  <c r="AG34" i="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K51" i="37" l="1"/>
  <c r="I51" i="37"/>
  <c r="F51" i="37" s="1"/>
  <c r="G51" i="37"/>
  <c r="L51" i="37"/>
  <c r="H51" i="37"/>
  <c r="P51" i="37"/>
  <c r="O51" i="37"/>
  <c r="AC4" i="15"/>
  <c r="AC2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P39" i="2" l="1"/>
  <c r="AA12" i="2" s="1"/>
  <c r="L10" i="5" s="1"/>
  <c r="L10" i="6" s="1"/>
  <c r="L27" i="37"/>
  <c r="G27" i="37"/>
  <c r="M27" i="37"/>
  <c r="J27" i="37" s="1"/>
  <c r="K27" i="37"/>
  <c r="P27" i="37"/>
  <c r="O27" i="37"/>
  <c r="H27" i="37"/>
  <c r="I27" i="37"/>
  <c r="F27" i="37" s="1"/>
  <c r="Q27" i="37"/>
  <c r="N27" i="37" s="1"/>
  <c r="AG29" i="1"/>
  <c r="AG38" i="1" s="1"/>
  <c r="C7" i="17"/>
  <c r="C15" i="17" s="1"/>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E5" i="37" s="1"/>
  <c r="E7" i="37" s="1"/>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I10" i="5" l="1"/>
  <c r="L10" i="26"/>
  <c r="C23" i="17"/>
  <c r="X16" i="35"/>
  <c r="Z16" i="35" s="1"/>
  <c r="H16" i="35" s="1"/>
  <c r="I50" i="5" s="1"/>
  <c r="X24" i="35"/>
  <c r="Z24" i="35" s="1"/>
  <c r="H24" i="35" s="1"/>
  <c r="I90" i="5" s="1"/>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H7" i="37"/>
  <c r="I7" i="37"/>
  <c r="F7" i="37" s="1"/>
  <c r="G7" i="37"/>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L7" i="37" l="1"/>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N7" i="37"/>
  <c r="J7" i="37"/>
  <c r="K7" i="37"/>
  <c r="O7" i="37"/>
  <c r="K19" i="37"/>
  <c r="P19" i="37"/>
  <c r="Q19" i="37"/>
  <c r="N19" i="37" s="1"/>
  <c r="L19" i="37"/>
  <c r="O19" i="37"/>
  <c r="F19" i="37"/>
  <c r="M19" i="37"/>
  <c r="J19" i="37" s="1"/>
  <c r="Q7" i="37"/>
  <c r="M7" i="37"/>
  <c r="G19" i="37"/>
  <c r="H19" i="37"/>
  <c r="I19" i="37"/>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AP40" i="2" s="1"/>
  <c r="T18" i="2"/>
  <c r="T19" i="2"/>
  <c r="D7" i="37"/>
  <c r="C11" i="37"/>
  <c r="D11" i="37" s="1"/>
  <c r="C19" i="37"/>
  <c r="D19" i="37" s="1"/>
  <c r="C15" i="37"/>
  <c r="D15" i="37" s="1"/>
  <c r="C23" i="37"/>
  <c r="D23" i="37" s="1"/>
  <c r="AJ21" i="1"/>
  <c r="V21" i="1" s="1"/>
  <c r="X10" i="6" l="1"/>
  <c r="L47" i="37"/>
  <c r="M47" i="37"/>
  <c r="J47" i="37" s="1"/>
  <c r="H47" i="37"/>
  <c r="K47" i="37"/>
  <c r="I47" i="37"/>
  <c r="F47" i="37" s="1"/>
  <c r="G47" i="37"/>
  <c r="P47" i="37"/>
  <c r="Q47" i="37"/>
  <c r="O47" i="37"/>
  <c r="P43" i="37"/>
  <c r="Q43" i="37"/>
  <c r="N43" i="37" s="1"/>
  <c r="O43" i="37"/>
  <c r="K43" i="37"/>
  <c r="L43" i="37"/>
  <c r="M43" i="37"/>
  <c r="J43" i="37" s="1"/>
  <c r="H43" i="37"/>
  <c r="I43" i="37"/>
  <c r="F43" i="37" s="1"/>
  <c r="G43" i="37"/>
  <c r="M39" i="37"/>
  <c r="J39" i="37" s="1"/>
  <c r="K39" i="37"/>
  <c r="P39" i="37"/>
  <c r="Q39" i="37"/>
  <c r="N39" i="37" s="1"/>
  <c r="L39" i="37"/>
  <c r="O39" i="37"/>
  <c r="K31" i="37"/>
  <c r="P31" i="37"/>
  <c r="Q31" i="37"/>
  <c r="N31" i="37" s="1"/>
  <c r="O31" i="37"/>
  <c r="H31" i="37"/>
  <c r="I31" i="37"/>
  <c r="F31" i="37" s="1"/>
  <c r="L31" i="37"/>
  <c r="G31" i="37"/>
  <c r="M31" i="37"/>
  <c r="J31" i="37" s="1"/>
  <c r="Q35" i="37"/>
  <c r="N35" i="37" s="1"/>
  <c r="O35" i="37"/>
  <c r="H35" i="37"/>
  <c r="I35" i="37"/>
  <c r="F35" i="37" s="1"/>
  <c r="L35" i="37"/>
  <c r="G35" i="37"/>
  <c r="M35" i="37"/>
  <c r="J35" i="37" s="1"/>
  <c r="P35" i="37"/>
  <c r="K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26" s="1"/>
  <c r="L9" i="34"/>
  <c r="M9" i="34"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6" l="1"/>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H10" i="34"/>
  <c r="I10" i="34" s="1"/>
  <c r="G10" i="34"/>
  <c r="G47"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G13" i="34"/>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G31" i="34" l="1"/>
  <c r="G49" i="34"/>
  <c r="D31" i="34"/>
  <c r="E49" i="34"/>
  <c r="F14" i="34"/>
  <c r="C14" i="34"/>
  <c r="H14" i="34"/>
  <c r="D14" i="34"/>
  <c r="G14" i="34"/>
  <c r="C30" i="34"/>
  <c r="D48" i="34"/>
  <c r="I12" i="34"/>
  <c r="I31" i="34" s="1"/>
  <c r="H31" i="34"/>
  <c r="G32" i="34"/>
  <c r="G50" i="34"/>
  <c r="F30" i="34"/>
  <c r="F48" i="34"/>
  <c r="F31" i="34"/>
  <c r="F49" i="34"/>
  <c r="D30" i="34"/>
  <c r="E48" i="34"/>
  <c r="D32" i="34"/>
  <c r="E50" i="34"/>
  <c r="AG22" i="2"/>
  <c r="G30" i="34"/>
  <c r="G48" i="34"/>
  <c r="F32" i="34"/>
  <c r="F50" i="34"/>
  <c r="AF23" i="2"/>
  <c r="M31" i="17" s="1"/>
  <c r="J31" i="17" s="1"/>
  <c r="I11" i="34"/>
  <c r="I30" i="34" s="1"/>
  <c r="H30" i="34"/>
  <c r="C32" i="34"/>
  <c r="D50" i="34"/>
  <c r="C31" i="34"/>
  <c r="D49" i="34"/>
  <c r="I13" i="34"/>
  <c r="H3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C21" i="2"/>
  <c r="AN23" i="2"/>
  <c r="AO22" i="2"/>
  <c r="AD21" i="2"/>
  <c r="L23" i="17" s="1"/>
  <c r="AE20" i="2"/>
  <c r="AJ21" i="2"/>
  <c r="P23" i="17" s="1"/>
  <c r="AK20" i="2"/>
  <c r="AH22" i="2"/>
  <c r="O27" i="17" s="1"/>
  <c r="AI21" i="2"/>
  <c r="L35" i="6"/>
  <c r="AK9" i="15"/>
  <c r="AS22" i="2"/>
  <c r="AR23" i="2"/>
  <c r="I32" i="34"/>
  <c r="L40" i="5"/>
  <c r="AG23" i="2"/>
  <c r="AF24" i="2"/>
  <c r="M35" i="17" s="1"/>
  <c r="J35" i="17" s="1"/>
  <c r="AB6" i="15"/>
  <c r="AH5" i="15"/>
  <c r="AB22" i="2" l="1"/>
  <c r="K27" i="17" s="1"/>
  <c r="I14" i="34"/>
  <c r="I33" i="34" s="1"/>
  <c r="H33" i="34"/>
  <c r="C33" i="34"/>
  <c r="D51" i="34"/>
  <c r="D33" i="34"/>
  <c r="E51" i="34"/>
  <c r="F33" i="34"/>
  <c r="F51" i="34"/>
  <c r="F15" i="34"/>
  <c r="G15" i="34"/>
  <c r="H15" i="34"/>
  <c r="D15" i="34"/>
  <c r="C15" i="34"/>
  <c r="G33" i="34"/>
  <c r="G51"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B23" i="2"/>
  <c r="K31" i="17" s="1"/>
  <c r="AC22" i="2"/>
  <c r="AN24" i="2"/>
  <c r="AO23" i="2"/>
  <c r="AJ22" i="2"/>
  <c r="P27" i="17" s="1"/>
  <c r="AK21" i="2"/>
  <c r="AP24" i="2"/>
  <c r="AQ23" i="2"/>
  <c r="L40" i="6"/>
  <c r="AK10" i="15"/>
  <c r="AS23" i="2"/>
  <c r="AR24" i="2"/>
  <c r="L45" i="5"/>
  <c r="AG24" i="2"/>
  <c r="AF25" i="2"/>
  <c r="M39" i="17" s="1"/>
  <c r="J39" i="17" s="1"/>
  <c r="AB7" i="15"/>
  <c r="AH6" i="15"/>
  <c r="C34" i="34" l="1"/>
  <c r="D52" i="34"/>
  <c r="D34" i="34"/>
  <c r="E52" i="34"/>
  <c r="F16" i="34"/>
  <c r="D16" i="34"/>
  <c r="H16" i="34"/>
  <c r="G16" i="34"/>
  <c r="C16" i="34"/>
  <c r="I15" i="34"/>
  <c r="I34" i="34" s="1"/>
  <c r="H34" i="34"/>
  <c r="F34" i="34"/>
  <c r="F52" i="34"/>
  <c r="G34" i="34"/>
  <c r="G52"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G20" i="11"/>
  <c r="H20" i="11"/>
  <c r="AF26" i="2"/>
  <c r="M43" i="17" s="1"/>
  <c r="J43" i="17" s="1"/>
  <c r="AG25" i="2"/>
  <c r="AB8" i="15"/>
  <c r="AH7" i="15"/>
  <c r="I16" i="34" l="1"/>
  <c r="H35" i="34"/>
  <c r="D35" i="34"/>
  <c r="E53" i="34"/>
  <c r="F35" i="34"/>
  <c r="F53" i="34"/>
  <c r="F17" i="34"/>
  <c r="G17" i="34"/>
  <c r="H17" i="34"/>
  <c r="C17" i="34"/>
  <c r="D17" i="34"/>
  <c r="G35" i="34"/>
  <c r="G53" i="34"/>
  <c r="C35" i="34"/>
  <c r="D53" i="34"/>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35" i="34"/>
  <c r="H20" i="6"/>
  <c r="H56" i="11" s="1"/>
  <c r="G20" i="6"/>
  <c r="G56" i="11" s="1"/>
  <c r="H16" i="11"/>
  <c r="G79" i="11"/>
  <c r="G97" i="11"/>
  <c r="H79" i="11"/>
  <c r="G18" i="11"/>
  <c r="H97" i="11"/>
  <c r="AF27" i="2"/>
  <c r="M47" i="17" s="1"/>
  <c r="J47" i="17" s="1"/>
  <c r="AG26" i="2"/>
  <c r="AB9" i="15"/>
  <c r="AH8" i="15"/>
  <c r="C36" i="34" l="1"/>
  <c r="D54" i="34"/>
  <c r="F18" i="34"/>
  <c r="D18" i="34"/>
  <c r="C18" i="34"/>
  <c r="H18" i="34"/>
  <c r="G18" i="34"/>
  <c r="F36" i="34"/>
  <c r="F54" i="34"/>
  <c r="G36" i="34"/>
  <c r="G54" i="34"/>
  <c r="D36" i="34"/>
  <c r="E54" i="34"/>
  <c r="I17" i="34"/>
  <c r="H36" i="34"/>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I36" i="34"/>
  <c r="AG27" i="2"/>
  <c r="AB10" i="15"/>
  <c r="AH9" i="15"/>
  <c r="I18" i="34" l="1"/>
  <c r="H37" i="34"/>
  <c r="G37" i="34"/>
  <c r="G55" i="34"/>
  <c r="C37" i="34"/>
  <c r="D55" i="34"/>
  <c r="F37" i="34"/>
  <c r="F55" i="34"/>
  <c r="F20" i="34"/>
  <c r="C20" i="34"/>
  <c r="H20" i="34"/>
  <c r="D20" i="34"/>
  <c r="G20" i="34"/>
  <c r="H19" i="34"/>
  <c r="G19" i="34"/>
  <c r="F19" i="34"/>
  <c r="D19" i="34"/>
  <c r="C19" i="34"/>
  <c r="D37" i="34"/>
  <c r="E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E50" i="15" s="1"/>
  <c r="AS27" i="2"/>
  <c r="I37" i="34"/>
  <c r="L65" i="5"/>
  <c r="AB11" i="15"/>
  <c r="AH10" i="15"/>
  <c r="H21" i="34" l="1"/>
  <c r="D21" i="34"/>
  <c r="G21" i="34"/>
  <c r="C21" i="34"/>
  <c r="F21" i="34"/>
  <c r="I19" i="34"/>
  <c r="I38" i="34" s="1"/>
  <c r="H38" i="34"/>
  <c r="G39" i="34"/>
  <c r="G57" i="34"/>
  <c r="F38" i="34"/>
  <c r="F56" i="34"/>
  <c r="D39" i="34"/>
  <c r="E57" i="34"/>
  <c r="I20" i="34"/>
  <c r="H39" i="34"/>
  <c r="C38" i="34"/>
  <c r="D56" i="34"/>
  <c r="C39" i="34"/>
  <c r="D57" i="34"/>
  <c r="G38" i="34"/>
  <c r="G56" i="34"/>
  <c r="D38" i="34"/>
  <c r="E56" i="34"/>
  <c r="F39" i="34"/>
  <c r="F57"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AB12" i="15"/>
  <c r="AH11" i="15"/>
  <c r="F40" i="34" l="1"/>
  <c r="F58" i="34"/>
  <c r="C40" i="34"/>
  <c r="D58" i="34"/>
  <c r="F22" i="34"/>
  <c r="D22" i="34"/>
  <c r="H22" i="34"/>
  <c r="G22" i="34"/>
  <c r="C22" i="34"/>
  <c r="G40" i="34"/>
  <c r="G58" i="34"/>
  <c r="D40" i="34"/>
  <c r="E58" i="34"/>
  <c r="I21" i="34"/>
  <c r="H40"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I22" i="34" l="1"/>
  <c r="H41" i="34"/>
  <c r="D41" i="34"/>
  <c r="E59" i="34"/>
  <c r="G41" i="34"/>
  <c r="G59" i="34"/>
  <c r="F41" i="34"/>
  <c r="F59" i="34"/>
  <c r="H23" i="34"/>
  <c r="G23" i="34"/>
  <c r="C23" i="34"/>
  <c r="D23" i="34"/>
  <c r="F23"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F42" i="34" l="1"/>
  <c r="F60" i="34"/>
  <c r="D42" i="34"/>
  <c r="E60" i="34"/>
  <c r="C42" i="34"/>
  <c r="D60" i="34"/>
  <c r="G42" i="34"/>
  <c r="G60" i="34"/>
  <c r="I23" i="34"/>
  <c r="H42"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6" i="1" s="1"/>
  <c r="T36" i="1"/>
  <c r="N24" i="1" s="1"/>
  <c r="X31" i="1"/>
  <c r="D40" i="1" s="1"/>
  <c r="X36" i="1"/>
  <c r="D45" i="1" s="1"/>
  <c r="Y36" i="1"/>
  <c r="Y31" i="1"/>
  <c r="Z31" i="1"/>
  <c r="Z36" i="1"/>
  <c r="U21" i="1"/>
  <c r="L9" i="1" s="1"/>
  <c r="Y21" i="1"/>
  <c r="R21" i="1"/>
  <c r="Z21" i="1"/>
  <c r="W21" i="1"/>
  <c r="T21" i="1"/>
  <c r="N9" i="1" s="1"/>
  <c r="X21" i="1"/>
  <c r="D30" i="1" s="1"/>
  <c r="Y10" i="5" l="1"/>
  <c r="Z10" i="5"/>
  <c r="Z40" i="5"/>
  <c r="Y40" i="5"/>
  <c r="F24" i="34"/>
  <c r="D24" i="34"/>
  <c r="H24" i="34"/>
  <c r="G24" i="34"/>
  <c r="C24" i="34"/>
  <c r="L15" i="1"/>
  <c r="L17" i="1"/>
  <c r="L16" i="1"/>
  <c r="N20" i="1"/>
  <c r="N21" i="1"/>
  <c r="N22" i="1"/>
  <c r="N23" i="1"/>
  <c r="L13" i="1"/>
  <c r="L12" i="1"/>
  <c r="L11" i="1"/>
  <c r="L10" i="1"/>
  <c r="N18" i="1"/>
  <c r="X40" i="5"/>
  <c r="D40" i="6"/>
  <c r="D20" i="11"/>
  <c r="D40" i="26"/>
  <c r="N15" i="1"/>
  <c r="N10" i="1"/>
  <c r="N12" i="1"/>
  <c r="N11" i="1"/>
  <c r="N13" i="1"/>
  <c r="L23" i="1"/>
  <c r="L22" i="1"/>
  <c r="L20" i="1"/>
  <c r="L21" i="1"/>
  <c r="N17" i="1"/>
  <c r="AI32" i="2"/>
  <c r="O51" i="17"/>
  <c r="AC32" i="2"/>
  <c r="K51" i="17"/>
  <c r="C29" i="1"/>
  <c r="E29" i="1" s="1"/>
  <c r="F10" i="5" s="1"/>
  <c r="F10" i="26" s="1"/>
  <c r="F34" i="11" s="1"/>
  <c r="C35" i="1"/>
  <c r="E35" i="1" s="1"/>
  <c r="W32" i="2"/>
  <c r="X32" i="2"/>
  <c r="C19" i="1"/>
  <c r="C18" i="1" s="1"/>
  <c r="C60" i="5" s="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60" i="5"/>
  <c r="E45" i="5"/>
  <c r="E10" i="11"/>
  <c r="E90" i="5"/>
  <c r="O90" i="5" s="1"/>
  <c r="R6" i="11"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C17" i="1" l="1"/>
  <c r="C55" i="5" s="1"/>
  <c r="T6" i="11"/>
  <c r="U6" i="11"/>
  <c r="V6" i="11"/>
  <c r="S6" i="11"/>
  <c r="R7" i="11"/>
  <c r="Z10" i="26"/>
  <c r="Y10" i="26"/>
  <c r="Y65" i="5"/>
  <c r="Z65" i="5"/>
  <c r="Z10" i="6"/>
  <c r="Y10" i="6"/>
  <c r="Z40" i="26"/>
  <c r="Y40" i="26"/>
  <c r="Y40" i="6"/>
  <c r="Z40" i="6"/>
  <c r="Y90" i="5"/>
  <c r="AA90" i="5"/>
  <c r="AB90" i="5"/>
  <c r="Z90" i="5"/>
  <c r="C43" i="34"/>
  <c r="C90" i="6" s="1"/>
  <c r="C70" i="11" s="1"/>
  <c r="E19" i="15" s="1"/>
  <c r="D61" i="34"/>
  <c r="G43" i="34"/>
  <c r="G90" i="6" s="1"/>
  <c r="G70" i="11" s="1"/>
  <c r="G61" i="34"/>
  <c r="I24" i="34"/>
  <c r="H43" i="34"/>
  <c r="D43" i="34"/>
  <c r="E61" i="34"/>
  <c r="G90" i="26"/>
  <c r="G50" i="11" s="1"/>
  <c r="G89" i="11" s="1"/>
  <c r="F43" i="34"/>
  <c r="F61" i="34"/>
  <c r="E55" i="5"/>
  <c r="O55" i="5" s="1"/>
  <c r="X40" i="6"/>
  <c r="D60" i="11"/>
  <c r="D97" i="11" s="1"/>
  <c r="C40" i="1"/>
  <c r="E40" i="1" s="1"/>
  <c r="F65" i="5"/>
  <c r="F65" i="26" s="1"/>
  <c r="E35" i="5"/>
  <c r="O35" i="5" s="1"/>
  <c r="E15" i="5"/>
  <c r="O15" i="5" s="1"/>
  <c r="C11" i="1"/>
  <c r="C25" i="5" s="1"/>
  <c r="C25" i="26" s="1"/>
  <c r="C37" i="11" s="1"/>
  <c r="D6" i="15" s="1"/>
  <c r="C15" i="5"/>
  <c r="C15" i="6" s="1"/>
  <c r="C55" i="11" s="1"/>
  <c r="E4" i="15" s="1"/>
  <c r="X40" i="26"/>
  <c r="D40" i="11"/>
  <c r="D79" i="11" s="1"/>
  <c r="C16" i="1"/>
  <c r="C50" i="5" s="1"/>
  <c r="C65" i="5"/>
  <c r="C65" i="26" s="1"/>
  <c r="C4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45" i="6"/>
  <c r="O45" i="6" s="1"/>
  <c r="E45" i="26"/>
  <c r="O45" i="26" s="1"/>
  <c r="C20" i="1"/>
  <c r="C70" i="5" s="1"/>
  <c r="E90" i="6"/>
  <c r="E60" i="6"/>
  <c r="O60" i="6" s="1"/>
  <c r="E60" i="26"/>
  <c r="O60" i="26" s="1"/>
  <c r="E50" i="5"/>
  <c r="O50" i="5" s="1"/>
  <c r="E65" i="6"/>
  <c r="O65" i="6" s="1"/>
  <c r="E65" i="26"/>
  <c r="O65" i="26" s="1"/>
  <c r="G70" i="26"/>
  <c r="G46" i="11" s="1"/>
  <c r="G70" i="6"/>
  <c r="G66" i="11" s="1"/>
  <c r="G75" i="26"/>
  <c r="G47" i="11" s="1"/>
  <c r="G75" i="6"/>
  <c r="G67" i="11" s="1"/>
  <c r="C90" i="26"/>
  <c r="C50" i="11" s="1"/>
  <c r="D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F10" i="11"/>
  <c r="E30" i="11"/>
  <c r="P10" i="5"/>
  <c r="AD10" i="5" s="1"/>
  <c r="K14" i="11" s="1"/>
  <c r="V10" i="5"/>
  <c r="S10" i="5"/>
  <c r="R10" i="5"/>
  <c r="T10" i="5"/>
  <c r="W10" i="5"/>
  <c r="Q10" i="5"/>
  <c r="AE10" i="5" s="1"/>
  <c r="U10"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P40" i="5"/>
  <c r="AD40" i="5" s="1"/>
  <c r="K20" i="11" s="1"/>
  <c r="V40" i="5"/>
  <c r="W40" i="5"/>
  <c r="E25" i="11"/>
  <c r="F7"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E15" i="6" l="1"/>
  <c r="O15" i="6" s="1"/>
  <c r="Z15" i="6" s="1"/>
  <c r="C25" i="11"/>
  <c r="C14" i="15" s="1"/>
  <c r="E35" i="6"/>
  <c r="O35" i="6" s="1"/>
  <c r="Y35" i="6" s="1"/>
  <c r="U7" i="11"/>
  <c r="R8" i="11"/>
  <c r="S7" i="11"/>
  <c r="T7" i="11"/>
  <c r="V7" i="11"/>
  <c r="L20" i="11"/>
  <c r="G107" i="11"/>
  <c r="E15" i="11"/>
  <c r="Y60" i="6"/>
  <c r="Z60" i="6"/>
  <c r="E15" i="26"/>
  <c r="O15" i="26" s="1"/>
  <c r="W15" i="26" s="1"/>
  <c r="Y60" i="26"/>
  <c r="Z60" i="26"/>
  <c r="Y65" i="26"/>
  <c r="Z65" i="26"/>
  <c r="Y30" i="5"/>
  <c r="Z30" i="5"/>
  <c r="Z65" i="6"/>
  <c r="Y65" i="6"/>
  <c r="Y50" i="5"/>
  <c r="Z50" i="5"/>
  <c r="Y45" i="26"/>
  <c r="Z45" i="26"/>
  <c r="Z45" i="6"/>
  <c r="Y45" i="6"/>
  <c r="Z55" i="5"/>
  <c r="Y55" i="5"/>
  <c r="Z15" i="5"/>
  <c r="Y15" i="5"/>
  <c r="Z35" i="5"/>
  <c r="Y35" i="5"/>
  <c r="Z45" i="5"/>
  <c r="Y45" i="5"/>
  <c r="Z35" i="6"/>
  <c r="C17" i="11"/>
  <c r="C6" i="15" s="1"/>
  <c r="L14" i="11"/>
  <c r="C65" i="6"/>
  <c r="C65" i="11" s="1"/>
  <c r="C102" i="11" s="1"/>
  <c r="C25" i="6"/>
  <c r="C57" i="11" s="1"/>
  <c r="E6" i="15" s="1"/>
  <c r="C15" i="11"/>
  <c r="C4" i="15" s="1"/>
  <c r="E30" i="26"/>
  <c r="O30" i="26" s="1"/>
  <c r="E30" i="6"/>
  <c r="O30" i="6" s="1"/>
  <c r="C15" i="26"/>
  <c r="C35" i="11" s="1"/>
  <c r="D4" i="15" s="1"/>
  <c r="D21" i="15" s="1"/>
  <c r="E55" i="26"/>
  <c r="O55" i="26" s="1"/>
  <c r="E55" i="6"/>
  <c r="O55" i="6" s="1"/>
  <c r="E35" i="26"/>
  <c r="O35" i="26" s="1"/>
  <c r="E25" i="26"/>
  <c r="O25" i="26" s="1"/>
  <c r="E25" i="5"/>
  <c r="O25" i="5" s="1"/>
  <c r="C31" i="1"/>
  <c r="E31" i="1" s="1"/>
  <c r="F20" i="5"/>
  <c r="E20" i="26"/>
  <c r="O20" i="26" s="1"/>
  <c r="E20" i="5"/>
  <c r="O20" i="5" s="1"/>
  <c r="E75" i="6"/>
  <c r="E75" i="5"/>
  <c r="O75" i="5" s="1"/>
  <c r="E80" i="6"/>
  <c r="E80" i="5"/>
  <c r="O80" i="5" s="1"/>
  <c r="E85" i="6"/>
  <c r="E85" i="5"/>
  <c r="O85" i="5" s="1"/>
  <c r="X90" i="5"/>
  <c r="D90" i="6"/>
  <c r="D90" i="26"/>
  <c r="D30" i="11"/>
  <c r="E70" i="6"/>
  <c r="E70" i="5"/>
  <c r="O70" i="5" s="1"/>
  <c r="M20" i="1"/>
  <c r="J40" i="35" s="1"/>
  <c r="G20" i="35" s="1"/>
  <c r="J20" i="35" s="1"/>
  <c r="D70" i="5" s="1"/>
  <c r="M21" i="1"/>
  <c r="J41" i="35" s="1"/>
  <c r="G21" i="35" s="1"/>
  <c r="J21" i="35" s="1"/>
  <c r="D75" i="5" s="1"/>
  <c r="M23" i="1"/>
  <c r="J43" i="35" s="1"/>
  <c r="G23" i="35" s="1"/>
  <c r="J23" i="35" s="1"/>
  <c r="D85" i="5" s="1"/>
  <c r="M22" i="1"/>
  <c r="J42" i="35" s="1"/>
  <c r="G22" i="35" s="1"/>
  <c r="J22" i="35" s="1"/>
  <c r="D80" i="5" s="1"/>
  <c r="M17" i="1"/>
  <c r="J37" i="35" s="1"/>
  <c r="G17" i="35" s="1"/>
  <c r="J17" i="35" s="1"/>
  <c r="D55" i="5" s="1"/>
  <c r="M18" i="1"/>
  <c r="J38" i="35" s="1"/>
  <c r="G18" i="35" s="1"/>
  <c r="J18" i="35" s="1"/>
  <c r="D60" i="5" s="1"/>
  <c r="M16" i="1"/>
  <c r="J36" i="35" s="1"/>
  <c r="G16" i="35" s="1"/>
  <c r="J16" i="35" s="1"/>
  <c r="D50" i="5" s="1"/>
  <c r="M15" i="1"/>
  <c r="J35" i="35" s="1"/>
  <c r="G15" i="35" s="1"/>
  <c r="J15" i="35" s="1"/>
  <c r="D45" i="5" s="1"/>
  <c r="J39" i="35"/>
  <c r="G19" i="35" s="1"/>
  <c r="J19" i="35" s="1"/>
  <c r="D65" i="5" s="1"/>
  <c r="M10" i="1"/>
  <c r="J30" i="35" s="1"/>
  <c r="G10" i="35" s="1"/>
  <c r="J10" i="35" s="1"/>
  <c r="D20" i="5" s="1"/>
  <c r="M11" i="1"/>
  <c r="J31" i="35" s="1"/>
  <c r="G11" i="35" s="1"/>
  <c r="J11" i="35" s="1"/>
  <c r="D25" i="5" s="1"/>
  <c r="M12" i="1"/>
  <c r="J32" i="35" s="1"/>
  <c r="G12" i="35" s="1"/>
  <c r="J12" i="35" s="1"/>
  <c r="D30" i="5" s="1"/>
  <c r="M13" i="1"/>
  <c r="J33" i="35" s="1"/>
  <c r="G13" i="35" s="1"/>
  <c r="J13" i="35" s="1"/>
  <c r="D35" i="5" s="1"/>
  <c r="J29" i="35"/>
  <c r="G9" i="35" s="1"/>
  <c r="J9" i="35" s="1"/>
  <c r="D15"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F20" i="26"/>
  <c r="F36" i="11" s="1"/>
  <c r="J5" i="15" s="1"/>
  <c r="E24" i="11"/>
  <c r="O60" i="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R45" i="5"/>
  <c r="Q45" i="5"/>
  <c r="T45" i="5"/>
  <c r="W45" i="5"/>
  <c r="V45" i="5"/>
  <c r="U45" i="5"/>
  <c r="P45" i="5"/>
  <c r="S45" i="5"/>
  <c r="E17" i="11"/>
  <c r="S10" i="26"/>
  <c r="S10" i="6"/>
  <c r="Q65" i="5"/>
  <c r="AE65" i="5" s="1"/>
  <c r="W65" i="5"/>
  <c r="V65" i="5"/>
  <c r="U65" i="5"/>
  <c r="P65" i="5"/>
  <c r="AD65" i="5" s="1"/>
  <c r="T65" i="5"/>
  <c r="S65" i="5"/>
  <c r="R65" i="5"/>
  <c r="E26" i="11"/>
  <c r="F45" i="11"/>
  <c r="F25" i="11"/>
  <c r="I14" i="15" s="1"/>
  <c r="J9" i="15"/>
  <c r="F79" i="11"/>
  <c r="S40" i="6"/>
  <c r="T40" i="6"/>
  <c r="AC40" i="6" s="1"/>
  <c r="J40" i="6" s="1"/>
  <c r="J60" i="11" s="1"/>
  <c r="J97" i="11" s="1"/>
  <c r="W40" i="6"/>
  <c r="V40" i="6"/>
  <c r="Q40" i="6"/>
  <c r="AE40" i="6" s="1"/>
  <c r="L60" i="11" s="1"/>
  <c r="P40" i="6"/>
  <c r="AD40" i="6" s="1"/>
  <c r="K60"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E28" i="11"/>
  <c r="K9" i="15"/>
  <c r="F97" i="11"/>
  <c r="P10" i="26"/>
  <c r="AD10" i="26" s="1"/>
  <c r="K34" i="11" s="1"/>
  <c r="P10" i="6"/>
  <c r="AD10" i="6" s="1"/>
  <c r="K54" i="11" s="1"/>
  <c r="E55" i="11"/>
  <c r="W15" i="6"/>
  <c r="C22" i="11"/>
  <c r="C11" i="15" s="1"/>
  <c r="U10" i="6"/>
  <c r="U10" i="26"/>
  <c r="S90" i="5"/>
  <c r="R90" i="5"/>
  <c r="Q90" i="5"/>
  <c r="AE90" i="5" s="1"/>
  <c r="P90" i="5"/>
  <c r="AD90" i="5" s="1"/>
  <c r="K30" i="11" s="1"/>
  <c r="T90" i="5"/>
  <c r="W90" i="5"/>
  <c r="V90" i="5"/>
  <c r="AG90" i="5" s="1"/>
  <c r="N30" i="11" s="1"/>
  <c r="U90" i="5"/>
  <c r="AF90" i="5" s="1"/>
  <c r="M30" i="11" s="1"/>
  <c r="P40" i="26"/>
  <c r="AD40" i="26" s="1"/>
  <c r="K40" i="11" s="1"/>
  <c r="Q40" i="26"/>
  <c r="AE40" i="26" s="1"/>
  <c r="L40" i="11" s="1"/>
  <c r="U40" i="26"/>
  <c r="R40" i="26"/>
  <c r="S40" i="26"/>
  <c r="T40" i="26"/>
  <c r="AC40" i="26" s="1"/>
  <c r="J40" i="26" s="1"/>
  <c r="J40" i="11" s="1"/>
  <c r="J79" i="11" s="1"/>
  <c r="W40" i="26"/>
  <c r="V40" i="26"/>
  <c r="D14" i="15"/>
  <c r="C84" i="11"/>
  <c r="Q10" i="26"/>
  <c r="AE10" i="26" s="1"/>
  <c r="L34" i="11" s="1"/>
  <c r="Q10" i="6"/>
  <c r="AE10" i="6" s="1"/>
  <c r="L54" i="11" s="1"/>
  <c r="F30" i="11"/>
  <c r="I19" i="15" s="1"/>
  <c r="I21" i="15" s="1"/>
  <c r="Q15" i="5"/>
  <c r="U15" i="5"/>
  <c r="T15" i="5"/>
  <c r="W15" i="5"/>
  <c r="R15" i="5"/>
  <c r="S15" i="5"/>
  <c r="V15" i="5"/>
  <c r="P15" i="5"/>
  <c r="AD15" i="5" s="1"/>
  <c r="K15" i="11" s="1"/>
  <c r="E65" i="11"/>
  <c r="E102" i="11" s="1"/>
  <c r="G85" i="11"/>
  <c r="C76" i="11"/>
  <c r="G88" i="11"/>
  <c r="G103" i="11"/>
  <c r="G104" i="11"/>
  <c r="G87" i="11"/>
  <c r="G105" i="11"/>
  <c r="G86" i="11"/>
  <c r="G106" i="11"/>
  <c r="AB19" i="15"/>
  <c r="AH18" i="15"/>
  <c r="Y15" i="6" l="1"/>
  <c r="AE45" i="5"/>
  <c r="AE15" i="5"/>
  <c r="L15" i="11" s="1"/>
  <c r="E29" i="11"/>
  <c r="E20" i="6"/>
  <c r="O20" i="6" s="1"/>
  <c r="Z20" i="6" s="1"/>
  <c r="E16" i="11"/>
  <c r="E35" i="11"/>
  <c r="AD50" i="5"/>
  <c r="K22" i="11" s="1"/>
  <c r="R9" i="11"/>
  <c r="S8" i="11"/>
  <c r="T8" i="11"/>
  <c r="U8" i="11"/>
  <c r="V8" i="11"/>
  <c r="C94" i="11"/>
  <c r="Y60" i="5"/>
  <c r="Z60" i="5"/>
  <c r="Y20" i="5"/>
  <c r="Z20" i="5"/>
  <c r="Z55" i="26"/>
  <c r="Y55" i="26"/>
  <c r="Z20" i="26"/>
  <c r="Y20" i="26"/>
  <c r="Z15" i="26"/>
  <c r="Y15" i="26"/>
  <c r="Z85" i="5"/>
  <c r="Y85" i="5"/>
  <c r="Z30" i="6"/>
  <c r="Y30" i="6"/>
  <c r="Z30" i="26"/>
  <c r="Y30" i="26"/>
  <c r="Z55" i="6"/>
  <c r="Y55" i="6"/>
  <c r="Y50" i="26"/>
  <c r="Z50" i="26"/>
  <c r="Z70" i="5"/>
  <c r="Y70" i="5"/>
  <c r="Y80" i="5"/>
  <c r="Z80" i="5"/>
  <c r="Z25" i="5"/>
  <c r="Y25" i="5"/>
  <c r="Z50" i="6"/>
  <c r="Y50" i="6"/>
  <c r="Z25" i="6"/>
  <c r="Y25" i="6"/>
  <c r="Y25" i="26"/>
  <c r="Z25" i="26"/>
  <c r="Z75" i="5"/>
  <c r="Y75" i="5"/>
  <c r="Z35" i="26"/>
  <c r="Y35" i="26"/>
  <c r="AC90" i="5"/>
  <c r="J90" i="5" s="1"/>
  <c r="J30" i="11" s="1"/>
  <c r="P19" i="15" s="1"/>
  <c r="L30" i="11"/>
  <c r="K25" i="11"/>
  <c r="AD45" i="5"/>
  <c r="K21" i="11" s="1"/>
  <c r="L25" i="11"/>
  <c r="AE50" i="5"/>
  <c r="S60" i="5"/>
  <c r="E14" i="15"/>
  <c r="E63" i="11"/>
  <c r="E100" i="11" s="1"/>
  <c r="X35" i="5"/>
  <c r="D35" i="26"/>
  <c r="D19" i="11"/>
  <c r="D35" i="6"/>
  <c r="X55" i="5"/>
  <c r="D23" i="11"/>
  <c r="D55" i="26"/>
  <c r="D55" i="6"/>
  <c r="X90" i="26"/>
  <c r="D50" i="11"/>
  <c r="D89" i="11" s="1"/>
  <c r="X30" i="5"/>
  <c r="D30" i="26"/>
  <c r="D30" i="6"/>
  <c r="D18" i="11"/>
  <c r="X80" i="5"/>
  <c r="D28" i="11"/>
  <c r="D80" i="26"/>
  <c r="D80" i="6"/>
  <c r="X90" i="6"/>
  <c r="D70" i="11"/>
  <c r="D107" i="11" s="1"/>
  <c r="X25" i="5"/>
  <c r="D25" i="6"/>
  <c r="D17" i="11"/>
  <c r="D25" i="26"/>
  <c r="X85" i="5"/>
  <c r="D29" i="11"/>
  <c r="D85" i="26"/>
  <c r="D85" i="6"/>
  <c r="X15" i="6"/>
  <c r="X15" i="5"/>
  <c r="AC15" i="5" s="1"/>
  <c r="J15" i="5" s="1"/>
  <c r="J15" i="11" s="1"/>
  <c r="X15" i="26"/>
  <c r="D15" i="26"/>
  <c r="D35" i="11" s="1"/>
  <c r="D15" i="11"/>
  <c r="D15" i="6"/>
  <c r="D55" i="11" s="1"/>
  <c r="E27" i="11"/>
  <c r="X20" i="5"/>
  <c r="D20" i="26"/>
  <c r="D20" i="6"/>
  <c r="D16" i="11"/>
  <c r="X75" i="5"/>
  <c r="D75" i="26"/>
  <c r="D27" i="11"/>
  <c r="D75" i="6"/>
  <c r="X65" i="5"/>
  <c r="AC65" i="5" s="1"/>
  <c r="J65" i="5" s="1"/>
  <c r="J25" i="11" s="1"/>
  <c r="P14" i="15" s="1"/>
  <c r="D25" i="11"/>
  <c r="D65" i="26"/>
  <c r="D65" i="6"/>
  <c r="X70" i="5"/>
  <c r="D26" i="11"/>
  <c r="D70" i="26"/>
  <c r="D70" i="6"/>
  <c r="X60" i="5"/>
  <c r="D24" i="11"/>
  <c r="D60" i="26"/>
  <c r="D60" i="6"/>
  <c r="X45" i="5"/>
  <c r="AC45" i="5" s="1"/>
  <c r="J45" i="5" s="1"/>
  <c r="J21" i="11" s="1"/>
  <c r="P10" i="15" s="1"/>
  <c r="D21" i="11"/>
  <c r="D45" i="26"/>
  <c r="D45" i="6"/>
  <c r="X50" i="5"/>
  <c r="AC50" i="5" s="1"/>
  <c r="J50" i="5" s="1"/>
  <c r="J22" i="11" s="1"/>
  <c r="P11" i="15" s="1"/>
  <c r="D50" i="26"/>
  <c r="D50" i="6"/>
  <c r="D22"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U60" i="5"/>
  <c r="Q60" i="5"/>
  <c r="R60" i="5"/>
  <c r="V60" i="5"/>
  <c r="W60" i="5"/>
  <c r="C87" i="11"/>
  <c r="C105" i="11"/>
  <c r="D13" i="15"/>
  <c r="C95" i="11"/>
  <c r="C78" i="11"/>
  <c r="C96" i="11"/>
  <c r="E41" i="11"/>
  <c r="E80" i="11" s="1"/>
  <c r="C88" i="11"/>
  <c r="T55" i="5"/>
  <c r="AC55" i="5" s="1"/>
  <c r="J55" i="5" s="1"/>
  <c r="J23" i="11" s="1"/>
  <c r="P12" i="15" s="1"/>
  <c r="P55" i="5"/>
  <c r="AD55" i="5" s="1"/>
  <c r="R55" i="5"/>
  <c r="E13" i="15"/>
  <c r="C103" i="11"/>
  <c r="C85" i="11"/>
  <c r="E43" i="11"/>
  <c r="E82" i="11" s="1"/>
  <c r="C75" i="11"/>
  <c r="C93" i="11"/>
  <c r="C77" i="11"/>
  <c r="F20" i="6"/>
  <c r="F56" i="11" s="1"/>
  <c r="K5" i="15" s="1"/>
  <c r="F16" i="11"/>
  <c r="I5" i="15" s="1"/>
  <c r="F57" i="11"/>
  <c r="K6"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V35" i="5"/>
  <c r="W35" i="5"/>
  <c r="K14" i="15"/>
  <c r="F102" i="11"/>
  <c r="E59" i="11"/>
  <c r="E96" i="11" s="1"/>
  <c r="W25" i="5"/>
  <c r="S25" i="5"/>
  <c r="V25" i="5"/>
  <c r="U25" i="5"/>
  <c r="T25" i="5"/>
  <c r="AC25" i="5" s="1"/>
  <c r="J25" i="5" s="1"/>
  <c r="J17" i="11" s="1"/>
  <c r="P25" i="5"/>
  <c r="R25" i="5"/>
  <c r="Q25" i="5"/>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AD60" i="26" s="1"/>
  <c r="Q65" i="6"/>
  <c r="AE65" i="6" s="1"/>
  <c r="S65" i="6"/>
  <c r="R65" i="6"/>
  <c r="T65" i="6"/>
  <c r="P65" i="6"/>
  <c r="AD65" i="6" s="1"/>
  <c r="K65"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AE15" i="6" s="1"/>
  <c r="L55" i="11" s="1"/>
  <c r="Q15" i="26"/>
  <c r="D11" i="15"/>
  <c r="C81" i="11"/>
  <c r="V45" i="26"/>
  <c r="Q45" i="26"/>
  <c r="AE45" i="26" s="1"/>
  <c r="S45" i="26"/>
  <c r="R45" i="26"/>
  <c r="W45" i="26"/>
  <c r="P45" i="26"/>
  <c r="AD45" i="26" s="1"/>
  <c r="K41"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L64" i="11" s="1"/>
  <c r="F28" i="11"/>
  <c r="I17" i="15" s="1"/>
  <c r="E37" i="11"/>
  <c r="E76" i="11" s="1"/>
  <c r="V30" i="5"/>
  <c r="R30" i="5"/>
  <c r="U30" i="5"/>
  <c r="T30" i="5"/>
  <c r="AC30" i="5" s="1"/>
  <c r="J30" i="5" s="1"/>
  <c r="J18" i="11" s="1"/>
  <c r="S30" i="5"/>
  <c r="P30" i="5"/>
  <c r="AD30" i="5" s="1"/>
  <c r="K18" i="11" s="1"/>
  <c r="Q30" i="5"/>
  <c r="AE30" i="5" s="1"/>
  <c r="W30" i="5"/>
  <c r="S15" i="6"/>
  <c r="S15" i="26"/>
  <c r="P15" i="6"/>
  <c r="P15" i="26"/>
  <c r="AD15" i="26" s="1"/>
  <c r="K35" i="11" s="1"/>
  <c r="S85" i="5"/>
  <c r="P85" i="5"/>
  <c r="R85" i="5"/>
  <c r="Q85" i="5"/>
  <c r="W85" i="5"/>
  <c r="U85" i="5"/>
  <c r="V85" i="5"/>
  <c r="T85" i="5"/>
  <c r="E56" i="11"/>
  <c r="E93" i="11" s="1"/>
  <c r="F29" i="11"/>
  <c r="I18" i="15" s="1"/>
  <c r="S70" i="5"/>
  <c r="P70" i="5"/>
  <c r="V70" i="5"/>
  <c r="R70" i="5"/>
  <c r="Q70" i="5"/>
  <c r="W70" i="5"/>
  <c r="U70" i="5"/>
  <c r="T70" i="5"/>
  <c r="E57" i="11"/>
  <c r="E94" i="11" s="1"/>
  <c r="V15" i="6"/>
  <c r="V15" i="26"/>
  <c r="K19" i="15"/>
  <c r="K21" i="15" s="1"/>
  <c r="F107" i="11"/>
  <c r="E11" i="15"/>
  <c r="C99" i="11"/>
  <c r="F27" i="11"/>
  <c r="I16" i="15" s="1"/>
  <c r="P65" i="26"/>
  <c r="AD65" i="26" s="1"/>
  <c r="T65" i="26"/>
  <c r="W65" i="26"/>
  <c r="Q65" i="26"/>
  <c r="AE65" i="26" s="1"/>
  <c r="U65" i="26"/>
  <c r="R65" i="26"/>
  <c r="V65" i="26"/>
  <c r="S65" i="26"/>
  <c r="AH19" i="15"/>
  <c r="W20" i="6" l="1"/>
  <c r="Y20" i="6"/>
  <c r="AE60" i="5"/>
  <c r="L24" i="11" s="1"/>
  <c r="L101" i="11" s="1"/>
  <c r="AD15" i="6"/>
  <c r="K55" i="11" s="1"/>
  <c r="AD75" i="5"/>
  <c r="K27" i="11" s="1"/>
  <c r="AE85" i="5"/>
  <c r="L29" i="11" s="1"/>
  <c r="AE25" i="5"/>
  <c r="L17" i="11" s="1"/>
  <c r="AE15" i="26"/>
  <c r="L35" i="11" s="1"/>
  <c r="L18" i="11"/>
  <c r="L19" i="11"/>
  <c r="L61" i="11"/>
  <c r="AE55" i="6"/>
  <c r="L63" i="11" s="1"/>
  <c r="U9" i="11"/>
  <c r="V9" i="11"/>
  <c r="S9" i="11"/>
  <c r="T9" i="11"/>
  <c r="AC70" i="5"/>
  <c r="J70" i="5" s="1"/>
  <c r="J26" i="11" s="1"/>
  <c r="P15" i="15" s="1"/>
  <c r="AD25" i="5"/>
  <c r="K17" i="11" s="1"/>
  <c r="AD60" i="5"/>
  <c r="K24" i="11" s="1"/>
  <c r="K101" i="11" s="1"/>
  <c r="AC35" i="5"/>
  <c r="J35" i="5" s="1"/>
  <c r="J19" i="11" s="1"/>
  <c r="P8" i="15" s="1"/>
  <c r="AE50" i="26"/>
  <c r="L42" i="11" s="1"/>
  <c r="AE50" i="6"/>
  <c r="L62" i="11" s="1"/>
  <c r="AC85" i="5"/>
  <c r="J85" i="5" s="1"/>
  <c r="J29" i="11" s="1"/>
  <c r="P18" i="15" s="1"/>
  <c r="L21" i="11"/>
  <c r="L22" i="11"/>
  <c r="AD85" i="5"/>
  <c r="K29" i="11" s="1"/>
  <c r="AD50" i="26"/>
  <c r="K42" i="11" s="1"/>
  <c r="K102" i="11"/>
  <c r="AD80" i="5"/>
  <c r="K28" i="11" s="1"/>
  <c r="AE80" i="5"/>
  <c r="L28" i="11" s="1"/>
  <c r="AE55" i="26"/>
  <c r="L43" i="11" s="1"/>
  <c r="K23" i="11"/>
  <c r="AE70" i="5"/>
  <c r="K79" i="11"/>
  <c r="K44" i="11"/>
  <c r="L23" i="11"/>
  <c r="L79" i="11"/>
  <c r="L44" i="11"/>
  <c r="L45" i="11"/>
  <c r="K80" i="11"/>
  <c r="K45" i="11"/>
  <c r="L41" i="11"/>
  <c r="L65" i="11"/>
  <c r="L102" i="11" s="1"/>
  <c r="AD70" i="5"/>
  <c r="P20" i="6"/>
  <c r="AD20" i="6" s="1"/>
  <c r="K56" i="11" s="1"/>
  <c r="AD20" i="5"/>
  <c r="Q20" i="6"/>
  <c r="AE20" i="6" s="1"/>
  <c r="L56" i="11" s="1"/>
  <c r="AE20" i="5"/>
  <c r="AE75" i="5"/>
  <c r="L27" i="11" s="1"/>
  <c r="AD55" i="26"/>
  <c r="AD55" i="6"/>
  <c r="K63" i="11" s="1"/>
  <c r="AD50" i="6"/>
  <c r="K62" i="11" s="1"/>
  <c r="AC60" i="5"/>
  <c r="J60" i="5" s="1"/>
  <c r="J24" i="11" s="1"/>
  <c r="P13" i="15" s="1"/>
  <c r="AC75" i="5"/>
  <c r="J75" i="5" s="1"/>
  <c r="J27" i="11" s="1"/>
  <c r="P16" i="15" s="1"/>
  <c r="AC15" i="6"/>
  <c r="J15" i="6" s="1"/>
  <c r="J55" i="11" s="1"/>
  <c r="R4" i="15" s="1"/>
  <c r="X55" i="26"/>
  <c r="AC55" i="26" s="1"/>
  <c r="J55" i="26" s="1"/>
  <c r="J43" i="11" s="1"/>
  <c r="D43" i="11"/>
  <c r="D82" i="11" s="1"/>
  <c r="X20" i="26"/>
  <c r="D36" i="11"/>
  <c r="D75" i="11" s="1"/>
  <c r="D57" i="11"/>
  <c r="D94" i="11" s="1"/>
  <c r="X25" i="6"/>
  <c r="D45" i="11"/>
  <c r="D84" i="11" s="1"/>
  <c r="X65" i="26"/>
  <c r="AC65" i="26" s="1"/>
  <c r="J65" i="26" s="1"/>
  <c r="J45" i="11" s="1"/>
  <c r="X30" i="6"/>
  <c r="D58" i="11"/>
  <c r="D95" i="11" s="1"/>
  <c r="X50" i="26"/>
  <c r="AC50" i="26" s="1"/>
  <c r="J50" i="26" s="1"/>
  <c r="J42" i="11" s="1"/>
  <c r="J81" i="11" s="1"/>
  <c r="D42" i="11"/>
  <c r="D81" i="11" s="1"/>
  <c r="X20" i="6"/>
  <c r="D56" i="11"/>
  <c r="D93" i="11" s="1"/>
  <c r="AC15" i="26"/>
  <c r="J15" i="26" s="1"/>
  <c r="J35" i="11" s="1"/>
  <c r="Q4" i="15" s="1"/>
  <c r="D61" i="11"/>
  <c r="D98" i="11" s="1"/>
  <c r="X45" i="6"/>
  <c r="AC45" i="6" s="1"/>
  <c r="J45" i="6" s="1"/>
  <c r="J61" i="11" s="1"/>
  <c r="X70" i="6"/>
  <c r="D66" i="11"/>
  <c r="D103" i="11" s="1"/>
  <c r="X75" i="6"/>
  <c r="D67" i="11"/>
  <c r="D104" i="11" s="1"/>
  <c r="X85" i="6"/>
  <c r="D69" i="11"/>
  <c r="D106" i="11" s="1"/>
  <c r="X30" i="26"/>
  <c r="D38" i="11"/>
  <c r="D77" i="11" s="1"/>
  <c r="D59" i="11"/>
  <c r="D96" i="11" s="1"/>
  <c r="X35" i="6"/>
  <c r="X45" i="26"/>
  <c r="AC45" i="26" s="1"/>
  <c r="J45" i="26" s="1"/>
  <c r="J41" i="11" s="1"/>
  <c r="J80" i="11" s="1"/>
  <c r="D41" i="11"/>
  <c r="D80" i="11" s="1"/>
  <c r="X70" i="26"/>
  <c r="D46" i="11"/>
  <c r="D85" i="11" s="1"/>
  <c r="X85" i="26"/>
  <c r="D49" i="11"/>
  <c r="D88" i="11" s="1"/>
  <c r="D44" i="11"/>
  <c r="D83" i="11" s="1"/>
  <c r="X60" i="26"/>
  <c r="AC60" i="26" s="1"/>
  <c r="J60" i="26" s="1"/>
  <c r="J44" i="11" s="1"/>
  <c r="AC80" i="5"/>
  <c r="J80" i="5" s="1"/>
  <c r="J28" i="11" s="1"/>
  <c r="P17" i="15" s="1"/>
  <c r="X75" i="26"/>
  <c r="D47" i="11"/>
  <c r="D86" i="11" s="1"/>
  <c r="X80" i="6"/>
  <c r="D68" i="11"/>
  <c r="D105" i="11" s="1"/>
  <c r="D39" i="11"/>
  <c r="D78" i="11" s="1"/>
  <c r="X35" i="26"/>
  <c r="X80" i="26"/>
  <c r="D48" i="11"/>
  <c r="D87" i="11" s="1"/>
  <c r="D62" i="11"/>
  <c r="D99" i="11" s="1"/>
  <c r="X50" i="6"/>
  <c r="AC50" i="6" s="1"/>
  <c r="J50" i="6" s="1"/>
  <c r="J62" i="11" s="1"/>
  <c r="X60" i="6"/>
  <c r="AC60" i="6" s="1"/>
  <c r="J60" i="6" s="1"/>
  <c r="J64" i="11" s="1"/>
  <c r="D64" i="11"/>
  <c r="D101" i="11" s="1"/>
  <c r="X65" i="6"/>
  <c r="AC65" i="6" s="1"/>
  <c r="J65" i="6" s="1"/>
  <c r="J65" i="11" s="1"/>
  <c r="D65" i="11"/>
  <c r="D102" i="11" s="1"/>
  <c r="X25" i="26"/>
  <c r="D37" i="11"/>
  <c r="D76" i="11" s="1"/>
  <c r="D63" i="11"/>
  <c r="D100" i="11" s="1"/>
  <c r="X55" i="6"/>
  <c r="AC55" i="6" s="1"/>
  <c r="J55" i="6" s="1"/>
  <c r="J63" i="11" s="1"/>
  <c r="F83" i="11"/>
  <c r="F81" i="11"/>
  <c r="F99" i="11"/>
  <c r="AU8" i="15"/>
  <c r="AV15" i="15"/>
  <c r="AU22" i="15"/>
  <c r="AU23" i="15"/>
  <c r="AV16" i="15"/>
  <c r="AU9" i="15"/>
  <c r="F76" i="11"/>
  <c r="F94" i="11"/>
  <c r="F95" i="11"/>
  <c r="F77" i="11"/>
  <c r="F93" i="11"/>
  <c r="F101" i="11"/>
  <c r="F75" i="11"/>
  <c r="E20" i="15"/>
  <c r="J13" i="15"/>
  <c r="F78" i="11"/>
  <c r="F96" i="11"/>
  <c r="D20" i="15"/>
  <c r="I20" i="15"/>
  <c r="P7"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P30" i="6"/>
  <c r="AD30" i="6" s="1"/>
  <c r="K58" i="11" s="1"/>
  <c r="T30" i="6"/>
  <c r="U30" i="6"/>
  <c r="V30" i="6"/>
  <c r="W30" i="6"/>
  <c r="S30" i="6"/>
  <c r="R30" i="6"/>
  <c r="J15" i="15"/>
  <c r="F85" i="11"/>
  <c r="P4" i="15"/>
  <c r="P21" i="15" s="1"/>
  <c r="R30" i="26"/>
  <c r="S30" i="26"/>
  <c r="Q30" i="26"/>
  <c r="AE30" i="26" s="1"/>
  <c r="L38" i="11" s="1"/>
  <c r="W30" i="26"/>
  <c r="V30" i="26"/>
  <c r="T30" i="26"/>
  <c r="P30" i="26"/>
  <c r="AD30" i="26" s="1"/>
  <c r="K38" i="11" s="1"/>
  <c r="K77" i="11" s="1"/>
  <c r="U30" i="26"/>
  <c r="U35" i="6"/>
  <c r="P35" i="6"/>
  <c r="AD35" i="6" s="1"/>
  <c r="K59"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S25" i="26"/>
  <c r="R25" i="26"/>
  <c r="T25" i="26"/>
  <c r="P6" i="15"/>
  <c r="K10" i="15"/>
  <c r="F98" i="11"/>
  <c r="S35" i="26"/>
  <c r="T35" i="26"/>
  <c r="R35" i="26"/>
  <c r="U35" i="26"/>
  <c r="Q35" i="26"/>
  <c r="AE35" i="26" s="1"/>
  <c r="L39" i="11" s="1"/>
  <c r="P35" i="26"/>
  <c r="AD35" i="26" s="1"/>
  <c r="K39" i="11" s="1"/>
  <c r="W35" i="26"/>
  <c r="V35" i="26"/>
  <c r="S25" i="6"/>
  <c r="P25" i="6"/>
  <c r="AD25" i="6" s="1"/>
  <c r="K57" i="11" s="1"/>
  <c r="U25" i="6"/>
  <c r="V25" i="6"/>
  <c r="Q25" i="6"/>
  <c r="AE25" i="6" s="1"/>
  <c r="L57" i="11" s="1"/>
  <c r="T25" i="6"/>
  <c r="R25" i="6"/>
  <c r="W25" i="6"/>
  <c r="J17" i="15"/>
  <c r="F87" i="11"/>
  <c r="C20" i="15"/>
  <c r="L100" i="11" l="1"/>
  <c r="L78" i="11"/>
  <c r="L76" i="11"/>
  <c r="L94" i="11"/>
  <c r="L77" i="11"/>
  <c r="K94" i="11"/>
  <c r="K76" i="11"/>
  <c r="L80" i="11"/>
  <c r="K100" i="11"/>
  <c r="AC30" i="6"/>
  <c r="J30" i="6" s="1"/>
  <c r="J58" i="11" s="1"/>
  <c r="J95" i="11" s="1"/>
  <c r="AC30" i="26"/>
  <c r="J30" i="26" s="1"/>
  <c r="J38" i="11" s="1"/>
  <c r="J77" i="11" s="1"/>
  <c r="K16" i="11"/>
  <c r="K75" i="11" s="1"/>
  <c r="K26" i="11"/>
  <c r="L26" i="11"/>
  <c r="K78" i="11"/>
  <c r="K43" i="11"/>
  <c r="L16" i="11"/>
  <c r="L93" i="11" s="1"/>
  <c r="AC25" i="26"/>
  <c r="J25" i="26" s="1"/>
  <c r="J37" i="11" s="1"/>
  <c r="J76" i="11" s="1"/>
  <c r="AC20" i="26"/>
  <c r="J20" i="26" s="1"/>
  <c r="J36" i="11" s="1"/>
  <c r="J75" i="11" s="1"/>
  <c r="AC35" i="6"/>
  <c r="J35" i="6" s="1"/>
  <c r="J59" i="11" s="1"/>
  <c r="J96" i="11" s="1"/>
  <c r="Q11" i="15"/>
  <c r="R13" i="15"/>
  <c r="J101" i="11"/>
  <c r="J82" i="11"/>
  <c r="Q12" i="15"/>
  <c r="J84" i="11"/>
  <c r="Q14" i="15"/>
  <c r="AC25" i="6"/>
  <c r="J25" i="6" s="1"/>
  <c r="J57" i="11" s="1"/>
  <c r="J94" i="11" s="1"/>
  <c r="J102" i="11"/>
  <c r="R14" i="15"/>
  <c r="J83" i="11"/>
  <c r="Q13" i="15"/>
  <c r="J99" i="11"/>
  <c r="R11" i="15"/>
  <c r="J98" i="11"/>
  <c r="R10" i="15"/>
  <c r="R12" i="15"/>
  <c r="J100" i="11"/>
  <c r="AC35" i="26"/>
  <c r="J35" i="26" s="1"/>
  <c r="J39" i="11" s="1"/>
  <c r="J78" i="11" s="1"/>
  <c r="AC20" i="6"/>
  <c r="J20" i="6" s="1"/>
  <c r="Q10" i="15"/>
  <c r="AV8" i="15"/>
  <c r="AV9" i="15"/>
  <c r="AV22" i="15"/>
  <c r="AV23" i="15"/>
  <c r="R5" i="15"/>
  <c r="J20" i="15"/>
  <c r="P5" i="15"/>
  <c r="P20" i="15" s="1"/>
  <c r="K20" i="15"/>
  <c r="R7" i="15" l="1"/>
  <c r="Q7" i="15"/>
  <c r="L75" i="11"/>
  <c r="K93" i="11"/>
  <c r="Q5" i="15"/>
  <c r="Q6" i="15"/>
  <c r="R8" i="15"/>
  <c r="R6" i="15"/>
  <c r="Q8"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16" i="15" l="1"/>
  <c r="AW15" i="15"/>
  <c r="AW23" i="15"/>
  <c r="AW22"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O75" i="26"/>
  <c r="AL32" i="2"/>
  <c r="AM31" i="2"/>
  <c r="H75" i="6"/>
  <c r="H67" i="11" s="1"/>
  <c r="H104" i="11" s="1"/>
  <c r="AR32" i="2"/>
  <c r="AS31" i="2"/>
  <c r="AK18" i="15"/>
  <c r="AQ18" i="15" s="1"/>
  <c r="L80" i="6"/>
  <c r="O80" i="6" s="1"/>
  <c r="E46" i="11"/>
  <c r="E85" i="11" s="1"/>
  <c r="R70" i="26"/>
  <c r="P70" i="26"/>
  <c r="S70" i="26"/>
  <c r="U70" i="26"/>
  <c r="W70" i="26"/>
  <c r="Q70" i="26"/>
  <c r="V70" i="26"/>
  <c r="T70" i="26"/>
  <c r="AC70" i="26" s="1"/>
  <c r="J70" i="26" s="1"/>
  <c r="J46" i="11" s="1"/>
  <c r="J85" i="11" s="1"/>
  <c r="E80" i="26"/>
  <c r="E67" i="11"/>
  <c r="E104" i="11" s="1"/>
  <c r="V70" i="6"/>
  <c r="T70" i="6"/>
  <c r="AC70" i="6" s="1"/>
  <c r="J70" i="6" s="1"/>
  <c r="J66" i="11" s="1"/>
  <c r="J103" i="11" s="1"/>
  <c r="S70" i="6"/>
  <c r="R70" i="6"/>
  <c r="W70" i="6"/>
  <c r="Q70" i="6"/>
  <c r="AE70" i="6" s="1"/>
  <c r="P70" i="6"/>
  <c r="AD70" i="6" s="1"/>
  <c r="U70" i="6"/>
  <c r="E47" i="11"/>
  <c r="E86" i="11" s="1"/>
  <c r="AE70" i="26" l="1"/>
  <c r="Z75" i="26"/>
  <c r="Y75" i="26"/>
  <c r="Y80" i="6"/>
  <c r="Z80" i="6"/>
  <c r="AD70" i="26"/>
  <c r="K46" i="11" s="1"/>
  <c r="K95" i="11"/>
  <c r="K66" i="11"/>
  <c r="K103" i="11" s="1"/>
  <c r="L95" i="11"/>
  <c r="L66" i="11"/>
  <c r="L103" i="11" s="1"/>
  <c r="K81" i="11"/>
  <c r="L81" i="11"/>
  <c r="L46" i="11"/>
  <c r="P75" i="26"/>
  <c r="I75" i="26"/>
  <c r="I47" i="11" s="1"/>
  <c r="I86" i="11" s="1"/>
  <c r="I40" i="34"/>
  <c r="I75" i="6" s="1"/>
  <c r="I67" i="11" s="1"/>
  <c r="I104" i="11" s="1"/>
  <c r="AJ19" i="15"/>
  <c r="AJ20" i="15" s="1"/>
  <c r="Q51" i="17"/>
  <c r="N51" i="17" s="1"/>
  <c r="O80" i="26"/>
  <c r="L85" i="26"/>
  <c r="H85" i="26"/>
  <c r="H49" i="11" s="1"/>
  <c r="H88" i="11" s="1"/>
  <c r="AM32" i="2"/>
  <c r="V75" i="26"/>
  <c r="U75" i="26"/>
  <c r="W75" i="26"/>
  <c r="S75" i="26"/>
  <c r="T75" i="26"/>
  <c r="AC75" i="26" s="1"/>
  <c r="J75" i="26" s="1"/>
  <c r="J47" i="11" s="1"/>
  <c r="J86" i="11" s="1"/>
  <c r="Q75" i="26"/>
  <c r="R75" i="26"/>
  <c r="L85" i="6"/>
  <c r="O85" i="6" s="1"/>
  <c r="AS32" i="2"/>
  <c r="AM34" i="2" s="1"/>
  <c r="AK19" i="15"/>
  <c r="AE51" i="15" s="1"/>
  <c r="H80" i="6"/>
  <c r="H68" i="11" s="1"/>
  <c r="H105" i="11" s="1"/>
  <c r="R15" i="15"/>
  <c r="Q15" i="15"/>
  <c r="I42" i="34"/>
  <c r="H90" i="26"/>
  <c r="E68" i="11"/>
  <c r="E105" i="11" s="1"/>
  <c r="S75" i="6"/>
  <c r="U75" i="6"/>
  <c r="R75" i="6"/>
  <c r="P75" i="6"/>
  <c r="AD75" i="6" s="1"/>
  <c r="W75" i="6"/>
  <c r="Q75" i="6"/>
  <c r="AE75" i="6" s="1"/>
  <c r="T75" i="6"/>
  <c r="AC75" i="6" s="1"/>
  <c r="J75" i="6" s="1"/>
  <c r="J67" i="11" s="1"/>
  <c r="J104" i="11" s="1"/>
  <c r="V75" i="6"/>
  <c r="E48" i="11"/>
  <c r="E87" i="11" s="1"/>
  <c r="Z85" i="6" l="1"/>
  <c r="Y85" i="6"/>
  <c r="Z80" i="26"/>
  <c r="Y80" i="26"/>
  <c r="AE75" i="26"/>
  <c r="L47" i="11" s="1"/>
  <c r="L86" i="11" s="1"/>
  <c r="L96" i="11"/>
  <c r="L67" i="11"/>
  <c r="L104" i="11" s="1"/>
  <c r="L82" i="11"/>
  <c r="K96" i="11"/>
  <c r="K67" i="11"/>
  <c r="K104" i="11" s="1"/>
  <c r="Q80" i="26"/>
  <c r="AD75" i="26"/>
  <c r="I80" i="26"/>
  <c r="I48" i="11" s="1"/>
  <c r="I87" i="11" s="1"/>
  <c r="I41" i="34"/>
  <c r="I80" i="6" s="1"/>
  <c r="I68" i="11" s="1"/>
  <c r="I105" i="11" s="1"/>
  <c r="AP19" i="15"/>
  <c r="AP20" i="15" s="1"/>
  <c r="W80" i="26"/>
  <c r="R80" i="26"/>
  <c r="S80" i="26"/>
  <c r="L90" i="26"/>
  <c r="V80" i="26"/>
  <c r="U80" i="26"/>
  <c r="T80" i="26"/>
  <c r="AC80" i="26" s="1"/>
  <c r="J80" i="26" s="1"/>
  <c r="J48" i="11" s="1"/>
  <c r="J87" i="11" s="1"/>
  <c r="P80" i="26"/>
  <c r="Q16" i="15"/>
  <c r="AK20" i="15"/>
  <c r="AQ19" i="15"/>
  <c r="AQ20" i="15" s="1"/>
  <c r="L90" i="6"/>
  <c r="O90" i="6" s="1"/>
  <c r="R14" i="11" s="1"/>
  <c r="H85" i="6"/>
  <c r="H69" i="11" s="1"/>
  <c r="H106" i="11" s="1"/>
  <c r="R16" i="15"/>
  <c r="I85" i="26"/>
  <c r="I49" i="11" s="1"/>
  <c r="I88" i="11" s="1"/>
  <c r="E85" i="26"/>
  <c r="O85" i="26" s="1"/>
  <c r="H50" i="11"/>
  <c r="E69" i="11"/>
  <c r="E106" i="11" s="1"/>
  <c r="E70" i="11"/>
  <c r="E107" i="11" s="1"/>
  <c r="V80" i="6"/>
  <c r="P80" i="6"/>
  <c r="AD80" i="6" s="1"/>
  <c r="R80" i="6"/>
  <c r="S80" i="6"/>
  <c r="U80" i="6"/>
  <c r="W80" i="6"/>
  <c r="Q80" i="6"/>
  <c r="AE80" i="6" s="1"/>
  <c r="T80" i="6"/>
  <c r="AC80" i="6" s="1"/>
  <c r="J80" i="6" s="1"/>
  <c r="J68" i="11" s="1"/>
  <c r="J105" i="11" s="1"/>
  <c r="T14" i="11" l="1"/>
  <c r="T22" i="11" s="1"/>
  <c r="U14" i="11"/>
  <c r="U22" i="11" s="1"/>
  <c r="V14" i="11"/>
  <c r="V22" i="11" s="1"/>
  <c r="S14" i="11"/>
  <c r="S22" i="11" s="1"/>
  <c r="R15" i="11"/>
  <c r="H89" i="11"/>
  <c r="AA90" i="6"/>
  <c r="Z90" i="6"/>
  <c r="Y90" i="6"/>
  <c r="AB90" i="6"/>
  <c r="Y85" i="26"/>
  <c r="Z85" i="26"/>
  <c r="K82" i="11"/>
  <c r="K47" i="11"/>
  <c r="K86" i="11" s="1"/>
  <c r="L97" i="11"/>
  <c r="L68" i="11"/>
  <c r="L105" i="11" s="1"/>
  <c r="K97" i="11"/>
  <c r="K68" i="11"/>
  <c r="K105" i="11" s="1"/>
  <c r="AE80" i="26"/>
  <c r="AD80" i="26"/>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R10" i="11" s="1"/>
  <c r="T90" i="6"/>
  <c r="AC90" i="6" s="1"/>
  <c r="J90" i="6" s="1"/>
  <c r="J70" i="11" s="1"/>
  <c r="V90" i="6"/>
  <c r="AG90" i="6" s="1"/>
  <c r="U90" i="6"/>
  <c r="S90" i="6"/>
  <c r="R90" i="6"/>
  <c r="Q90" i="6"/>
  <c r="W90" i="6"/>
  <c r="P90" i="6"/>
  <c r="V85" i="6"/>
  <c r="U85" i="6"/>
  <c r="W85" i="6"/>
  <c r="R85" i="6"/>
  <c r="P85" i="6"/>
  <c r="AD85" i="6" s="1"/>
  <c r="T85" i="6"/>
  <c r="AC85" i="6" s="1"/>
  <c r="J85" i="6" s="1"/>
  <c r="J69" i="11" s="1"/>
  <c r="Q85" i="6"/>
  <c r="AE85" i="6" s="1"/>
  <c r="S85" i="6"/>
  <c r="AF90" i="6" l="1"/>
  <c r="M70" i="11" s="1"/>
  <c r="M107" i="11" s="1"/>
  <c r="T10" i="11"/>
  <c r="T18" i="11" s="1"/>
  <c r="U10" i="11"/>
  <c r="U18" i="11" s="1"/>
  <c r="R11" i="11"/>
  <c r="V10" i="11"/>
  <c r="V18" i="11" s="1"/>
  <c r="S10" i="11"/>
  <c r="S18" i="11" s="1"/>
  <c r="U15" i="11"/>
  <c r="U23" i="11" s="1"/>
  <c r="V15" i="11"/>
  <c r="V23" i="11" s="1"/>
  <c r="S15" i="11"/>
  <c r="S23" i="11" s="1"/>
  <c r="R16" i="11"/>
  <c r="T15" i="11"/>
  <c r="T23" i="11" s="1"/>
  <c r="H107" i="11"/>
  <c r="N70" i="11"/>
  <c r="N107" i="11" s="1"/>
  <c r="Y90" i="26"/>
  <c r="AB90" i="26"/>
  <c r="AA90" i="26"/>
  <c r="Z90" i="26"/>
  <c r="L83" i="11"/>
  <c r="L48" i="11"/>
  <c r="L87" i="11" s="1"/>
  <c r="L98" i="11"/>
  <c r="L69" i="11"/>
  <c r="L106" i="11" s="1"/>
  <c r="AE90" i="6"/>
  <c r="K83" i="11"/>
  <c r="K48" i="11"/>
  <c r="K87" i="11" s="1"/>
  <c r="K98" i="11"/>
  <c r="K69" i="11"/>
  <c r="K106" i="11" s="1"/>
  <c r="AD90" i="6"/>
  <c r="AD85" i="26"/>
  <c r="AE85" i="26"/>
  <c r="R18" i="15"/>
  <c r="J106" i="11"/>
  <c r="R19" i="15"/>
  <c r="R21" i="15" s="1"/>
  <c r="J107" i="11"/>
  <c r="J108" i="11" s="1"/>
  <c r="Q18" i="15"/>
  <c r="J88" i="11"/>
  <c r="I90" i="6"/>
  <c r="I70" i="11" s="1"/>
  <c r="I107" i="11" s="1"/>
  <c r="E50" i="11"/>
  <c r="E89" i="11" s="1"/>
  <c r="Q90" i="26"/>
  <c r="R90" i="26"/>
  <c r="U90" i="26"/>
  <c r="P90" i="26"/>
  <c r="T90" i="26"/>
  <c r="AC90" i="26" s="1"/>
  <c r="J90" i="26" s="1"/>
  <c r="J50" i="11" s="1"/>
  <c r="W90" i="26"/>
  <c r="V90" i="26"/>
  <c r="S90" i="26"/>
  <c r="AF90" i="26" l="1"/>
  <c r="M50" i="11" s="1"/>
  <c r="M89" i="11" s="1"/>
  <c r="AG90" i="26"/>
  <c r="N50" i="11" s="1"/>
  <c r="N89" i="11" s="1"/>
  <c r="R12" i="11"/>
  <c r="V11" i="11"/>
  <c r="V19" i="11" s="1"/>
  <c r="S11" i="11"/>
  <c r="S19" i="11" s="1"/>
  <c r="U11" i="11"/>
  <c r="U19" i="11" s="1"/>
  <c r="T11" i="11"/>
  <c r="T19" i="11" s="1"/>
  <c r="R17" i="11"/>
  <c r="S16" i="11"/>
  <c r="S24" i="11" s="1"/>
  <c r="T16" i="11"/>
  <c r="T24" i="11" s="1"/>
  <c r="U16" i="11"/>
  <c r="U24" i="11" s="1"/>
  <c r="V16" i="11"/>
  <c r="V24" i="11" s="1"/>
  <c r="AE90" i="26"/>
  <c r="L50" i="11" s="1"/>
  <c r="L89" i="11" s="1"/>
  <c r="K84" i="11"/>
  <c r="K49" i="11"/>
  <c r="K88" i="11" s="1"/>
  <c r="L99" i="11"/>
  <c r="L70" i="11"/>
  <c r="L107" i="11" s="1"/>
  <c r="L108" i="11" s="1"/>
  <c r="L85" i="11"/>
  <c r="L84" i="11"/>
  <c r="L49" i="11"/>
  <c r="L88" i="11" s="1"/>
  <c r="AD90" i="26"/>
  <c r="K99" i="11"/>
  <c r="K70" i="11"/>
  <c r="K107" i="11" s="1"/>
  <c r="K108" i="11" s="1"/>
  <c r="R20" i="15"/>
  <c r="AW9" i="15"/>
  <c r="Q19" i="15"/>
  <c r="AW8" i="15" s="1"/>
  <c r="J89" i="11"/>
  <c r="U17" i="11" l="1"/>
  <c r="U25" i="11" s="1"/>
  <c r="V17" i="11"/>
  <c r="V25" i="11" s="1"/>
  <c r="S17" i="11"/>
  <c r="S25" i="11" s="1"/>
  <c r="T17" i="11"/>
  <c r="T25" i="11" s="1"/>
  <c r="S12" i="11"/>
  <c r="S20" i="11" s="1"/>
  <c r="R13" i="11"/>
  <c r="T12" i="11"/>
  <c r="T20" i="11" s="1"/>
  <c r="U12" i="11"/>
  <c r="U20" i="11" s="1"/>
  <c r="V12" i="11"/>
  <c r="V20" i="11" s="1"/>
  <c r="K85" i="11"/>
  <c r="K50" i="11"/>
  <c r="K89" i="11" s="1"/>
  <c r="Q20" i="15"/>
  <c r="Q21" i="15"/>
  <c r="V13" i="11" l="1"/>
  <c r="V21" i="11" s="1"/>
  <c r="U13" i="11"/>
  <c r="U21" i="11" s="1"/>
  <c r="S13" i="11"/>
  <c r="S21" i="11" s="1"/>
  <c r="T13" i="11"/>
  <c r="T21" i="11" s="1"/>
</calcChain>
</file>

<file path=xl/sharedStrings.xml><?xml version="1.0" encoding="utf-8"?>
<sst xmlns="http://schemas.openxmlformats.org/spreadsheetml/2006/main" count="2748" uniqueCount="656">
  <si>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</si>
  <si>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</si>
  <si>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</si>
  <si>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</si>
  <si>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</si>
  <si>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</si>
  <si>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</si>
  <si>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</si>
  <si>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</si>
  <si>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</si>
  <si>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</si>
  <si>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</si>
  <si>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</si>
  <si>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</si>
  <si>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</si>
  <si>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</si>
  <si>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</si>
  <si>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</si>
  <si>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</si>
  <si>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</si>
  <si>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</si>
  <si>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</si>
  <si>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</si>
  <si>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</si>
  <si>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</si>
  <si>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</si>
  <si>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</si>
  <si>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</si>
  <si>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</si>
  <si>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</si>
  <si>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</si>
  <si>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</si>
  <si>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</si>
  <si>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</si>
  <si>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</si>
  <si>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</si>
  <si>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</si>
  <si>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</si>
  <si>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</si>
  <si>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</si>
  <si>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</si>
  <si>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</si>
  <si>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</si>
  <si>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</si>
  <si>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</si>
  <si>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</si>
  <si>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</si>
  <si>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</si>
  <si>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</si>
  <si>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</si>
  <si>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</si>
  <si>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</si>
  <si>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</si>
  <si>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</si>
  <si>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</si>
  <si>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</si>
  <si>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</si>
  <si>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</si>
  <si>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</si>
  <si>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</si>
  <si>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</si>
  <si>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</si>
  <si>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</si>
  <si>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</si>
  <si>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</si>
  <si>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</si>
  <si>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</si>
  <si>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</si>
  <si>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</si>
  <si>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</si>
  <si>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</si>
  <si>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</si>
  <si>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</si>
  <si>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</si>
  <si>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</si>
  <si>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</si>
  <si>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</si>
  <si>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</si>
  <si>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</si>
  <si>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</si>
  <si>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</si>
  <si>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</si>
  <si>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</si>
  <si>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</si>
  <si>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</si>
  <si>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</si>
  <si>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</si>
  <si>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</si>
  <si>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</si>
  <si>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</si>
  <si>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</si>
  <si>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</si>
  <si>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</si>
  <si>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</si>
  <si>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</si>
  <si>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</si>
  <si>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</si>
  <si>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</si>
  <si>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</si>
  <si>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</si>
  <si>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</si>
  <si>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</si>
  <si>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</si>
  <si>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</si>
  <si>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</si>
  <si>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</si>
  <si>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</si>
  <si>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</si>
  <si>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</si>
  <si>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</si>
  <si>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</si>
  <si>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</si>
  <si>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</si>
  <si>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</si>
  <si>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</si>
  <si>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</si>
  <si>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</si>
  <si>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</si>
  <si>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</si>
  <si>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</si>
  <si>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</si>
  <si>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</si>
  <si>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</si>
  <si>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</si>
  <si>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</si>
  <si>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</si>
  <si>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</si>
  <si>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</si>
  <si>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</si>
  <si>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</si>
  <si>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</si>
  <si>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</si>
  <si>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</si>
  <si>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</si>
  <si>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</si>
  <si>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</si>
  <si>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</si>
  <si>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</si>
  <si>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</si>
  <si>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</si>
  <si>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</si>
  <si>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</si>
  <si>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</si>
  <si>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</si>
  <si>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</si>
  <si>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</si>
  <si>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</si>
  <si>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</si>
  <si>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</si>
  <si>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</si>
  <si>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</si>
  <si>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</si>
  <si>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</si>
  <si>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</si>
  <si>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</si>
  <si>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</si>
  <si>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</si>
  <si>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</si>
  <si>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</si>
  <si>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</si>
  <si>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</si>
  <si>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</si>
  <si>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</si>
  <si>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</si>
  <si>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</si>
  <si>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</si>
  <si>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</si>
  <si>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</si>
  <si>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</si>
  <si>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</si>
  <si>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</si>
  <si>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</si>
  <si>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</si>
  <si>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</si>
  <si>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</si>
  <si>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</si>
  <si>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</si>
  <si>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</si>
  <si>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</si>
  <si>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</si>
  <si>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</si>
  <si>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</si>
  <si>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</si>
  <si>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</si>
  <si>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</si>
  <si>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</si>
  <si>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</si>
  <si>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</si>
  <si>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</si>
  <si>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</si>
  <si>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</si>
  <si>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</si>
  <si>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</si>
  <si>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</si>
  <si>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</si>
  <si>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</si>
  <si>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</si>
  <si>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</si>
  <si>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</si>
  <si>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</si>
  <si>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</si>
  <si>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</si>
  <si>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</si>
  <si>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</si>
  <si>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</si>
  <si>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</si>
  <si>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</si>
  <si>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</si>
  <si>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</si>
  <si>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</si>
  <si>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</si>
  <si>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</si>
  <si>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</si>
  <si>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</si>
  <si>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</si>
  <si>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</si>
  <si>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</si>
  <si>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</si>
  <si>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</si>
  <si>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</si>
  <si>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</si>
  <si>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</si>
  <si>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</si>
  <si>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</si>
  <si>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</si>
  <si>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</si>
  <si>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</si>
  <si>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</si>
  <si>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</si>
  <si>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</si>
  <si>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</si>
  <si>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</si>
  <si>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</si>
  <si>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</si>
  <si>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</si>
  <si>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</si>
  <si>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</si>
  <si>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</si>
  <si>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</si>
  <si>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</si>
  <si>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</si>
  <si>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</si>
  <si>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</si>
  <si>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</si>
  <si>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</si>
  <si>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</si>
  <si>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</si>
  <si>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</si>
  <si>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</si>
  <si>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</si>
  <si>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</si>
  <si>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</si>
  <si>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</si>
  <si>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</si>
  <si>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</si>
  <si>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</si>
  <si>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</si>
  <si>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</si>
  <si>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</si>
  <si>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</si>
  <si>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</si>
  <si>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</si>
  <si>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</si>
  <si>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</si>
  <si>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</si>
  <si>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</si>
  <si>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</si>
  <si>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</si>
  <si>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</si>
  <si>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</si>
  <si>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</si>
  <si>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</si>
  <si>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</si>
  <si>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</si>
  <si>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</si>
  <si>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</si>
  <si>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</si>
  <si>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</si>
  <si>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</si>
  <si>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</si>
  <si>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</si>
  <si>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</si>
  <si>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</si>
  <si>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</si>
  <si>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</si>
  <si>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</si>
  <si>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</si>
  <si>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</si>
  <si>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</si>
  <si>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</si>
  <si>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</si>
  <si>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</si>
  <si>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</si>
  <si>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</si>
  <si>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</si>
  <si>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</si>
  <si>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</si>
  <si>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</si>
  <si>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</si>
  <si>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</si>
  <si>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</si>
  <si>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</si>
  <si>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</si>
  <si>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</si>
  <si>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</si>
  <si>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</si>
  <si>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</si>
  <si>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</si>
  <si>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</si>
  <si>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</si>
  <si>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</si>
  <si>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</si>
  <si>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</si>
  <si>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</si>
  <si>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</si>
  <si>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</si>
  <si>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</si>
  <si>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</si>
  <si>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</si>
  <si>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</si>
  <si>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</si>
  <si>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</si>
  <si>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</si>
  <si>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</si>
  <si>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</si>
  <si>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</si>
  <si>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</si>
  <si>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</si>
  <si>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</si>
  <si>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</si>
  <si>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</si>
  <si>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</si>
  <si>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</si>
  <si>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</si>
  <si>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</si>
  <si>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</si>
  <si>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</si>
  <si>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</si>
  <si>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</si>
  <si>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</si>
  <si>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</si>
  <si>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</si>
  <si>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</si>
  <si>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</si>
  <si>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</si>
  <si>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</si>
  <si>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</si>
  <si>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</si>
  <si>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</si>
  <si>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</si>
  <si>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</si>
  <si>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</si>
  <si>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</si>
  <si>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</si>
  <si>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</si>
  <si>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</si>
  <si>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</si>
  <si>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</si>
  <si>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</si>
  <si>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</si>
  <si>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</si>
  <si>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</si>
  <si>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</si>
  <si>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</si>
  <si>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</si>
  <si>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</si>
  <si>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</si>
  <si>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</si>
  <si>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</si>
  <si>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</si>
  <si>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</si>
  <si>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</si>
  <si>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</si>
  <si>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</si>
  <si>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</si>
  <si>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</si>
  <si>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</si>
  <si>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</si>
  <si>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</si>
  <si>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</si>
  <si>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</si>
  <si>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</si>
  <si>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</si>
  <si>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</si>
  <si>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</si>
  <si>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</si>
  <si>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</si>
  <si>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</si>
  <si>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</si>
  <si>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</si>
  <si>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</si>
  <si>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</si>
  <si>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</si>
  <si>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</si>
  <si>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</si>
  <si>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</si>
  <si>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</si>
  <si>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</si>
  <si>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</si>
  <si>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</si>
  <si>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</si>
  <si>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</si>
  <si>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</si>
  <si>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</si>
  <si>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</si>
  <si>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</si>
  <si>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</si>
  <si>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</si>
  <si>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</si>
  <si>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</si>
  <si>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</si>
  <si>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</si>
  <si>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</si>
  <si>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</si>
  <si>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</si>
  <si>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</si>
  <si>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</si>
  <si>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</si>
  <si>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</si>
  <si>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</si>
  <si>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</si>
  <si>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</si>
  <si>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</si>
  <si>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</si>
  <si>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</si>
  <si>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</si>
  <si>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</si>
  <si>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</si>
  <si>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</si>
  <si>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</si>
  <si>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</si>
  <si>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</si>
  <si>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</si>
  <si>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</si>
  <si>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</si>
  <si>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</si>
  <si>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</si>
  <si>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</si>
  <si>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</si>
  <si>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</si>
  <si>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</si>
  <si>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</si>
  <si>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WECC mix: CO, WA, OR, NV</t>
  </si>
  <si>
    <t>Renewable energy projections</t>
  </si>
  <si>
    <t>Detailed Results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</si>
  <si>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</si>
  <si>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</si>
  <si>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</si>
  <si>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</si>
  <si>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</si>
  <si>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</si>
  <si>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</si>
  <si>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</si>
  <si>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</si>
  <si>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</si>
  <si>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</si>
  <si>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</si>
  <si>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</si>
  <si>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</si>
  <si>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</si>
  <si>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</si>
  <si>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</si>
  <si>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</si>
  <si>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</si>
  <si>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</si>
  <si>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ZEV VMT</t>
  </si>
  <si>
    <t>reductions from EPA Rule baseline (reductions from BAU scenario):</t>
  </si>
  <si>
    <t>% Reduction From CARB Baseline</t>
  </si>
  <si>
    <t>grams/mmBtu</t>
  </si>
  <si>
    <t>WTW PM2.5</t>
  </si>
  <si>
    <t>WTW NOx</t>
  </si>
  <si>
    <t>GREET gasoline refining emission factors</t>
  </si>
  <si>
    <t>eGRID emissions rates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</si>
  <si>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</si>
  <si>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</si>
  <si>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</si>
  <si>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</si>
  <si>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</si>
  <si>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</si>
  <si>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</si>
  <si>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</si>
  <si>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</si>
  <si>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</si>
  <si>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</si>
  <si>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</si>
  <si>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</si>
  <si>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</si>
  <si>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</si>
  <si>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</si>
  <si>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</si>
  <si>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</si>
  <si>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</si>
  <si>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</si>
  <si>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</si>
  <si>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</si>
  <si>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</si>
  <si>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</si>
  <si>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</si>
  <si>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</si>
  <si>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</si>
  <si>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</si>
  <si>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Detailed Petroleum sector estimates, 2040</t>
  </si>
  <si>
    <t>MY2027</t>
  </si>
  <si>
    <t>MY2026 benefit</t>
  </si>
  <si>
    <t>MY2027 benefit</t>
  </si>
  <si>
    <t>tons/year</t>
  </si>
  <si>
    <t>displaced gasoline energy</t>
  </si>
  <si>
    <t>mmBtu</t>
  </si>
  <si>
    <t>CO2 total</t>
  </si>
  <si>
    <t>State County-scale VMT by fueltype:</t>
  </si>
  <si>
    <t>stateID</t>
  </si>
  <si>
    <t>fuelTypeID</t>
  </si>
  <si>
    <t>Total VMT</t>
  </si>
  <si>
    <t>ZEV fraction</t>
  </si>
  <si>
    <t>State MOVES output ZEV VMT fraction by year (interpolated):</t>
  </si>
  <si>
    <t>2020 ZEV population estimate calculated from MOVES input ZEV fractions:</t>
  </si>
  <si>
    <t>2021 ZEV population estimate calculated from MOVES input ZEV fractions:</t>
  </si>
  <si>
    <t>Yes</t>
  </si>
  <si>
    <t>Tank-to Wheel (Vehicle) PM2.5 Emissions by Scenario (short tons per year), 2025-2040</t>
  </si>
  <si>
    <t>Tank-to Wheel (Vehicle) NOx Emissions by Scenario (short tons per year), 2025-2040</t>
  </si>
  <si>
    <t>Transportation Use: MRO Mix</t>
  </si>
  <si>
    <t>MRO overall emissions rates</t>
  </si>
  <si>
    <t>Fossil mix:</t>
  </si>
  <si>
    <t>eGRID</t>
  </si>
  <si>
    <t>MRO Regional Power Sources</t>
  </si>
  <si>
    <t>MRO Mix</t>
  </si>
  <si>
    <t>Minnesota renewable energy projections</t>
  </si>
  <si>
    <t>provided file "SEDS MN percent renewable.xlsx" does not include future projections</t>
  </si>
  <si>
    <t>Scenario</t>
  </si>
  <si>
    <t>Reference</t>
  </si>
  <si>
    <t>80x50</t>
  </si>
  <si>
    <t>100x50</t>
  </si>
  <si>
    <t>MN_Transportation Pathways_Assumptions_2019-06-28.xlsx projects a 13.6% improvement in grid carbon intensity, 2025+ (Reference scenario)</t>
  </si>
  <si>
    <t>eGRID and MN Transportation Pathways</t>
  </si>
  <si>
    <t>eGRID zero-emissions fraction (2020):  54.1%</t>
  </si>
  <si>
    <t>4. State Resource Mix (eGRID2020)</t>
  </si>
  <si>
    <t>Nameplate Capacity (MW)</t>
  </si>
  <si>
    <t>Net Generation (MWh)</t>
  </si>
  <si>
    <t>Generation Resource Mix (percent)*</t>
  </si>
  <si>
    <t>% fossil</t>
  </si>
  <si>
    <t>Oil</t>
  </si>
  <si>
    <t>Gas</t>
  </si>
  <si>
    <t>Other Fossil</t>
  </si>
  <si>
    <t>Nuclear</t>
  </si>
  <si>
    <t>Hydro</t>
  </si>
  <si>
    <t>Wind</t>
  </si>
  <si>
    <t>Solar</t>
  </si>
  <si>
    <t>Geo- thermal</t>
  </si>
  <si>
    <t>MN</t>
  </si>
  <si>
    <t xml:space="preserve">Other </t>
  </si>
  <si>
    <t>MRO Trans. Mix g/mmBtu if all fossil</t>
  </si>
  <si>
    <t>from "Output formatting 27 MN.xlsx"</t>
  </si>
  <si>
    <t>2020 and 2021 BAU counts from "ev_counts_NESCAUM_202101.csv" and "ev_counts_NESCAUM_202112.csv"</t>
  </si>
  <si>
    <t>Note: Atlas values in "Comparison of Counts …xlsx" are lower (13068 and 19222)</t>
  </si>
  <si>
    <t>3. State Output Emission Rates (eGRID2020)</t>
  </si>
  <si>
    <t>Total output emission rates</t>
  </si>
  <si>
    <t>(lb/MWh)</t>
  </si>
  <si>
    <r>
      <t>CO</t>
    </r>
    <r>
      <rPr>
        <b/>
        <vertAlign val="subscript"/>
        <sz val="8.5"/>
        <color theme="1"/>
        <rFont val="Arial"/>
        <family val="2"/>
      </rPr>
      <t>2</t>
    </r>
  </si>
  <si>
    <r>
      <t>CH</t>
    </r>
    <r>
      <rPr>
        <b/>
        <vertAlign val="subscript"/>
        <sz val="8.5"/>
        <color theme="1"/>
        <rFont val="Arial"/>
        <family val="2"/>
      </rPr>
      <t>4</t>
    </r>
  </si>
  <si>
    <r>
      <t>N</t>
    </r>
    <r>
      <rPr>
        <b/>
        <vertAlign val="subscript"/>
        <sz val="8.5"/>
        <color theme="1"/>
        <rFont val="Arial"/>
        <family val="2"/>
      </rPr>
      <t>2</t>
    </r>
    <r>
      <rPr>
        <b/>
        <sz val="8.5"/>
        <color theme="1"/>
        <rFont val="Arial"/>
        <family val="2"/>
      </rPr>
      <t>O</t>
    </r>
  </si>
  <si>
    <r>
      <t>Annual NO</t>
    </r>
    <r>
      <rPr>
        <b/>
        <vertAlign val="subscript"/>
        <sz val="8.5"/>
        <color theme="1"/>
        <rFont val="Arial"/>
        <family val="2"/>
      </rPr>
      <t>X</t>
    </r>
  </si>
  <si>
    <r>
      <t>SO</t>
    </r>
    <r>
      <rPr>
        <b/>
        <vertAlign val="subscript"/>
        <sz val="8.5"/>
        <color theme="1"/>
        <rFont val="Arial"/>
        <family val="2"/>
      </rPr>
      <t>2</t>
    </r>
  </si>
  <si>
    <t>CO</t>
  </si>
  <si>
    <t>ME</t>
  </si>
  <si>
    <t>NJ</t>
  </si>
  <si>
    <t>NM</t>
  </si>
  <si>
    <t>RI</t>
  </si>
  <si>
    <t>VA</t>
  </si>
  <si>
    <t>U.S.</t>
  </si>
  <si>
    <t>rates in gm/mmBtu</t>
  </si>
  <si>
    <t>1 mmBtu=</t>
  </si>
  <si>
    <t>MWh</t>
  </si>
  <si>
    <t>(gm/mmBtu)</t>
  </si>
  <si>
    <t>one pound =</t>
  </si>
  <si>
    <t>MRO mix:  MN</t>
  </si>
  <si>
    <t>Cases</t>
  </si>
  <si>
    <t>Acute Bronchitis</t>
  </si>
  <si>
    <t>Acute Myocardial Infarction, Nonfatal (high)</t>
  </si>
  <si>
    <t>Acute Myocardial Infarction, Nonfatal (low)</t>
  </si>
  <si>
    <t>Asthma Exacerbation, Cough</t>
  </si>
  <si>
    <t>Asthma Exacerbation, Shortness of Breath</t>
  </si>
  <si>
    <t>Asthma Exacerbation, Wheeze</t>
  </si>
  <si>
    <t>Emergency Room Visits, Asthma</t>
  </si>
  <si>
    <t>HA, All Cardiovascular (less Myocardial Infarctions)</t>
  </si>
  <si>
    <t>HA, All Respiratory</t>
  </si>
  <si>
    <t>HA, Asthma</t>
  </si>
  <si>
    <t>HA, Chronic Lung Disease</t>
  </si>
  <si>
    <t>Lower Respiratory Symptoms</t>
  </si>
  <si>
    <t>Minor Restricted Activity Days</t>
  </si>
  <si>
    <t>Mortality, All Cause (low)</t>
  </si>
  <si>
    <t>Mortality, All Cause (high)</t>
  </si>
  <si>
    <t>Infant Mortality</t>
  </si>
  <si>
    <t>Upper Respiratory Symptoms</t>
  </si>
  <si>
    <t>Work Loss Days</t>
  </si>
  <si>
    <t>Minnesota_Vehicles_3_instate</t>
  </si>
  <si>
    <t>Minnesota_Vehicles_7_instate</t>
  </si>
  <si>
    <t>Minnesota_EGU_3_instate</t>
  </si>
  <si>
    <t>Minnesota_EGU_7_instate</t>
  </si>
  <si>
    <t>Minnesota_REF_3_instate</t>
  </si>
  <si>
    <t>Minnesota_REF_7_instate</t>
  </si>
  <si>
    <t>Minnesota_STR_3_instate</t>
  </si>
  <si>
    <t>Minnesota_STR_7_instate</t>
  </si>
  <si>
    <t>Minnesota_TRN_3_instate</t>
  </si>
  <si>
    <t>Minnesota_TRN_7_instate</t>
  </si>
  <si>
    <t>Minnesota_Vehicles_3_outstate</t>
  </si>
  <si>
    <t>Minnesota_Vehicles_7_outstate</t>
  </si>
  <si>
    <t>Minnesota_EGU_3_outstate</t>
  </si>
  <si>
    <t>Minnesota_EGU_7_outstate</t>
  </si>
  <si>
    <t>Minnesota_REF_3_outstate</t>
  </si>
  <si>
    <t>Minnesota_REF_7_outstate</t>
  </si>
  <si>
    <t>Minnesota_STR_3_outstate</t>
  </si>
  <si>
    <t>Minnesota_STR_7_outstate</t>
  </si>
  <si>
    <t>Minnesota_TRN_3_outstate</t>
  </si>
  <si>
    <t>Minnesota_TRN_7_outstate</t>
  </si>
  <si>
    <t>Costs</t>
  </si>
  <si>
    <t>low_end_cost</t>
  </si>
  <si>
    <t>high_end_cost</t>
  </si>
  <si>
    <t>avg_cost</t>
  </si>
  <si>
    <t>$ Acute Bronchitis</t>
  </si>
  <si>
    <t>$ Acute Myocardial Infarction, Nonfatal (high)</t>
  </si>
  <si>
    <t>$ Acute Myocardial Infarction, Nonfatal (low)</t>
  </si>
  <si>
    <t>$ Asthma Exacerbation</t>
  </si>
  <si>
    <t>$ Emergency Room Visits, Asthma</t>
  </si>
  <si>
    <t>$ CVD Hosp. Adm.</t>
  </si>
  <si>
    <t>$ Resp. Hosp. Adm.</t>
  </si>
  <si>
    <t>$ Lower Respiratory Symptoms</t>
  </si>
  <si>
    <t>$ Minor Restricted Activity Days</t>
  </si>
  <si>
    <t>$ Mortality, All Cause (low)</t>
  </si>
  <si>
    <t>$ Mortality, All Cause (high)</t>
  </si>
  <si>
    <t>$ Infant Mortality</t>
  </si>
  <si>
    <t>$ Upper Respiratory Symptoms</t>
  </si>
  <si>
    <t>$ Work Loss Days</t>
  </si>
  <si>
    <t>Net cost summary</t>
  </si>
  <si>
    <t>In-state benefit</t>
  </si>
  <si>
    <t>Out-of-state benefit</t>
  </si>
  <si>
    <t>In-state burden</t>
  </si>
  <si>
    <t>Out-of-state burden</t>
  </si>
  <si>
    <t>Net benefit/burden</t>
  </si>
  <si>
    <t>(units:  Million $)</t>
  </si>
  <si>
    <t>(3% discount rate)</t>
  </si>
  <si>
    <t>2027 Implementation</t>
  </si>
  <si>
    <t>Total LDV Population</t>
  </si>
  <si>
    <t>BAU ZEVs</t>
  </si>
  <si>
    <t>ACC II ZEVs</t>
  </si>
  <si>
    <t>BAU ZEV Sales</t>
  </si>
  <si>
    <t>ACC II ZEV Sales</t>
  </si>
  <si>
    <t>N/A</t>
  </si>
  <si>
    <t>compliance flexibilities, 2026-2030</t>
  </si>
  <si>
    <t>Detailed COBRA modeling results (Vehicles = light duty vehicles, EGU = electric generation, REF = petroleum refining, STR = petroleum storage, TRN = petroleum transport)</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</si>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</sst>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 numFmtId="173" formatCode="#,##0.0"/>
  </numFmts>
  <fonts count="5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b/>
      <sz val="12"/>
      <color theme="1"/>
      <name val="Arial"/>
      <family val="2"/>
    </font>
    <font>
      <sz val="11"/>
      <color theme="1"/>
      <name val="Arial"/>
      <family val="2"/>
    </font>
    <font>
      <b/>
      <sz val="8.5"/>
      <color theme="1"/>
      <name val="Arial"/>
      <family val="2"/>
    </font>
    <font>
      <b/>
      <vertAlign val="subscript"/>
      <sz val="8.5"/>
      <color theme="1"/>
      <name val="Arial"/>
      <family val="2"/>
    </font>
    <font>
      <sz val="8.5"/>
      <color theme="1"/>
      <name val="Arial"/>
      <family val="2"/>
    </font>
    <font>
      <b/>
      <sz val="11"/>
      <color theme="1"/>
      <name val="Arial"/>
      <family val="2"/>
    </font>
    <font>
      <sz val="8"/>
      <color theme="1"/>
      <name val="Arial"/>
      <family val="2"/>
    </font>
    <font>
      <sz val="10"/>
      <color rgb="FF000000"/>
      <name val="Segoe UI"/>
      <family val="2"/>
    </font>
    <font>
      <sz val="11"/>
      <color rgb="FF000000"/>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EBF1DE"/>
        <bgColor indexed="64"/>
      </patternFill>
    </fill>
    <fill>
      <patternFill patternType="solid">
        <fgColor rgb="FFE6E6E6"/>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auto="1"/>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ck">
        <color auto="1"/>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auto="1"/>
      </right>
      <top style="thick">
        <color indexed="64"/>
      </top>
      <bottom style="thick">
        <color indexed="64"/>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30">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35" fillId="0" borderId="0" xfId="0"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3" fillId="0" borderId="0" xfId="0" applyNumberFormat="1" applyFont="1"/>
    <xf numFmtId="0" fontId="43"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3" fillId="0" borderId="13" xfId="0" applyNumberFormat="1" applyFont="1" applyBorder="1"/>
    <xf numFmtId="167" fontId="14" fillId="0" borderId="0" xfId="0" applyNumberFormat="1" applyFont="1"/>
    <xf numFmtId="0" fontId="45" fillId="0" borderId="0" xfId="0" applyFont="1"/>
    <xf numFmtId="10" fontId="45"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6"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5" fillId="0" borderId="24" xfId="0" applyNumberFormat="1" applyFont="1" applyBorder="1"/>
    <xf numFmtId="166" fontId="45" fillId="0" borderId="0" xfId="0" applyNumberFormat="1" applyFont="1"/>
    <xf numFmtId="1" fontId="45" fillId="0" borderId="0" xfId="0" applyNumberFormat="1" applyFont="1"/>
    <xf numFmtId="0" fontId="47" fillId="0" borderId="0" xfId="0" applyFont="1"/>
    <xf numFmtId="0" fontId="17" fillId="40" borderId="0" xfId="0" applyFont="1" applyFill="1"/>
    <xf numFmtId="0" fontId="0" fillId="40" borderId="0" xfId="0" applyFill="1"/>
    <xf numFmtId="3" fontId="48"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49" fillId="0" borderId="24" xfId="0" applyFont="1" applyBorder="1"/>
    <xf numFmtId="0" fontId="49" fillId="0" borderId="0" xfId="0" applyFont="1"/>
    <xf numFmtId="166" fontId="43" fillId="0" borderId="24" xfId="0" applyNumberFormat="1" applyFont="1" applyBorder="1"/>
    <xf numFmtId="166" fontId="43"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166" fontId="0" fillId="33" borderId="0" xfId="0" applyNumberFormat="1" applyFill="1"/>
    <xf numFmtId="1" fontId="0" fillId="33" borderId="0" xfId="0" applyNumberFormat="1" applyFill="1"/>
    <xf numFmtId="0" fontId="0" fillId="0" borderId="0" xfId="0" applyAlignment="1">
      <alignment wrapText="1"/>
    </xf>
    <xf numFmtId="1" fontId="21" fillId="0" borderId="0" xfId="0" applyNumberFormat="1" applyFont="1" applyAlignment="1">
      <alignment horizontal="right"/>
    </xf>
    <xf numFmtId="1" fontId="21" fillId="33" borderId="0" xfId="0" applyNumberFormat="1" applyFont="1" applyFill="1"/>
    <xf numFmtId="9" fontId="21" fillId="0" borderId="0" xfId="42" applyFont="1"/>
    <xf numFmtId="16" fontId="14" fillId="0" borderId="0" xfId="0" applyNumberFormat="1" applyFont="1" applyAlignment="1">
      <alignment horizontal="left"/>
    </xf>
    <xf numFmtId="0" fontId="16" fillId="0" borderId="10" xfId="0" applyFont="1" applyBorder="1" applyAlignment="1">
      <alignment horizontal="center" vertical="top"/>
    </xf>
    <xf numFmtId="0" fontId="16" fillId="0" borderId="10" xfId="0" applyFont="1" applyBorder="1" applyAlignment="1">
      <alignment wrapText="1"/>
    </xf>
    <xf numFmtId="0" fontId="51" fillId="0" borderId="0" xfId="0" applyFont="1"/>
    <xf numFmtId="173" fontId="52" fillId="43" borderId="10" xfId="0" applyNumberFormat="1" applyFont="1" applyFill="1" applyBorder="1" applyAlignment="1">
      <alignment horizontal="center" vertical="center" wrapText="1"/>
    </xf>
    <xf numFmtId="165" fontId="52" fillId="43" borderId="10" xfId="0" applyNumberFormat="1" applyFont="1" applyFill="1" applyBorder="1" applyAlignment="1">
      <alignment horizontal="center" vertical="center" wrapText="1"/>
    </xf>
    <xf numFmtId="173" fontId="52" fillId="43" borderId="42" xfId="0" applyNumberFormat="1" applyFont="1" applyFill="1" applyBorder="1" applyAlignment="1">
      <alignment horizontal="center" vertical="center" wrapText="1"/>
    </xf>
    <xf numFmtId="0" fontId="54" fillId="0" borderId="40" xfId="0" applyFont="1" applyBorder="1"/>
    <xf numFmtId="173" fontId="54" fillId="0" borderId="10" xfId="0" applyNumberFormat="1" applyFont="1" applyBorder="1"/>
    <xf numFmtId="165" fontId="54" fillId="0" borderId="10" xfId="0" applyNumberFormat="1" applyFont="1" applyBorder="1"/>
    <xf numFmtId="173" fontId="54" fillId="0" borderId="42" xfId="0" applyNumberFormat="1" applyFont="1" applyBorder="1"/>
    <xf numFmtId="0" fontId="52" fillId="0" borderId="43" xfId="0" applyFont="1" applyBorder="1"/>
    <xf numFmtId="173" fontId="52" fillId="0" borderId="44" xfId="0" applyNumberFormat="1" applyFont="1" applyBorder="1"/>
    <xf numFmtId="165" fontId="52" fillId="0" borderId="44" xfId="0" applyNumberFormat="1" applyFont="1" applyBorder="1"/>
    <xf numFmtId="173" fontId="52" fillId="0" borderId="45" xfId="0" applyNumberFormat="1" applyFont="1" applyBorder="1"/>
    <xf numFmtId="0" fontId="55" fillId="0" borderId="0" xfId="0" applyFont="1"/>
    <xf numFmtId="173" fontId="51" fillId="0" borderId="0" xfId="0" applyNumberFormat="1" applyFont="1"/>
    <xf numFmtId="165" fontId="51" fillId="0" borderId="0" xfId="0" applyNumberFormat="1" applyFont="1"/>
    <xf numFmtId="14" fontId="56" fillId="0" borderId="0" xfId="0" applyNumberFormat="1" applyFont="1" applyAlignment="1">
      <alignment horizontal="center"/>
    </xf>
    <xf numFmtId="0" fontId="57" fillId="42" borderId="46" xfId="0" applyFont="1" applyFill="1" applyBorder="1" applyAlignment="1">
      <alignment vertical="center" wrapText="1"/>
    </xf>
    <xf numFmtId="0" fontId="57" fillId="42" borderId="47" xfId="0" applyFont="1" applyFill="1" applyBorder="1" applyAlignment="1">
      <alignment vertical="center" wrapText="1"/>
    </xf>
    <xf numFmtId="0" fontId="57" fillId="44" borderId="46" xfId="0" applyFont="1" applyFill="1" applyBorder="1" applyAlignment="1">
      <alignment vertical="center" wrapText="1"/>
    </xf>
    <xf numFmtId="164" fontId="0" fillId="0" borderId="0" xfId="43" applyNumberFormat="1" applyFont="1" applyAlignment="1">
      <alignment horizontal="right" vertical="center"/>
    </xf>
    <xf numFmtId="0" fontId="58" fillId="44" borderId="48" xfId="0" applyFont="1" applyFill="1" applyBorder="1" applyAlignment="1">
      <alignment horizontal="center" vertical="center"/>
    </xf>
    <xf numFmtId="0" fontId="58" fillId="44" borderId="49"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50" fillId="0" borderId="37"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2" fillId="42" borderId="40" xfId="0" applyFont="1" applyFill="1" applyBorder="1" applyAlignment="1">
      <alignment horizontal="center" vertical="center" wrapText="1"/>
    </xf>
    <xf numFmtId="0" fontId="52" fillId="43" borderId="0" xfId="0" applyFont="1" applyFill="1" applyAlignment="1">
      <alignment horizontal="center" vertical="center" wrapText="1"/>
    </xf>
    <xf numFmtId="0" fontId="52" fillId="43" borderId="41" xfId="0" applyFont="1" applyFill="1" applyBorder="1" applyAlignment="1">
      <alignment horizontal="center" vertical="center" wrapText="1"/>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18219.222126253469</c:v>
                </c:pt>
                <c:pt idx="1">
                  <c:v>16395.038854062437</c:v>
                </c:pt>
                <c:pt idx="2">
                  <c:v>14577.122534382108</c:v>
                </c:pt>
                <c:pt idx="3">
                  <c:v>12756.064515293354</c:v>
                </c:pt>
                <c:pt idx="4">
                  <c:v>10930.2163289702</c:v>
                </c:pt>
                <c:pt idx="5">
                  <c:v>9095.8824310909549</c:v>
                </c:pt>
                <c:pt idx="6">
                  <c:v>8393.6522458960007</c:v>
                </c:pt>
                <c:pt idx="7">
                  <c:v>7688.3418756006067</c:v>
                </c:pt>
                <c:pt idx="8">
                  <c:v>6981.2505726105983</c:v>
                </c:pt>
                <c:pt idx="9">
                  <c:v>6272.5293961510506</c:v>
                </c:pt>
                <c:pt idx="10">
                  <c:v>5541.0029064606415</c:v>
                </c:pt>
                <c:pt idx="11">
                  <c:v>5398.133807608383</c:v>
                </c:pt>
                <c:pt idx="12">
                  <c:v>5251.6746038883039</c:v>
                </c:pt>
                <c:pt idx="13">
                  <c:v>5101.1838983661701</c:v>
                </c:pt>
                <c:pt idx="14">
                  <c:v>4947.8825574993352</c:v>
                </c:pt>
                <c:pt idx="15">
                  <c:v>4789.6216184227351</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18219.222126253469</c:v>
                </c:pt>
                <c:pt idx="1">
                  <c:v>16276.044523066308</c:v>
                </c:pt>
                <c:pt idx="2">
                  <c:v>14305.37664535488</c:v>
                </c:pt>
                <c:pt idx="3">
                  <c:v>12332.746354524948</c:v>
                </c:pt>
                <c:pt idx="4">
                  <c:v>10351.153244306599</c:v>
                </c:pt>
                <c:pt idx="5">
                  <c:v>8392.3139891651081</c:v>
                </c:pt>
                <c:pt idx="6">
                  <c:v>7490.3601537215727</c:v>
                </c:pt>
                <c:pt idx="7">
                  <c:v>6589.8317030876824</c:v>
                </c:pt>
                <c:pt idx="8">
                  <c:v>5707.8828929209076</c:v>
                </c:pt>
                <c:pt idx="9">
                  <c:v>4852.3261606985643</c:v>
                </c:pt>
                <c:pt idx="10">
                  <c:v>4019.0133943304149</c:v>
                </c:pt>
                <c:pt idx="11">
                  <c:v>3640.2658865807198</c:v>
                </c:pt>
                <c:pt idx="12">
                  <c:v>3273.4731277894684</c:v>
                </c:pt>
                <c:pt idx="13">
                  <c:v>2919.8534169412965</c:v>
                </c:pt>
                <c:pt idx="14">
                  <c:v>2581.6129438609678</c:v>
                </c:pt>
                <c:pt idx="15">
                  <c:v>2267.4328398965076</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18219.222126253469</c:v>
                </c:pt>
                <c:pt idx="1">
                  <c:v>16395.038854062437</c:v>
                </c:pt>
                <c:pt idx="2">
                  <c:v>14325.067817775855</c:v>
                </c:pt>
                <c:pt idx="3">
                  <c:v>12362.517298791421</c:v>
                </c:pt>
                <c:pt idx="4">
                  <c:v>10390.622775423681</c:v>
                </c:pt>
                <c:pt idx="5">
                  <c:v>8438.5344698519602</c:v>
                </c:pt>
                <c:pt idx="6">
                  <c:v>7547.1669712840358</c:v>
                </c:pt>
                <c:pt idx="7">
                  <c:v>6655.6084398245575</c:v>
                </c:pt>
                <c:pt idx="8">
                  <c:v>5779.990569324741</c:v>
                </c:pt>
                <c:pt idx="9">
                  <c:v>4927.8510777432712</c:v>
                </c:pt>
                <c:pt idx="10">
                  <c:v>4094.4890033545698</c:v>
                </c:pt>
                <c:pt idx="11">
                  <c:v>3720.9785966565964</c:v>
                </c:pt>
                <c:pt idx="12">
                  <c:v>3356.9869929875326</c:v>
                </c:pt>
                <c:pt idx="13">
                  <c:v>3003.9444755240761</c:v>
                </c:pt>
                <c:pt idx="14">
                  <c:v>2663.252538136021</c:v>
                </c:pt>
                <c:pt idx="15">
                  <c:v>2343.4123130299909</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817.11480867686566</c:v>
                </c:pt>
                <c:pt idx="1">
                  <c:v>800.90703245743418</c:v>
                </c:pt>
                <c:pt idx="2">
                  <c:v>784.66573395793182</c:v>
                </c:pt>
                <c:pt idx="3">
                  <c:v>767.6770652097656</c:v>
                </c:pt>
                <c:pt idx="4">
                  <c:v>749.9136659316589</c:v>
                </c:pt>
                <c:pt idx="5">
                  <c:v>728.03391654376264</c:v>
                </c:pt>
                <c:pt idx="6">
                  <c:v>732.82916589452441</c:v>
                </c:pt>
                <c:pt idx="7">
                  <c:v>733.66670178575362</c:v>
                </c:pt>
                <c:pt idx="8">
                  <c:v>733.79467512876681</c:v>
                </c:pt>
                <c:pt idx="9">
                  <c:v>733.29424685363699</c:v>
                </c:pt>
                <c:pt idx="10">
                  <c:v>726.81078914974137</c:v>
                </c:pt>
                <c:pt idx="11">
                  <c:v>731.10693310976683</c:v>
                </c:pt>
                <c:pt idx="12">
                  <c:v>735.05686661666289</c:v>
                </c:pt>
                <c:pt idx="13">
                  <c:v>738.21716247111522</c:v>
                </c:pt>
                <c:pt idx="14">
                  <c:v>741.24777317759947</c:v>
                </c:pt>
                <c:pt idx="15">
                  <c:v>743.49869322216921</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817.11480867686566</c:v>
                </c:pt>
                <c:pt idx="1">
                  <c:v>796.72842618835352</c:v>
                </c:pt>
                <c:pt idx="2">
                  <c:v>774.42993011917895</c:v>
                </c:pt>
                <c:pt idx="3">
                  <c:v>750.28230418797409</c:v>
                </c:pt>
                <c:pt idx="4">
                  <c:v>724.2165337096244</c:v>
                </c:pt>
                <c:pt idx="5">
                  <c:v>693.27818450328084</c:v>
                </c:pt>
                <c:pt idx="6">
                  <c:v>686.38513066854978</c:v>
                </c:pt>
                <c:pt idx="7">
                  <c:v>674.75579018760811</c:v>
                </c:pt>
                <c:pt idx="8">
                  <c:v>661.79556924388532</c:v>
                </c:pt>
                <c:pt idx="9">
                  <c:v>647.78443035108739</c:v>
                </c:pt>
                <c:pt idx="10">
                  <c:v>628.16658294905426</c:v>
                </c:pt>
                <c:pt idx="11">
                  <c:v>618.50322654148158</c:v>
                </c:pt>
                <c:pt idx="12">
                  <c:v>609.9850254601912</c:v>
                </c:pt>
                <c:pt idx="13">
                  <c:v>601.51541196211178</c:v>
                </c:pt>
                <c:pt idx="14">
                  <c:v>594.5279313533448</c:v>
                </c:pt>
                <c:pt idx="15">
                  <c:v>588.13717802585029</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817.11480867686566</c:v>
                </c:pt>
                <c:pt idx="1">
                  <c:v>800.90703245743418</c:v>
                </c:pt>
                <c:pt idx="2">
                  <c:v>775.17163399178446</c:v>
                </c:pt>
                <c:pt idx="3">
                  <c:v>751.50563573597185</c:v>
                </c:pt>
                <c:pt idx="4">
                  <c:v>725.96807648055858</c:v>
                </c:pt>
                <c:pt idx="5">
                  <c:v>695.56144018361988</c:v>
                </c:pt>
                <c:pt idx="6">
                  <c:v>689.30593320717878</c:v>
                </c:pt>
                <c:pt idx="7">
                  <c:v>678.28326550834754</c:v>
                </c:pt>
                <c:pt idx="8">
                  <c:v>665.87270133332038</c:v>
                </c:pt>
                <c:pt idx="9">
                  <c:v>652.33175261923122</c:v>
                </c:pt>
                <c:pt idx="10">
                  <c:v>633.05835879925746</c:v>
                </c:pt>
                <c:pt idx="11">
                  <c:v>623.67343882705643</c:v>
                </c:pt>
                <c:pt idx="12">
                  <c:v>615.26519181767173</c:v>
                </c:pt>
                <c:pt idx="13">
                  <c:v>606.78531260683769</c:v>
                </c:pt>
                <c:pt idx="14">
                  <c:v>599.58997005324363</c:v>
                </c:pt>
                <c:pt idx="15">
                  <c:v>592.81735350293468</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20.711606253516468</c:v>
                </c:pt>
                <c:pt idx="1">
                  <c:v>20.342154782641217</c:v>
                </c:pt>
                <c:pt idx="2">
                  <c:v>19.837422737256386</c:v>
                </c:pt>
                <c:pt idx="3">
                  <c:v>19.206250708125062</c:v>
                </c:pt>
                <c:pt idx="4">
                  <c:v>18.497053827539691</c:v>
                </c:pt>
                <c:pt idx="5">
                  <c:v>17.803306173702417</c:v>
                </c:pt>
                <c:pt idx="6">
                  <c:v>17.18080990619416</c:v>
                </c:pt>
                <c:pt idx="7">
                  <c:v>16.567696491265245</c:v>
                </c:pt>
                <c:pt idx="8">
                  <c:v>15.980811139227473</c:v>
                </c:pt>
                <c:pt idx="9">
                  <c:v>15.421738174832328</c:v>
                </c:pt>
                <c:pt idx="10">
                  <c:v>14.90113303054078</c:v>
                </c:pt>
                <c:pt idx="11">
                  <c:v>14.524745693487795</c:v>
                </c:pt>
                <c:pt idx="12">
                  <c:v>14.186521658841118</c:v>
                </c:pt>
                <c:pt idx="13">
                  <c:v>13.883731598258024</c:v>
                </c:pt>
                <c:pt idx="14">
                  <c:v>13.613655956435698</c:v>
                </c:pt>
                <c:pt idx="15">
                  <c:v>13.378689839087299</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20.711606253516468</c:v>
                </c:pt>
                <c:pt idx="1">
                  <c:v>19.950271026515843</c:v>
                </c:pt>
                <c:pt idx="2">
                  <c:v>18.850813434722241</c:v>
                </c:pt>
                <c:pt idx="3">
                  <c:v>17.51383275129006</c:v>
                </c:pt>
                <c:pt idx="4">
                  <c:v>16.018301367764391</c:v>
                </c:pt>
                <c:pt idx="5">
                  <c:v>14.462357568251806</c:v>
                </c:pt>
                <c:pt idx="6">
                  <c:v>12.873230095739492</c:v>
                </c:pt>
                <c:pt idx="7">
                  <c:v>11.266474728569341</c:v>
                </c:pt>
                <c:pt idx="8">
                  <c:v>9.7107964906304591</c:v>
                </c:pt>
                <c:pt idx="9">
                  <c:v>8.1481417848837285</c:v>
                </c:pt>
                <c:pt idx="10">
                  <c:v>6.6602062677533675</c:v>
                </c:pt>
                <c:pt idx="11">
                  <c:v>5.37188236070382</c:v>
                </c:pt>
                <c:pt idx="12">
                  <c:v>4.3046001817789188</c:v>
                </c:pt>
                <c:pt idx="13">
                  <c:v>3.4206330507183464</c:v>
                </c:pt>
                <c:pt idx="14">
                  <c:v>2.7078943572664582</c:v>
                </c:pt>
                <c:pt idx="15">
                  <c:v>2.1553635012129444</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20.711606253516468</c:v>
                </c:pt>
                <c:pt idx="1">
                  <c:v>20.342154782641217</c:v>
                </c:pt>
                <c:pt idx="2">
                  <c:v>18.899524643093567</c:v>
                </c:pt>
                <c:pt idx="3">
                  <c:v>17.614617621332062</c:v>
                </c:pt>
                <c:pt idx="4">
                  <c:v>16.174458856433738</c:v>
                </c:pt>
                <c:pt idx="5">
                  <c:v>14.675345773035927</c:v>
                </c:pt>
                <c:pt idx="6">
                  <c:v>13.147148361412208</c:v>
                </c:pt>
                <c:pt idx="7">
                  <c:v>11.596171084959799</c:v>
                </c:pt>
                <c:pt idx="8">
                  <c:v>10.086855456804429</c:v>
                </c:pt>
                <c:pt idx="9">
                  <c:v>8.5639716256677545</c:v>
                </c:pt>
                <c:pt idx="10">
                  <c:v>7.1051254573581186</c:v>
                </c:pt>
                <c:pt idx="11">
                  <c:v>5.8337353369087799</c:v>
                </c:pt>
                <c:pt idx="12">
                  <c:v>4.7670041855826684</c:v>
                </c:pt>
                <c:pt idx="13">
                  <c:v>3.871245609953391</c:v>
                </c:pt>
                <c:pt idx="14">
                  <c:v>3.131125326502862</c:v>
                </c:pt>
                <c:pt idx="15">
                  <c:v>2.5377690303430649</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2632260.010244769</c:v>
                </c:pt>
                <c:pt idx="1">
                  <c:v>2695890</c:v>
                </c:pt>
                <c:pt idx="2">
                  <c:v>2759510</c:v>
                </c:pt>
                <c:pt idx="3">
                  <c:v>2823140</c:v>
                </c:pt>
                <c:pt idx="4">
                  <c:v>2886770</c:v>
                </c:pt>
                <c:pt idx="5">
                  <c:v>2950394.0523040001</c:v>
                </c:pt>
                <c:pt idx="6">
                  <c:v>3031210</c:v>
                </c:pt>
                <c:pt idx="7">
                  <c:v>3112030</c:v>
                </c:pt>
                <c:pt idx="8">
                  <c:v>3192850</c:v>
                </c:pt>
                <c:pt idx="9">
                  <c:v>3273660</c:v>
                </c:pt>
                <c:pt idx="10">
                  <c:v>3354481.4506417136</c:v>
                </c:pt>
                <c:pt idx="11">
                  <c:v>3443590</c:v>
                </c:pt>
                <c:pt idx="12">
                  <c:v>3532700</c:v>
                </c:pt>
                <c:pt idx="13">
                  <c:v>3621810</c:v>
                </c:pt>
                <c:pt idx="14">
                  <c:v>3710920</c:v>
                </c:pt>
                <c:pt idx="15">
                  <c:v>3800035.474618</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3265327.6940010153</c:v>
                </c:pt>
                <c:pt idx="1">
                  <c:v>3350460</c:v>
                </c:pt>
                <c:pt idx="2">
                  <c:v>3435580</c:v>
                </c:pt>
                <c:pt idx="3">
                  <c:v>3520710</c:v>
                </c:pt>
                <c:pt idx="4">
                  <c:v>3605840</c:v>
                </c:pt>
                <c:pt idx="5">
                  <c:v>3690967.9544268996</c:v>
                </c:pt>
                <c:pt idx="6">
                  <c:v>3802600</c:v>
                </c:pt>
                <c:pt idx="7">
                  <c:v>3914230</c:v>
                </c:pt>
                <c:pt idx="8">
                  <c:v>4025860</c:v>
                </c:pt>
                <c:pt idx="9">
                  <c:v>4137490</c:v>
                </c:pt>
                <c:pt idx="10">
                  <c:v>4249122.4570329217</c:v>
                </c:pt>
                <c:pt idx="11">
                  <c:v>4351490</c:v>
                </c:pt>
                <c:pt idx="12">
                  <c:v>4453850</c:v>
                </c:pt>
                <c:pt idx="13">
                  <c:v>4556220</c:v>
                </c:pt>
                <c:pt idx="14">
                  <c:v>4658580</c:v>
                </c:pt>
                <c:pt idx="15">
                  <c:v>4760943.8020371003</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281150.70312307694</c:v>
                </c:pt>
                <c:pt idx="1">
                  <c:v>280900</c:v>
                </c:pt>
                <c:pt idx="2">
                  <c:v>280650</c:v>
                </c:pt>
                <c:pt idx="3">
                  <c:v>280400</c:v>
                </c:pt>
                <c:pt idx="4">
                  <c:v>280150</c:v>
                </c:pt>
                <c:pt idx="5">
                  <c:v>279898.70120000001</c:v>
                </c:pt>
                <c:pt idx="6">
                  <c:v>286310</c:v>
                </c:pt>
                <c:pt idx="7">
                  <c:v>292720</c:v>
                </c:pt>
                <c:pt idx="8">
                  <c:v>299130</c:v>
                </c:pt>
                <c:pt idx="9">
                  <c:v>305540</c:v>
                </c:pt>
                <c:pt idx="10">
                  <c:v>311950.33595999039</c:v>
                </c:pt>
                <c:pt idx="11">
                  <c:v>318280</c:v>
                </c:pt>
                <c:pt idx="12">
                  <c:v>324610</c:v>
                </c:pt>
                <c:pt idx="13">
                  <c:v>330940</c:v>
                </c:pt>
                <c:pt idx="14">
                  <c:v>337270</c:v>
                </c:pt>
                <c:pt idx="15">
                  <c:v>343601.99219999998</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23810124819.5</c:v>
                </c:pt>
                <c:pt idx="1">
                  <c:v>23924284890</c:v>
                </c:pt>
                <c:pt idx="2">
                  <c:v>24038444960.5</c:v>
                </c:pt>
                <c:pt idx="3">
                  <c:v>24152605031</c:v>
                </c:pt>
                <c:pt idx="4">
                  <c:v>24266765101.5</c:v>
                </c:pt>
                <c:pt idx="5">
                  <c:v>24380925172</c:v>
                </c:pt>
                <c:pt idx="6">
                  <c:v>24450139140.66077</c:v>
                </c:pt>
                <c:pt idx="7">
                  <c:v>24519353109.321541</c:v>
                </c:pt>
                <c:pt idx="8">
                  <c:v>24588567077.982315</c:v>
                </c:pt>
                <c:pt idx="9">
                  <c:v>24657781046.643085</c:v>
                </c:pt>
                <c:pt idx="10">
                  <c:v>24726995015.303856</c:v>
                </c:pt>
                <c:pt idx="11">
                  <c:v>24899136760.280685</c:v>
                </c:pt>
                <c:pt idx="12">
                  <c:v>25071278505.257515</c:v>
                </c:pt>
                <c:pt idx="13">
                  <c:v>25243420250.234341</c:v>
                </c:pt>
                <c:pt idx="14">
                  <c:v>25415561995.21117</c:v>
                </c:pt>
                <c:pt idx="15">
                  <c:v>25587703740.188</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31778692267.27877</c:v>
                </c:pt>
                <c:pt idx="1">
                  <c:v>31954800151.063618</c:v>
                </c:pt>
                <c:pt idx="2">
                  <c:v>32130908034.848461</c:v>
                </c:pt>
                <c:pt idx="3">
                  <c:v>32307015918.633308</c:v>
                </c:pt>
                <c:pt idx="4">
                  <c:v>32483123802.418152</c:v>
                </c:pt>
                <c:pt idx="5">
                  <c:v>32659231686.202999</c:v>
                </c:pt>
                <c:pt idx="6">
                  <c:v>32808139653.019821</c:v>
                </c:pt>
                <c:pt idx="7">
                  <c:v>32957047619.836647</c:v>
                </c:pt>
                <c:pt idx="8">
                  <c:v>33105955586.653469</c:v>
                </c:pt>
                <c:pt idx="9">
                  <c:v>33254863553.470295</c:v>
                </c:pt>
                <c:pt idx="10">
                  <c:v>33403771520.287117</c:v>
                </c:pt>
                <c:pt idx="11">
                  <c:v>33563757319.578133</c:v>
                </c:pt>
                <c:pt idx="12">
                  <c:v>33723743118.869148</c:v>
                </c:pt>
                <c:pt idx="13">
                  <c:v>33883728918.160168</c:v>
                </c:pt>
                <c:pt idx="14">
                  <c:v>34043714717.451183</c:v>
                </c:pt>
                <c:pt idx="15">
                  <c:v>34203700516.742199</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2402351507.6923075</c:v>
                </c:pt>
                <c:pt idx="1">
                  <c:v>2386081622.1538458</c:v>
                </c:pt>
                <c:pt idx="2">
                  <c:v>2369811736.6153846</c:v>
                </c:pt>
                <c:pt idx="3">
                  <c:v>2353541851.0769229</c:v>
                </c:pt>
                <c:pt idx="4">
                  <c:v>2337271965.5384617</c:v>
                </c:pt>
                <c:pt idx="5">
                  <c:v>2321002080</c:v>
                </c:pt>
                <c:pt idx="6">
                  <c:v>2338905649.3523326</c:v>
                </c:pt>
                <c:pt idx="7">
                  <c:v>2356809218.7046652</c:v>
                </c:pt>
                <c:pt idx="8">
                  <c:v>2374712788.0569978</c:v>
                </c:pt>
                <c:pt idx="9">
                  <c:v>2392616357.4093304</c:v>
                </c:pt>
                <c:pt idx="10">
                  <c:v>2410519926.761663</c:v>
                </c:pt>
                <c:pt idx="11">
                  <c:v>2428727167.0093303</c:v>
                </c:pt>
                <c:pt idx="12">
                  <c:v>2446934407.2569976</c:v>
                </c:pt>
                <c:pt idx="13">
                  <c:v>2465141647.5046654</c:v>
                </c:pt>
                <c:pt idx="14">
                  <c:v>2483348887.7523327</c:v>
                </c:pt>
                <c:pt idx="15">
                  <c:v>2501556128</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142376.9162941633</c:v>
                </c:pt>
                <c:pt idx="1">
                  <c:v>201135.22235831677</c:v>
                </c:pt>
                <c:pt idx="2">
                  <c:v>261163.94770369228</c:v>
                </c:pt>
                <c:pt idx="3">
                  <c:v>322453.69032723206</c:v>
                </c:pt>
                <c:pt idx="4">
                  <c:v>384995.04822587827</c:v>
                </c:pt>
                <c:pt idx="5">
                  <c:v>448778.61939657311</c:v>
                </c:pt>
                <c:pt idx="6">
                  <c:v>514595.20670057944</c:v>
                </c:pt>
                <c:pt idx="7">
                  <c:v>582454.71759755316</c:v>
                </c:pt>
                <c:pt idx="8">
                  <c:v>652367.05954715004</c:v>
                </c:pt>
                <c:pt idx="9">
                  <c:v>724342.14000902604</c:v>
                </c:pt>
                <c:pt idx="10">
                  <c:v>798389.86644283705</c:v>
                </c:pt>
                <c:pt idx="11">
                  <c:v>874260.23516367516</c:v>
                </c:pt>
                <c:pt idx="12">
                  <c:v>951953.24617154046</c:v>
                </c:pt>
                <c:pt idx="13">
                  <c:v>1031468.8994664329</c:v>
                </c:pt>
                <c:pt idx="14">
                  <c:v>1112807.1950483525</c:v>
                </c:pt>
                <c:pt idx="15">
                  <c:v>1195968.1329172992</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142376.9162941633</c:v>
                </c:pt>
                <c:pt idx="1">
                  <c:v>238029.97267766893</c:v>
                </c:pt>
                <c:pt idx="2">
                  <c:v>358087.42336841999</c:v>
                </c:pt>
                <c:pt idx="3">
                  <c:v>503472.39424286317</c:v>
                </c:pt>
                <c:pt idx="4">
                  <c:v>675097.51591821783</c:v>
                </c:pt>
                <c:pt idx="5">
                  <c:v>876831.60148134572</c:v>
                </c:pt>
                <c:pt idx="6">
                  <c:v>1167649.0802664899</c:v>
                </c:pt>
                <c:pt idx="7">
                  <c:v>1491165.353147411</c:v>
                </c:pt>
                <c:pt idx="8">
                  <c:v>1848856.404982558</c:v>
                </c:pt>
                <c:pt idx="9">
                  <c:v>2242208.588902113</c:v>
                </c:pt>
                <c:pt idx="10">
                  <c:v>2672718.6263079909</c:v>
                </c:pt>
                <c:pt idx="11">
                  <c:v>3113825.4211965846</c:v>
                </c:pt>
                <c:pt idx="12">
                  <c:v>3565528.9735678942</c:v>
                </c:pt>
                <c:pt idx="13">
                  <c:v>4027829.2834219197</c:v>
                </c:pt>
                <c:pt idx="14">
                  <c:v>4500726.3507586606</c:v>
                </c:pt>
                <c:pt idx="15">
                  <c:v>4984220.1755781174</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142376.9162941633</c:v>
                </c:pt>
                <c:pt idx="1">
                  <c:v>201135.22235831677</c:v>
                </c:pt>
                <c:pt idx="2">
                  <c:v>321192.67304906779</c:v>
                </c:pt>
                <c:pt idx="3">
                  <c:v>466577.64392351097</c:v>
                </c:pt>
                <c:pt idx="4">
                  <c:v>638202.76559886569</c:v>
                </c:pt>
                <c:pt idx="5">
                  <c:v>839936.85116199357</c:v>
                </c:pt>
                <c:pt idx="6">
                  <c:v>1130754.3299471377</c:v>
                </c:pt>
                <c:pt idx="7">
                  <c:v>1454270.6028280589</c:v>
                </c:pt>
                <c:pt idx="8">
                  <c:v>1811961.6546632058</c:v>
                </c:pt>
                <c:pt idx="9">
                  <c:v>2205313.8385827607</c:v>
                </c:pt>
                <c:pt idx="10">
                  <c:v>2635823.8759886385</c:v>
                </c:pt>
                <c:pt idx="11">
                  <c:v>3076930.6708772322</c:v>
                </c:pt>
                <c:pt idx="12">
                  <c:v>3528634.2232485418</c:v>
                </c:pt>
                <c:pt idx="13">
                  <c:v>3990934.5331025673</c:v>
                </c:pt>
                <c:pt idx="14">
                  <c:v>4463831.6004393082</c:v>
                </c:pt>
                <c:pt idx="15">
                  <c:v>4947325.425258765</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1336292817.7908883</c:v>
                </c:pt>
                <c:pt idx="1">
                  <c:v>1852175471.5793796</c:v>
                </c:pt>
                <c:pt idx="2">
                  <c:v>2360860589.9366612</c:v>
                </c:pt>
                <c:pt idx="3">
                  <c:v>2862893366.7819452</c:v>
                </c:pt>
                <c:pt idx="4">
                  <c:v>3358787901.6038771</c:v>
                </c:pt>
                <c:pt idx="5">
                  <c:v>3849012496.1686759</c:v>
                </c:pt>
                <c:pt idx="6">
                  <c:v>4307290529.8274584</c:v>
                </c:pt>
                <c:pt idx="7">
                  <c:v>4761610962.6119442</c:v>
                </c:pt>
                <c:pt idx="8">
                  <c:v>5212559791.3122139</c:v>
                </c:pt>
                <c:pt idx="9">
                  <c:v>5660670802.6076946</c:v>
                </c:pt>
                <c:pt idx="10">
                  <c:v>6106401159.6945076</c:v>
                </c:pt>
                <c:pt idx="11">
                  <c:v>6561415136.3657455</c:v>
                </c:pt>
                <c:pt idx="12">
                  <c:v>7014601914.2899942</c:v>
                </c:pt>
                <c:pt idx="13">
                  <c:v>7466301141.4415607</c:v>
                </c:pt>
                <c:pt idx="14">
                  <c:v>7916850846.9073763</c:v>
                </c:pt>
                <c:pt idx="15">
                  <c:v>8366524295.3119879</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1336292817.7908883</c:v>
                </c:pt>
                <c:pt idx="1">
                  <c:v>2191924774.4131303</c:v>
                </c:pt>
                <c:pt idx="2">
                  <c:v>3237025986.9927483</c:v>
                </c:pt>
                <c:pt idx="3">
                  <c:v>4470061348.570612</c:v>
                </c:pt>
                <c:pt idx="4">
                  <c:v>5889710476.324317</c:v>
                </c:pt>
                <c:pt idx="5">
                  <c:v>7520268669.8292904</c:v>
                </c:pt>
                <c:pt idx="6">
                  <c:v>9773514716.2378941</c:v>
                </c:pt>
                <c:pt idx="7">
                  <c:v>12190388502.475494</c:v>
                </c:pt>
                <c:pt idx="8">
                  <c:v>14772779243.654613</c:v>
                </c:pt>
                <c:pt idx="9">
                  <c:v>17522665038.370167</c:v>
                </c:pt>
                <c:pt idx="10">
                  <c:v>20442008103.058449</c:v>
                </c:pt>
                <c:pt idx="11">
                  <c:v>23369587714.137188</c:v>
                </c:pt>
                <c:pt idx="12">
                  <c:v>26273103709.695095</c:v>
                </c:pt>
                <c:pt idx="13">
                  <c:v>29155495034.218906</c:v>
                </c:pt>
                <c:pt idx="14">
                  <c:v>32019544248.322212</c:v>
                </c:pt>
                <c:pt idx="15">
                  <c:v>34867650771.295326</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1336292817.7908883</c:v>
                </c:pt>
                <c:pt idx="1">
                  <c:v>1852175471.5793796</c:v>
                </c:pt>
                <c:pt idx="2">
                  <c:v>2903506131.8581638</c:v>
                </c:pt>
                <c:pt idx="3">
                  <c:v>4142492649.1671147</c:v>
                </c:pt>
                <c:pt idx="4">
                  <c:v>5567831944.1811447</c:v>
                </c:pt>
                <c:pt idx="5">
                  <c:v>7203835691.776206</c:v>
                </c:pt>
                <c:pt idx="6">
                  <c:v>9464696432.309803</c:v>
                </c:pt>
                <c:pt idx="7">
                  <c:v>11888771153.906189</c:v>
                </c:pt>
                <c:pt idx="8">
                  <c:v>14477981875.806738</c:v>
                </c:pt>
                <c:pt idx="9">
                  <c:v>17234335774.661095</c:v>
                </c:pt>
                <c:pt idx="10">
                  <c:v>20159822474.700573</c:v>
                </c:pt>
                <c:pt idx="11">
                  <c:v>23092688727.472755</c:v>
                </c:pt>
                <c:pt idx="12">
                  <c:v>26001239532.270203</c:v>
                </c:pt>
                <c:pt idx="13">
                  <c:v>28888431900.696335</c:v>
                </c:pt>
                <c:pt idx="14">
                  <c:v>31757063706.668716</c:v>
                </c:pt>
                <c:pt idx="15">
                  <c:v>34609549559.046997</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twoCellAnchor editAs="oneCell">
    <xdr:from>
      <xdr:col>17</xdr:col>
      <xdr:colOff>0</xdr:colOff>
      <xdr:row>128</xdr:row>
      <xdr:rowOff>0</xdr:rowOff>
    </xdr:from>
    <xdr:to>
      <xdr:col>23</xdr:col>
      <xdr:colOff>65845</xdr:colOff>
      <xdr:row>134</xdr:row>
      <xdr:rowOff>33630</xdr:rowOff>
    </xdr:to>
    <xdr:pic>
      <xdr:nvPicPr>
        <xdr:cNvPr id="4" name="Picture 3">
          <a:extLst>
            <a:ext uri="{FF2B5EF4-FFF2-40B4-BE49-F238E27FC236}">
              <a16:creationId xmlns:a16="http://schemas.microsoft.com/office/drawing/2014/main" id="{8BE277A3-0838-4A7C-8505-57B37B1806C0}"/>
            </a:ext>
          </a:extLst>
        </xdr:cNvPr>
        <xdr:cNvPicPr>
          <a:picLocks noChangeAspect="1"/>
        </xdr:cNvPicPr>
      </xdr:nvPicPr>
      <xdr:blipFill>
        <a:blip xmlns:r="http://schemas.openxmlformats.org/officeDocument/2006/relationships" r:embed="rId2"/>
        <a:stretch>
          <a:fillRect/>
        </a:stretch>
      </xdr:blipFill>
      <xdr:spPr>
        <a:xfrm>
          <a:off x="6305550" y="1352550"/>
          <a:ext cx="3609145" cy="11766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A4" sqref="A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184</v>
      </c>
      <c r="B3" s="49" t="s">
        <v>192</v>
      </c>
    </row>
    <row r="4" spans="1:2" ht="48">
      <c r="A4" s="64" t="s">
        <v>183</v>
      </c>
      <c r="B4" s="49" t="s">
        <v>648</v>
      </c>
    </row>
    <row r="5" spans="1:2" ht="16">
      <c r="A5" s="64" t="s">
        <v>185</v>
      </c>
      <c r="B5" s="49" t="s">
        <v>193</v>
      </c>
    </row>
    <row r="6" spans="1:2" ht="16">
      <c r="A6" s="64" t="s">
        <v>186</v>
      </c>
      <c r="B6" s="49" t="s">
        <v>88</v>
      </c>
    </row>
    <row r="7" spans="1:2" ht="16">
      <c r="A7" s="64" t="s">
        <v>174</v>
      </c>
      <c r="B7" s="49" t="s">
        <v>194</v>
      </c>
    </row>
    <row r="8" spans="1:2" ht="16">
      <c r="A8" s="64" t="s">
        <v>175</v>
      </c>
      <c r="B8" s="49" t="s">
        <v>195</v>
      </c>
    </row>
    <row r="9" spans="1:2" ht="32">
      <c r="A9" s="64" t="s">
        <v>176</v>
      </c>
      <c r="B9" s="49" t="s">
        <v>388</v>
      </c>
    </row>
    <row r="10" spans="1:2" ht="16">
      <c r="A10" s="64" t="s">
        <v>187</v>
      </c>
      <c r="B10" s="49" t="s">
        <v>196</v>
      </c>
    </row>
    <row r="11" spans="1:2" ht="16">
      <c r="A11" s="64" t="s">
        <v>188</v>
      </c>
      <c r="B11" s="49" t="s">
        <v>197</v>
      </c>
    </row>
    <row r="12" spans="1:2" ht="16">
      <c r="A12" s="64" t="s">
        <v>292</v>
      </c>
      <c r="B12" s="49" t="s">
        <v>293</v>
      </c>
    </row>
    <row r="13" spans="1:2" ht="16">
      <c r="A13" s="64" t="s">
        <v>294</v>
      </c>
      <c r="B13" s="49" t="s">
        <v>295</v>
      </c>
    </row>
    <row r="14" spans="1:2" ht="16">
      <c r="A14" s="64" t="s">
        <v>367</v>
      </c>
      <c r="B14" s="49" t="s">
        <v>198</v>
      </c>
    </row>
    <row r="15" spans="1:2" ht="16">
      <c r="A15" s="64" t="s">
        <v>189</v>
      </c>
      <c r="B15" s="49" t="s">
        <v>199</v>
      </c>
    </row>
    <row r="16" spans="1:2" ht="48">
      <c r="A16" s="64" t="s">
        <v>89</v>
      </c>
      <c r="B16" s="49" t="s">
        <v>200</v>
      </c>
    </row>
    <row r="17" spans="1:2" ht="16">
      <c r="A17" s="64" t="s">
        <v>190</v>
      </c>
      <c r="B17" s="49" t="s">
        <v>90</v>
      </c>
    </row>
    <row r="18" spans="1:2" ht="16">
      <c r="A18" s="64" t="s">
        <v>191</v>
      </c>
      <c r="B18" s="49" t="s">
        <v>91</v>
      </c>
    </row>
    <row r="19" spans="1:2" ht="32">
      <c r="A19" s="64" t="s">
        <v>92</v>
      </c>
      <c r="B19" s="49" t="s">
        <v>201</v>
      </c>
    </row>
    <row r="20" spans="1:2" ht="32">
      <c r="A20" s="64" t="s">
        <v>93</v>
      </c>
      <c r="B20" s="49" t="s">
        <v>202</v>
      </c>
    </row>
    <row r="21" spans="1:2" ht="32">
      <c r="A21" s="64" t="s">
        <v>297</v>
      </c>
      <c r="B21" s="49" t="s">
        <v>298</v>
      </c>
    </row>
    <row r="22" spans="1:2" ht="17" thickBot="1">
      <c r="A22" s="65" t="s">
        <v>296</v>
      </c>
      <c r="B22" s="50" t="s">
        <v>437</v>
      </c>
    </row>
  </sheetData>
  <sheetProtection algorithmName="SHA-512" hashValue="0V+LMTG2NcJJa2a8odbB7wgaLqSqF47pMVB1qrN2C28x2fU1UKYBlWA/nTD00uBb6aKVoQ9fCfuKJY7VoL0bzQ==" saltValue="ldMLQTZRzf334m6mYSHO7g=="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topLeftCell="A31" workbookViewId="0">
      <selection activeCell="J26" sqref="J26"/>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451</v>
      </c>
      <c r="F2" s="6"/>
      <c r="R2" s="6"/>
    </row>
    <row r="3" spans="1:28">
      <c r="A3" t="s">
        <v>452</v>
      </c>
      <c r="F3" s="6"/>
      <c r="R3" s="6"/>
    </row>
    <row r="4" spans="1:28">
      <c r="A4" s="29" t="s">
        <v>305</v>
      </c>
    </row>
    <row r="5" spans="1:28">
      <c r="A5" s="29"/>
    </row>
    <row r="6" spans="1:28">
      <c r="A6" s="70" t="s">
        <v>466</v>
      </c>
      <c r="D6" s="6"/>
      <c r="E6" s="6"/>
      <c r="K6" s="33" t="s">
        <v>463</v>
      </c>
      <c r="L6" s="33" t="s">
        <v>464</v>
      </c>
      <c r="O6" s="70" t="s">
        <v>375</v>
      </c>
      <c r="T6" s="6"/>
      <c r="X6" s="145" t="s">
        <v>216</v>
      </c>
    </row>
    <row r="7" spans="1:28">
      <c r="A7" s="70" t="s">
        <v>149</v>
      </c>
      <c r="D7" s="6"/>
      <c r="K7" s="33" t="s">
        <v>465</v>
      </c>
      <c r="L7" s="33" t="s">
        <v>465</v>
      </c>
      <c r="O7" s="138"/>
      <c r="P7" s="307" t="s">
        <v>207</v>
      </c>
      <c r="Q7" s="307"/>
      <c r="R7" s="307"/>
      <c r="S7" s="307"/>
      <c r="T7" s="307" t="s">
        <v>207</v>
      </c>
      <c r="U7" s="307"/>
      <c r="V7" s="307"/>
      <c r="W7" s="307"/>
      <c r="X7" s="307" t="s">
        <v>207</v>
      </c>
      <c r="Y7" s="307"/>
      <c r="Z7" s="307"/>
      <c r="AA7" s="307"/>
    </row>
    <row r="8" spans="1:28">
      <c r="A8" s="19" t="s">
        <v>0</v>
      </c>
      <c r="B8" t="s">
        <v>1</v>
      </c>
      <c r="C8" t="s">
        <v>2</v>
      </c>
      <c r="D8" s="29" t="s">
        <v>3</v>
      </c>
      <c r="E8" t="s">
        <v>22</v>
      </c>
      <c r="F8" t="s">
        <v>24</v>
      </c>
      <c r="G8" t="s">
        <v>115</v>
      </c>
      <c r="H8" t="s">
        <v>116</v>
      </c>
      <c r="I8" t="s">
        <v>117</v>
      </c>
      <c r="K8" s="33" t="s">
        <v>141</v>
      </c>
      <c r="L8" s="33" t="s">
        <v>141</v>
      </c>
      <c r="M8" s="33" t="s">
        <v>247</v>
      </c>
      <c r="O8" s="138"/>
      <c r="P8" s="307" t="s">
        <v>467</v>
      </c>
      <c r="Q8" s="307"/>
      <c r="R8" s="307"/>
      <c r="S8" s="307"/>
      <c r="T8" s="307" t="s">
        <v>208</v>
      </c>
      <c r="U8" s="307"/>
      <c r="V8" s="307"/>
      <c r="W8" s="307"/>
      <c r="X8" s="307" t="s">
        <v>218</v>
      </c>
      <c r="Y8" s="307"/>
      <c r="Z8" s="307"/>
      <c r="AA8" s="307"/>
    </row>
    <row r="9" spans="1:28">
      <c r="A9">
        <v>2025</v>
      </c>
      <c r="B9" s="33" t="s">
        <v>109</v>
      </c>
      <c r="C9">
        <v>0</v>
      </c>
      <c r="D9">
        <v>0</v>
      </c>
      <c r="E9" s="3">
        <v>0</v>
      </c>
      <c r="F9">
        <v>0</v>
      </c>
      <c r="G9">
        <v>0</v>
      </c>
      <c r="H9">
        <v>0</v>
      </c>
      <c r="I9">
        <v>0</v>
      </c>
      <c r="K9" s="260">
        <f>'CARB ZEV counts'!N24</f>
        <v>5.2787319162739099E-2</v>
      </c>
      <c r="L9" s="60">
        <f>'Fleet ZEV fractions'!AA17</f>
        <v>2.4141551331515337E-2</v>
      </c>
      <c r="M9" s="16">
        <f>K9/L9</f>
        <v>2.1865752717319555</v>
      </c>
      <c r="O9" s="139" t="s">
        <v>209</v>
      </c>
      <c r="P9" s="139" t="s">
        <v>42</v>
      </c>
      <c r="Q9" s="139" t="s">
        <v>210</v>
      </c>
      <c r="R9" s="139" t="s">
        <v>211</v>
      </c>
      <c r="S9" s="139" t="s">
        <v>3</v>
      </c>
      <c r="T9" s="139" t="s">
        <v>42</v>
      </c>
      <c r="U9" s="139" t="s">
        <v>210</v>
      </c>
      <c r="V9" s="139" t="s">
        <v>211</v>
      </c>
      <c r="W9" s="139" t="s">
        <v>3</v>
      </c>
      <c r="X9" s="139" t="s">
        <v>42</v>
      </c>
      <c r="Y9" s="139" t="s">
        <v>210</v>
      </c>
      <c r="Z9" s="139" t="s">
        <v>211</v>
      </c>
      <c r="AA9" s="139" t="s">
        <v>3</v>
      </c>
      <c r="AB9" s="6"/>
    </row>
    <row r="10" spans="1:28">
      <c r="A10">
        <v>2026</v>
      </c>
      <c r="B10" s="33" t="s">
        <v>109</v>
      </c>
      <c r="C10" s="144">
        <f>P10*M10</f>
        <v>7.2579474837074914E-3</v>
      </c>
      <c r="D10" s="144">
        <f>S10*M10</f>
        <v>1.59161563683618E-2</v>
      </c>
      <c r="E10" s="3">
        <v>0</v>
      </c>
      <c r="F10" s="144">
        <f>Q10*M10</f>
        <v>5.217342462656851E-3</v>
      </c>
      <c r="G10" s="144">
        <f>R10*M10</f>
        <v>3.9315332444613427E-3</v>
      </c>
      <c r="H10" s="60">
        <f>'CARB ZEV counts'!Q65*M10</f>
        <v>1.886236108613153E-2</v>
      </c>
      <c r="I10" s="60">
        <f>H10</f>
        <v>1.886236108613153E-2</v>
      </c>
      <c r="J10" s="60"/>
      <c r="K10" s="260">
        <f>'CARB ZEV counts'!N25</f>
        <v>6.4089332068279783E-2</v>
      </c>
      <c r="L10" s="60">
        <f>'Fleet ZEV fractions'!AA18</f>
        <v>3.3265601511096726E-2</v>
      </c>
      <c r="M10" s="16">
        <f t="shared" ref="M10:M24" si="0">K10/L10</f>
        <v>1.9265947151714931</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1.8641943112317136E-2</v>
      </c>
      <c r="D11" s="144">
        <f t="shared" ref="D11:D24" si="2">S11*M11</f>
        <v>4.1126971407915033E-2</v>
      </c>
      <c r="E11" s="3">
        <v>0</v>
      </c>
      <c r="F11" s="144">
        <f t="shared" ref="F11:F24" si="3">Q11*M11</f>
        <v>1.3044795249465719E-2</v>
      </c>
      <c r="G11" s="144">
        <f t="shared" ref="G11:G24" si="4">R11*M11</f>
        <v>1.0727836558149375E-2</v>
      </c>
      <c r="H11" s="60">
        <f>'CARB ZEV counts'!Q66*M11</f>
        <v>4.3208759670856273E-2</v>
      </c>
      <c r="I11" s="60">
        <f t="shared" ref="I11:I24" si="5">H11</f>
        <v>4.3208759670856273E-2</v>
      </c>
      <c r="J11" s="60"/>
      <c r="K11" s="260">
        <f>'CARB ZEV counts'!N26</f>
        <v>7.5580722040675494E-2</v>
      </c>
      <c r="L11" s="60">
        <f>'Fleet ZEV fractions'!AA19</f>
        <v>4.2156552153589717E-2</v>
      </c>
      <c r="M11" s="16">
        <f t="shared" si="0"/>
        <v>1.792858243371301</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3.3185639682277071E-2</v>
      </c>
      <c r="D12" s="144">
        <f t="shared" si="2"/>
        <v>7.3055522908375692E-2</v>
      </c>
      <c r="E12" s="3">
        <v>0</v>
      </c>
      <c r="F12" s="144">
        <f t="shared" si="3"/>
        <v>2.2658956233163528E-2</v>
      </c>
      <c r="G12" s="144">
        <f t="shared" si="4"/>
        <v>1.9770394173148007E-2</v>
      </c>
      <c r="H12" s="60">
        <f>'CARB ZEV counts'!Q67*M12</f>
        <v>7.306958163354707E-2</v>
      </c>
      <c r="I12" s="60">
        <f t="shared" si="5"/>
        <v>7.306958163354707E-2</v>
      </c>
      <c r="J12" s="60"/>
      <c r="K12" s="260">
        <f>'CARB ZEV counts'!N27</f>
        <v>8.6179522162499828E-2</v>
      </c>
      <c r="L12" s="60">
        <f>'Fleet ZEV fractions'!AA20</f>
        <v>5.0829318811886286E-2</v>
      </c>
      <c r="M12" s="16">
        <f t="shared" si="0"/>
        <v>1.695468760489212</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5.2978190662961756E-2</v>
      </c>
      <c r="D13" s="144">
        <f t="shared" si="2"/>
        <v>0.11135106023711537</v>
      </c>
      <c r="E13" s="3">
        <v>0</v>
      </c>
      <c r="F13" s="144">
        <f t="shared" si="3"/>
        <v>3.4266787484275862E-2</v>
      </c>
      <c r="G13" s="144">
        <f t="shared" si="4"/>
        <v>3.2595826507537985E-2</v>
      </c>
      <c r="H13" s="60">
        <f>'CARB ZEV counts'!Q68*M13</f>
        <v>0.1100366589202411</v>
      </c>
      <c r="I13" s="60">
        <f t="shared" si="5"/>
        <v>0.1100366589202411</v>
      </c>
      <c r="J13" s="60"/>
      <c r="K13" s="260">
        <f>'CARB ZEV counts'!N28</f>
        <v>9.7753266410346082E-2</v>
      </c>
      <c r="L13" s="60">
        <f>'Fleet ZEV fractions'!AA21</f>
        <v>5.9297450092787425E-2</v>
      </c>
      <c r="M13" s="16">
        <f t="shared" si="0"/>
        <v>1.648523945926575</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7.7350212830473067E-2</v>
      </c>
      <c r="D14" s="144">
        <f t="shared" si="2"/>
        <v>0.15635949278313799</v>
      </c>
      <c r="E14" s="3">
        <v>0</v>
      </c>
      <c r="F14" s="144">
        <f t="shared" si="3"/>
        <v>4.7739166061767695E-2</v>
      </c>
      <c r="G14" s="144">
        <f t="shared" si="4"/>
        <v>4.7985885508621193E-2</v>
      </c>
      <c r="H14" s="60">
        <f>'CARB ZEV counts'!Q69*M14</f>
        <v>0.15233870494708154</v>
      </c>
      <c r="I14" s="60">
        <f t="shared" si="5"/>
        <v>0.15233870494708154</v>
      </c>
      <c r="J14" s="60"/>
      <c r="K14" s="260">
        <f>'CARB ZEV counts'!N29</f>
        <v>0.10770155714763756</v>
      </c>
      <c r="L14" s="60">
        <f>'Fleet ZEV fractions'!AA22</f>
        <v>6.7573280742977748E-2</v>
      </c>
      <c r="M14" s="16">
        <f t="shared" si="0"/>
        <v>1.5938482779501566</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0.10761609674931252</v>
      </c>
      <c r="D15" s="144">
        <f t="shared" si="2"/>
        <v>0.21065491712955228</v>
      </c>
      <c r="E15" s="3">
        <v>0</v>
      </c>
      <c r="F15" s="144">
        <f t="shared" si="3"/>
        <v>6.3376346613174039E-2</v>
      </c>
      <c r="G15" s="144">
        <f t="shared" si="4"/>
        <v>6.6438741927735412E-2</v>
      </c>
      <c r="H15" s="60">
        <f>'CARB ZEV counts'!Q70*M15</f>
        <v>0.20043039750852384</v>
      </c>
      <c r="I15" s="60">
        <f t="shared" si="5"/>
        <v>0.20043039750852384</v>
      </c>
      <c r="J15" s="60"/>
      <c r="K15" s="260">
        <f>'CARB ZEV counts'!N30</f>
        <v>0.11722582033992886</v>
      </c>
      <c r="L15" s="60">
        <f>'Fleet ZEV fractions'!AA23</f>
        <v>7.5301358622057737E-2</v>
      </c>
      <c r="M15" s="16">
        <f t="shared" si="0"/>
        <v>1.5567557144392659</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0.14287998508483465</v>
      </c>
      <c r="D16" s="144">
        <f t="shared" si="2"/>
        <v>0.27017761928476913</v>
      </c>
      <c r="E16" s="3">
        <v>0</v>
      </c>
      <c r="F16" s="144">
        <f t="shared" si="3"/>
        <v>8.0296558988919062E-2</v>
      </c>
      <c r="G16" s="144">
        <f t="shared" si="4"/>
        <v>8.6779557028949794E-2</v>
      </c>
      <c r="H16" s="60">
        <f>'CARB ZEV counts'!Q71*M16</f>
        <v>0.25085875408823549</v>
      </c>
      <c r="I16" s="60">
        <f t="shared" si="5"/>
        <v>0.25085875408823549</v>
      </c>
      <c r="J16" s="60"/>
      <c r="K16" s="260">
        <f>'CARB ZEV counts'!N31</f>
        <v>0.12629478463698698</v>
      </c>
      <c r="L16" s="60">
        <f>'Fleet ZEV fractions'!AA24</f>
        <v>8.2896849789273877E-2</v>
      </c>
      <c r="M16" s="16">
        <f t="shared" si="0"/>
        <v>1.5235172984019523</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0.18239822026808039</v>
      </c>
      <c r="D17" s="144">
        <f t="shared" si="2"/>
        <v>0.33265719480207773</v>
      </c>
      <c r="E17" s="3">
        <v>0</v>
      </c>
      <c r="F17" s="144">
        <f t="shared" si="3"/>
        <v>9.8118872111257874E-2</v>
      </c>
      <c r="G17" s="144">
        <f t="shared" si="4"/>
        <v>0.10861100484093184</v>
      </c>
      <c r="H17" s="60">
        <f>'CARB ZEV counts'!Q72*M17</f>
        <v>0.3021763223066864</v>
      </c>
      <c r="I17" s="60">
        <f t="shared" si="5"/>
        <v>0.3021763223066864</v>
      </c>
      <c r="J17" s="60"/>
      <c r="K17" s="260">
        <f>'CARB ZEV counts'!N32</f>
        <v>0.13432326202068065</v>
      </c>
      <c r="L17" s="60">
        <f>'Fleet ZEV fractions'!AA25</f>
        <v>9.037173087031411E-2</v>
      </c>
      <c r="M17" s="16">
        <f t="shared" si="0"/>
        <v>1.486341588537661</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0.22641635387535233</v>
      </c>
      <c r="D18" s="144">
        <f t="shared" si="2"/>
        <v>0.4010160422285684</v>
      </c>
      <c r="E18" s="3">
        <v>0</v>
      </c>
      <c r="F18" s="144">
        <f t="shared" si="3"/>
        <v>0.11661051054123039</v>
      </c>
      <c r="G18" s="144">
        <f t="shared" si="4"/>
        <v>0.13272845060764604</v>
      </c>
      <c r="H18" s="60">
        <f>'CARB ZEV counts'!Q73*M18</f>
        <v>0.35486518646973425</v>
      </c>
      <c r="I18" s="60">
        <f t="shared" si="5"/>
        <v>0.35486518646973425</v>
      </c>
      <c r="J18" s="60"/>
      <c r="K18" s="260">
        <f>'CARB ZEV counts'!N33</f>
        <v>0.1418395665517862</v>
      </c>
      <c r="L18" s="60">
        <f>'Fleet ZEV fractions'!AA26</f>
        <v>9.7736734483933732E-2</v>
      </c>
      <c r="M18" s="16">
        <f t="shared" si="0"/>
        <v>1.4512411050023595</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0.27467762385679906</v>
      </c>
      <c r="D19" s="144">
        <f t="shared" si="2"/>
        <v>0.47185194056069263</v>
      </c>
      <c r="E19" s="3">
        <v>0</v>
      </c>
      <c r="F19" s="144">
        <f t="shared" si="3"/>
        <v>0.13572198937234536</v>
      </c>
      <c r="G19" s="144">
        <f t="shared" si="4"/>
        <v>0.1577952575185024</v>
      </c>
      <c r="H19" s="60">
        <f>'CARB ZEV counts'!Q74*M19</f>
        <v>0.40728883414175648</v>
      </c>
      <c r="I19" s="60">
        <f t="shared" si="5"/>
        <v>0.40728883414175648</v>
      </c>
      <c r="J19" s="60"/>
      <c r="K19" s="260">
        <f>'CARB ZEV counts'!N34</f>
        <v>0.14881949851245854</v>
      </c>
      <c r="L19" s="60">
        <f>'Fleet ZEV fractions'!AA27</f>
        <v>0.105001506671986</v>
      </c>
      <c r="M19" s="16">
        <f t="shared" si="0"/>
        <v>1.4173082199416003</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0.32564363605623148</v>
      </c>
      <c r="D20" s="144">
        <f t="shared" si="2"/>
        <v>0.5388057410584034</v>
      </c>
      <c r="E20" s="3">
        <v>0</v>
      </c>
      <c r="F20" s="144">
        <f t="shared" si="3"/>
        <v>0.15401810797953294</v>
      </c>
      <c r="G20" s="144">
        <f t="shared" si="4"/>
        <v>0.18462072769801832</v>
      </c>
      <c r="H20" s="60">
        <f>'CARB ZEV counts'!Q75*M20</f>
        <v>0.4559494125302766</v>
      </c>
      <c r="I20" s="60">
        <f t="shared" si="5"/>
        <v>0.4559494125302766</v>
      </c>
      <c r="J20" s="60"/>
      <c r="K20" s="260">
        <f>'CARB ZEV counts'!N35</f>
        <v>0.15564313994187848</v>
      </c>
      <c r="L20" s="60">
        <f>'Fleet ZEV fractions'!AA28</f>
        <v>0.11215540435726605</v>
      </c>
      <c r="M20" s="16">
        <f t="shared" si="0"/>
        <v>1.3877453416875407</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0.37668013068330408</v>
      </c>
      <c r="D21" s="144">
        <f t="shared" si="2"/>
        <v>0.59774294470252354</v>
      </c>
      <c r="E21" s="3">
        <v>0</v>
      </c>
      <c r="F21" s="144">
        <f t="shared" si="3"/>
        <v>0.17015260565098222</v>
      </c>
      <c r="G21" s="144">
        <f t="shared" si="4"/>
        <v>0.21033486684076189</v>
      </c>
      <c r="H21" s="60">
        <f>'CARB ZEV counts'!Q76*M21</f>
        <v>0.49852049577917706</v>
      </c>
      <c r="I21" s="60">
        <f t="shared" si="5"/>
        <v>0.49852049577917706</v>
      </c>
      <c r="J21" s="60"/>
      <c r="K21" s="260">
        <f>'CARB ZEV counts'!N36</f>
        <v>0.16148796043984739</v>
      </c>
      <c r="L21" s="60">
        <f>'Fleet ZEV fractions'!AA29</f>
        <v>0.11919449108890266</v>
      </c>
      <c r="M21" s="16">
        <f t="shared" si="0"/>
        <v>1.3548273830826596</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0.42761259442607419</v>
      </c>
      <c r="D22" s="144">
        <f t="shared" si="2"/>
        <v>0.64976903461856828</v>
      </c>
      <c r="E22" s="3">
        <v>0</v>
      </c>
      <c r="F22" s="144">
        <f t="shared" si="3"/>
        <v>0.18517823407329989</v>
      </c>
      <c r="G22" s="144">
        <f t="shared" si="4"/>
        <v>0.23749742645160093</v>
      </c>
      <c r="H22" s="60">
        <f>'CARB ZEV counts'!Q77*M22</f>
        <v>0.53622794059372325</v>
      </c>
      <c r="I22" s="60">
        <f t="shared" si="5"/>
        <v>0.53622794059372325</v>
      </c>
      <c r="J22" s="60"/>
      <c r="K22" s="260">
        <f>'CARB ZEV counts'!N37</f>
        <v>0.16676140134679324</v>
      </c>
      <c r="L22" s="60">
        <f>'Fleet ZEV fractions'!AA30</f>
        <v>0.12612683119467252</v>
      </c>
      <c r="M22" s="16">
        <f t="shared" si="0"/>
        <v>1.3221722909172484</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0.47823883977437864</v>
      </c>
      <c r="D23" s="144">
        <f t="shared" si="2"/>
        <v>0.69481127737794124</v>
      </c>
      <c r="E23" s="3">
        <v>0</v>
      </c>
      <c r="F23" s="144">
        <f t="shared" si="3"/>
        <v>0.19793630029442436</v>
      </c>
      <c r="G23" s="144">
        <f t="shared" si="4"/>
        <v>0.26611009066044938</v>
      </c>
      <c r="H23" s="60">
        <f>'CARB ZEV counts'!Q78*M23</f>
        <v>0.56923300820369449</v>
      </c>
      <c r="I23" s="60">
        <f t="shared" si="5"/>
        <v>0.56923300820369449</v>
      </c>
      <c r="J23" s="60"/>
      <c r="K23" s="260">
        <f>'CARB ZEV counts'!N38</f>
        <v>0.17149228521211091</v>
      </c>
      <c r="L23" s="60">
        <f>'Fleet ZEV fractions'!AA31</f>
        <v>0.13295975102900595</v>
      </c>
      <c r="M23" s="16">
        <f t="shared" si="0"/>
        <v>1.2898060043350927</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0.52659457875021176</v>
      </c>
      <c r="D24" s="144">
        <f t="shared" si="2"/>
        <v>0.73291033015968365</v>
      </c>
      <c r="E24" s="3">
        <v>0</v>
      </c>
      <c r="F24" s="144">
        <f t="shared" si="3"/>
        <v>0.20896003801030819</v>
      </c>
      <c r="G24" s="144">
        <f t="shared" si="4"/>
        <v>0.29688554582225518</v>
      </c>
      <c r="H24" s="60">
        <f>'CARB ZEV counts'!Q79*M24</f>
        <v>0.59751553194769524</v>
      </c>
      <c r="I24" s="60">
        <f t="shared" si="5"/>
        <v>0.59751553194769524</v>
      </c>
      <c r="J24" s="60"/>
      <c r="K24" s="260">
        <f>'CARB ZEV counts'!N39</f>
        <v>0.17568933934234149</v>
      </c>
      <c r="L24" s="60">
        <f>'Fleet ZEV fractions'!AA32</f>
        <v>0.13969992150063718</v>
      </c>
      <c r="M24" s="16">
        <f t="shared" si="0"/>
        <v>1.2576194564399963</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404</v>
      </c>
    </row>
    <row r="28" spans="1:27">
      <c r="A28">
        <v>2025</v>
      </c>
      <c r="B28" t="s">
        <v>109</v>
      </c>
      <c r="C28">
        <v>0</v>
      </c>
      <c r="D28">
        <v>0</v>
      </c>
      <c r="E28" s="3">
        <v>0</v>
      </c>
      <c r="F28">
        <v>0</v>
      </c>
      <c r="G28">
        <v>0</v>
      </c>
      <c r="H28">
        <v>0</v>
      </c>
      <c r="I28">
        <v>0</v>
      </c>
      <c r="O28" t="s">
        <v>0</v>
      </c>
      <c r="P28" t="s">
        <v>401</v>
      </c>
      <c r="Q28" t="s">
        <v>402</v>
      </c>
      <c r="R28" t="s">
        <v>403</v>
      </c>
      <c r="S28" t="s">
        <v>49</v>
      </c>
      <c r="T28" t="s">
        <v>405</v>
      </c>
      <c r="U28" t="s">
        <v>406</v>
      </c>
      <c r="X28" t="s">
        <v>407</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1.7291115994377364E-2</v>
      </c>
      <c r="D30" s="60">
        <f t="shared" si="6"/>
        <v>3.8146840639259348E-2</v>
      </c>
      <c r="E30" s="3">
        <f t="shared" si="6"/>
        <v>0</v>
      </c>
      <c r="F30" s="60">
        <f t="shared" si="6"/>
        <v>1.2099547049490931E-2</v>
      </c>
      <c r="G30" s="60">
        <f t="shared" si="6"/>
        <v>9.9504791522039074E-3</v>
      </c>
      <c r="H30" s="60">
        <f t="shared" si="6"/>
        <v>4.0077778960086359E-2</v>
      </c>
      <c r="I30" s="60">
        <f t="shared" si="6"/>
        <v>4.0077778960086359E-2</v>
      </c>
      <c r="J30" s="60"/>
      <c r="K30" s="60"/>
      <c r="L30" s="60"/>
      <c r="O30">
        <v>2026</v>
      </c>
      <c r="P30">
        <v>1997</v>
      </c>
      <c r="Q30">
        <v>1</v>
      </c>
      <c r="R30">
        <v>7270920000</v>
      </c>
      <c r="X30">
        <v>2026</v>
      </c>
      <c r="Y30">
        <f>U59</f>
        <v>7.453940728279905E-2</v>
      </c>
    </row>
    <row r="31" spans="1:27">
      <c r="A31">
        <v>2028</v>
      </c>
      <c r="B31" t="s">
        <v>109</v>
      </c>
      <c r="C31" s="60">
        <f t="shared" ref="C31:C43" si="7">C12*(1-$Y32)</f>
        <v>3.0851773760637947E-2</v>
      </c>
      <c r="D31" s="60">
        <f t="shared" ref="D31:D43" si="8">D12*(1-$Y32)</f>
        <v>6.791770435385068E-2</v>
      </c>
      <c r="E31" s="3">
        <f t="shared" ref="E31:E43" si="9">E12*(1-$Y32)</f>
        <v>0</v>
      </c>
      <c r="F31" s="60">
        <f t="shared" ref="F31:F43" si="10">F12*(1-$Y32)</f>
        <v>2.1065406544840504E-2</v>
      </c>
      <c r="G31" s="60">
        <f t="shared" ref="G31:G43" si="11">G12*(1-$Y32)</f>
        <v>1.8379990080900695E-2</v>
      </c>
      <c r="H31" s="60">
        <f t="shared" ref="H31:H43" si="12">H12*(1-$Y32)</f>
        <v>6.7930774362821522E-2</v>
      </c>
      <c r="I31" s="60">
        <f t="shared" ref="I31:I43" si="13">I12*(1-$Y32)</f>
        <v>6.7930774362821522E-2</v>
      </c>
      <c r="J31" s="60"/>
      <c r="K31" s="60"/>
      <c r="L31" s="60"/>
      <c r="O31">
        <v>2026</v>
      </c>
      <c r="P31">
        <v>1998</v>
      </c>
      <c r="Q31">
        <v>1</v>
      </c>
      <c r="R31">
        <v>8408160000</v>
      </c>
      <c r="X31">
        <v>2027</v>
      </c>
      <c r="Y31">
        <f>U90</f>
        <v>7.2461712268998862E-2</v>
      </c>
    </row>
    <row r="32" spans="1:27">
      <c r="A32">
        <v>2029</v>
      </c>
      <c r="B32" t="s">
        <v>109</v>
      </c>
      <c r="C32" s="60">
        <f t="shared" si="7"/>
        <v>4.9367143092707469E-2</v>
      </c>
      <c r="D32" s="60">
        <f t="shared" si="8"/>
        <v>0.10376125827365218</v>
      </c>
      <c r="E32" s="3">
        <f t="shared" si="9"/>
        <v>0</v>
      </c>
      <c r="F32" s="60">
        <f t="shared" si="10"/>
        <v>3.1931128260412951E-2</v>
      </c>
      <c r="G32" s="60">
        <f t="shared" si="11"/>
        <v>3.0374061690024771E-2</v>
      </c>
      <c r="H32" s="60">
        <f t="shared" si="12"/>
        <v>0.10253644789263741</v>
      </c>
      <c r="I32" s="60">
        <f t="shared" si="13"/>
        <v>0.10253644789263741</v>
      </c>
      <c r="J32" s="60"/>
      <c r="K32" s="60"/>
      <c r="L32" s="60"/>
      <c r="O32">
        <v>2026</v>
      </c>
      <c r="P32">
        <v>1999</v>
      </c>
      <c r="Q32">
        <v>1</v>
      </c>
      <c r="R32">
        <v>10960200000</v>
      </c>
      <c r="X32">
        <v>2028</v>
      </c>
      <c r="Y32">
        <f>U121</f>
        <v>7.03275857866177E-2</v>
      </c>
    </row>
    <row r="33" spans="1:25">
      <c r="A33">
        <v>2030</v>
      </c>
      <c r="B33" t="s">
        <v>109</v>
      </c>
      <c r="C33" s="60">
        <f t="shared" si="7"/>
        <v>7.2268739863225309E-2</v>
      </c>
      <c r="D33" s="60">
        <f t="shared" si="8"/>
        <v>0.14608755549071636</v>
      </c>
      <c r="E33" s="3">
        <f t="shared" si="9"/>
        <v>0</v>
      </c>
      <c r="F33" s="60">
        <f t="shared" si="10"/>
        <v>4.460297195259965E-2</v>
      </c>
      <c r="G33" s="60">
        <f t="shared" si="11"/>
        <v>4.4833483322528678E-2</v>
      </c>
      <c r="H33" s="60">
        <f t="shared" si="12"/>
        <v>0.14233091075069429</v>
      </c>
      <c r="I33" s="60">
        <f t="shared" si="13"/>
        <v>0.14233091075069429</v>
      </c>
      <c r="J33" s="60"/>
      <c r="K33" s="60"/>
      <c r="L33" s="60"/>
      <c r="O33">
        <v>2026</v>
      </c>
      <c r="P33">
        <v>2000</v>
      </c>
      <c r="Q33">
        <v>1</v>
      </c>
      <c r="R33">
        <v>13445900000</v>
      </c>
      <c r="X33">
        <v>2029</v>
      </c>
      <c r="Y33">
        <f>U152</f>
        <v>6.8161021074259795E-2</v>
      </c>
    </row>
    <row r="34" spans="1:25">
      <c r="A34">
        <v>2031</v>
      </c>
      <c r="B34" t="s">
        <v>109</v>
      </c>
      <c r="C34" s="60">
        <f t="shared" si="7"/>
        <v>0.10084826602458379</v>
      </c>
      <c r="D34" s="60">
        <f t="shared" si="8"/>
        <v>0.19740711439809261</v>
      </c>
      <c r="E34" s="3">
        <f t="shared" si="9"/>
        <v>0</v>
      </c>
      <c r="F34" s="60">
        <f t="shared" si="10"/>
        <v>5.9390693920075066E-2</v>
      </c>
      <c r="G34" s="60">
        <f t="shared" si="11"/>
        <v>6.2260499336589552E-2</v>
      </c>
      <c r="H34" s="60">
        <f t="shared" si="12"/>
        <v>0.18782560098270629</v>
      </c>
      <c r="I34" s="60">
        <f t="shared" si="13"/>
        <v>0.18782560098270629</v>
      </c>
      <c r="J34" s="60"/>
      <c r="K34" s="60"/>
      <c r="L34" s="60"/>
      <c r="O34">
        <v>2026</v>
      </c>
      <c r="P34">
        <v>2001</v>
      </c>
      <c r="Q34">
        <v>1</v>
      </c>
      <c r="R34">
        <v>14970300000</v>
      </c>
      <c r="X34">
        <v>2030</v>
      </c>
      <c r="Y34">
        <f>U183</f>
        <v>6.5694363096126474E-2</v>
      </c>
    </row>
    <row r="35" spans="1:25">
      <c r="A35">
        <v>2032</v>
      </c>
      <c r="B35" t="s">
        <v>109</v>
      </c>
      <c r="C35" s="60">
        <f t="shared" si="7"/>
        <v>0.1343245985266977</v>
      </c>
      <c r="D35" s="60">
        <f t="shared" si="8"/>
        <v>0.25399988822631525</v>
      </c>
      <c r="E35" s="3">
        <f t="shared" si="9"/>
        <v>0</v>
      </c>
      <c r="F35" s="60">
        <f t="shared" si="10"/>
        <v>7.5488551058133208E-2</v>
      </c>
      <c r="G35" s="60">
        <f t="shared" si="11"/>
        <v>8.1583359287987406E-2</v>
      </c>
      <c r="H35" s="60">
        <f t="shared" si="12"/>
        <v>0.23583780058349388</v>
      </c>
      <c r="I35" s="60">
        <f t="shared" si="13"/>
        <v>0.23583780058349388</v>
      </c>
      <c r="J35" s="60"/>
      <c r="K35" s="60"/>
      <c r="L35" s="60"/>
      <c r="O35">
        <v>2026</v>
      </c>
      <c r="P35">
        <v>2002</v>
      </c>
      <c r="Q35">
        <v>1</v>
      </c>
      <c r="R35">
        <v>18529700000</v>
      </c>
      <c r="X35">
        <v>2031</v>
      </c>
      <c r="Y35">
        <f>U214</f>
        <v>6.2888647044076776E-2</v>
      </c>
    </row>
    <row r="36" spans="1:25">
      <c r="A36">
        <v>2033</v>
      </c>
      <c r="B36" t="s">
        <v>109</v>
      </c>
      <c r="C36" s="60">
        <f t="shared" si="7"/>
        <v>0.17206945815678601</v>
      </c>
      <c r="D36" s="60">
        <f t="shared" si="8"/>
        <v>0.31381963693187925</v>
      </c>
      <c r="E36" s="3">
        <f t="shared" si="9"/>
        <v>0</v>
      </c>
      <c r="F36" s="60">
        <f t="shared" si="10"/>
        <v>9.2562641972739071E-2</v>
      </c>
      <c r="G36" s="60">
        <f t="shared" si="11"/>
        <v>0.10246063105975221</v>
      </c>
      <c r="H36" s="60">
        <f t="shared" si="12"/>
        <v>0.28506482119563209</v>
      </c>
      <c r="I36" s="60">
        <f t="shared" si="13"/>
        <v>0.28506482119563209</v>
      </c>
      <c r="J36" s="60"/>
      <c r="K36" s="60"/>
      <c r="L36" s="60"/>
      <c r="O36">
        <v>2026</v>
      </c>
      <c r="P36">
        <v>2003</v>
      </c>
      <c r="Q36">
        <v>1</v>
      </c>
      <c r="R36">
        <v>21602800000</v>
      </c>
      <c r="X36">
        <v>2032</v>
      </c>
      <c r="Y36">
        <f>U245</f>
        <v>5.9878131657539198E-2</v>
      </c>
    </row>
    <row r="37" spans="1:25">
      <c r="A37">
        <v>2034</v>
      </c>
      <c r="B37" t="s">
        <v>109</v>
      </c>
      <c r="C37" s="60">
        <f t="shared" si="7"/>
        <v>0.21437576988206719</v>
      </c>
      <c r="D37" s="60">
        <f t="shared" si="8"/>
        <v>0.37969043011414472</v>
      </c>
      <c r="E37" s="3">
        <f t="shared" si="9"/>
        <v>0</v>
      </c>
      <c r="F37" s="60">
        <f t="shared" si="10"/>
        <v>0.11040928601552977</v>
      </c>
      <c r="G37" s="60">
        <f t="shared" si="11"/>
        <v>0.12567009095081769</v>
      </c>
      <c r="H37" s="60">
        <f t="shared" si="12"/>
        <v>0.33599382841256009</v>
      </c>
      <c r="I37" s="60">
        <f t="shared" si="13"/>
        <v>0.33599382841256009</v>
      </c>
      <c r="J37" s="60"/>
      <c r="K37" s="60"/>
      <c r="L37" s="60"/>
      <c r="O37">
        <v>2026</v>
      </c>
      <c r="P37">
        <v>2004</v>
      </c>
      <c r="Q37">
        <v>1</v>
      </c>
      <c r="R37">
        <v>25842500000</v>
      </c>
      <c r="X37">
        <v>2033</v>
      </c>
      <c r="Y37">
        <f>U276</f>
        <v>5.662753779128795E-2</v>
      </c>
    </row>
    <row r="38" spans="1:25">
      <c r="A38">
        <v>2035</v>
      </c>
      <c r="B38" t="s">
        <v>109</v>
      </c>
      <c r="C38" s="60">
        <f t="shared" si="7"/>
        <v>0.26105633357807484</v>
      </c>
      <c r="D38" s="60">
        <f t="shared" si="8"/>
        <v>0.44845275659837863</v>
      </c>
      <c r="E38" s="3">
        <f t="shared" si="9"/>
        <v>0</v>
      </c>
      <c r="F38" s="60">
        <f t="shared" si="10"/>
        <v>0.12899152262194691</v>
      </c>
      <c r="G38" s="60">
        <f t="shared" si="11"/>
        <v>0.1499701752380975</v>
      </c>
      <c r="H38" s="60">
        <f t="shared" si="12"/>
        <v>0.38709134095235737</v>
      </c>
      <c r="I38" s="60">
        <f t="shared" si="13"/>
        <v>0.38709134095235737</v>
      </c>
      <c r="J38" s="60"/>
      <c r="K38" s="60"/>
      <c r="L38" s="60"/>
      <c r="O38">
        <v>2026</v>
      </c>
      <c r="P38">
        <v>2005</v>
      </c>
      <c r="Q38">
        <v>1</v>
      </c>
      <c r="R38">
        <v>29935400000</v>
      </c>
      <c r="X38">
        <v>2034</v>
      </c>
      <c r="Y38">
        <f>U307</f>
        <v>5.3178950138530023E-2</v>
      </c>
    </row>
    <row r="39" spans="1:25">
      <c r="A39">
        <v>2036</v>
      </c>
      <c r="B39" t="s">
        <v>109</v>
      </c>
      <c r="C39" s="60">
        <f t="shared" si="7"/>
        <v>0.31069167062660163</v>
      </c>
      <c r="D39" s="60">
        <f t="shared" si="8"/>
        <v>0.51406641278177101</v>
      </c>
      <c r="E39" s="3">
        <f t="shared" si="9"/>
        <v>0</v>
      </c>
      <c r="F39" s="60">
        <f t="shared" si="10"/>
        <v>0.14694634863567979</v>
      </c>
      <c r="G39" s="60">
        <f t="shared" si="11"/>
        <v>0.17614384550997764</v>
      </c>
      <c r="H39" s="60">
        <f t="shared" si="12"/>
        <v>0.4350144422161768</v>
      </c>
      <c r="I39" s="60">
        <f t="shared" si="13"/>
        <v>0.4350144422161768</v>
      </c>
      <c r="J39" s="60"/>
      <c r="K39" s="60"/>
      <c r="L39" s="60"/>
      <c r="O39">
        <v>2026</v>
      </c>
      <c r="P39">
        <v>2006</v>
      </c>
      <c r="Q39">
        <v>1</v>
      </c>
      <c r="R39">
        <v>33294400000</v>
      </c>
      <c r="X39">
        <v>2035</v>
      </c>
      <c r="Y39">
        <f>U338</f>
        <v>4.9590097975456431E-2</v>
      </c>
    </row>
    <row r="40" spans="1:25">
      <c r="A40">
        <v>2037</v>
      </c>
      <c r="B40" t="s">
        <v>109</v>
      </c>
      <c r="C40" s="60">
        <f t="shared" si="7"/>
        <v>0.36077780018928773</v>
      </c>
      <c r="D40" s="60">
        <f t="shared" si="8"/>
        <v>0.57250799047257006</v>
      </c>
      <c r="E40" s="3">
        <f t="shared" si="9"/>
        <v>0</v>
      </c>
      <c r="F40" s="60">
        <f t="shared" si="10"/>
        <v>0.16296926161695649</v>
      </c>
      <c r="G40" s="60">
        <f t="shared" si="11"/>
        <v>0.20145514557473929</v>
      </c>
      <c r="H40" s="60">
        <f t="shared" si="12"/>
        <v>0.47747442237057841</v>
      </c>
      <c r="I40" s="60">
        <f t="shared" si="13"/>
        <v>0.47747442237057841</v>
      </c>
      <c r="J40" s="60"/>
      <c r="K40" s="60"/>
      <c r="L40" s="60"/>
      <c r="O40">
        <v>2026</v>
      </c>
      <c r="P40">
        <v>2007</v>
      </c>
      <c r="Q40">
        <v>1</v>
      </c>
      <c r="R40">
        <v>39019700000</v>
      </c>
      <c r="X40">
        <v>2036</v>
      </c>
      <c r="Y40">
        <f>U369</f>
        <v>4.5915116323808527E-2</v>
      </c>
    </row>
    <row r="41" spans="1:25">
      <c r="A41">
        <v>2038</v>
      </c>
      <c r="B41" t="s">
        <v>109</v>
      </c>
      <c r="C41" s="60">
        <f t="shared" si="7"/>
        <v>0.41112797825497083</v>
      </c>
      <c r="D41" s="60">
        <f t="shared" si="8"/>
        <v>0.62472020940814232</v>
      </c>
      <c r="E41" s="3">
        <f t="shared" si="9"/>
        <v>0</v>
      </c>
      <c r="F41" s="60">
        <f t="shared" si="10"/>
        <v>0.1780395479079914</v>
      </c>
      <c r="G41" s="60">
        <f t="shared" si="11"/>
        <v>0.22834181698707118</v>
      </c>
      <c r="H41" s="60">
        <f t="shared" si="12"/>
        <v>0.51555616456062303</v>
      </c>
      <c r="I41" s="60">
        <f t="shared" si="13"/>
        <v>0.51555616456062303</v>
      </c>
      <c r="J41" s="60"/>
      <c r="K41" s="60"/>
      <c r="L41" s="60"/>
      <c r="O41">
        <v>2026</v>
      </c>
      <c r="P41">
        <v>2008</v>
      </c>
      <c r="Q41">
        <v>1</v>
      </c>
      <c r="R41">
        <v>41678900000</v>
      </c>
      <c r="X41">
        <v>2037</v>
      </c>
      <c r="Y41">
        <f>U400</f>
        <v>4.2217067476241044E-2</v>
      </c>
    </row>
    <row r="42" spans="1:25">
      <c r="A42">
        <v>2039</v>
      </c>
      <c r="B42" t="s">
        <v>109</v>
      </c>
      <c r="C42" s="60">
        <f t="shared" si="7"/>
        <v>0.46173893434487023</v>
      </c>
      <c r="D42" s="60">
        <f t="shared" si="8"/>
        <v>0.67083932149602132</v>
      </c>
      <c r="E42" s="3">
        <f t="shared" si="9"/>
        <v>0</v>
      </c>
      <c r="F42" s="60">
        <f t="shared" si="10"/>
        <v>0.19110722251089352</v>
      </c>
      <c r="G42" s="60">
        <f t="shared" si="11"/>
        <v>0.25692892224717956</v>
      </c>
      <c r="H42" s="60">
        <f t="shared" si="12"/>
        <v>0.54959367734728271</v>
      </c>
      <c r="I42" s="60">
        <f t="shared" si="13"/>
        <v>0.54959367734728271</v>
      </c>
      <c r="J42" s="60"/>
      <c r="K42" s="60"/>
      <c r="L42" s="60"/>
      <c r="O42">
        <v>2026</v>
      </c>
      <c r="P42">
        <v>2009</v>
      </c>
      <c r="Q42">
        <v>1</v>
      </c>
      <c r="R42">
        <v>32694800000</v>
      </c>
      <c r="X42">
        <v>2038</v>
      </c>
      <c r="Y42">
        <f>U431</f>
        <v>3.8550352318851601E-2</v>
      </c>
    </row>
    <row r="43" spans="1:25">
      <c r="A43">
        <v>2040</v>
      </c>
      <c r="B43" t="s">
        <v>109</v>
      </c>
      <c r="C43" s="60">
        <f t="shared" si="7"/>
        <v>0.5107312226885895</v>
      </c>
      <c r="D43" s="60">
        <f t="shared" si="8"/>
        <v>0.71083183182770759</v>
      </c>
      <c r="E43" s="3">
        <f t="shared" si="9"/>
        <v>0</v>
      </c>
      <c r="F43" s="60">
        <f t="shared" si="10"/>
        <v>0.20266523814078655</v>
      </c>
      <c r="G43" s="60">
        <f t="shared" si="11"/>
        <v>0.28794204105981536</v>
      </c>
      <c r="H43" s="60">
        <f t="shared" si="12"/>
        <v>0.57951572333186807</v>
      </c>
      <c r="I43" s="60">
        <f t="shared" si="13"/>
        <v>0.57951572333186807</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277</v>
      </c>
      <c r="O45">
        <v>2026</v>
      </c>
      <c r="P45">
        <v>2012</v>
      </c>
      <c r="Q45">
        <v>1</v>
      </c>
      <c r="R45">
        <v>73285900000</v>
      </c>
    </row>
    <row r="46" spans="1:25">
      <c r="A46" t="s">
        <v>0</v>
      </c>
      <c r="B46" t="s">
        <v>276</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0.74132412168612971</v>
      </c>
      <c r="E47" s="16">
        <f t="shared" si="14"/>
        <v>1.625670434634745</v>
      </c>
      <c r="F47" s="16">
        <f t="shared" ref="F47:G61" si="15">F10/$C47</f>
        <v>0.53289746548140171</v>
      </c>
      <c r="G47" s="16">
        <f t="shared" si="15"/>
        <v>0.40156537862427805</v>
      </c>
      <c r="H47" s="16"/>
      <c r="I47" s="16"/>
      <c r="J47" s="16"/>
      <c r="K47" s="16"/>
      <c r="L47" s="16"/>
      <c r="O47">
        <v>2026</v>
      </c>
      <c r="P47">
        <v>2014</v>
      </c>
      <c r="Q47">
        <v>1</v>
      </c>
      <c r="R47">
        <v>122686000000</v>
      </c>
    </row>
    <row r="48" spans="1:25">
      <c r="A48">
        <v>2027</v>
      </c>
      <c r="B48" s="16"/>
      <c r="C48" s="16">
        <f>'CARB ZEV counts'!Q66</f>
        <v>2.410048860840569E-2</v>
      </c>
      <c r="D48" s="16">
        <f t="shared" si="14"/>
        <v>0.77350892818891892</v>
      </c>
      <c r="E48" s="16">
        <f t="shared" si="14"/>
        <v>1.7064787389236127</v>
      </c>
      <c r="F48" s="16">
        <f t="shared" si="15"/>
        <v>0.54126683742486437</v>
      </c>
      <c r="G48" s="16">
        <f t="shared" si="15"/>
        <v>0.44512942174988746</v>
      </c>
      <c r="H48" s="16"/>
      <c r="I48" s="16"/>
      <c r="J48" s="16"/>
      <c r="K48" s="16"/>
      <c r="L48" s="16"/>
      <c r="O48">
        <v>2026</v>
      </c>
      <c r="P48">
        <v>2015</v>
      </c>
      <c r="Q48">
        <v>1</v>
      </c>
      <c r="R48">
        <v>140891000000</v>
      </c>
    </row>
    <row r="49" spans="1:21">
      <c r="A49">
        <v>2028</v>
      </c>
      <c r="B49" s="16"/>
      <c r="C49" s="16">
        <f>'CARB ZEV counts'!Q67</f>
        <v>4.3096979039863592E-2</v>
      </c>
      <c r="D49" s="16">
        <f t="shared" si="14"/>
        <v>0.77002241042420194</v>
      </c>
      <c r="E49" s="16">
        <f t="shared" si="14"/>
        <v>1.6951425491053844</v>
      </c>
      <c r="F49" s="16">
        <f t="shared" si="15"/>
        <v>0.52576669497424811</v>
      </c>
      <c r="G49" s="16">
        <f t="shared" si="15"/>
        <v>0.45874199569442914</v>
      </c>
      <c r="H49" s="16"/>
      <c r="I49" s="16"/>
      <c r="J49" s="16"/>
      <c r="K49" s="16"/>
      <c r="L49" s="16"/>
      <c r="O49">
        <v>2026</v>
      </c>
      <c r="P49">
        <v>2016</v>
      </c>
      <c r="Q49">
        <v>1</v>
      </c>
      <c r="R49">
        <v>152958000000</v>
      </c>
    </row>
    <row r="50" spans="1:21">
      <c r="A50">
        <v>2029</v>
      </c>
      <c r="B50" s="16"/>
      <c r="C50" s="16">
        <f>'CARB ZEV counts'!Q68</f>
        <v>6.67485960347355E-2</v>
      </c>
      <c r="D50" s="16">
        <f t="shared" si="14"/>
        <v>0.79369745298301519</v>
      </c>
      <c r="E50" s="16">
        <f t="shared" si="14"/>
        <v>1.668215765604554</v>
      </c>
      <c r="F50" s="16">
        <f t="shared" si="15"/>
        <v>0.51337090995058032</v>
      </c>
      <c r="G50" s="16">
        <f t="shared" si="15"/>
        <v>0.48833726016612167</v>
      </c>
      <c r="H50" s="16"/>
      <c r="I50" s="16"/>
      <c r="J50" s="16"/>
      <c r="K50" s="16"/>
      <c r="L50" s="16"/>
      <c r="O50">
        <v>2026</v>
      </c>
      <c r="P50">
        <v>2017</v>
      </c>
      <c r="Q50">
        <v>1</v>
      </c>
      <c r="R50">
        <v>161362000000</v>
      </c>
    </row>
    <row r="51" spans="1:21">
      <c r="A51">
        <v>2030</v>
      </c>
      <c r="B51" s="16"/>
      <c r="C51" s="16">
        <f>'CARB ZEV counts'!Q69</f>
        <v>9.5579175919431866E-2</v>
      </c>
      <c r="D51" s="16">
        <f t="shared" si="14"/>
        <v>0.80927892594172568</v>
      </c>
      <c r="E51" s="16">
        <f t="shared" si="14"/>
        <v>1.6359158915006828</v>
      </c>
      <c r="F51" s="16">
        <f t="shared" si="15"/>
        <v>0.49947245937765</v>
      </c>
      <c r="G51" s="16">
        <f t="shared" si="15"/>
        <v>0.50205376900372867</v>
      </c>
      <c r="H51" s="16"/>
      <c r="I51" s="16"/>
      <c r="J51" s="16"/>
      <c r="K51" s="16"/>
      <c r="L51" s="16"/>
      <c r="O51">
        <v>2026</v>
      </c>
      <c r="P51">
        <v>2018</v>
      </c>
      <c r="Q51">
        <v>1</v>
      </c>
      <c r="R51">
        <v>160430000000</v>
      </c>
    </row>
    <row r="52" spans="1:21">
      <c r="A52">
        <v>2031</v>
      </c>
      <c r="B52" s="16"/>
      <c r="C52" s="16">
        <f>'CARB ZEV counts'!Q70</f>
        <v>0.12874877904701809</v>
      </c>
      <c r="D52" s="16">
        <f t="shared" si="14"/>
        <v>0.83586110521492352</v>
      </c>
      <c r="E52" s="16">
        <f t="shared" si="14"/>
        <v>1.6361702121666155</v>
      </c>
      <c r="F52" s="16">
        <f t="shared" si="15"/>
        <v>0.49224813689323976</v>
      </c>
      <c r="G52" s="16">
        <f t="shared" si="15"/>
        <v>0.516033957133469</v>
      </c>
      <c r="H52" s="16"/>
      <c r="I52" s="16"/>
      <c r="J52" s="16"/>
      <c r="K52" s="16"/>
      <c r="L52" s="16"/>
      <c r="O52">
        <v>2026</v>
      </c>
      <c r="P52">
        <v>2019</v>
      </c>
      <c r="Q52">
        <v>1</v>
      </c>
      <c r="R52">
        <v>170830000000</v>
      </c>
    </row>
    <row r="53" spans="1:21">
      <c r="A53">
        <v>2032</v>
      </c>
      <c r="B53" s="16"/>
      <c r="C53" s="16">
        <f>'CARB ZEV counts'!Q71</f>
        <v>0.16465763424633659</v>
      </c>
      <c r="D53" s="16">
        <f t="shared" si="14"/>
        <v>0.86773981503389386</v>
      </c>
      <c r="E53" s="16">
        <f t="shared" si="14"/>
        <v>1.6408447778410871</v>
      </c>
      <c r="F53" s="16">
        <f t="shared" si="15"/>
        <v>0.4876576744008792</v>
      </c>
      <c r="G53" s="16">
        <f t="shared" si="15"/>
        <v>0.52703026753756799</v>
      </c>
      <c r="H53" s="16"/>
      <c r="I53" s="16"/>
      <c r="J53" s="16"/>
      <c r="K53" s="16"/>
      <c r="L53" s="16"/>
      <c r="O53">
        <v>2026</v>
      </c>
      <c r="P53">
        <v>2020</v>
      </c>
      <c r="Q53">
        <v>1</v>
      </c>
      <c r="R53">
        <v>179506000000</v>
      </c>
    </row>
    <row r="54" spans="1:21">
      <c r="A54">
        <v>2033</v>
      </c>
      <c r="B54" s="16"/>
      <c r="C54" s="16">
        <f>'CARB ZEV counts'!Q72</f>
        <v>0.20330207042378659</v>
      </c>
      <c r="D54" s="16">
        <f t="shared" si="14"/>
        <v>0.89717837052946992</v>
      </c>
      <c r="E54" s="16">
        <f t="shared" si="14"/>
        <v>1.6362705707258574</v>
      </c>
      <c r="F54" s="16">
        <f t="shared" si="15"/>
        <v>0.48262603478030219</v>
      </c>
      <c r="G54" s="16">
        <f t="shared" si="15"/>
        <v>0.53423462247349651</v>
      </c>
      <c r="H54" s="16"/>
      <c r="I54" s="16"/>
      <c r="J54" s="16"/>
      <c r="K54" s="16"/>
      <c r="L54" s="16"/>
      <c r="O54">
        <v>2026</v>
      </c>
      <c r="P54">
        <v>2021</v>
      </c>
      <c r="Q54">
        <v>1</v>
      </c>
      <c r="R54">
        <v>187633000000</v>
      </c>
    </row>
    <row r="55" spans="1:21">
      <c r="A55">
        <v>2034</v>
      </c>
      <c r="B55" s="16"/>
      <c r="C55" s="16">
        <f>'CARB ZEV counts'!Q73</f>
        <v>0.24452531371012765</v>
      </c>
      <c r="D55" s="16">
        <f t="shared" si="14"/>
        <v>0.9259423919756522</v>
      </c>
      <c r="E55" s="16">
        <f t="shared" si="14"/>
        <v>1.639977620901665</v>
      </c>
      <c r="F55" s="16">
        <f t="shared" si="15"/>
        <v>0.4768852302934421</v>
      </c>
      <c r="G55" s="16">
        <f t="shared" si="15"/>
        <v>0.54280045118350773</v>
      </c>
      <c r="H55" s="16"/>
      <c r="I55" s="16"/>
      <c r="J55" s="16"/>
      <c r="K55" s="16"/>
      <c r="L55" s="16"/>
      <c r="O55">
        <v>2026</v>
      </c>
      <c r="P55">
        <v>2022</v>
      </c>
      <c r="Q55">
        <v>1</v>
      </c>
      <c r="R55">
        <v>191348000000</v>
      </c>
    </row>
    <row r="56" spans="1:21">
      <c r="A56">
        <v>2035</v>
      </c>
      <c r="B56" s="16"/>
      <c r="C56" s="16">
        <f>'CARB ZEV counts'!Q74</f>
        <v>0.28736786283405502</v>
      </c>
      <c r="D56" s="16">
        <f t="shared" si="14"/>
        <v>0.95583974195268961</v>
      </c>
      <c r="E56" s="16">
        <f t="shared" si="14"/>
        <v>1.6419788069105374</v>
      </c>
      <c r="F56" s="16">
        <f t="shared" si="15"/>
        <v>0.47229355444912818</v>
      </c>
      <c r="G56" s="16">
        <f t="shared" si="15"/>
        <v>0.54910544262781291</v>
      </c>
      <c r="H56" s="16"/>
      <c r="I56" s="16"/>
      <c r="J56" s="16"/>
      <c r="K56" s="16"/>
      <c r="L56" s="16"/>
      <c r="O56">
        <v>2026</v>
      </c>
      <c r="P56">
        <v>2023</v>
      </c>
      <c r="Q56">
        <v>1</v>
      </c>
      <c r="R56">
        <v>199005000000</v>
      </c>
    </row>
    <row r="57" spans="1:21">
      <c r="A57">
        <v>2036</v>
      </c>
      <c r="B57" s="16"/>
      <c r="C57" s="16">
        <f>'CARB ZEV counts'!Q75</f>
        <v>0.32855409334383223</v>
      </c>
      <c r="D57" s="16">
        <f t="shared" si="14"/>
        <v>0.99114161915324261</v>
      </c>
      <c r="E57" s="16">
        <f t="shared" si="14"/>
        <v>1.6399300814509792</v>
      </c>
      <c r="F57" s="16">
        <f t="shared" si="15"/>
        <v>0.46877549572439148</v>
      </c>
      <c r="G57" s="16">
        <f t="shared" si="15"/>
        <v>0.5619188177479576</v>
      </c>
      <c r="H57" s="16"/>
      <c r="I57" s="16"/>
      <c r="J57" s="16"/>
      <c r="K57" s="16"/>
      <c r="L57" s="16"/>
      <c r="O57">
        <v>2026</v>
      </c>
      <c r="P57">
        <v>2024</v>
      </c>
      <c r="Q57">
        <v>1</v>
      </c>
      <c r="R57">
        <v>205203000000</v>
      </c>
    </row>
    <row r="58" spans="1:21">
      <c r="A58">
        <v>2037</v>
      </c>
      <c r="B58" s="16"/>
      <c r="C58" s="16">
        <f>'CARB ZEV counts'!Q76</f>
        <v>0.36795868020093137</v>
      </c>
      <c r="D58" s="16">
        <f t="shared" si="14"/>
        <v>1.023702255040186</v>
      </c>
      <c r="E58" s="16">
        <f t="shared" si="14"/>
        <v>1.6244838805708124</v>
      </c>
      <c r="F58" s="16">
        <f t="shared" si="15"/>
        <v>0.46242313283129211</v>
      </c>
      <c r="G58" s="16">
        <f t="shared" si="15"/>
        <v>0.57162632153671233</v>
      </c>
      <c r="H58" s="16"/>
      <c r="I58" s="16"/>
      <c r="J58" s="16"/>
      <c r="K58" s="16"/>
      <c r="L58" s="16"/>
      <c r="O58">
        <v>2026</v>
      </c>
      <c r="P58">
        <v>2025</v>
      </c>
      <c r="Q58">
        <v>1</v>
      </c>
      <c r="R58">
        <v>210577000000</v>
      </c>
    </row>
    <row r="59" spans="1:21">
      <c r="A59">
        <v>2038</v>
      </c>
      <c r="B59" s="16"/>
      <c r="C59" s="16">
        <f>'CARB ZEV counts'!Q77</f>
        <v>0.4055658587593895</v>
      </c>
      <c r="D59" s="16">
        <f t="shared" si="14"/>
        <v>1.0543604329371432</v>
      </c>
      <c r="E59" s="16">
        <f t="shared" si="14"/>
        <v>1.6021295199901366</v>
      </c>
      <c r="F59" s="16">
        <f t="shared" si="15"/>
        <v>0.4565922650386624</v>
      </c>
      <c r="G59" s="16">
        <f t="shared" si="15"/>
        <v>0.58559521548016025</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1.0836253663394613</v>
      </c>
      <c r="E60" s="16">
        <f t="shared" si="14"/>
        <v>1.5743495976626813</v>
      </c>
      <c r="F60" s="16">
        <f t="shared" si="15"/>
        <v>0.44849723209351577</v>
      </c>
      <c r="G60" s="16">
        <f t="shared" si="15"/>
        <v>0.60296993990408554</v>
      </c>
      <c r="H60" s="16"/>
      <c r="I60" s="16"/>
      <c r="J60" s="16"/>
      <c r="K60" s="16"/>
      <c r="L60" s="16"/>
      <c r="O60">
        <v>2027</v>
      </c>
      <c r="P60">
        <v>1997</v>
      </c>
      <c r="Q60">
        <v>1</v>
      </c>
      <c r="R60">
        <v>39543600000</v>
      </c>
    </row>
    <row r="61" spans="1:21">
      <c r="A61">
        <v>2040</v>
      </c>
      <c r="B61" s="16"/>
      <c r="C61" s="16">
        <f>'CARB ZEV counts'!Q79</f>
        <v>0.47511632305618995</v>
      </c>
      <c r="D61" s="16">
        <f t="shared" si="14"/>
        <v>1.1083487415521476</v>
      </c>
      <c r="E61" s="16">
        <f t="shared" si="14"/>
        <v>1.5425913499355937</v>
      </c>
      <c r="F61" s="16">
        <f t="shared" si="15"/>
        <v>0.43980816459045419</v>
      </c>
      <c r="G61" s="16">
        <f t="shared" si="15"/>
        <v>0.62486917711548251</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kxD1vq3D3bpHqNm4fSRBQd2uvb+aJ65vtDIAFFyU86MUPBxyykQEKqRcTd9q7D1Al2X1lJAiS1DizLo2N298Xg==" saltValue="D6BaHjDKhxcUxdmVFHQzHA=="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P12" zoomScaleNormal="100" workbookViewId="0">
      <selection activeCell="J35" sqref="J35"/>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217</v>
      </c>
      <c r="AD2" s="6"/>
      <c r="AE2" s="6"/>
      <c r="AF2" s="6"/>
    </row>
    <row r="3" spans="1:45">
      <c r="A3" t="s">
        <v>306</v>
      </c>
      <c r="S3" s="29"/>
      <c r="W3" s="6"/>
      <c r="AD3" s="6"/>
      <c r="AE3" s="6"/>
      <c r="AF3" s="6"/>
    </row>
    <row r="4" spans="1:45">
      <c r="S4" s="29"/>
      <c r="V4" s="203" t="s">
        <v>552</v>
      </c>
      <c r="AD4" s="6"/>
      <c r="AE4" s="6"/>
      <c r="AF4" s="6"/>
      <c r="AG4" t="s">
        <v>553</v>
      </c>
    </row>
    <row r="5" spans="1:45">
      <c r="A5" s="2" t="s">
        <v>118</v>
      </c>
      <c r="C5" s="30" t="s">
        <v>391</v>
      </c>
      <c r="S5" s="2" t="s">
        <v>139</v>
      </c>
      <c r="T5" s="2"/>
      <c r="U5" s="2"/>
      <c r="V5" s="208" t="s">
        <v>517</v>
      </c>
      <c r="W5" s="29" t="s">
        <v>419</v>
      </c>
      <c r="X5" s="29"/>
      <c r="Y5" s="29"/>
      <c r="Z5" s="29"/>
      <c r="AD5" s="29"/>
      <c r="AE5" s="6"/>
      <c r="AF5" s="6"/>
    </row>
    <row r="6" spans="1:45" ht="16" thickBot="1">
      <c r="A6" s="6"/>
      <c r="H6" s="6"/>
      <c r="N6" s="6"/>
      <c r="S6" s="6"/>
      <c r="T6" s="6"/>
      <c r="U6" s="6"/>
      <c r="V6" s="6"/>
      <c r="W6" s="6"/>
      <c r="X6" s="29"/>
      <c r="Y6" s="29"/>
      <c r="Z6" s="29"/>
      <c r="AB6" s="6"/>
      <c r="AD6" s="145" t="s">
        <v>214</v>
      </c>
      <c r="AE6" s="145"/>
      <c r="AF6" s="145"/>
    </row>
    <row r="7" spans="1:45">
      <c r="A7" s="70" t="s">
        <v>72</v>
      </c>
      <c r="B7" s="309" t="s">
        <v>389</v>
      </c>
      <c r="C7" s="310"/>
      <c r="D7" s="311"/>
      <c r="E7" s="309" t="s">
        <v>390</v>
      </c>
      <c r="F7" s="310"/>
      <c r="G7" s="311"/>
      <c r="H7" s="309" t="s">
        <v>119</v>
      </c>
      <c r="I7" s="310"/>
      <c r="J7" s="311"/>
      <c r="K7" s="309" t="s">
        <v>120</v>
      </c>
      <c r="L7" s="310"/>
      <c r="M7" s="311"/>
      <c r="N7" s="310" t="s">
        <v>123</v>
      </c>
      <c r="O7" s="310"/>
      <c r="P7" s="311"/>
      <c r="S7" s="70" t="s">
        <v>72</v>
      </c>
      <c r="T7" s="70" t="s">
        <v>137</v>
      </c>
      <c r="U7" s="70" t="s">
        <v>213</v>
      </c>
      <c r="V7" s="309" t="s">
        <v>389</v>
      </c>
      <c r="W7" s="310"/>
      <c r="X7" s="310"/>
      <c r="Y7" s="310"/>
      <c r="Z7" s="310"/>
      <c r="AA7" s="311"/>
      <c r="AB7" s="309" t="s">
        <v>119</v>
      </c>
      <c r="AC7" s="310"/>
      <c r="AD7" s="310"/>
      <c r="AE7" s="310"/>
      <c r="AF7" s="310"/>
      <c r="AG7" s="311"/>
      <c r="AH7" s="309" t="s">
        <v>151</v>
      </c>
      <c r="AI7" s="310"/>
      <c r="AJ7" s="310"/>
      <c r="AK7" s="310"/>
      <c r="AL7" s="310"/>
      <c r="AM7" s="311"/>
      <c r="AN7" s="309" t="s">
        <v>152</v>
      </c>
      <c r="AO7" s="310"/>
      <c r="AP7" s="310"/>
      <c r="AQ7" s="310"/>
      <c r="AR7" s="310"/>
      <c r="AS7" s="311"/>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219</v>
      </c>
      <c r="AH8" s="76" t="s">
        <v>121</v>
      </c>
      <c r="AI8" s="71" t="s">
        <v>141</v>
      </c>
      <c r="AJ8" s="71" t="s">
        <v>122</v>
      </c>
      <c r="AK8" s="71" t="s">
        <v>141</v>
      </c>
      <c r="AL8" s="71" t="s">
        <v>140</v>
      </c>
      <c r="AM8" s="72" t="s">
        <v>219</v>
      </c>
      <c r="AN8" s="76" t="s">
        <v>121</v>
      </c>
      <c r="AO8" s="71" t="s">
        <v>141</v>
      </c>
      <c r="AP8" s="71" t="s">
        <v>122</v>
      </c>
      <c r="AQ8" s="71" t="s">
        <v>141</v>
      </c>
      <c r="AR8" s="71" t="s">
        <v>140</v>
      </c>
      <c r="AS8" s="72" t="s">
        <v>219</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5153813.4017606694</v>
      </c>
      <c r="U12" s="3">
        <f>T12*U$17/T$17</f>
        <v>292032.47318385472</v>
      </c>
      <c r="V12" s="77"/>
      <c r="X12" s="29"/>
      <c r="Y12" s="29"/>
      <c r="Z12" s="267">
        <v>18868</v>
      </c>
      <c r="AA12" s="104">
        <f>Z12/T12</f>
        <v>3.6609784889678441E-3</v>
      </c>
      <c r="AB12" s="77"/>
      <c r="AG12" s="73"/>
      <c r="AH12" s="77"/>
      <c r="AM12" s="104">
        <f>AA12</f>
        <v>3.6609784889678441E-3</v>
      </c>
      <c r="AN12" s="77"/>
      <c r="AS12" s="104">
        <f>AA12</f>
        <v>3.6609784889678441E-3</v>
      </c>
    </row>
    <row r="13" spans="1:45">
      <c r="A13">
        <v>2021</v>
      </c>
      <c r="B13" s="124"/>
      <c r="C13" s="125"/>
      <c r="D13" s="219">
        <f>F67</f>
        <v>3.1699999999999999E-2</v>
      </c>
      <c r="E13" s="77"/>
      <c r="G13" s="73"/>
      <c r="H13" s="77"/>
      <c r="J13" s="73"/>
      <c r="K13" s="77"/>
      <c r="M13" s="73"/>
      <c r="P13" s="73"/>
      <c r="S13">
        <v>2021</v>
      </c>
      <c r="T13">
        <f>T12+(T17-T12)/5</f>
        <v>5302568.2622576924</v>
      </c>
      <c r="U13" s="3">
        <f t="shared" ref="U13:U16" si="0">T13*U$17/T$17</f>
        <v>300461.42596554145</v>
      </c>
      <c r="V13" s="77"/>
      <c r="X13" s="29"/>
      <c r="Y13" s="29"/>
      <c r="Z13" s="267">
        <v>23896</v>
      </c>
      <c r="AA13" s="73"/>
      <c r="AB13" s="77"/>
      <c r="AG13" s="73"/>
      <c r="AH13" s="77"/>
      <c r="AM13" s="73"/>
      <c r="AN13" s="77"/>
      <c r="AS13" s="73"/>
    </row>
    <row r="14" spans="1:45">
      <c r="A14">
        <v>2022</v>
      </c>
      <c r="B14" s="124"/>
      <c r="C14" s="125"/>
      <c r="D14" s="126">
        <f>(D13+D15)/2</f>
        <v>5.2850000000000008E-2</v>
      </c>
      <c r="E14" s="77"/>
      <c r="G14" s="73"/>
      <c r="H14" s="77"/>
      <c r="J14" s="73"/>
      <c r="K14" s="77"/>
      <c r="M14" s="73"/>
      <c r="P14" s="73"/>
      <c r="S14">
        <v>2022</v>
      </c>
      <c r="T14" s="3">
        <f>T12+(T17-T12)/5*2</f>
        <v>5451323.1227547154</v>
      </c>
      <c r="U14" s="3">
        <f t="shared" si="0"/>
        <v>308890.37874722813</v>
      </c>
      <c r="V14" s="77"/>
      <c r="X14" s="29"/>
      <c r="Y14" s="29"/>
      <c r="Z14" s="102">
        <f>Z13+D14*U14</f>
        <v>40220.856516791013</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1">
        <f>'Federal GHG Rule'!N7</f>
        <v>6.7000000000000004E-2</v>
      </c>
      <c r="F15" s="210">
        <f>'Federal GHG Rule'!M7</f>
        <v>7.0000000000000001E-3</v>
      </c>
      <c r="G15" s="212">
        <f>E15+F15</f>
        <v>7.400000000000001E-2</v>
      </c>
      <c r="H15" s="248" t="s">
        <v>374</v>
      </c>
      <c r="I15" s="205"/>
      <c r="J15" s="73"/>
      <c r="K15" s="77"/>
      <c r="M15" s="73"/>
      <c r="P15" s="73"/>
      <c r="S15">
        <v>2023</v>
      </c>
      <c r="T15" s="3">
        <f>T12+(T17-T12)/5*3</f>
        <v>5600077.9832517384</v>
      </c>
      <c r="U15" s="3">
        <f t="shared" si="0"/>
        <v>317319.33152891486</v>
      </c>
      <c r="V15" s="77"/>
      <c r="X15" s="29"/>
      <c r="Y15" s="29"/>
      <c r="Z15" s="102">
        <f t="shared" ref="Z15:Z32" si="2">Z14+D15*U15</f>
        <v>63702.487049930714</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1">
        <f>'Federal GHG Rule'!N8</f>
        <v>9.5000000000000001E-2</v>
      </c>
      <c r="F16" s="210">
        <f>'Federal GHG Rule'!M8</f>
        <v>7.0000000000000001E-3</v>
      </c>
      <c r="G16" s="212">
        <f t="shared" ref="G16:G18" si="6">E16+F16</f>
        <v>0.10200000000000001</v>
      </c>
      <c r="H16" s="248" t="s">
        <v>382</v>
      </c>
      <c r="I16" s="205"/>
      <c r="J16" s="73"/>
      <c r="K16" s="77"/>
      <c r="M16" s="73"/>
      <c r="P16" s="73"/>
      <c r="S16">
        <v>2024</v>
      </c>
      <c r="T16" s="3">
        <f>T12+(T17-T12)/5*4</f>
        <v>5748832.8437487613</v>
      </c>
      <c r="U16" s="3">
        <f t="shared" si="0"/>
        <v>325748.28431060159</v>
      </c>
      <c r="V16" s="207"/>
      <c r="X16" s="29"/>
      <c r="Y16" s="29"/>
      <c r="Z16" s="102">
        <f t="shared" si="2"/>
        <v>96928.812049612083</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1">
        <f>'Federal GHG Rule'!N9</f>
        <v>0.129</v>
      </c>
      <c r="F17" s="210">
        <f>'Federal GHG Rule'!M9</f>
        <v>7.0000000000000001E-3</v>
      </c>
      <c r="G17" s="212">
        <f t="shared" si="6"/>
        <v>0.13600000000000001</v>
      </c>
      <c r="H17" s="249" t="s">
        <v>383</v>
      </c>
      <c r="I17" s="205"/>
      <c r="J17" s="73"/>
      <c r="K17" s="77"/>
      <c r="M17" s="73"/>
      <c r="P17" s="73"/>
      <c r="S17">
        <v>2025</v>
      </c>
      <c r="T17" s="3">
        <f>'ZEV Population'!C7</f>
        <v>5897587.7042457843</v>
      </c>
      <c r="U17" s="3">
        <f>'ZEV Population'!E5</f>
        <v>334177.23709228833</v>
      </c>
      <c r="V17" s="239">
        <f>(N18/(N18+O18))*Z17</f>
        <v>98466.278558580219</v>
      </c>
      <c r="W17" s="240">
        <f>V17/T17</f>
        <v>1.6696026154505935E-2</v>
      </c>
      <c r="X17" s="241">
        <f>Z17-V17</f>
        <v>43910.637735583077</v>
      </c>
      <c r="Y17" s="240">
        <f>X17/T17</f>
        <v>7.4455251770094042E-3</v>
      </c>
      <c r="Z17" s="102">
        <f t="shared" si="2"/>
        <v>142376.9162941633</v>
      </c>
      <c r="AA17" s="104">
        <f>Z17/T17</f>
        <v>2.4141551331515337E-2</v>
      </c>
      <c r="AB17" s="85">
        <f>V17</f>
        <v>98466.278558580219</v>
      </c>
      <c r="AC17" s="60">
        <f t="shared" ref="AC17:AC32" si="7">AB17/T17</f>
        <v>1.6696026154505935E-2</v>
      </c>
      <c r="AD17" s="3">
        <f>X17</f>
        <v>43910.637735583077</v>
      </c>
      <c r="AE17" s="60">
        <f t="shared" ref="AE17:AE32" si="8">AD17/T17</f>
        <v>7.4455251770094042E-3</v>
      </c>
      <c r="AF17" s="3">
        <f>Z17</f>
        <v>142376.9162941633</v>
      </c>
      <c r="AG17" s="60">
        <f>AA17</f>
        <v>2.4141551331515337E-2</v>
      </c>
      <c r="AH17" s="85">
        <f>V17</f>
        <v>98466.278558580219</v>
      </c>
      <c r="AI17" s="60">
        <f t="shared" ref="AI17:AI32" si="9">AH17/T17</f>
        <v>1.6696026154505935E-2</v>
      </c>
      <c r="AJ17" s="3">
        <f>X17</f>
        <v>43910.637735583077</v>
      </c>
      <c r="AK17" s="60">
        <f t="shared" ref="AK17:AK32" si="10">AJ17/T17</f>
        <v>7.4455251770094042E-3</v>
      </c>
      <c r="AL17" s="3">
        <f>Z17</f>
        <v>142376.9162941633</v>
      </c>
      <c r="AM17" s="104">
        <f>AA17</f>
        <v>2.4141551331515337E-2</v>
      </c>
      <c r="AN17" s="85">
        <f>V17</f>
        <v>98466.278558580219</v>
      </c>
      <c r="AO17" s="60">
        <f t="shared" ref="AO17:AO32" si="11">AN17/T17</f>
        <v>1.6696026154505935E-2</v>
      </c>
      <c r="AP17" s="3">
        <f>X17</f>
        <v>43910.637735583077</v>
      </c>
      <c r="AQ17" s="60">
        <f t="shared" ref="AQ17:AQ32" si="12">AP17/T17</f>
        <v>7.4455251770094042E-3</v>
      </c>
      <c r="AR17" s="3">
        <f>Z17</f>
        <v>142376.9162941633</v>
      </c>
      <c r="AS17" s="104">
        <f>AA17</f>
        <v>2.4141551331515337E-2</v>
      </c>
    </row>
    <row r="18" spans="1:45">
      <c r="A18">
        <v>2026</v>
      </c>
      <c r="B18" s="124">
        <f t="shared" si="3"/>
        <v>0.16600000000000001</v>
      </c>
      <c r="C18" s="42">
        <f t="shared" si="4"/>
        <v>6.0000000000000001E-3</v>
      </c>
      <c r="D18" s="42">
        <f t="shared" si="5"/>
        <v>0.17200000000000001</v>
      </c>
      <c r="E18" s="211">
        <f>'Federal GHG Rule'!N10</f>
        <v>0.16600000000000001</v>
      </c>
      <c r="F18" s="210">
        <f>'Federal GHG Rule'!M10</f>
        <v>6.0000000000000001E-3</v>
      </c>
      <c r="G18" s="212">
        <f t="shared" si="6"/>
        <v>0.17200000000000001</v>
      </c>
      <c r="H18" s="250">
        <f>J18-I18</f>
        <v>0.30470588235294116</v>
      </c>
      <c r="I18" s="251">
        <f>J18*T39</f>
        <v>4.5294117647058825E-2</v>
      </c>
      <c r="J18" s="73">
        <v>0.35</v>
      </c>
      <c r="K18" s="209">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6046342.5647428073</v>
      </c>
      <c r="U18" s="3">
        <f>'ZEV Population'!E9</f>
        <v>341618.05851252016</v>
      </c>
      <c r="V18" s="147">
        <f>V17+E18*U18</f>
        <v>155174.87627165858</v>
      </c>
      <c r="W18" s="220">
        <f t="shared" ref="W18:W32" si="14">V18/T18</f>
        <v>2.5664254813564179E-2</v>
      </c>
      <c r="X18" s="102">
        <f>Z18-V18</f>
        <v>45960.346086658188</v>
      </c>
      <c r="Y18" s="220">
        <f t="shared" ref="Y18:Y32" si="15">X18/T18</f>
        <v>7.601346697532544E-3</v>
      </c>
      <c r="Z18" s="102">
        <f t="shared" si="2"/>
        <v>201135.22235831677</v>
      </c>
      <c r="AA18" s="104">
        <f t="shared" ref="AA18:AA32" si="16">Z18/T18</f>
        <v>3.3265601511096726E-2</v>
      </c>
      <c r="AB18" s="85">
        <f t="shared" ref="AB18:AB32" si="17">AB17+H18*U18</f>
        <v>202559.31050533635</v>
      </c>
      <c r="AC18" s="60">
        <f t="shared" si="7"/>
        <v>3.3501130367057298E-2</v>
      </c>
      <c r="AD18" s="3">
        <f t="shared" ref="AD18:AD32" si="18">AD17+I18*U18</f>
        <v>59383.92626820899</v>
      </c>
      <c r="AE18" s="60">
        <f t="shared" si="8"/>
        <v>9.8214624183694428E-3</v>
      </c>
      <c r="AF18" s="3">
        <f t="shared" ref="AF18:AF32" si="19">AF17+J18*U18</f>
        <v>261943.23677354533</v>
      </c>
      <c r="AG18" s="104">
        <f t="shared" ref="AG18:AG32" si="20">AF18/T18</f>
        <v>4.3322592785426738E-2</v>
      </c>
      <c r="AH18" s="146">
        <f t="shared" ref="AH18:AH32" si="21">AH17+K18*U18</f>
        <v>181740.70411598514</v>
      </c>
      <c r="AI18" s="60">
        <f t="shared" si="9"/>
        <v>3.0057956883843186E-2</v>
      </c>
      <c r="AJ18" s="3">
        <f t="shared" ref="AJ18:AJ32" si="22">AJ17+L18*U18</f>
        <v>56289.268561683806</v>
      </c>
      <c r="AK18" s="60">
        <f t="shared" si="10"/>
        <v>9.3096393330268038E-3</v>
      </c>
      <c r="AL18" s="102">
        <f t="shared" ref="AL18:AL32" si="23">AL17+M18*U18</f>
        <v>238029.97267766893</v>
      </c>
      <c r="AM18" s="123">
        <f t="shared" ref="AM18:AM32" si="24">AL18/T18</f>
        <v>3.9367596216869992E-2</v>
      </c>
      <c r="AN18" s="147">
        <f>V18</f>
        <v>155174.87627165858</v>
      </c>
      <c r="AO18" s="60">
        <f t="shared" si="11"/>
        <v>2.5664254813564179E-2</v>
      </c>
      <c r="AP18" s="3">
        <f>X18</f>
        <v>45960.346086658188</v>
      </c>
      <c r="AQ18" s="60">
        <f t="shared" si="12"/>
        <v>7.601346697532544E-3</v>
      </c>
      <c r="AR18" s="102">
        <f>Z18</f>
        <v>201135.22235831677</v>
      </c>
      <c r="AS18" s="123">
        <f>AA18</f>
        <v>3.3265601511096726E-2</v>
      </c>
    </row>
    <row r="19" spans="1:45">
      <c r="A19">
        <v>2027</v>
      </c>
      <c r="B19" s="124">
        <f t="shared" si="3"/>
        <v>0.16600000000000001</v>
      </c>
      <c r="C19" s="42">
        <f t="shared" si="4"/>
        <v>6.0000000000000001E-3</v>
      </c>
      <c r="D19" s="42">
        <f t="shared" si="5"/>
        <v>0.17200000000000001</v>
      </c>
      <c r="E19" s="211">
        <f>E18</f>
        <v>0.16600000000000001</v>
      </c>
      <c r="F19" s="210">
        <f>F18</f>
        <v>6.0000000000000001E-3</v>
      </c>
      <c r="G19" s="212">
        <f>G18</f>
        <v>0.17200000000000001</v>
      </c>
      <c r="H19" s="250">
        <f t="shared" ref="H19:H22" si="25">J19-I19</f>
        <v>0.38826470588235296</v>
      </c>
      <c r="I19" s="251">
        <f t="shared" ref="I19:I22" si="26">J19*T40</f>
        <v>4.1735294117647065E-2</v>
      </c>
      <c r="J19" s="73">
        <v>0.43</v>
      </c>
      <c r="K19" s="209">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6195097.4252398303</v>
      </c>
      <c r="U19" s="3">
        <f>'ZEV Population'!E13</f>
        <v>349004.21712427621</v>
      </c>
      <c r="V19" s="147">
        <f t="shared" ref="V19:V32" si="31">V18+E19*U19</f>
        <v>213109.57631428842</v>
      </c>
      <c r="W19" s="220">
        <f t="shared" si="14"/>
        <v>3.4399713464722204E-2</v>
      </c>
      <c r="X19" s="102">
        <f t="shared" ref="X19:X32" si="32">Z19-V19</f>
        <v>48054.371389403852</v>
      </c>
      <c r="Y19" s="220">
        <f t="shared" si="15"/>
        <v>7.7568386888675163E-3</v>
      </c>
      <c r="Z19" s="102">
        <f t="shared" si="2"/>
        <v>261163.94770369228</v>
      </c>
      <c r="AA19" s="104">
        <f t="shared" si="16"/>
        <v>4.2156552153589717E-2</v>
      </c>
      <c r="AB19" s="85">
        <f t="shared" si="17"/>
        <v>338065.33021879429</v>
      </c>
      <c r="AC19" s="60">
        <f t="shared" si="7"/>
        <v>5.4569816584556265E-2</v>
      </c>
      <c r="AD19" s="3">
        <f t="shared" si="18"/>
        <v>73949.719918189818</v>
      </c>
      <c r="AE19" s="60">
        <f t="shared" si="8"/>
        <v>1.1936813070429963E-2</v>
      </c>
      <c r="AF19" s="3">
        <f t="shared" si="19"/>
        <v>412015.05013698409</v>
      </c>
      <c r="AG19" s="104">
        <f t="shared" si="20"/>
        <v>6.650662965498623E-2</v>
      </c>
      <c r="AH19" s="147">
        <f t="shared" si="21"/>
        <v>290145.51988675148</v>
      </c>
      <c r="AI19" s="60">
        <f t="shared" si="9"/>
        <v>4.6834698467315729E-2</v>
      </c>
      <c r="AJ19" s="3">
        <f t="shared" si="22"/>
        <v>67941.903481668473</v>
      </c>
      <c r="AK19" s="60">
        <f t="shared" si="10"/>
        <v>1.0967043585926858E-2</v>
      </c>
      <c r="AL19" s="102">
        <f t="shared" si="23"/>
        <v>358087.42336841999</v>
      </c>
      <c r="AM19" s="123">
        <f t="shared" si="24"/>
        <v>5.7801742053242587E-2</v>
      </c>
      <c r="AN19" s="147">
        <f t="shared" ref="AN19:AN32" si="33">AN18+K19*U19</f>
        <v>263579.69204242493</v>
      </c>
      <c r="AO19" s="60">
        <f t="shared" si="11"/>
        <v>4.2546496681159292E-2</v>
      </c>
      <c r="AP19" s="3">
        <f t="shared" ref="AP19:AP32" si="34">AP18+L19*U19</f>
        <v>57612.981006642847</v>
      </c>
      <c r="AQ19" s="60">
        <f t="shared" si="12"/>
        <v>9.299769971642129E-3</v>
      </c>
      <c r="AR19" s="102">
        <f t="shared" ref="AR19:AR32" si="35">AR18+M19*U19</f>
        <v>321192.67304906779</v>
      </c>
      <c r="AS19" s="123">
        <f t="shared" ref="AS19:AS32" si="36">AR19/T19</f>
        <v>5.1846266652801426E-2</v>
      </c>
    </row>
    <row r="20" spans="1:45">
      <c r="A20">
        <v>2028</v>
      </c>
      <c r="B20" s="124">
        <f t="shared" si="3"/>
        <v>0.16600000000000001</v>
      </c>
      <c r="C20" s="42">
        <f t="shared" si="4"/>
        <v>6.0000000000000001E-3</v>
      </c>
      <c r="D20" s="42">
        <f t="shared" si="5"/>
        <v>0.17200000000000001</v>
      </c>
      <c r="E20" s="211">
        <f t="shared" ref="E20:E32" si="37">E19</f>
        <v>0.16600000000000001</v>
      </c>
      <c r="F20" s="210">
        <f t="shared" ref="F20:F32" si="38">F19</f>
        <v>6.0000000000000001E-3</v>
      </c>
      <c r="G20" s="212">
        <f t="shared" ref="G20:G32" si="39">G19</f>
        <v>0.17200000000000001</v>
      </c>
      <c r="H20" s="250">
        <f t="shared" si="25"/>
        <v>0.46920000000000001</v>
      </c>
      <c r="I20" s="251">
        <f t="shared" si="26"/>
        <v>4.0800000000000003E-2</v>
      </c>
      <c r="J20" s="73">
        <v>0.51</v>
      </c>
      <c r="K20" s="209">
        <f t="shared" si="27"/>
        <v>0.37536000000000003</v>
      </c>
      <c r="L20" s="125">
        <f t="shared" si="28"/>
        <v>3.2640000000000002E-2</v>
      </c>
      <c r="M20" s="176">
        <f t="shared" si="29"/>
        <v>0.40800000000000003</v>
      </c>
      <c r="N20">
        <v>0.08</v>
      </c>
      <c r="O20">
        <v>3.4000000000000002E-2</v>
      </c>
      <c r="P20" s="73">
        <f t="shared" si="30"/>
        <v>0.114</v>
      </c>
      <c r="S20">
        <v>2028</v>
      </c>
      <c r="T20" s="3">
        <f>'ZEV Population'!C19</f>
        <v>6343852.2857368533</v>
      </c>
      <c r="U20" s="3">
        <f>'ZEV Population'!E17</f>
        <v>356335.71292755683</v>
      </c>
      <c r="V20" s="147">
        <f t="shared" si="31"/>
        <v>272261.30466026289</v>
      </c>
      <c r="W20" s="220">
        <f t="shared" si="14"/>
        <v>4.2917346179765142E-2</v>
      </c>
      <c r="X20" s="102">
        <f t="shared" si="32"/>
        <v>50192.385666969174</v>
      </c>
      <c r="Y20" s="220">
        <f t="shared" si="15"/>
        <v>7.9119726321211486E-3</v>
      </c>
      <c r="Z20" s="102">
        <f t="shared" si="2"/>
        <v>322453.69032723206</v>
      </c>
      <c r="AA20" s="104">
        <f t="shared" si="16"/>
        <v>5.0829318811886286E-2</v>
      </c>
      <c r="AB20" s="85">
        <f t="shared" si="17"/>
        <v>505258.04672440398</v>
      </c>
      <c r="AC20" s="60">
        <f t="shared" si="7"/>
        <v>7.9645304456473026E-2</v>
      </c>
      <c r="AD20" s="3">
        <f t="shared" si="18"/>
        <v>88488.217005634142</v>
      </c>
      <c r="AE20" s="60">
        <f t="shared" si="8"/>
        <v>1.3948656592239053E-2</v>
      </c>
      <c r="AF20" s="3">
        <f t="shared" si="19"/>
        <v>593746.26373003807</v>
      </c>
      <c r="AG20" s="104">
        <f t="shared" si="20"/>
        <v>9.3593961048712065E-2</v>
      </c>
      <c r="AH20" s="147">
        <f t="shared" si="21"/>
        <v>423899.6930912392</v>
      </c>
      <c r="AI20" s="60">
        <f t="shared" si="9"/>
        <v>6.6820549091962708E-2</v>
      </c>
      <c r="AJ20" s="3">
        <f t="shared" si="22"/>
        <v>79572.701151623929</v>
      </c>
      <c r="AK20" s="60">
        <f t="shared" si="10"/>
        <v>1.254327773843829E-2</v>
      </c>
      <c r="AL20" s="102">
        <f t="shared" si="23"/>
        <v>503472.39424286317</v>
      </c>
      <c r="AM20" s="123">
        <f t="shared" si="24"/>
        <v>7.9363826830400996E-2</v>
      </c>
      <c r="AN20" s="147">
        <f t="shared" si="33"/>
        <v>397333.8652469127</v>
      </c>
      <c r="AO20" s="60">
        <f t="shared" si="11"/>
        <v>6.2632899908507469E-2</v>
      </c>
      <c r="AP20" s="3">
        <f t="shared" si="34"/>
        <v>69243.778676598304</v>
      </c>
      <c r="AQ20" s="60">
        <f t="shared" si="12"/>
        <v>1.0915099462873997E-2</v>
      </c>
      <c r="AR20" s="102">
        <f t="shared" si="35"/>
        <v>466577.64392351097</v>
      </c>
      <c r="AS20" s="123">
        <f t="shared" si="36"/>
        <v>7.354799937138147E-2</v>
      </c>
    </row>
    <row r="21" spans="1:45">
      <c r="A21">
        <v>2029</v>
      </c>
      <c r="B21" s="124">
        <f t="shared" si="3"/>
        <v>0.16600000000000001</v>
      </c>
      <c r="C21" s="42">
        <f t="shared" si="4"/>
        <v>6.0000000000000001E-3</v>
      </c>
      <c r="D21" s="42">
        <f t="shared" si="5"/>
        <v>0.17200000000000001</v>
      </c>
      <c r="E21" s="211">
        <f t="shared" si="37"/>
        <v>0.16600000000000001</v>
      </c>
      <c r="F21" s="210">
        <f t="shared" si="38"/>
        <v>6.0000000000000001E-3</v>
      </c>
      <c r="G21" s="212">
        <f t="shared" si="39"/>
        <v>0.17200000000000001</v>
      </c>
      <c r="H21" s="250">
        <f t="shared" si="25"/>
        <v>0.55066666666666664</v>
      </c>
      <c r="I21" s="251">
        <f t="shared" si="26"/>
        <v>3.9333333333333331E-2</v>
      </c>
      <c r="J21" s="73">
        <v>0.59</v>
      </c>
      <c r="K21" s="209">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6492607.1462338762</v>
      </c>
      <c r="U21" s="3">
        <f>'ZEV Population'!E21</f>
        <v>363612.54592236166</v>
      </c>
      <c r="V21" s="147">
        <f t="shared" si="31"/>
        <v>332620.98728337494</v>
      </c>
      <c r="W21" s="220">
        <f t="shared" si="14"/>
        <v>5.1230727470753593E-2</v>
      </c>
      <c r="X21" s="102">
        <f t="shared" si="32"/>
        <v>52374.060942503333</v>
      </c>
      <c r="Y21" s="220">
        <f t="shared" si="15"/>
        <v>8.0667226220338326E-3</v>
      </c>
      <c r="Z21" s="102">
        <f t="shared" si="2"/>
        <v>384995.04822587827</v>
      </c>
      <c r="AA21" s="104">
        <f t="shared" si="16"/>
        <v>5.9297450092787425E-2</v>
      </c>
      <c r="AB21" s="85">
        <f t="shared" si="17"/>
        <v>705487.35534565116</v>
      </c>
      <c r="AC21" s="60">
        <f t="shared" si="7"/>
        <v>0.10866010209086477</v>
      </c>
      <c r="AD21" s="3">
        <f t="shared" si="18"/>
        <v>102790.31047858036</v>
      </c>
      <c r="AE21" s="60">
        <f t="shared" si="8"/>
        <v>1.5831900523691048E-2</v>
      </c>
      <c r="AF21" s="3">
        <f t="shared" si="19"/>
        <v>808277.66582423146</v>
      </c>
      <c r="AG21" s="104">
        <f t="shared" si="20"/>
        <v>0.12449200261455581</v>
      </c>
      <c r="AH21" s="147">
        <f t="shared" si="21"/>
        <v>584083.13998823694</v>
      </c>
      <c r="AI21" s="60">
        <f t="shared" si="9"/>
        <v>8.9961263146352874E-2</v>
      </c>
      <c r="AJ21" s="3">
        <f t="shared" si="22"/>
        <v>91014.375929980903</v>
      </c>
      <c r="AK21" s="60">
        <f t="shared" si="10"/>
        <v>1.4018155400450344E-2</v>
      </c>
      <c r="AL21" s="102">
        <f t="shared" si="23"/>
        <v>675097.51591821783</v>
      </c>
      <c r="AM21" s="123">
        <f t="shared" si="24"/>
        <v>0.10397941854680322</v>
      </c>
      <c r="AN21" s="147">
        <f t="shared" si="33"/>
        <v>557517.31214391044</v>
      </c>
      <c r="AO21" s="60">
        <f t="shared" si="11"/>
        <v>8.5869558959424469E-2</v>
      </c>
      <c r="AP21" s="3">
        <f t="shared" si="34"/>
        <v>80685.453454955277</v>
      </c>
      <c r="AQ21" s="60">
        <f t="shared" si="12"/>
        <v>1.2427281004019772E-2</v>
      </c>
      <c r="AR21" s="102">
        <f t="shared" si="35"/>
        <v>638202.76559886569</v>
      </c>
      <c r="AS21" s="123">
        <f t="shared" si="36"/>
        <v>9.8296839963444238E-2</v>
      </c>
    </row>
    <row r="22" spans="1:45">
      <c r="A22">
        <v>2030</v>
      </c>
      <c r="B22" s="124">
        <f t="shared" si="3"/>
        <v>0.16600000000000001</v>
      </c>
      <c r="C22" s="42">
        <f t="shared" si="4"/>
        <v>6.0000000000000001E-3</v>
      </c>
      <c r="D22" s="42">
        <f t="shared" si="5"/>
        <v>0.17200000000000001</v>
      </c>
      <c r="E22" s="211">
        <f t="shared" si="37"/>
        <v>0.16600000000000001</v>
      </c>
      <c r="F22" s="210">
        <f t="shared" si="38"/>
        <v>6.0000000000000001E-3</v>
      </c>
      <c r="G22" s="212">
        <f t="shared" si="39"/>
        <v>0.17200000000000001</v>
      </c>
      <c r="H22" s="250">
        <f t="shared" si="25"/>
        <v>0.64114285714285724</v>
      </c>
      <c r="I22" s="251">
        <f t="shared" si="26"/>
        <v>3.8857142857142861E-2</v>
      </c>
      <c r="J22" s="73">
        <v>0.68</v>
      </c>
      <c r="K22" s="209">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6641362.0067308992</v>
      </c>
      <c r="U22" s="3">
        <f>'ZEV Population'!E25</f>
        <v>370834.71610869095</v>
      </c>
      <c r="V22" s="147">
        <f t="shared" si="31"/>
        <v>394179.55015741766</v>
      </c>
      <c r="W22" s="220">
        <f t="shared" si="14"/>
        <v>5.9352215668702274E-2</v>
      </c>
      <c r="X22" s="102">
        <f t="shared" si="32"/>
        <v>54599.069239155448</v>
      </c>
      <c r="Y22" s="220">
        <f t="shared" si="15"/>
        <v>8.2210650742754708E-3</v>
      </c>
      <c r="Z22" s="102">
        <f t="shared" si="2"/>
        <v>448778.61939657311</v>
      </c>
      <c r="AA22" s="104">
        <f t="shared" si="16"/>
        <v>6.7573280742977748E-2</v>
      </c>
      <c r="AB22" s="85">
        <f t="shared" si="17"/>
        <v>943245.38475933764</v>
      </c>
      <c r="AC22" s="60">
        <f t="shared" si="7"/>
        <v>0.14202589526114909</v>
      </c>
      <c r="AD22" s="3">
        <f t="shared" si="18"/>
        <v>117199.88801880379</v>
      </c>
      <c r="AE22" s="60">
        <f t="shared" si="8"/>
        <v>1.7646965772988108E-2</v>
      </c>
      <c r="AF22" s="3">
        <f t="shared" si="19"/>
        <v>1060445.2727781413</v>
      </c>
      <c r="AG22" s="104">
        <f t="shared" si="20"/>
        <v>0.15967286103413719</v>
      </c>
      <c r="AH22" s="146">
        <f t="shared" si="21"/>
        <v>774289.56351918611</v>
      </c>
      <c r="AI22" s="60">
        <f t="shared" si="9"/>
        <v>0.11658595973754446</v>
      </c>
      <c r="AJ22" s="3">
        <f t="shared" si="22"/>
        <v>102542.03796215964</v>
      </c>
      <c r="AK22" s="60">
        <f t="shared" si="10"/>
        <v>1.5439910948723342E-2</v>
      </c>
      <c r="AL22" s="102">
        <f t="shared" si="23"/>
        <v>876831.60148134572</v>
      </c>
      <c r="AM22" s="123">
        <f t="shared" si="24"/>
        <v>0.13202587068626781</v>
      </c>
      <c r="AN22" s="147">
        <f t="shared" si="33"/>
        <v>747723.73567485961</v>
      </c>
      <c r="AO22" s="60">
        <f t="shared" si="11"/>
        <v>0.11258590254785919</v>
      </c>
      <c r="AP22" s="3">
        <f t="shared" si="34"/>
        <v>92213.115487134011</v>
      </c>
      <c r="AQ22" s="60">
        <f t="shared" si="12"/>
        <v>1.3884669348497749E-2</v>
      </c>
      <c r="AR22" s="102">
        <f t="shared" si="35"/>
        <v>839936.85116199357</v>
      </c>
      <c r="AS22" s="123">
        <f t="shared" si="36"/>
        <v>0.12647057189635694</v>
      </c>
    </row>
    <row r="23" spans="1:45">
      <c r="A23">
        <v>2031</v>
      </c>
      <c r="B23" s="124">
        <f t="shared" si="3"/>
        <v>0.16600000000000001</v>
      </c>
      <c r="C23" s="42">
        <f t="shared" si="4"/>
        <v>6.0000000000000001E-3</v>
      </c>
      <c r="D23" s="42">
        <f t="shared" si="5"/>
        <v>0.17200000000000001</v>
      </c>
      <c r="E23" s="211">
        <f t="shared" si="37"/>
        <v>0.16600000000000001</v>
      </c>
      <c r="F23" s="210">
        <f t="shared" si="38"/>
        <v>6.0000000000000001E-3</v>
      </c>
      <c r="G23" s="212">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6833810.3869196465</v>
      </c>
      <c r="U23" s="3">
        <f>'ZEV Population'!E29</f>
        <v>382654.57734887395</v>
      </c>
      <c r="V23" s="147">
        <f t="shared" si="31"/>
        <v>457700.20999733073</v>
      </c>
      <c r="W23" s="220">
        <f t="shared" si="14"/>
        <v>6.6975842770440108E-2</v>
      </c>
      <c r="X23" s="102">
        <f t="shared" si="32"/>
        <v>56894.996703248704</v>
      </c>
      <c r="Y23" s="220">
        <f t="shared" si="15"/>
        <v>8.3255158516176275E-3</v>
      </c>
      <c r="Z23" s="102">
        <f t="shared" si="2"/>
        <v>514595.20670057944</v>
      </c>
      <c r="AA23" s="104">
        <f t="shared" si="16"/>
        <v>7.5301358622057737E-2</v>
      </c>
      <c r="AB23" s="85">
        <f t="shared" si="17"/>
        <v>1221052.6079146201</v>
      </c>
      <c r="AC23" s="60">
        <f t="shared" si="7"/>
        <v>0.17867815154072661</v>
      </c>
      <c r="AD23" s="3">
        <f t="shared" si="18"/>
        <v>130210.1436486655</v>
      </c>
      <c r="AE23" s="60">
        <f t="shared" si="8"/>
        <v>1.9053812774480268E-2</v>
      </c>
      <c r="AF23" s="3">
        <f t="shared" si="19"/>
        <v>1351262.7515632855</v>
      </c>
      <c r="AG23" s="104">
        <f t="shared" si="20"/>
        <v>0.19773196431520684</v>
      </c>
      <c r="AH23" s="146">
        <f t="shared" si="21"/>
        <v>1052096.7866744685</v>
      </c>
      <c r="AI23" s="60">
        <f t="shared" si="9"/>
        <v>0.15395463542392829</v>
      </c>
      <c r="AJ23" s="3">
        <f t="shared" si="22"/>
        <v>115552.29359202135</v>
      </c>
      <c r="AK23" s="60">
        <f t="shared" si="10"/>
        <v>1.6908911288085471E-2</v>
      </c>
      <c r="AL23" s="102">
        <f t="shared" si="23"/>
        <v>1167649.0802664899</v>
      </c>
      <c r="AM23" s="123">
        <f t="shared" si="24"/>
        <v>0.17086354671201376</v>
      </c>
      <c r="AN23" s="147">
        <f t="shared" si="33"/>
        <v>1025530.9588301422</v>
      </c>
      <c r="AO23" s="60">
        <f t="shared" si="11"/>
        <v>0.15006722469108516</v>
      </c>
      <c r="AP23" s="3">
        <f t="shared" si="34"/>
        <v>105223.37111699572</v>
      </c>
      <c r="AQ23" s="60">
        <f t="shared" si="12"/>
        <v>1.5397467175618457E-2</v>
      </c>
      <c r="AR23" s="102">
        <f t="shared" si="35"/>
        <v>1130754.3299471377</v>
      </c>
      <c r="AS23" s="123">
        <f t="shared" si="36"/>
        <v>0.16546469186670359</v>
      </c>
    </row>
    <row r="24" spans="1:45">
      <c r="A24">
        <v>2032</v>
      </c>
      <c r="B24" s="124">
        <f t="shared" si="3"/>
        <v>0.16600000000000001</v>
      </c>
      <c r="C24" s="42">
        <f t="shared" si="4"/>
        <v>6.0000000000000001E-3</v>
      </c>
      <c r="D24" s="42">
        <f t="shared" si="5"/>
        <v>0.17200000000000001</v>
      </c>
      <c r="E24" s="211">
        <f t="shared" si="37"/>
        <v>0.16600000000000001</v>
      </c>
      <c r="F24" s="210">
        <f t="shared" si="38"/>
        <v>6.0000000000000001E-3</v>
      </c>
      <c r="G24" s="212">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7026258.7671083938</v>
      </c>
      <c r="U24" s="3">
        <f>'ZEV Population'!E33</f>
        <v>394532.04009868426</v>
      </c>
      <c r="V24" s="147">
        <f t="shared" si="31"/>
        <v>523192.5286537123</v>
      </c>
      <c r="W24" s="220">
        <f t="shared" si="14"/>
        <v>7.4462462313927613E-2</v>
      </c>
      <c r="X24" s="102">
        <f t="shared" si="32"/>
        <v>59262.188943840854</v>
      </c>
      <c r="Y24" s="220">
        <f t="shared" si="15"/>
        <v>8.4343874753462552E-3</v>
      </c>
      <c r="Z24" s="102">
        <f t="shared" si="2"/>
        <v>582454.71759755316</v>
      </c>
      <c r="AA24" s="104">
        <f t="shared" si="16"/>
        <v>8.2896849789273877E-2</v>
      </c>
      <c r="AB24" s="85">
        <f t="shared" si="17"/>
        <v>1531154.791432186</v>
      </c>
      <c r="AC24" s="60">
        <f t="shared" si="7"/>
        <v>0.2179189298577914</v>
      </c>
      <c r="AD24" s="3">
        <f t="shared" si="18"/>
        <v>143624.23301202076</v>
      </c>
      <c r="AE24" s="60">
        <f t="shared" si="8"/>
        <v>2.0441067966975587E-2</v>
      </c>
      <c r="AF24" s="3">
        <f t="shared" si="19"/>
        <v>1674779.0244442066</v>
      </c>
      <c r="AG24" s="104">
        <f t="shared" si="20"/>
        <v>0.23835999782476697</v>
      </c>
      <c r="AH24" s="146">
        <f t="shared" si="21"/>
        <v>1362198.9701920343</v>
      </c>
      <c r="AI24" s="60">
        <f t="shared" si="9"/>
        <v>0.19387258786551032</v>
      </c>
      <c r="AJ24" s="3">
        <f t="shared" si="22"/>
        <v>128966.38295537661</v>
      </c>
      <c r="AK24" s="60">
        <f t="shared" si="10"/>
        <v>1.8354915073594963E-2</v>
      </c>
      <c r="AL24" s="102">
        <f t="shared" si="23"/>
        <v>1491165.353147411</v>
      </c>
      <c r="AM24" s="123">
        <f t="shared" si="24"/>
        <v>0.21222750293910531</v>
      </c>
      <c r="AN24" s="147">
        <f t="shared" si="33"/>
        <v>1335633.1423477079</v>
      </c>
      <c r="AO24" s="60">
        <f t="shared" si="11"/>
        <v>0.19009165284377622</v>
      </c>
      <c r="AP24" s="3">
        <f t="shared" si="34"/>
        <v>118637.46048035099</v>
      </c>
      <c r="AQ24" s="60">
        <f t="shared" si="12"/>
        <v>1.688486923307201E-2</v>
      </c>
      <c r="AR24" s="102">
        <f t="shared" si="35"/>
        <v>1454270.6028280589</v>
      </c>
      <c r="AS24" s="123">
        <f t="shared" si="36"/>
        <v>0.20697652207684822</v>
      </c>
    </row>
    <row r="25" spans="1:45">
      <c r="A25">
        <v>2033</v>
      </c>
      <c r="B25" s="124">
        <f t="shared" si="3"/>
        <v>0.16600000000000001</v>
      </c>
      <c r="C25" s="42">
        <f t="shared" si="4"/>
        <v>6.0000000000000001E-3</v>
      </c>
      <c r="D25" s="42">
        <f t="shared" si="5"/>
        <v>0.17200000000000001</v>
      </c>
      <c r="E25" s="211">
        <f t="shared" si="37"/>
        <v>0.16600000000000001</v>
      </c>
      <c r="F25" s="210">
        <f t="shared" si="38"/>
        <v>6.0000000000000001E-3</v>
      </c>
      <c r="G25" s="212">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7218707.1472971402</v>
      </c>
      <c r="U25" s="3">
        <f>'ZEV Population'!E37</f>
        <v>406467.10435812164</v>
      </c>
      <c r="V25" s="147">
        <f t="shared" si="31"/>
        <v>590666.06797716045</v>
      </c>
      <c r="W25" s="220">
        <f t="shared" si="14"/>
        <v>8.1824356622961253E-2</v>
      </c>
      <c r="X25" s="102">
        <f t="shared" si="32"/>
        <v>61700.991569989594</v>
      </c>
      <c r="Y25" s="220">
        <f t="shared" si="15"/>
        <v>8.5473742473528586E-3</v>
      </c>
      <c r="Z25" s="102">
        <f t="shared" si="2"/>
        <v>652367.05954715004</v>
      </c>
      <c r="AA25" s="104">
        <f t="shared" si="16"/>
        <v>9.037173087031411E-2</v>
      </c>
      <c r="AB25" s="85">
        <f t="shared" si="17"/>
        <v>1861612.5472753388</v>
      </c>
      <c r="AC25" s="60">
        <f t="shared" si="7"/>
        <v>0.25788725173210164</v>
      </c>
      <c r="AD25" s="3">
        <f t="shared" si="18"/>
        <v>170857.52900401491</v>
      </c>
      <c r="AE25" s="60">
        <f t="shared" si="8"/>
        <v>2.366871595116421E-2</v>
      </c>
      <c r="AF25" s="3">
        <f t="shared" si="19"/>
        <v>2032470.0762793536</v>
      </c>
      <c r="AG25" s="104">
        <f t="shared" si="20"/>
        <v>0.2815559676832658</v>
      </c>
      <c r="AH25" s="146">
        <f t="shared" si="21"/>
        <v>1692656.726035187</v>
      </c>
      <c r="AI25" s="60">
        <f t="shared" si="9"/>
        <v>0.23448197738135962</v>
      </c>
      <c r="AJ25" s="3">
        <f t="shared" si="22"/>
        <v>156199.67894737076</v>
      </c>
      <c r="AK25" s="60">
        <f t="shared" si="10"/>
        <v>2.1638179214107021E-2</v>
      </c>
      <c r="AL25" s="102">
        <f t="shared" si="23"/>
        <v>1848856.404982558</v>
      </c>
      <c r="AM25" s="123">
        <f t="shared" si="24"/>
        <v>0.25612015659546666</v>
      </c>
      <c r="AN25" s="147">
        <f t="shared" si="33"/>
        <v>1666090.8981908606</v>
      </c>
      <c r="AO25" s="60">
        <f t="shared" si="11"/>
        <v>0.23080184085521266</v>
      </c>
      <c r="AP25" s="3">
        <f t="shared" si="34"/>
        <v>145870.75647234515</v>
      </c>
      <c r="AQ25" s="60">
        <f t="shared" si="12"/>
        <v>2.0207324316648959E-2</v>
      </c>
      <c r="AR25" s="102">
        <f t="shared" si="35"/>
        <v>1811961.6546632058</v>
      </c>
      <c r="AS25" s="123">
        <f t="shared" si="36"/>
        <v>0.25100916517186161</v>
      </c>
    </row>
    <row r="26" spans="1:45">
      <c r="A26">
        <v>2034</v>
      </c>
      <c r="B26" s="124">
        <f t="shared" si="3"/>
        <v>0.16600000000000001</v>
      </c>
      <c r="C26" s="42">
        <f t="shared" si="4"/>
        <v>6.0000000000000001E-3</v>
      </c>
      <c r="D26" s="42">
        <f t="shared" si="5"/>
        <v>0.17200000000000001</v>
      </c>
      <c r="E26" s="211">
        <f t="shared" si="37"/>
        <v>0.16600000000000001</v>
      </c>
      <c r="F26" s="210">
        <f t="shared" si="38"/>
        <v>6.0000000000000001E-3</v>
      </c>
      <c r="G26" s="212">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7411155.5274858875</v>
      </c>
      <c r="U26" s="3">
        <f>'ZEV Population'!E41</f>
        <v>418459.77012718626</v>
      </c>
      <c r="V26" s="147">
        <f t="shared" si="31"/>
        <v>660130.38981827337</v>
      </c>
      <c r="W26" s="220">
        <f t="shared" si="14"/>
        <v>8.9072532261674414E-2</v>
      </c>
      <c r="X26" s="102">
        <f t="shared" si="32"/>
        <v>64211.750190752675</v>
      </c>
      <c r="Y26" s="220">
        <f t="shared" si="15"/>
        <v>8.6642022222593214E-3</v>
      </c>
      <c r="Z26" s="102">
        <f t="shared" si="2"/>
        <v>724342.14000902604</v>
      </c>
      <c r="AA26" s="104">
        <f t="shared" si="16"/>
        <v>9.7736734483933732E-2</v>
      </c>
      <c r="AB26" s="85">
        <f t="shared" si="17"/>
        <v>2207678.7771705217</v>
      </c>
      <c r="AC26" s="60">
        <f t="shared" si="7"/>
        <v>0.29788590577850688</v>
      </c>
      <c r="AD26" s="3">
        <f t="shared" si="18"/>
        <v>218143.48302838695</v>
      </c>
      <c r="AE26" s="60">
        <f t="shared" si="8"/>
        <v>2.9434476475274907E-2</v>
      </c>
      <c r="AF26" s="3">
        <f t="shared" si="19"/>
        <v>2425822.2601989089</v>
      </c>
      <c r="AG26" s="104">
        <f t="shared" si="20"/>
        <v>0.32732038225378185</v>
      </c>
      <c r="AH26" s="146">
        <f t="shared" si="21"/>
        <v>2038722.9559303699</v>
      </c>
      <c r="AI26" s="60">
        <f t="shared" si="9"/>
        <v>0.27508840535990925</v>
      </c>
      <c r="AJ26" s="3">
        <f t="shared" si="22"/>
        <v>203485.6329717428</v>
      </c>
      <c r="AK26" s="60">
        <f t="shared" si="10"/>
        <v>2.7456667481484086E-2</v>
      </c>
      <c r="AL26" s="102">
        <f t="shared" si="23"/>
        <v>2242208.588902113</v>
      </c>
      <c r="AM26" s="123">
        <f t="shared" si="24"/>
        <v>0.30254507284139337</v>
      </c>
      <c r="AN26" s="147">
        <f t="shared" si="33"/>
        <v>2012157.1280860435</v>
      </c>
      <c r="AO26" s="60">
        <f t="shared" si="11"/>
        <v>0.27150383238126896</v>
      </c>
      <c r="AP26" s="3">
        <f t="shared" si="34"/>
        <v>193156.71049671719</v>
      </c>
      <c r="AQ26" s="60">
        <f t="shared" si="12"/>
        <v>2.6062968153934076E-2</v>
      </c>
      <c r="AR26" s="102">
        <f t="shared" si="35"/>
        <v>2205313.8385827607</v>
      </c>
      <c r="AS26" s="123">
        <f t="shared" si="36"/>
        <v>0.29756680053520307</v>
      </c>
    </row>
    <row r="27" spans="1:45">
      <c r="A27">
        <v>2035</v>
      </c>
      <c r="B27" s="124">
        <f t="shared" si="3"/>
        <v>0.16600000000000001</v>
      </c>
      <c r="C27" s="42">
        <f t="shared" si="4"/>
        <v>6.0000000000000001E-3</v>
      </c>
      <c r="D27" s="42">
        <f t="shared" si="5"/>
        <v>0.17200000000000001</v>
      </c>
      <c r="E27" s="211">
        <f t="shared" si="37"/>
        <v>0.16600000000000001</v>
      </c>
      <c r="F27" s="210">
        <f t="shared" si="38"/>
        <v>6.0000000000000001E-3</v>
      </c>
      <c r="G27" s="212">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7603603.9076746348</v>
      </c>
      <c r="U27" s="3">
        <f>'ZEV Population'!E45</f>
        <v>430510.03740587801</v>
      </c>
      <c r="V27" s="147">
        <f t="shared" si="31"/>
        <v>731595.05602764909</v>
      </c>
      <c r="W27" s="220">
        <f t="shared" si="14"/>
        <v>9.6216881482900446E-2</v>
      </c>
      <c r="X27" s="102">
        <f t="shared" si="32"/>
        <v>66794.810415187967</v>
      </c>
      <c r="Y27" s="220">
        <f t="shared" si="15"/>
        <v>8.784625189085557E-3</v>
      </c>
      <c r="Z27" s="102">
        <f t="shared" si="2"/>
        <v>798389.86644283705</v>
      </c>
      <c r="AA27" s="104">
        <f t="shared" si="16"/>
        <v>0.105001506671986</v>
      </c>
      <c r="AB27" s="85">
        <f t="shared" si="17"/>
        <v>2563710.5781051829</v>
      </c>
      <c r="AC27" s="60">
        <f t="shared" si="7"/>
        <v>0.33717045354210556</v>
      </c>
      <c r="AD27" s="3">
        <f t="shared" si="18"/>
        <v>292621.71949960385</v>
      </c>
      <c r="AE27" s="60">
        <f t="shared" si="8"/>
        <v>3.8484608489962047E-2</v>
      </c>
      <c r="AF27" s="3">
        <f t="shared" si="19"/>
        <v>2856332.2976047867</v>
      </c>
      <c r="AG27" s="104">
        <f t="shared" si="20"/>
        <v>0.37565506203206761</v>
      </c>
      <c r="AH27" s="146">
        <f t="shared" si="21"/>
        <v>2394754.7568650311</v>
      </c>
      <c r="AI27" s="60">
        <f t="shared" si="9"/>
        <v>0.31494996135291914</v>
      </c>
      <c r="AJ27" s="3">
        <f t="shared" si="22"/>
        <v>277963.86944295967</v>
      </c>
      <c r="AK27" s="60">
        <f t="shared" si="10"/>
        <v>3.6556858144911934E-2</v>
      </c>
      <c r="AL27" s="29">
        <f t="shared" si="23"/>
        <v>2672718.6263079909</v>
      </c>
      <c r="AM27" s="123">
        <f t="shared" si="24"/>
        <v>0.35150681949783108</v>
      </c>
      <c r="AN27" s="147">
        <f t="shared" si="33"/>
        <v>2368188.9290207047</v>
      </c>
      <c r="AO27" s="60">
        <f t="shared" si="11"/>
        <v>0.31145611446571969</v>
      </c>
      <c r="AP27" s="3">
        <f t="shared" si="34"/>
        <v>267634.94696793408</v>
      </c>
      <c r="AQ27" s="60">
        <f t="shared" si="12"/>
        <v>3.5198433560932725E-2</v>
      </c>
      <c r="AR27" s="102">
        <f t="shared" si="35"/>
        <v>2635823.8759886385</v>
      </c>
      <c r="AS27" s="123">
        <f t="shared" si="36"/>
        <v>0.34665454802665241</v>
      </c>
    </row>
    <row r="28" spans="1:45">
      <c r="A28">
        <v>2036</v>
      </c>
      <c r="B28" s="124">
        <f t="shared" si="3"/>
        <v>0.16600000000000001</v>
      </c>
      <c r="C28" s="42">
        <f t="shared" si="4"/>
        <v>6.0000000000000001E-3</v>
      </c>
      <c r="D28" s="42">
        <f t="shared" si="5"/>
        <v>0.17200000000000001</v>
      </c>
      <c r="E28" s="211">
        <f t="shared" si="37"/>
        <v>0.16600000000000001</v>
      </c>
      <c r="F28" s="210">
        <f t="shared" si="38"/>
        <v>6.0000000000000001E-3</v>
      </c>
      <c r="G28" s="212">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s="3">
        <f>T27+(T32-T27)/5</f>
        <v>7795078.9814707283</v>
      </c>
      <c r="U28" s="3">
        <f>U27+(U32-U27)/5</f>
        <v>441106.79488859384</v>
      </c>
      <c r="V28" s="147">
        <f t="shared" si="31"/>
        <v>804818.78397915571</v>
      </c>
      <c r="W28" s="220">
        <f t="shared" si="14"/>
        <v>0.10324703391617301</v>
      </c>
      <c r="X28" s="102">
        <f t="shared" si="32"/>
        <v>69441.45118451945</v>
      </c>
      <c r="Y28" s="220">
        <f t="shared" si="15"/>
        <v>8.9083704410930359E-3</v>
      </c>
      <c r="Z28" s="102">
        <f t="shared" si="2"/>
        <v>874260.23516367516</v>
      </c>
      <c r="AA28" s="104">
        <f t="shared" si="16"/>
        <v>0.11215540435726605</v>
      </c>
      <c r="AB28" s="85">
        <f t="shared" si="17"/>
        <v>2928505.8974780501</v>
      </c>
      <c r="AC28" s="60">
        <f t="shared" si="7"/>
        <v>0.37568649457423681</v>
      </c>
      <c r="AD28" s="3">
        <f t="shared" si="18"/>
        <v>368933.19501533057</v>
      </c>
      <c r="AE28" s="60">
        <f t="shared" si="8"/>
        <v>4.7328987415304224E-2</v>
      </c>
      <c r="AF28" s="3">
        <f t="shared" si="19"/>
        <v>3297439.0924933804</v>
      </c>
      <c r="AG28" s="104">
        <f t="shared" si="20"/>
        <v>0.42301548198954098</v>
      </c>
      <c r="AH28" s="146">
        <f t="shared" si="21"/>
        <v>2759550.0762378983</v>
      </c>
      <c r="AI28" s="60">
        <f t="shared" si="9"/>
        <v>0.3540118173013358</v>
      </c>
      <c r="AJ28" s="3">
        <f t="shared" si="22"/>
        <v>354275.34495868639</v>
      </c>
      <c r="AK28" s="60">
        <f t="shared" si="10"/>
        <v>4.5448589526907376E-2</v>
      </c>
      <c r="AL28" s="29">
        <f t="shared" si="23"/>
        <v>3113825.4211965846</v>
      </c>
      <c r="AM28" s="123">
        <f t="shared" si="24"/>
        <v>0.39946040682824319</v>
      </c>
      <c r="AN28" s="147">
        <f t="shared" si="33"/>
        <v>2732984.2483935719</v>
      </c>
      <c r="AO28" s="60">
        <f t="shared" si="11"/>
        <v>0.35060379181404128</v>
      </c>
      <c r="AP28" s="3">
        <f t="shared" si="34"/>
        <v>343946.4224836608</v>
      </c>
      <c r="AQ28" s="60">
        <f t="shared" si="12"/>
        <v>4.4123532718685431E-2</v>
      </c>
      <c r="AR28" s="102">
        <f t="shared" si="35"/>
        <v>3076930.6708772322</v>
      </c>
      <c r="AS28" s="123">
        <f t="shared" si="36"/>
        <v>0.39472732453272663</v>
      </c>
    </row>
    <row r="29" spans="1:45">
      <c r="A29">
        <v>2037</v>
      </c>
      <c r="B29" s="124">
        <f t="shared" si="3"/>
        <v>0.16600000000000001</v>
      </c>
      <c r="C29" s="42">
        <f t="shared" si="4"/>
        <v>6.0000000000000001E-3</v>
      </c>
      <c r="D29" s="42">
        <f t="shared" si="5"/>
        <v>0.17200000000000001</v>
      </c>
      <c r="E29" s="211">
        <f t="shared" si="37"/>
        <v>0.16600000000000001</v>
      </c>
      <c r="F29" s="210">
        <f t="shared" si="38"/>
        <v>6.0000000000000001E-3</v>
      </c>
      <c r="G29" s="212">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s="3">
        <f>T27+(T32-T27)/5*2</f>
        <v>7986554.0552668208</v>
      </c>
      <c r="U29" s="3">
        <f>U27+(U32-U27)/5*2</f>
        <v>451703.55237130966</v>
      </c>
      <c r="V29" s="147">
        <f t="shared" si="31"/>
        <v>879801.57367279311</v>
      </c>
      <c r="W29" s="220">
        <f t="shared" si="14"/>
        <v>0.11016034795289444</v>
      </c>
      <c r="X29" s="102">
        <f t="shared" si="32"/>
        <v>72151.672498747357</v>
      </c>
      <c r="Y29" s="220">
        <f t="shared" si="15"/>
        <v>9.03414313600822E-3</v>
      </c>
      <c r="Z29" s="102">
        <f t="shared" si="2"/>
        <v>951953.24617154046</v>
      </c>
      <c r="AA29" s="104">
        <f t="shared" si="16"/>
        <v>0.11919449108890266</v>
      </c>
      <c r="AB29" s="85">
        <f t="shared" si="17"/>
        <v>3302064.7352891229</v>
      </c>
      <c r="AC29" s="60">
        <f t="shared" si="7"/>
        <v>0.41345300018492204</v>
      </c>
      <c r="AD29" s="3">
        <f t="shared" si="18"/>
        <v>447077.90957556712</v>
      </c>
      <c r="AE29" s="60">
        <f t="shared" si="8"/>
        <v>5.5978824719872353E-2</v>
      </c>
      <c r="AF29" s="3">
        <f t="shared" si="19"/>
        <v>3749142.64486469</v>
      </c>
      <c r="AG29" s="104">
        <f t="shared" si="20"/>
        <v>0.4694318249047944</v>
      </c>
      <c r="AH29" s="146">
        <f t="shared" si="21"/>
        <v>3133108.9140489716</v>
      </c>
      <c r="AI29" s="60">
        <f t="shared" si="9"/>
        <v>0.39229796635293646</v>
      </c>
      <c r="AJ29" s="3">
        <f t="shared" si="22"/>
        <v>432420.05951892294</v>
      </c>
      <c r="AK29" s="60">
        <f t="shared" si="10"/>
        <v>5.4143508768185043E-2</v>
      </c>
      <c r="AL29" s="29">
        <f t="shared" si="23"/>
        <v>3565528.9735678942</v>
      </c>
      <c r="AM29" s="123">
        <f t="shared" si="24"/>
        <v>0.44644147512112148</v>
      </c>
      <c r="AN29" s="147">
        <f t="shared" si="33"/>
        <v>3106543.0862046452</v>
      </c>
      <c r="AO29" s="60">
        <f t="shared" si="11"/>
        <v>0.38897164718443261</v>
      </c>
      <c r="AP29" s="3">
        <f t="shared" si="34"/>
        <v>422091.13704389735</v>
      </c>
      <c r="AQ29" s="60">
        <f t="shared" si="12"/>
        <v>5.2850219772261446E-2</v>
      </c>
      <c r="AR29" s="102">
        <f t="shared" si="35"/>
        <v>3528634.2232485418</v>
      </c>
      <c r="AS29" s="123">
        <f t="shared" si="36"/>
        <v>0.44182186695669395</v>
      </c>
    </row>
    <row r="30" spans="1:45">
      <c r="A30">
        <v>2038</v>
      </c>
      <c r="B30" s="124">
        <f t="shared" si="3"/>
        <v>0.16600000000000001</v>
      </c>
      <c r="C30" s="42">
        <f t="shared" si="4"/>
        <v>6.0000000000000001E-3</v>
      </c>
      <c r="D30" s="42">
        <f t="shared" si="5"/>
        <v>0.17200000000000001</v>
      </c>
      <c r="E30" s="211">
        <f t="shared" si="37"/>
        <v>0.16600000000000001</v>
      </c>
      <c r="F30" s="210">
        <f t="shared" si="38"/>
        <v>6.0000000000000001E-3</v>
      </c>
      <c r="G30" s="212">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s="3">
        <f>T27+(T32-T27)/5*3</f>
        <v>8178029.1290629143</v>
      </c>
      <c r="U30" s="3">
        <f>U27+(U32-U27)/5*3</f>
        <v>462300.30985402549</v>
      </c>
      <c r="V30" s="147">
        <f t="shared" si="31"/>
        <v>956543.42510856129</v>
      </c>
      <c r="W30" s="220">
        <f t="shared" si="14"/>
        <v>0.11696503032854415</v>
      </c>
      <c r="X30" s="102">
        <f t="shared" si="32"/>
        <v>74925.474357871572</v>
      </c>
      <c r="Y30" s="220">
        <f t="shared" si="15"/>
        <v>9.1618008661283612E-3</v>
      </c>
      <c r="Z30" s="102">
        <f t="shared" si="2"/>
        <v>1031468.8994664329</v>
      </c>
      <c r="AA30" s="104">
        <f t="shared" si="16"/>
        <v>0.12612683119467252</v>
      </c>
      <c r="AB30" s="85">
        <f t="shared" si="17"/>
        <v>3684387.0915384018</v>
      </c>
      <c r="AC30" s="60">
        <f t="shared" si="7"/>
        <v>0.45052261778389874</v>
      </c>
      <c r="AD30" s="3">
        <f t="shared" si="18"/>
        <v>527055.86318031349</v>
      </c>
      <c r="AE30" s="60">
        <f t="shared" si="8"/>
        <v>6.4447785017941919E-2</v>
      </c>
      <c r="AF30" s="3">
        <f t="shared" si="19"/>
        <v>4211442.9547187155</v>
      </c>
      <c r="AG30" s="104">
        <f t="shared" si="20"/>
        <v>0.5149704028018407</v>
      </c>
      <c r="AH30" s="146">
        <f t="shared" si="21"/>
        <v>3515431.2702982505</v>
      </c>
      <c r="AI30" s="60">
        <f t="shared" si="9"/>
        <v>0.42986289420334567</v>
      </c>
      <c r="AJ30" s="3">
        <f t="shared" si="22"/>
        <v>512398.01312366931</v>
      </c>
      <c r="AK30" s="60">
        <f t="shared" si="10"/>
        <v>6.265543996446768E-2</v>
      </c>
      <c r="AL30" s="29">
        <f t="shared" si="23"/>
        <v>4027829.2834219197</v>
      </c>
      <c r="AM30" s="123">
        <f t="shared" si="24"/>
        <v>0.49251833416781332</v>
      </c>
      <c r="AN30" s="147">
        <f t="shared" si="33"/>
        <v>3488865.4424539241</v>
      </c>
      <c r="AO30" s="60">
        <f t="shared" si="11"/>
        <v>0.42661445531604486</v>
      </c>
      <c r="AP30" s="3">
        <f t="shared" si="34"/>
        <v>502069.09064864379</v>
      </c>
      <c r="AQ30" s="60">
        <f t="shared" si="12"/>
        <v>6.1392431198905958E-2</v>
      </c>
      <c r="AR30" s="102">
        <f t="shared" si="35"/>
        <v>3990934.5331025673</v>
      </c>
      <c r="AS30" s="123">
        <f t="shared" si="36"/>
        <v>0.48800688651495078</v>
      </c>
    </row>
    <row r="31" spans="1:45">
      <c r="A31">
        <v>2039</v>
      </c>
      <c r="B31" s="124">
        <f t="shared" si="3"/>
        <v>0.16600000000000001</v>
      </c>
      <c r="C31" s="42">
        <f t="shared" si="4"/>
        <v>6.0000000000000001E-3</v>
      </c>
      <c r="D31" s="42">
        <f t="shared" si="5"/>
        <v>0.17200000000000001</v>
      </c>
      <c r="E31" s="211">
        <f t="shared" si="37"/>
        <v>0.16600000000000001</v>
      </c>
      <c r="F31" s="210">
        <f t="shared" si="38"/>
        <v>6.0000000000000001E-3</v>
      </c>
      <c r="G31" s="212">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s="3">
        <f>T27+(T32-T27)/5*4</f>
        <v>8369504.2028590068</v>
      </c>
      <c r="U31" s="3">
        <f>U27+(U32-U27)/5*4</f>
        <v>472897.06733674131</v>
      </c>
      <c r="V31" s="147">
        <f t="shared" si="31"/>
        <v>1035044.3382864604</v>
      </c>
      <c r="W31" s="220">
        <f t="shared" si="14"/>
        <v>0.12366853677340782</v>
      </c>
      <c r="X31" s="102">
        <f t="shared" si="32"/>
        <v>77762.856761892093</v>
      </c>
      <c r="Y31" s="220">
        <f t="shared" si="15"/>
        <v>9.2912142555981337E-3</v>
      </c>
      <c r="Z31" s="102">
        <f t="shared" si="2"/>
        <v>1112807.1950483525</v>
      </c>
      <c r="AA31" s="104">
        <f t="shared" si="16"/>
        <v>0.13295975102900595</v>
      </c>
      <c r="AB31" s="85">
        <f t="shared" si="17"/>
        <v>4075472.9662258867</v>
      </c>
      <c r="AC31" s="60">
        <f t="shared" si="7"/>
        <v>0.48694317697262318</v>
      </c>
      <c r="AD31" s="3">
        <f t="shared" si="18"/>
        <v>608867.0558295697</v>
      </c>
      <c r="AE31" s="60">
        <f t="shared" si="8"/>
        <v>7.2748282463563602E-2</v>
      </c>
      <c r="AF31" s="3">
        <f t="shared" si="19"/>
        <v>4684340.0220554564</v>
      </c>
      <c r="AG31" s="104">
        <f t="shared" si="20"/>
        <v>0.55969145943618681</v>
      </c>
      <c r="AH31" s="146">
        <f t="shared" si="21"/>
        <v>3906517.1449857354</v>
      </c>
      <c r="AI31" s="60">
        <f t="shared" si="9"/>
        <v>0.46675610051683547</v>
      </c>
      <c r="AJ31">
        <f t="shared" si="22"/>
        <v>594209.20577292552</v>
      </c>
      <c r="AK31" s="60">
        <f t="shared" si="10"/>
        <v>7.0996942156973261E-2</v>
      </c>
      <c r="AL31" s="29">
        <f t="shared" si="23"/>
        <v>4500726.3507586606</v>
      </c>
      <c r="AM31" s="123">
        <f t="shared" si="24"/>
        <v>0.53775304267380863</v>
      </c>
      <c r="AN31" s="147">
        <f t="shared" si="33"/>
        <v>3879951.317141409</v>
      </c>
      <c r="AO31" s="60">
        <f t="shared" si="11"/>
        <v>0.46358197846606314</v>
      </c>
      <c r="AP31" s="3">
        <f t="shared" si="34"/>
        <v>583880.28329789999</v>
      </c>
      <c r="AQ31" s="60">
        <f t="shared" si="12"/>
        <v>6.9762828137232738E-2</v>
      </c>
      <c r="AR31" s="102">
        <f t="shared" si="35"/>
        <v>4463831.6004393082</v>
      </c>
      <c r="AS31" s="123">
        <f t="shared" si="36"/>
        <v>0.53334480660329575</v>
      </c>
    </row>
    <row r="32" spans="1:45" ht="16" thickBot="1">
      <c r="A32">
        <v>2040</v>
      </c>
      <c r="B32" s="216">
        <f t="shared" si="3"/>
        <v>0.16600000000000001</v>
      </c>
      <c r="C32" s="217">
        <f t="shared" si="4"/>
        <v>6.0000000000000001E-3</v>
      </c>
      <c r="D32" s="218">
        <f t="shared" si="5"/>
        <v>0.17200000000000001</v>
      </c>
      <c r="E32" s="213">
        <f t="shared" si="37"/>
        <v>0.16600000000000001</v>
      </c>
      <c r="F32" s="214">
        <f t="shared" si="38"/>
        <v>6.0000000000000001E-3</v>
      </c>
      <c r="G32" s="215">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8560979.2766551003</v>
      </c>
      <c r="U32" s="3">
        <f>'ZEV Population'!E49</f>
        <v>483493.82481945714</v>
      </c>
      <c r="V32" s="181">
        <f t="shared" si="31"/>
        <v>1115304.3132064904</v>
      </c>
      <c r="W32" s="221">
        <f t="shared" si="14"/>
        <v>0.1302776559975807</v>
      </c>
      <c r="X32" s="103">
        <f t="shared" si="32"/>
        <v>80663.819710808806</v>
      </c>
      <c r="Y32" s="221">
        <f t="shared" si="15"/>
        <v>9.4222655030564845E-3</v>
      </c>
      <c r="Z32" s="103">
        <f t="shared" si="2"/>
        <v>1195968.1329172992</v>
      </c>
      <c r="AA32" s="105">
        <f t="shared" si="16"/>
        <v>0.13969992150063718</v>
      </c>
      <c r="AB32" s="179">
        <f t="shared" si="17"/>
        <v>4475322.3593515782</v>
      </c>
      <c r="AC32" s="180">
        <f t="shared" si="7"/>
        <v>0.52275822832036478</v>
      </c>
      <c r="AD32" s="106">
        <f t="shared" si="18"/>
        <v>692511.48752333573</v>
      </c>
      <c r="AE32" s="180">
        <f t="shared" si="8"/>
        <v>8.0891620589684465E-2</v>
      </c>
      <c r="AF32" s="106">
        <f t="shared" si="19"/>
        <v>5167833.8468749132</v>
      </c>
      <c r="AG32" s="105">
        <f t="shared" si="20"/>
        <v>0.60364984891004914</v>
      </c>
      <c r="AH32" s="177">
        <f t="shared" si="21"/>
        <v>4306366.5381114269</v>
      </c>
      <c r="AI32" s="180">
        <f t="shared" si="9"/>
        <v>0.50302265651482658</v>
      </c>
      <c r="AJ32" s="106">
        <f t="shared" si="22"/>
        <v>677853.63746669155</v>
      </c>
      <c r="AK32" s="180">
        <f t="shared" si="10"/>
        <v>7.9179450803616339E-2</v>
      </c>
      <c r="AL32" s="80">
        <f t="shared" si="23"/>
        <v>4984220.1755781174</v>
      </c>
      <c r="AM32" s="182">
        <f t="shared" si="24"/>
        <v>0.5822021073184428</v>
      </c>
      <c r="AN32" s="181">
        <f t="shared" si="33"/>
        <v>4279800.7102671005</v>
      </c>
      <c r="AO32" s="180">
        <f t="shared" si="11"/>
        <v>0.49991952695618264</v>
      </c>
      <c r="AP32" s="106">
        <f t="shared" si="34"/>
        <v>667524.71499166603</v>
      </c>
      <c r="AQ32" s="180">
        <f t="shared" si="12"/>
        <v>7.7972939008500636E-2</v>
      </c>
      <c r="AR32" s="103">
        <f t="shared" si="35"/>
        <v>4947325.425258765</v>
      </c>
      <c r="AS32" s="182">
        <f t="shared" si="36"/>
        <v>0.57789246596468313</v>
      </c>
    </row>
    <row r="33" spans="1:45">
      <c r="A33" s="69"/>
      <c r="E33" s="69" t="s">
        <v>386</v>
      </c>
      <c r="H33" s="145" t="s">
        <v>438</v>
      </c>
      <c r="K33" s="145" t="s">
        <v>302</v>
      </c>
      <c r="N33" s="69" t="s">
        <v>125</v>
      </c>
      <c r="V33" s="242" t="s">
        <v>392</v>
      </c>
      <c r="W33" s="79"/>
      <c r="AC33" s="3"/>
      <c r="AE33" s="60"/>
      <c r="AH33" s="79"/>
      <c r="AP33" s="3"/>
    </row>
    <row r="34" spans="1:45">
      <c r="A34" s="69"/>
      <c r="E34" s="69" t="s">
        <v>387</v>
      </c>
      <c r="H34" s="69"/>
      <c r="K34" s="145" t="s">
        <v>303</v>
      </c>
      <c r="N34" s="6"/>
      <c r="V34" s="145" t="s">
        <v>439</v>
      </c>
      <c r="W34" s="79"/>
      <c r="AH34" s="79"/>
      <c r="AM34" s="60">
        <f>1-AS32</f>
        <v>0.42210753403531687</v>
      </c>
    </row>
    <row r="35" spans="1:45">
      <c r="A35" s="145"/>
      <c r="K35" s="145" t="s">
        <v>647</v>
      </c>
      <c r="V35" s="145"/>
      <c r="W35" s="79"/>
    </row>
    <row r="36" spans="1:45" ht="14.5" customHeight="1">
      <c r="E36" s="6"/>
      <c r="V36" s="145"/>
      <c r="W36" s="79"/>
      <c r="AB36" s="29"/>
    </row>
    <row r="37" spans="1:45" ht="14.5" customHeight="1">
      <c r="V37" s="145"/>
      <c r="W37" s="234" t="s">
        <v>509</v>
      </c>
      <c r="AB37" s="29"/>
    </row>
    <row r="38" spans="1:45" ht="14.5" customHeight="1">
      <c r="I38" s="69" t="s">
        <v>373</v>
      </c>
      <c r="S38" t="s">
        <v>381</v>
      </c>
      <c r="V38" s="145"/>
      <c r="W38" s="29" t="str">
        <f>'County Scale Output 2017-2040'!Q2</f>
        <v>stateID</v>
      </c>
      <c r="X38" s="29" t="str">
        <f>'County Scale Output 2017-2040'!R2</f>
        <v>yearID</v>
      </c>
      <c r="Y38" s="29" t="str">
        <f>'County Scale Output 2017-2040'!S2</f>
        <v>regClassID</v>
      </c>
      <c r="Z38" s="29" t="str">
        <f>'County Scale Output 2017-2040'!T2</f>
        <v>fuelTypeID</v>
      </c>
      <c r="AA38" s="29" t="str">
        <f>'County Scale Output 2017-2040'!U2</f>
        <v>VMT</v>
      </c>
      <c r="AB38" s="29" t="s">
        <v>512</v>
      </c>
      <c r="AC38" t="s">
        <v>465</v>
      </c>
      <c r="AD38" t="s">
        <v>513</v>
      </c>
      <c r="AF38" t="s">
        <v>514</v>
      </c>
    </row>
    <row r="39" spans="1:45" ht="14.5" customHeight="1">
      <c r="S39" s="29">
        <v>2026</v>
      </c>
      <c r="T39" s="238">
        <v>0.12941176470588237</v>
      </c>
      <c r="V39" s="145"/>
      <c r="W39" s="29">
        <f>'County Scale Output 2017-2040'!Q3</f>
        <v>27</v>
      </c>
      <c r="X39" s="29">
        <f>'County Scale Output 2017-2040'!R3</f>
        <v>2017</v>
      </c>
      <c r="Y39" s="29">
        <f>'County Scale Output 2017-2040'!S3</f>
        <v>20</v>
      </c>
      <c r="Z39" s="29">
        <f>'County Scale Output 2017-2040'!T3</f>
        <v>1</v>
      </c>
      <c r="AA39" s="29">
        <f>'County Scale Output 2017-2040'!U3</f>
        <v>22742047232</v>
      </c>
      <c r="AB39" s="29"/>
      <c r="AF39">
        <v>2020</v>
      </c>
      <c r="AG39" s="233">
        <f>AD48+3/13*(AD58-AD48)</f>
        <v>3.2988520433074447E-4</v>
      </c>
      <c r="AI39" t="s">
        <v>515</v>
      </c>
      <c r="AP39" s="3">
        <f>AG39*T12</f>
        <v>1700.1667871223476</v>
      </c>
    </row>
    <row r="40" spans="1:45" ht="14.5" customHeight="1">
      <c r="S40" s="29">
        <v>2027</v>
      </c>
      <c r="T40" s="238">
        <v>9.7058823529411781E-2</v>
      </c>
      <c r="V40" s="145"/>
      <c r="W40" s="29">
        <f>'County Scale Output 2017-2040'!Q4</f>
        <v>27</v>
      </c>
      <c r="X40" s="29">
        <f>'County Scale Output 2017-2040'!R4</f>
        <v>2017</v>
      </c>
      <c r="Y40" s="29">
        <f>'County Scale Output 2017-2040'!S4</f>
        <v>20</v>
      </c>
      <c r="Z40" s="29">
        <f>'County Scale Output 2017-2040'!T4</f>
        <v>2</v>
      </c>
      <c r="AA40" s="29">
        <f>'County Scale Output 2017-2040'!U4</f>
        <v>121572972</v>
      </c>
      <c r="AB40" s="29"/>
      <c r="AF40">
        <v>2021</v>
      </c>
      <c r="AG40" s="233">
        <f>AD48+4/12*(AD58-AD48)</f>
        <v>3.3392326600725287E-4</v>
      </c>
      <c r="AI40" t="s">
        <v>516</v>
      </c>
      <c r="AP40" s="3">
        <f>AG40*T13</f>
        <v>1770.6509123594919</v>
      </c>
    </row>
    <row r="41" spans="1:45" ht="14.5" customHeight="1">
      <c r="S41" s="29">
        <v>2028</v>
      </c>
      <c r="T41" s="238">
        <v>0.08</v>
      </c>
      <c r="V41" s="145"/>
      <c r="W41" s="29">
        <f>'County Scale Output 2017-2040'!Q5</f>
        <v>27</v>
      </c>
      <c r="X41" s="29">
        <f>'County Scale Output 2017-2040'!R5</f>
        <v>2017</v>
      </c>
      <c r="Y41" s="29">
        <f>'County Scale Output 2017-2040'!S5</f>
        <v>20</v>
      </c>
      <c r="Z41" s="29">
        <f>'County Scale Output 2017-2040'!T5</f>
        <v>5</v>
      </c>
      <c r="AA41" s="29">
        <f>'County Scale Output 2017-2040'!U5</f>
        <v>17999612.5</v>
      </c>
      <c r="AB41" s="29"/>
      <c r="AF41">
        <v>2022</v>
      </c>
      <c r="AG41" s="233">
        <f>AD48+5/13*(AD58-AD48)</f>
        <v>3.3594229684550704E-4</v>
      </c>
    </row>
    <row r="42" spans="1:45" ht="14.5" customHeight="1">
      <c r="A42" s="183"/>
      <c r="B42" s="184" t="s">
        <v>307</v>
      </c>
      <c r="C42" s="183"/>
      <c r="D42" s="183"/>
      <c r="E42" s="183"/>
      <c r="F42" s="183"/>
      <c r="G42" s="183"/>
      <c r="H42" s="183"/>
      <c r="S42" s="29">
        <v>2029</v>
      </c>
      <c r="T42" s="238">
        <v>6.6666666666666666E-2</v>
      </c>
      <c r="V42" s="145"/>
      <c r="W42" s="29">
        <f>'County Scale Output 2017-2040'!Q6</f>
        <v>27</v>
      </c>
      <c r="X42" s="29">
        <f>'County Scale Output 2017-2040'!R6</f>
        <v>2017</v>
      </c>
      <c r="Y42" s="29">
        <f>'County Scale Output 2017-2040'!S6</f>
        <v>20</v>
      </c>
      <c r="Z42" s="29">
        <f>'County Scale Output 2017-2040'!T6</f>
        <v>9</v>
      </c>
      <c r="AA42" s="29">
        <f>'County Scale Output 2017-2040'!U6</f>
        <v>15224439</v>
      </c>
      <c r="AB42" s="71"/>
      <c r="AC42" s="71"/>
      <c r="AD42" s="71"/>
      <c r="AE42" s="71"/>
      <c r="AF42" s="235">
        <v>2023</v>
      </c>
      <c r="AG42" s="236">
        <f>AD48+6/13*(AD58-AD48)</f>
        <v>3.3897084310288835E-4</v>
      </c>
      <c r="AH42" s="312"/>
      <c r="AI42" s="312"/>
      <c r="AJ42" s="312"/>
      <c r="AK42" s="312"/>
      <c r="AL42" s="312"/>
      <c r="AM42" s="312"/>
      <c r="AN42" s="312"/>
      <c r="AO42" s="312"/>
      <c r="AP42" s="312"/>
      <c r="AQ42" s="312"/>
      <c r="AR42" s="312"/>
      <c r="AS42" s="312"/>
    </row>
    <row r="43" spans="1:45">
      <c r="A43" s="183"/>
      <c r="B43" s="183"/>
      <c r="C43" s="183"/>
      <c r="D43" s="183"/>
      <c r="E43" s="183"/>
      <c r="F43" s="183"/>
      <c r="G43" s="183"/>
      <c r="H43" s="183"/>
      <c r="S43" s="29">
        <v>2030</v>
      </c>
      <c r="T43" s="238">
        <v>5.7142857142857141E-2</v>
      </c>
      <c r="W43" s="29">
        <f>'County Scale Output 2017-2040'!Q7</f>
        <v>27</v>
      </c>
      <c r="X43" s="29">
        <f>'County Scale Output 2017-2040'!R7</f>
        <v>2017</v>
      </c>
      <c r="Y43" s="29">
        <f>'County Scale Output 2017-2040'!S7</f>
        <v>30</v>
      </c>
      <c r="Z43" s="29">
        <f>'County Scale Output 2017-2040'!T7</f>
        <v>1</v>
      </c>
      <c r="AA43" s="29">
        <f>'County Scale Output 2017-2040'!U7</f>
        <v>30108083200</v>
      </c>
      <c r="AD43" s="3"/>
      <c r="AE43" s="3"/>
      <c r="AF43" s="3">
        <v>2024</v>
      </c>
      <c r="AG43" s="233">
        <f>AD48+7/13*(AD58-AD48)</f>
        <v>3.4199938936026961E-4</v>
      </c>
      <c r="AH43" s="6"/>
      <c r="AI43" s="6"/>
      <c r="AJ43" s="102"/>
      <c r="AK43" s="122"/>
      <c r="AL43" s="122"/>
      <c r="AM43" s="60"/>
      <c r="AN43" s="119"/>
      <c r="AO43" s="119"/>
      <c r="AP43" s="102"/>
      <c r="AQ43" s="122"/>
      <c r="AR43" s="122"/>
      <c r="AS43" s="60"/>
    </row>
    <row r="44" spans="1:45">
      <c r="A44" s="183"/>
      <c r="B44" s="185" t="s">
        <v>308</v>
      </c>
      <c r="C44" s="183"/>
      <c r="D44" s="183"/>
      <c r="E44" s="183"/>
      <c r="F44" s="183"/>
      <c r="G44" s="183"/>
      <c r="H44" s="183"/>
      <c r="W44" s="29">
        <f>'County Scale Output 2017-2040'!Q8</f>
        <v>27</v>
      </c>
      <c r="X44" s="29">
        <f>'County Scale Output 2017-2040'!R8</f>
        <v>2017</v>
      </c>
      <c r="Y44" s="29">
        <f>'County Scale Output 2017-2040'!S8</f>
        <v>30</v>
      </c>
      <c r="Z44" s="29">
        <f>'County Scale Output 2017-2040'!T8</f>
        <v>2</v>
      </c>
      <c r="AA44" s="29">
        <f>'County Scale Output 2017-2040'!U8</f>
        <v>164606912</v>
      </c>
      <c r="AD44" s="3"/>
      <c r="AE44" s="3"/>
      <c r="AF44" s="3">
        <v>2025</v>
      </c>
      <c r="AG44" s="233">
        <f>AD48+8/13*(AD58-AD48)</f>
        <v>3.4502793561765093E-4</v>
      </c>
      <c r="AH44" s="6"/>
      <c r="AI44" s="6"/>
      <c r="AJ44" s="102"/>
      <c r="AK44" s="122"/>
      <c r="AL44" s="122"/>
      <c r="AM44" s="60"/>
      <c r="AN44" s="119"/>
      <c r="AO44" s="119"/>
      <c r="AP44" s="102"/>
      <c r="AQ44" s="122"/>
      <c r="AR44" s="122"/>
      <c r="AS44" s="60"/>
    </row>
    <row r="45" spans="1:45">
      <c r="A45" s="183"/>
      <c r="B45" s="183"/>
      <c r="C45" s="308" t="s">
        <v>309</v>
      </c>
      <c r="D45" s="308"/>
      <c r="E45" s="308"/>
      <c r="F45" s="186" t="s">
        <v>310</v>
      </c>
      <c r="G45" s="186" t="s">
        <v>311</v>
      </c>
      <c r="H45" s="187"/>
      <c r="W45" s="29">
        <f>'County Scale Output 2017-2040'!Q9</f>
        <v>27</v>
      </c>
      <c r="X45" s="29">
        <f>'County Scale Output 2017-2040'!R9</f>
        <v>2017</v>
      </c>
      <c r="Y45" s="29">
        <f>'County Scale Output 2017-2040'!S9</f>
        <v>30</v>
      </c>
      <c r="Z45" s="29">
        <f>'County Scale Output 2017-2040'!T9</f>
        <v>5</v>
      </c>
      <c r="AA45" s="29">
        <f>'County Scale Output 2017-2040'!U9</f>
        <v>94463170</v>
      </c>
      <c r="AD45" s="3"/>
      <c r="AE45" s="3"/>
      <c r="AF45" s="3">
        <v>2026</v>
      </c>
      <c r="AG45" s="233">
        <f>AD48+9/13*(AD58-AD48)</f>
        <v>3.4805648187503219E-4</v>
      </c>
      <c r="AH45" s="6"/>
      <c r="AI45" s="6"/>
      <c r="AJ45" s="102"/>
      <c r="AK45" s="122"/>
      <c r="AL45" s="122"/>
      <c r="AM45" s="60"/>
      <c r="AN45" s="119"/>
      <c r="AO45" s="119"/>
      <c r="AP45" s="102"/>
      <c r="AQ45" s="122"/>
      <c r="AR45" s="122"/>
      <c r="AS45" s="60"/>
    </row>
    <row r="46" spans="1:45">
      <c r="A46" s="188" t="s">
        <v>312</v>
      </c>
      <c r="B46" s="189" t="s">
        <v>313</v>
      </c>
      <c r="C46" s="189" t="s">
        <v>121</v>
      </c>
      <c r="D46" s="189" t="s">
        <v>122</v>
      </c>
      <c r="E46" s="189" t="s">
        <v>314</v>
      </c>
      <c r="F46" s="190" t="s">
        <v>315</v>
      </c>
      <c r="G46" s="191" t="s">
        <v>33</v>
      </c>
      <c r="H46" s="187"/>
      <c r="W46" s="29">
        <f>'County Scale Output 2017-2040'!Q10</f>
        <v>27</v>
      </c>
      <c r="X46" s="29">
        <f>'County Scale Output 2017-2040'!R10</f>
        <v>2017</v>
      </c>
      <c r="Y46" s="29">
        <f>'County Scale Output 2017-2040'!S10</f>
        <v>30</v>
      </c>
      <c r="Z46" s="29">
        <f>'County Scale Output 2017-2040'!T10</f>
        <v>9</v>
      </c>
      <c r="AA46" s="29">
        <f>'County Scale Output 2017-2040'!U10</f>
        <v>2675915</v>
      </c>
      <c r="AD46" s="3"/>
      <c r="AE46" s="3"/>
      <c r="AF46" s="3">
        <v>2027</v>
      </c>
      <c r="AG46" s="233">
        <f>AD48+10/13*(AD58-AD48)</f>
        <v>3.510850281324135E-4</v>
      </c>
      <c r="AH46" s="6"/>
      <c r="AI46" s="6"/>
      <c r="AJ46" s="102"/>
      <c r="AK46" s="122"/>
      <c r="AL46" s="122"/>
      <c r="AM46" s="60"/>
      <c r="AN46" s="119"/>
      <c r="AO46" s="119"/>
      <c r="AP46" s="102"/>
      <c r="AQ46" s="122"/>
      <c r="AR46" s="122"/>
      <c r="AS46" s="60"/>
    </row>
    <row r="47" spans="1:45">
      <c r="A47" s="183">
        <v>1</v>
      </c>
      <c r="B47" s="190" t="s">
        <v>316</v>
      </c>
      <c r="C47" s="192">
        <v>166582</v>
      </c>
      <c r="D47" s="192">
        <v>53194</v>
      </c>
      <c r="E47" s="192">
        <v>3271</v>
      </c>
      <c r="F47" s="193">
        <v>0.13550000000000001</v>
      </c>
      <c r="G47" s="194">
        <f>SUM(C47:E47)/F47</f>
        <v>1646103.3210332103</v>
      </c>
      <c r="H47" s="183"/>
      <c r="W47" s="29">
        <f>'County Scale Output 2017-2040'!Q11</f>
        <v>27</v>
      </c>
      <c r="X47" s="29">
        <f>'County Scale Output 2017-2040'!R11</f>
        <v>2017</v>
      </c>
      <c r="Y47" s="29">
        <f>'County Scale Output 2017-2040'!S11</f>
        <v>41</v>
      </c>
      <c r="Z47" s="29">
        <f>'County Scale Output 2017-2040'!T11</f>
        <v>1</v>
      </c>
      <c r="AA47" s="29">
        <f>'County Scale Output 2017-2040'!U11</f>
        <v>1295743872</v>
      </c>
      <c r="AD47" s="3"/>
      <c r="AE47" s="3"/>
      <c r="AF47" s="3">
        <v>2028</v>
      </c>
      <c r="AG47" s="233">
        <f>AD48+11/13*(AD58-AD48)</f>
        <v>3.5411357438979476E-4</v>
      </c>
      <c r="AH47" s="6"/>
      <c r="AI47" s="6"/>
      <c r="AJ47" s="102"/>
      <c r="AK47" s="122"/>
      <c r="AL47" s="122"/>
      <c r="AM47" s="60"/>
      <c r="AN47" s="119"/>
      <c r="AO47" s="119"/>
      <c r="AP47" s="102"/>
      <c r="AQ47" s="122"/>
      <c r="AR47" s="122"/>
      <c r="AS47" s="60"/>
    </row>
    <row r="48" spans="1:45">
      <c r="A48" s="183">
        <v>2</v>
      </c>
      <c r="B48" s="190" t="s">
        <v>317</v>
      </c>
      <c r="C48" s="192">
        <v>37880</v>
      </c>
      <c r="D48" s="192">
        <v>7795</v>
      </c>
      <c r="E48" s="192"/>
      <c r="F48" s="193">
        <v>3.6400000000000002E-2</v>
      </c>
      <c r="G48" s="194">
        <f t="shared" ref="G48:G97" si="45">SUM(C48:E48)/F48</f>
        <v>1254807.6923076923</v>
      </c>
      <c r="H48" s="183"/>
      <c r="W48" s="29">
        <f>'County Scale Output 2017-2040'!Q12</f>
        <v>27</v>
      </c>
      <c r="X48" s="29">
        <f>'County Scale Output 2017-2040'!R12</f>
        <v>2017</v>
      </c>
      <c r="Y48" s="29">
        <f>'County Scale Output 2017-2040'!S12</f>
        <v>41</v>
      </c>
      <c r="Z48" s="29">
        <f>'County Scale Output 2017-2040'!T12</f>
        <v>2</v>
      </c>
      <c r="AA48" s="29">
        <f>'County Scale Output 2017-2040'!U12</f>
        <v>1236766720</v>
      </c>
      <c r="AB48">
        <f>SUM(AA39:AA48)</f>
        <v>55799184044.5</v>
      </c>
      <c r="AC48">
        <f>AA42+AA46</f>
        <v>17900354</v>
      </c>
      <c r="AD48" s="233">
        <f>AC48/AB48</f>
        <v>3.2079956555860063E-4</v>
      </c>
      <c r="AE48" s="3"/>
      <c r="AF48" s="3">
        <v>2029</v>
      </c>
      <c r="AG48" s="233">
        <f>AD48+12/13*(AD58-AD48)</f>
        <v>3.5714212064717608E-4</v>
      </c>
      <c r="AH48" s="6"/>
      <c r="AI48" s="6"/>
      <c r="AJ48" s="29"/>
      <c r="AK48" s="6"/>
      <c r="AL48" s="6"/>
      <c r="AM48" s="60"/>
      <c r="AN48" s="119"/>
      <c r="AO48" s="119"/>
      <c r="AP48" s="102"/>
      <c r="AQ48" s="122"/>
      <c r="AR48" s="122"/>
      <c r="AS48" s="60"/>
    </row>
    <row r="49" spans="1:45">
      <c r="A49" s="183">
        <v>3</v>
      </c>
      <c r="B49" s="190" t="s">
        <v>318</v>
      </c>
      <c r="C49" s="192">
        <v>28306</v>
      </c>
      <c r="D49" s="192">
        <v>6934</v>
      </c>
      <c r="E49" s="192"/>
      <c r="F49" s="193">
        <v>2.69E-2</v>
      </c>
      <c r="G49" s="194">
        <f t="shared" si="45"/>
        <v>1310037.1747211895</v>
      </c>
      <c r="H49" s="183"/>
      <c r="W49" s="29">
        <f>'County Scale Output 2017-2040'!Q13</f>
        <v>27</v>
      </c>
      <c r="X49" s="29">
        <f>'County Scale Output 2017-2040'!R13</f>
        <v>2030</v>
      </c>
      <c r="Y49" s="29">
        <f>'County Scale Output 2017-2040'!S13</f>
        <v>20</v>
      </c>
      <c r="Z49" s="29">
        <f>'County Scale Output 2017-2040'!T13</f>
        <v>1</v>
      </c>
      <c r="AA49" s="29">
        <f>'County Scale Output 2017-2040'!U13</f>
        <v>24127636992</v>
      </c>
      <c r="AD49" s="3"/>
      <c r="AE49" s="3"/>
      <c r="AF49" s="3">
        <v>2030</v>
      </c>
      <c r="AG49" s="233">
        <f>AD58</f>
        <v>3.6017066690455734E-4</v>
      </c>
      <c r="AH49" s="6"/>
      <c r="AI49" s="6"/>
      <c r="AJ49" s="29"/>
      <c r="AK49" s="6"/>
      <c r="AL49" s="6"/>
      <c r="AM49" s="60"/>
      <c r="AN49" s="119"/>
      <c r="AO49" s="119"/>
      <c r="AP49" s="102"/>
      <c r="AQ49" s="122"/>
      <c r="AR49" s="122"/>
      <c r="AS49" s="60"/>
    </row>
    <row r="50" spans="1:45">
      <c r="A50" s="183">
        <v>4</v>
      </c>
      <c r="B50" s="190" t="s">
        <v>319</v>
      </c>
      <c r="C50" s="192">
        <v>21141</v>
      </c>
      <c r="D50" s="192">
        <v>14366</v>
      </c>
      <c r="E50" s="192"/>
      <c r="F50" s="193">
        <v>4.07E-2</v>
      </c>
      <c r="G50" s="194">
        <f t="shared" si="45"/>
        <v>872407.86240786244</v>
      </c>
      <c r="H50" s="183"/>
      <c r="W50" s="29">
        <f>'County Scale Output 2017-2040'!Q14</f>
        <v>27</v>
      </c>
      <c r="X50" s="29">
        <f>'County Scale Output 2017-2040'!R14</f>
        <v>2030</v>
      </c>
      <c r="Y50" s="29">
        <f>'County Scale Output 2017-2040'!S14</f>
        <v>20</v>
      </c>
      <c r="Z50" s="29">
        <f>'County Scale Output 2017-2040'!T14</f>
        <v>2</v>
      </c>
      <c r="AA50" s="29">
        <f>'County Scale Output 2017-2040'!U14</f>
        <v>213900524</v>
      </c>
      <c r="AD50" s="3"/>
      <c r="AE50" s="3"/>
      <c r="AF50" s="3">
        <v>2031</v>
      </c>
      <c r="AG50" s="233">
        <f>AD$58+1/10*(AD$68-AD$58)</f>
        <v>3.3328368553201801E-4</v>
      </c>
      <c r="AH50" s="6"/>
      <c r="AI50" s="6"/>
      <c r="AJ50" s="29"/>
      <c r="AK50" s="6"/>
      <c r="AL50" s="6"/>
      <c r="AM50" s="60"/>
      <c r="AN50" s="119"/>
      <c r="AO50" s="119"/>
      <c r="AP50" s="102"/>
      <c r="AQ50" s="122"/>
      <c r="AR50" s="122"/>
      <c r="AS50" s="60"/>
    </row>
    <row r="51" spans="1:45">
      <c r="A51" s="183">
        <v>5</v>
      </c>
      <c r="B51" s="190" t="s">
        <v>320</v>
      </c>
      <c r="C51" s="192">
        <v>19773</v>
      </c>
      <c r="D51" s="192">
        <v>6219</v>
      </c>
      <c r="E51" s="192"/>
      <c r="F51" s="193">
        <v>5.3499999999999999E-2</v>
      </c>
      <c r="G51" s="194">
        <f t="shared" si="45"/>
        <v>485831.77570093458</v>
      </c>
      <c r="H51" s="183"/>
      <c r="W51" s="29">
        <f>'County Scale Output 2017-2040'!Q15</f>
        <v>27</v>
      </c>
      <c r="X51" s="29">
        <f>'County Scale Output 2017-2040'!R15</f>
        <v>2030</v>
      </c>
      <c r="Y51" s="29">
        <f>'County Scale Output 2017-2040'!S15</f>
        <v>20</v>
      </c>
      <c r="Z51" s="29">
        <f>'County Scale Output 2017-2040'!T15</f>
        <v>5</v>
      </c>
      <c r="AA51" s="29">
        <f>'County Scale Output 2017-2040'!U15</f>
        <v>19391852</v>
      </c>
      <c r="AD51" s="3"/>
      <c r="AE51" s="3"/>
      <c r="AF51" s="3">
        <v>2032</v>
      </c>
      <c r="AG51" s="233">
        <f>AD$58+2/10*(AD$68-AD$58)</f>
        <v>3.0639670415947868E-4</v>
      </c>
      <c r="AH51" s="6"/>
      <c r="AI51" s="6"/>
      <c r="AJ51" s="29"/>
      <c r="AK51" s="6"/>
      <c r="AL51" s="6"/>
      <c r="AM51" s="60"/>
      <c r="AN51" s="119"/>
      <c r="AO51" s="119"/>
      <c r="AP51" s="102"/>
      <c r="AQ51" s="122"/>
      <c r="AR51" s="122"/>
      <c r="AS51" s="60"/>
    </row>
    <row r="52" spans="1:45">
      <c r="A52" s="183">
        <v>6</v>
      </c>
      <c r="B52" s="190" t="s">
        <v>321</v>
      </c>
      <c r="C52" s="192">
        <v>17143</v>
      </c>
      <c r="D52" s="192">
        <v>3637</v>
      </c>
      <c r="E52" s="192"/>
      <c r="F52" s="193">
        <v>8.4400000000000003E-2</v>
      </c>
      <c r="G52" s="194">
        <f t="shared" si="45"/>
        <v>246208.53080568719</v>
      </c>
      <c r="H52" s="183"/>
      <c r="W52" s="29">
        <f>'County Scale Output 2017-2040'!Q16</f>
        <v>27</v>
      </c>
      <c r="X52" s="29">
        <f>'County Scale Output 2017-2040'!R16</f>
        <v>2030</v>
      </c>
      <c r="Y52" s="29">
        <f>'County Scale Output 2017-2040'!S16</f>
        <v>20</v>
      </c>
      <c r="Z52" s="29">
        <f>'County Scale Output 2017-2040'!T16</f>
        <v>9</v>
      </c>
      <c r="AA52" s="29">
        <f>'County Scale Output 2017-2040'!U16</f>
        <v>19995804</v>
      </c>
      <c r="AD52" s="3"/>
      <c r="AE52" s="3"/>
      <c r="AF52" s="3">
        <v>2033</v>
      </c>
      <c r="AG52" s="233">
        <f>AD$58+3/10*(AD$68-AD$58)</f>
        <v>2.795097227869394E-4</v>
      </c>
      <c r="AH52" s="6"/>
      <c r="AI52" s="6"/>
      <c r="AJ52" s="29"/>
      <c r="AK52" s="6"/>
      <c r="AL52" s="6"/>
      <c r="AM52" s="60"/>
      <c r="AN52" s="119"/>
      <c r="AO52" s="119"/>
      <c r="AP52" s="102"/>
      <c r="AQ52" s="122"/>
      <c r="AR52" s="122"/>
      <c r="AS52" s="60"/>
    </row>
    <row r="53" spans="1:45">
      <c r="A53" s="183">
        <v>7</v>
      </c>
      <c r="B53" s="190" t="s">
        <v>322</v>
      </c>
      <c r="C53" s="192">
        <v>11989</v>
      </c>
      <c r="D53" s="192">
        <v>2888</v>
      </c>
      <c r="E53" s="192"/>
      <c r="F53" s="193">
        <v>4.7399999999999998E-2</v>
      </c>
      <c r="G53" s="194">
        <f t="shared" si="45"/>
        <v>313860.75949367089</v>
      </c>
      <c r="H53" s="183"/>
      <c r="W53" s="29">
        <f>'County Scale Output 2017-2040'!Q17</f>
        <v>27</v>
      </c>
      <c r="X53" s="29">
        <f>'County Scale Output 2017-2040'!R17</f>
        <v>2030</v>
      </c>
      <c r="Y53" s="29">
        <f>'County Scale Output 2017-2040'!S17</f>
        <v>30</v>
      </c>
      <c r="Z53" s="29">
        <f>'County Scale Output 2017-2040'!T17</f>
        <v>1</v>
      </c>
      <c r="AA53" s="29">
        <f>'County Scale Output 2017-2040'!U17</f>
        <v>31949934592</v>
      </c>
      <c r="AD53" s="3"/>
      <c r="AE53" s="3"/>
      <c r="AF53" s="3">
        <v>2034</v>
      </c>
      <c r="AG53" s="233">
        <f>AD$58+4/10*(AD$68-AD$58)</f>
        <v>2.5262274141440007E-4</v>
      </c>
      <c r="AH53" s="6"/>
      <c r="AI53" s="6"/>
      <c r="AJ53" s="29"/>
      <c r="AK53" s="6"/>
      <c r="AL53" s="6"/>
      <c r="AM53" s="60"/>
      <c r="AN53" s="119"/>
      <c r="AO53" s="119"/>
      <c r="AP53" s="102"/>
      <c r="AQ53" s="122"/>
      <c r="AR53" s="122"/>
      <c r="AS53" s="60"/>
    </row>
    <row r="54" spans="1:45">
      <c r="A54" s="183">
        <v>8</v>
      </c>
      <c r="B54" s="190" t="s">
        <v>323</v>
      </c>
      <c r="C54" s="192">
        <v>11751</v>
      </c>
      <c r="D54" s="192">
        <v>4340</v>
      </c>
      <c r="E54" s="192"/>
      <c r="F54" s="193">
        <v>3.27E-2</v>
      </c>
      <c r="G54" s="194">
        <f t="shared" si="45"/>
        <v>492079.51070336392</v>
      </c>
      <c r="H54" s="183"/>
      <c r="W54" s="29">
        <f>'County Scale Output 2017-2040'!Q18</f>
        <v>27</v>
      </c>
      <c r="X54" s="29">
        <f>'County Scale Output 2017-2040'!R18</f>
        <v>2030</v>
      </c>
      <c r="Y54" s="29">
        <f>'County Scale Output 2017-2040'!S18</f>
        <v>30</v>
      </c>
      <c r="Z54" s="29">
        <f>'County Scale Output 2017-2040'!T18</f>
        <v>2</v>
      </c>
      <c r="AA54" s="29">
        <f>'County Scale Output 2017-2040'!U18</f>
        <v>619608256</v>
      </c>
      <c r="AD54" s="3"/>
      <c r="AE54" s="3"/>
      <c r="AF54" s="3">
        <v>2035</v>
      </c>
      <c r="AG54" s="233">
        <f>AD$58+5/10*(AD$68-AD$58)</f>
        <v>2.2573576004186074E-4</v>
      </c>
      <c r="AH54" s="6"/>
      <c r="AI54" s="6"/>
      <c r="AJ54" s="29"/>
      <c r="AK54" s="6"/>
      <c r="AL54" s="6"/>
      <c r="AM54" s="60"/>
      <c r="AN54" s="119"/>
      <c r="AO54" s="119"/>
      <c r="AP54" s="102"/>
      <c r="AQ54" s="122"/>
      <c r="AR54" s="122"/>
      <c r="AS54" s="60"/>
    </row>
    <row r="55" spans="1:45">
      <c r="A55" s="183">
        <v>9</v>
      </c>
      <c r="B55" s="190" t="s">
        <v>324</v>
      </c>
      <c r="C55" s="192">
        <v>11692</v>
      </c>
      <c r="D55" s="192">
        <v>4266</v>
      </c>
      <c r="E55" s="192"/>
      <c r="F55" s="193">
        <v>6.9000000000000006E-2</v>
      </c>
      <c r="G55" s="194">
        <f t="shared" si="45"/>
        <v>231275.36231884055</v>
      </c>
      <c r="H55" s="183"/>
      <c r="W55" s="29">
        <f>'County Scale Output 2017-2040'!Q19</f>
        <v>27</v>
      </c>
      <c r="X55" s="29">
        <f>'County Scale Output 2017-2040'!R19</f>
        <v>2030</v>
      </c>
      <c r="Y55" s="29">
        <f>'County Scale Output 2017-2040'!S19</f>
        <v>30</v>
      </c>
      <c r="Z55" s="29">
        <f>'County Scale Output 2017-2040'!T19</f>
        <v>5</v>
      </c>
      <c r="AA55" s="29">
        <f>'County Scale Output 2017-2040'!U19</f>
        <v>88304494</v>
      </c>
      <c r="AF55">
        <v>2036</v>
      </c>
      <c r="AG55" s="233">
        <f>AD$58+6/10*(AD$68-AD$58)</f>
        <v>1.9884877866932144E-4</v>
      </c>
    </row>
    <row r="56" spans="1:45">
      <c r="A56" s="183">
        <v>10</v>
      </c>
      <c r="B56" s="190" t="s">
        <v>325</v>
      </c>
      <c r="C56" s="192">
        <v>10855</v>
      </c>
      <c r="D56" s="192">
        <v>3678</v>
      </c>
      <c r="E56" s="192">
        <v>1</v>
      </c>
      <c r="F56" s="193">
        <v>4.48E-2</v>
      </c>
      <c r="G56" s="194">
        <f t="shared" si="45"/>
        <v>324419.64285714284</v>
      </c>
      <c r="H56" s="183"/>
      <c r="W56" s="29">
        <f>'County Scale Output 2017-2040'!Q20</f>
        <v>27</v>
      </c>
      <c r="X56" s="29">
        <f>'County Scale Output 2017-2040'!R20</f>
        <v>2030</v>
      </c>
      <c r="Y56" s="29">
        <f>'County Scale Output 2017-2040'!S20</f>
        <v>30</v>
      </c>
      <c r="Z56" s="29">
        <f>'County Scale Output 2017-2040'!T20</f>
        <v>9</v>
      </c>
      <c r="AA56" s="29">
        <f>'County Scale Output 2017-2040'!U20</f>
        <v>1384344.203</v>
      </c>
      <c r="AF56">
        <v>2037</v>
      </c>
      <c r="AG56" s="233">
        <f>AD$58+7/10*(AD$68-AD$58)</f>
        <v>1.7196179729678211E-4</v>
      </c>
    </row>
    <row r="57" spans="1:45">
      <c r="A57" s="183">
        <v>11</v>
      </c>
      <c r="B57" s="190" t="s">
        <v>326</v>
      </c>
      <c r="C57" s="192">
        <v>10312</v>
      </c>
      <c r="D57" s="192">
        <v>6614</v>
      </c>
      <c r="E57" s="192">
        <v>1</v>
      </c>
      <c r="F57" s="193">
        <v>5.7299999999999997E-2</v>
      </c>
      <c r="G57" s="194">
        <f t="shared" si="45"/>
        <v>295410.12216404889</v>
      </c>
      <c r="H57" s="183"/>
      <c r="W57" s="29">
        <f>'County Scale Output 2017-2040'!Q21</f>
        <v>27</v>
      </c>
      <c r="X57" s="29">
        <f>'County Scale Output 2017-2040'!R21</f>
        <v>2030</v>
      </c>
      <c r="Y57" s="29">
        <f>'County Scale Output 2017-2040'!S21</f>
        <v>41</v>
      </c>
      <c r="Z57" s="29">
        <f>'County Scale Output 2017-2040'!T21</f>
        <v>1</v>
      </c>
      <c r="AA57" s="29">
        <f>'County Scale Output 2017-2040'!U21</f>
        <v>685298048</v>
      </c>
      <c r="AF57">
        <v>2038</v>
      </c>
      <c r="AG57" s="233">
        <f>AD$58+8/10*(AD$68-AD$58)</f>
        <v>1.4507481592424278E-4</v>
      </c>
    </row>
    <row r="58" spans="1:45">
      <c r="A58" s="183">
        <v>12</v>
      </c>
      <c r="B58" s="190" t="s">
        <v>327</v>
      </c>
      <c r="C58" s="192">
        <v>10047</v>
      </c>
      <c r="D58" s="192">
        <v>2763</v>
      </c>
      <c r="E58" s="192"/>
      <c r="F58" s="193">
        <v>0.03</v>
      </c>
      <c r="G58" s="194">
        <f t="shared" si="45"/>
        <v>427000</v>
      </c>
      <c r="H58" s="183"/>
      <c r="W58" s="29">
        <f>'County Scale Output 2017-2040'!Q22</f>
        <v>27</v>
      </c>
      <c r="X58" s="29">
        <f>'County Scale Output 2017-2040'!R22</f>
        <v>2030</v>
      </c>
      <c r="Y58" s="29">
        <f>'County Scale Output 2017-2040'!S22</f>
        <v>41</v>
      </c>
      <c r="Z58" s="29">
        <f>'County Scale Output 2017-2040'!T22</f>
        <v>2</v>
      </c>
      <c r="AA58" s="29">
        <f>'County Scale Output 2017-2040'!U22</f>
        <v>1635704032</v>
      </c>
      <c r="AB58">
        <f>SUM(AA49:AA58)</f>
        <v>59361158938.203003</v>
      </c>
      <c r="AC58">
        <f>AA52+AA56</f>
        <v>21380148.203000002</v>
      </c>
      <c r="AD58" s="233">
        <f>AC58/AB58</f>
        <v>3.6017066690455734E-4</v>
      </c>
      <c r="AF58">
        <v>2039</v>
      </c>
      <c r="AG58" s="233">
        <f>AD$58+9/10*(AD$68-AD$58)</f>
        <v>1.1818783455170344E-4</v>
      </c>
    </row>
    <row r="59" spans="1:45">
      <c r="A59" s="183">
        <v>13</v>
      </c>
      <c r="B59" s="190" t="s">
        <v>328</v>
      </c>
      <c r="C59" s="192">
        <v>9983</v>
      </c>
      <c r="D59" s="192">
        <v>4658</v>
      </c>
      <c r="E59" s="192">
        <v>1</v>
      </c>
      <c r="F59" s="193">
        <v>2.6700000000000002E-2</v>
      </c>
      <c r="G59" s="194">
        <f t="shared" si="45"/>
        <v>548389.51310861425</v>
      </c>
      <c r="H59" s="183"/>
      <c r="W59" s="29">
        <f>'County Scale Output 2017-2040'!Q23</f>
        <v>27</v>
      </c>
      <c r="X59" s="29">
        <f>'County Scale Output 2017-2040'!R23</f>
        <v>2040</v>
      </c>
      <c r="Y59" s="29">
        <f>'County Scale Output 2017-2040'!S23</f>
        <v>20</v>
      </c>
      <c r="Z59" s="29">
        <f>'County Scale Output 2017-2040'!T23</f>
        <v>1</v>
      </c>
      <c r="AA59" s="29">
        <f>'County Scale Output 2017-2040'!U23</f>
        <v>25113335296</v>
      </c>
      <c r="AF59">
        <v>2040</v>
      </c>
      <c r="AG59" s="233">
        <f>AD68</f>
        <v>9.1300853179164128E-5</v>
      </c>
    </row>
    <row r="60" spans="1:45">
      <c r="A60" s="183">
        <v>14</v>
      </c>
      <c r="B60" s="190" t="s">
        <v>329</v>
      </c>
      <c r="C60" s="192">
        <v>9377</v>
      </c>
      <c r="D60" s="192">
        <v>4535</v>
      </c>
      <c r="E60" s="192">
        <v>1</v>
      </c>
      <c r="F60" s="193">
        <v>5.4199999999999998E-2</v>
      </c>
      <c r="G60" s="194">
        <f t="shared" si="45"/>
        <v>256697.41697416976</v>
      </c>
      <c r="H60" s="183"/>
      <c r="W60" s="29">
        <f>'County Scale Output 2017-2040'!Q24</f>
        <v>27</v>
      </c>
      <c r="X60" s="29">
        <f>'County Scale Output 2017-2040'!R24</f>
        <v>2040</v>
      </c>
      <c r="Y60" s="29">
        <f>'County Scale Output 2017-2040'!S24</f>
        <v>20</v>
      </c>
      <c r="Z60" s="29">
        <f>'County Scale Output 2017-2040'!T24</f>
        <v>2</v>
      </c>
      <c r="AA60" s="29">
        <f>'County Scale Output 2017-2040'!U24</f>
        <v>452257120</v>
      </c>
    </row>
    <row r="61" spans="1:45">
      <c r="A61" s="183">
        <v>15</v>
      </c>
      <c r="B61" s="190" t="s">
        <v>330</v>
      </c>
      <c r="C61" s="192">
        <v>9340</v>
      </c>
      <c r="D61" s="192">
        <v>3312</v>
      </c>
      <c r="E61" s="192"/>
      <c r="F61" s="193">
        <v>3.15E-2</v>
      </c>
      <c r="G61" s="194">
        <f t="shared" si="45"/>
        <v>401650.79365079367</v>
      </c>
      <c r="H61" s="183"/>
      <c r="W61" s="29">
        <f>'County Scale Output 2017-2040'!Q25</f>
        <v>27</v>
      </c>
      <c r="X61" s="29">
        <f>'County Scale Output 2017-2040'!R25</f>
        <v>2040</v>
      </c>
      <c r="Y61" s="29">
        <f>'County Scale Output 2017-2040'!S25</f>
        <v>20</v>
      </c>
      <c r="Z61" s="29">
        <f>'County Scale Output 2017-2040'!T25</f>
        <v>5</v>
      </c>
      <c r="AA61" s="29">
        <f>'County Scale Output 2017-2040'!U25</f>
        <v>17050290.5</v>
      </c>
    </row>
    <row r="62" spans="1:45">
      <c r="A62" s="183">
        <v>16</v>
      </c>
      <c r="B62" s="190" t="s">
        <v>331</v>
      </c>
      <c r="C62" s="192">
        <v>8380</v>
      </c>
      <c r="D62" s="192">
        <v>4421</v>
      </c>
      <c r="E62" s="192"/>
      <c r="F62" s="193">
        <v>8.3799999999999999E-2</v>
      </c>
      <c r="G62" s="194">
        <f t="shared" si="45"/>
        <v>152756.5632458234</v>
      </c>
      <c r="H62" s="183"/>
      <c r="W62" s="29">
        <f>'County Scale Output 2017-2040'!Q26</f>
        <v>27</v>
      </c>
      <c r="X62" s="29">
        <f>'County Scale Output 2017-2040'!R26</f>
        <v>2040</v>
      </c>
      <c r="Y62" s="29">
        <f>'County Scale Output 2017-2040'!S26</f>
        <v>20</v>
      </c>
      <c r="Z62" s="29">
        <f>'County Scale Output 2017-2040'!T26</f>
        <v>9</v>
      </c>
      <c r="AA62" s="29">
        <f>'County Scale Output 2017-2040'!U26</f>
        <v>5061033.6880000001</v>
      </c>
    </row>
    <row r="63" spans="1:45">
      <c r="A63" s="183">
        <v>17</v>
      </c>
      <c r="B63" s="190" t="s">
        <v>332</v>
      </c>
      <c r="C63" s="192">
        <v>7258</v>
      </c>
      <c r="D63" s="192">
        <v>3103</v>
      </c>
      <c r="E63" s="192"/>
      <c r="F63" s="193">
        <v>2.0400000000000001E-2</v>
      </c>
      <c r="G63" s="194">
        <f t="shared" si="45"/>
        <v>507892.15686274506</v>
      </c>
      <c r="H63" s="183"/>
      <c r="W63" s="29">
        <f>'County Scale Output 2017-2040'!Q27</f>
        <v>27</v>
      </c>
      <c r="X63" s="29">
        <f>'County Scale Output 2017-2040'!R27</f>
        <v>2040</v>
      </c>
      <c r="Y63" s="29">
        <f>'County Scale Output 2017-2040'!S27</f>
        <v>30</v>
      </c>
      <c r="Z63" s="29">
        <f>'County Scale Output 2017-2040'!T27</f>
        <v>1</v>
      </c>
      <c r="AA63" s="29">
        <f>'County Scale Output 2017-2040'!U27</f>
        <v>33258970112</v>
      </c>
    </row>
    <row r="64" spans="1:45">
      <c r="A64" s="183">
        <v>18</v>
      </c>
      <c r="B64" s="190" t="s">
        <v>333</v>
      </c>
      <c r="C64" s="192">
        <v>6425</v>
      </c>
      <c r="D64" s="192">
        <v>4052</v>
      </c>
      <c r="E64" s="192"/>
      <c r="F64" s="193">
        <v>2.23E-2</v>
      </c>
      <c r="G64" s="194">
        <f t="shared" si="45"/>
        <v>469820.62780269055</v>
      </c>
      <c r="H64" s="183"/>
      <c r="W64" s="29">
        <f>'County Scale Output 2017-2040'!Q28</f>
        <v>27</v>
      </c>
      <c r="X64" s="29">
        <f>'County Scale Output 2017-2040'!R28</f>
        <v>2040</v>
      </c>
      <c r="Y64" s="29">
        <f>'County Scale Output 2017-2040'!S28</f>
        <v>30</v>
      </c>
      <c r="Z64" s="29">
        <f>'County Scale Output 2017-2040'!T28</f>
        <v>2</v>
      </c>
      <c r="AA64" s="29">
        <f>'County Scale Output 2017-2040'!U28</f>
        <v>847806224</v>
      </c>
    </row>
    <row r="65" spans="1:30">
      <c r="A65" s="183">
        <v>19</v>
      </c>
      <c r="B65" s="190" t="s">
        <v>334</v>
      </c>
      <c r="C65" s="192">
        <v>6365</v>
      </c>
      <c r="D65" s="192">
        <v>1383</v>
      </c>
      <c r="E65" s="192"/>
      <c r="F65" s="193">
        <v>6.0400000000000002E-2</v>
      </c>
      <c r="G65" s="194">
        <f t="shared" si="45"/>
        <v>128278.14569536423</v>
      </c>
      <c r="H65" s="183"/>
      <c r="W65" s="29">
        <f>'County Scale Output 2017-2040'!Q29</f>
        <v>27</v>
      </c>
      <c r="X65" s="29">
        <f>'County Scale Output 2017-2040'!R29</f>
        <v>2040</v>
      </c>
      <c r="Y65" s="29">
        <f>'County Scale Output 2017-2040'!S29</f>
        <v>30</v>
      </c>
      <c r="Z65" s="29">
        <f>'County Scale Output 2017-2040'!T29</f>
        <v>5</v>
      </c>
      <c r="AA65" s="29">
        <f>'County Scale Output 2017-2040'!U29</f>
        <v>96297814</v>
      </c>
    </row>
    <row r="66" spans="1:30">
      <c r="A66" s="183">
        <v>20</v>
      </c>
      <c r="B66" s="190" t="s">
        <v>335</v>
      </c>
      <c r="C66" s="192">
        <v>4952</v>
      </c>
      <c r="D66" s="192">
        <v>3050</v>
      </c>
      <c r="E66" s="192"/>
      <c r="F66" s="193">
        <v>5.3800000000000001E-2</v>
      </c>
      <c r="G66" s="194">
        <f t="shared" si="45"/>
        <v>148736.05947955389</v>
      </c>
      <c r="H66" s="183"/>
      <c r="W66" s="29">
        <f>'County Scale Output 2017-2040'!Q30</f>
        <v>27</v>
      </c>
      <c r="X66" s="29">
        <f>'County Scale Output 2017-2040'!R30</f>
        <v>2040</v>
      </c>
      <c r="Y66" s="29">
        <f>'County Scale Output 2017-2040'!S30</f>
        <v>30</v>
      </c>
      <c r="Z66" s="29">
        <f>'County Scale Output 2017-2040'!T30</f>
        <v>9</v>
      </c>
      <c r="AA66" s="29">
        <f>'County Scale Output 2017-2040'!U30</f>
        <v>626366.74219999998</v>
      </c>
    </row>
    <row r="67" spans="1:30">
      <c r="A67" s="183">
        <v>21</v>
      </c>
      <c r="B67" s="190" t="s">
        <v>336</v>
      </c>
      <c r="C67" s="192">
        <v>4623</v>
      </c>
      <c r="D67" s="192">
        <v>1738</v>
      </c>
      <c r="E67" s="192"/>
      <c r="F67" s="193">
        <v>3.1699999999999999E-2</v>
      </c>
      <c r="G67" s="194">
        <f t="shared" si="45"/>
        <v>200662.46056782335</v>
      </c>
      <c r="H67" s="183"/>
      <c r="W67" s="29">
        <f>'County Scale Output 2017-2040'!Q31</f>
        <v>27</v>
      </c>
      <c r="X67" s="29">
        <f>'County Scale Output 2017-2040'!R31</f>
        <v>2040</v>
      </c>
      <c r="Y67" s="29">
        <f>'County Scale Output 2017-2040'!S31</f>
        <v>41</v>
      </c>
      <c r="Z67" s="29">
        <f>'County Scale Output 2017-2040'!T31</f>
        <v>1</v>
      </c>
      <c r="AA67" s="29">
        <f>'County Scale Output 2017-2040'!U31</f>
        <v>590544608</v>
      </c>
    </row>
    <row r="68" spans="1:30">
      <c r="A68" s="183">
        <v>22</v>
      </c>
      <c r="B68" s="190" t="s">
        <v>337</v>
      </c>
      <c r="C68" s="192">
        <v>4411</v>
      </c>
      <c r="D68" s="192">
        <v>1226</v>
      </c>
      <c r="E68" s="192"/>
      <c r="F68" s="193">
        <v>4.9099999999999998E-2</v>
      </c>
      <c r="G68" s="194">
        <f t="shared" si="45"/>
        <v>114806.51731160897</v>
      </c>
      <c r="H68" s="183"/>
      <c r="W68" s="29">
        <f>'County Scale Output 2017-2040'!Q32</f>
        <v>27</v>
      </c>
      <c r="X68" s="29">
        <f>'County Scale Output 2017-2040'!R32</f>
        <v>2040</v>
      </c>
      <c r="Y68" s="29">
        <f>'County Scale Output 2017-2040'!S32</f>
        <v>41</v>
      </c>
      <c r="Z68" s="29">
        <f>'County Scale Output 2017-2040'!T32</f>
        <v>2</v>
      </c>
      <c r="AA68" s="29">
        <f>'County Scale Output 2017-2040'!U32</f>
        <v>1911011520</v>
      </c>
      <c r="AB68">
        <f>SUM(AA59:AA68)</f>
        <v>62292960384.930206</v>
      </c>
      <c r="AC68">
        <f>AA62+AA66</f>
        <v>5687400.4302000003</v>
      </c>
      <c r="AD68" s="233">
        <f>AC68/AB68</f>
        <v>9.1300853179164128E-5</v>
      </c>
    </row>
    <row r="69" spans="1:30">
      <c r="A69" s="183">
        <v>23</v>
      </c>
      <c r="B69" s="190" t="s">
        <v>338</v>
      </c>
      <c r="C69" s="192">
        <v>4138</v>
      </c>
      <c r="D69" s="192">
        <v>956</v>
      </c>
      <c r="E69" s="192">
        <v>5</v>
      </c>
      <c r="F69" s="193">
        <v>7.8899999999999998E-2</v>
      </c>
      <c r="G69" s="194">
        <f t="shared" si="45"/>
        <v>64626.108998732576</v>
      </c>
      <c r="H69" s="183"/>
    </row>
    <row r="70" spans="1:30">
      <c r="A70" s="183">
        <v>24</v>
      </c>
      <c r="B70" s="190" t="s">
        <v>339</v>
      </c>
      <c r="C70" s="192">
        <v>4101</v>
      </c>
      <c r="D70" s="192">
        <v>1316</v>
      </c>
      <c r="E70" s="192"/>
      <c r="F70" s="193">
        <v>2.2700000000000001E-2</v>
      </c>
      <c r="G70" s="194">
        <f t="shared" si="45"/>
        <v>238634.36123348016</v>
      </c>
      <c r="H70" s="183"/>
    </row>
    <row r="71" spans="1:30">
      <c r="A71" s="183">
        <v>25</v>
      </c>
      <c r="B71" s="190" t="s">
        <v>340</v>
      </c>
      <c r="C71" s="192">
        <v>3738</v>
      </c>
      <c r="D71" s="192">
        <v>5036</v>
      </c>
      <c r="E71" s="192"/>
      <c r="F71" s="193">
        <v>2.2800000000000001E-2</v>
      </c>
      <c r="G71" s="194">
        <f t="shared" si="45"/>
        <v>384824.56140350876</v>
      </c>
      <c r="H71" s="183"/>
    </row>
    <row r="72" spans="1:30">
      <c r="A72" s="183">
        <v>26</v>
      </c>
      <c r="B72" s="190" t="s">
        <v>341</v>
      </c>
      <c r="C72" s="192">
        <v>3467</v>
      </c>
      <c r="D72" s="192">
        <v>1701</v>
      </c>
      <c r="E72" s="192"/>
      <c r="F72" s="193">
        <v>2.1999999999999999E-2</v>
      </c>
      <c r="G72" s="194">
        <f t="shared" si="45"/>
        <v>234909.09090909091</v>
      </c>
      <c r="H72" s="183"/>
    </row>
    <row r="73" spans="1:30">
      <c r="A73" s="183">
        <v>27</v>
      </c>
      <c r="B73" s="190" t="s">
        <v>342</v>
      </c>
      <c r="C73" s="192">
        <v>3304</v>
      </c>
      <c r="D73" s="192">
        <v>1613</v>
      </c>
      <c r="E73" s="192">
        <v>1</v>
      </c>
      <c r="F73" s="193">
        <v>2.2599999999999999E-2</v>
      </c>
      <c r="G73" s="194">
        <f t="shared" si="45"/>
        <v>217610.61946902657</v>
      </c>
      <c r="H73" s="183"/>
    </row>
    <row r="74" spans="1:30">
      <c r="A74" s="183">
        <v>28</v>
      </c>
      <c r="B74" s="190" t="s">
        <v>343</v>
      </c>
      <c r="C74" s="192">
        <v>3011</v>
      </c>
      <c r="D74" s="192">
        <v>1336</v>
      </c>
      <c r="E74" s="192"/>
      <c r="F74" s="193">
        <v>2.12E-2</v>
      </c>
      <c r="G74" s="194">
        <f t="shared" si="45"/>
        <v>205047.16981132075</v>
      </c>
      <c r="H74" s="183"/>
    </row>
    <row r="75" spans="1:30">
      <c r="A75" s="183">
        <v>29</v>
      </c>
      <c r="B75" s="190" t="s">
        <v>344</v>
      </c>
      <c r="C75" s="192">
        <v>2716</v>
      </c>
      <c r="D75" s="192">
        <v>1183</v>
      </c>
      <c r="E75" s="192"/>
      <c r="F75" s="193">
        <v>1.9900000000000001E-2</v>
      </c>
      <c r="G75" s="194">
        <f t="shared" si="45"/>
        <v>195929.64824120601</v>
      </c>
      <c r="H75" s="183"/>
    </row>
    <row r="76" spans="1:30">
      <c r="A76" s="183">
        <v>30</v>
      </c>
      <c r="B76" s="190" t="s">
        <v>345</v>
      </c>
      <c r="C76" s="192">
        <v>1607</v>
      </c>
      <c r="D76" s="192">
        <v>806</v>
      </c>
      <c r="E76" s="192"/>
      <c r="F76" s="193">
        <v>1.32E-2</v>
      </c>
      <c r="G76" s="194">
        <f t="shared" si="45"/>
        <v>182803.0303030303</v>
      </c>
      <c r="H76" s="183"/>
    </row>
    <row r="77" spans="1:30">
      <c r="A77" s="183">
        <v>31</v>
      </c>
      <c r="B77" s="190" t="s">
        <v>346</v>
      </c>
      <c r="C77" s="192">
        <v>1471</v>
      </c>
      <c r="D77" s="192">
        <v>654</v>
      </c>
      <c r="E77" s="192"/>
      <c r="F77" s="193">
        <v>1.5699999999999999E-2</v>
      </c>
      <c r="G77" s="194">
        <f t="shared" si="45"/>
        <v>135350.31847133758</v>
      </c>
      <c r="H77" s="183"/>
    </row>
    <row r="78" spans="1:30">
      <c r="A78" s="183">
        <v>32</v>
      </c>
      <c r="B78" s="190" t="s">
        <v>347</v>
      </c>
      <c r="C78" s="192">
        <v>1375</v>
      </c>
      <c r="D78" s="192">
        <v>806</v>
      </c>
      <c r="E78" s="192"/>
      <c r="F78" s="193">
        <v>1.9800000000000002E-2</v>
      </c>
      <c r="G78" s="194">
        <f t="shared" si="45"/>
        <v>110151.51515151514</v>
      </c>
      <c r="H78" s="183"/>
    </row>
    <row r="79" spans="1:30">
      <c r="A79" s="183">
        <v>33</v>
      </c>
      <c r="B79" s="190" t="s">
        <v>348</v>
      </c>
      <c r="C79" s="192">
        <v>1367</v>
      </c>
      <c r="D79" s="192">
        <v>763</v>
      </c>
      <c r="E79" s="192"/>
      <c r="F79" s="193">
        <v>0.1119</v>
      </c>
      <c r="G79" s="194">
        <f t="shared" si="45"/>
        <v>19034.852546916889</v>
      </c>
      <c r="H79" s="183"/>
    </row>
    <row r="80" spans="1:30">
      <c r="A80" s="183">
        <v>34</v>
      </c>
      <c r="B80" s="190" t="s">
        <v>349</v>
      </c>
      <c r="C80" s="192">
        <v>1324</v>
      </c>
      <c r="D80" s="192">
        <v>994</v>
      </c>
      <c r="E80" s="192"/>
      <c r="F80" s="193">
        <v>2.9700000000000001E-2</v>
      </c>
      <c r="G80" s="194">
        <f t="shared" si="45"/>
        <v>78047.13804713804</v>
      </c>
      <c r="H80" s="183"/>
    </row>
    <row r="81" spans="1:8">
      <c r="A81" s="183">
        <v>35</v>
      </c>
      <c r="B81" s="190" t="s">
        <v>350</v>
      </c>
      <c r="C81" s="192">
        <v>1315</v>
      </c>
      <c r="D81" s="192">
        <v>624</v>
      </c>
      <c r="E81" s="192"/>
      <c r="F81" s="193">
        <v>2.29E-2</v>
      </c>
      <c r="G81" s="194">
        <f t="shared" si="45"/>
        <v>84672.489082969434</v>
      </c>
      <c r="H81" s="183"/>
    </row>
    <row r="82" spans="1:8">
      <c r="A82" s="183">
        <v>36</v>
      </c>
      <c r="B82" s="190" t="s">
        <v>351</v>
      </c>
      <c r="C82" s="192">
        <v>1257</v>
      </c>
      <c r="D82" s="192">
        <v>531</v>
      </c>
      <c r="E82" s="192"/>
      <c r="F82" s="193">
        <v>4.2200000000000001E-2</v>
      </c>
      <c r="G82" s="194">
        <f t="shared" si="45"/>
        <v>42369.668246445493</v>
      </c>
      <c r="H82" s="183"/>
    </row>
    <row r="83" spans="1:8">
      <c r="A83" s="183">
        <v>37</v>
      </c>
      <c r="B83" s="190" t="s">
        <v>352</v>
      </c>
      <c r="C83" s="192">
        <v>1219</v>
      </c>
      <c r="D83" s="192">
        <v>1018</v>
      </c>
      <c r="E83" s="192"/>
      <c r="F83" s="193">
        <v>5.9700000000000003E-2</v>
      </c>
      <c r="G83" s="194">
        <f t="shared" si="45"/>
        <v>37470.68676716918</v>
      </c>
      <c r="H83" s="183"/>
    </row>
    <row r="84" spans="1:8">
      <c r="A84" s="183">
        <v>38</v>
      </c>
      <c r="B84" s="190" t="s">
        <v>353</v>
      </c>
      <c r="C84" s="192">
        <v>1188</v>
      </c>
      <c r="D84" s="192">
        <v>478</v>
      </c>
      <c r="E84" s="192"/>
      <c r="F84" s="193">
        <v>4.02E-2</v>
      </c>
      <c r="G84" s="194">
        <f t="shared" si="45"/>
        <v>41442.786069651738</v>
      </c>
      <c r="H84" s="183"/>
    </row>
    <row r="85" spans="1:8">
      <c r="A85" s="183">
        <v>39</v>
      </c>
      <c r="B85" s="190" t="s">
        <v>354</v>
      </c>
      <c r="C85" s="192">
        <v>1156</v>
      </c>
      <c r="D85" s="192">
        <v>685</v>
      </c>
      <c r="E85" s="192"/>
      <c r="F85" s="193">
        <v>9.7000000000000003E-3</v>
      </c>
      <c r="G85" s="194">
        <f t="shared" si="45"/>
        <v>189793.81443298969</v>
      </c>
      <c r="H85" s="183"/>
    </row>
    <row r="86" spans="1:8">
      <c r="A86" s="183">
        <v>40</v>
      </c>
      <c r="B86" s="190" t="s">
        <v>355</v>
      </c>
      <c r="C86" s="192">
        <v>1083</v>
      </c>
      <c r="D86" s="192">
        <v>1408</v>
      </c>
      <c r="E86" s="192"/>
      <c r="F86" s="193">
        <v>4.1200000000000001E-2</v>
      </c>
      <c r="G86" s="194">
        <f t="shared" si="45"/>
        <v>60461.165048543691</v>
      </c>
      <c r="H86" s="183"/>
    </row>
    <row r="87" spans="1:8">
      <c r="A87" s="183">
        <v>41</v>
      </c>
      <c r="B87" s="190" t="s">
        <v>356</v>
      </c>
      <c r="C87" s="192">
        <v>1037</v>
      </c>
      <c r="D87" s="192">
        <v>521</v>
      </c>
      <c r="E87" s="192"/>
      <c r="F87" s="193">
        <v>2.4899999999999999E-2</v>
      </c>
      <c r="G87" s="194">
        <f t="shared" si="45"/>
        <v>62570.281124497997</v>
      </c>
      <c r="H87" s="183"/>
    </row>
    <row r="88" spans="1:8">
      <c r="A88" s="183">
        <v>42</v>
      </c>
      <c r="B88" s="190" t="s">
        <v>357</v>
      </c>
      <c r="C88" s="192">
        <v>944</v>
      </c>
      <c r="D88" s="192">
        <v>737</v>
      </c>
      <c r="E88" s="192"/>
      <c r="F88" s="193">
        <v>3.85E-2</v>
      </c>
      <c r="G88" s="194">
        <f t="shared" si="45"/>
        <v>43662.337662337661</v>
      </c>
      <c r="H88" s="183"/>
    </row>
    <row r="89" spans="1:8">
      <c r="A89" s="183">
        <v>43</v>
      </c>
      <c r="B89" s="190" t="s">
        <v>358</v>
      </c>
      <c r="C89" s="192">
        <v>914</v>
      </c>
      <c r="D89" s="192">
        <v>454</v>
      </c>
      <c r="E89" s="192"/>
      <c r="F89" s="193">
        <v>1.2200000000000001E-2</v>
      </c>
      <c r="G89" s="194">
        <f t="shared" si="45"/>
        <v>112131.1475409836</v>
      </c>
      <c r="H89" s="183"/>
    </row>
    <row r="90" spans="1:8">
      <c r="A90" s="183">
        <v>44</v>
      </c>
      <c r="B90" s="190" t="s">
        <v>359</v>
      </c>
      <c r="C90" s="192">
        <v>876</v>
      </c>
      <c r="D90" s="192">
        <v>615</v>
      </c>
      <c r="E90" s="192"/>
      <c r="F90" s="193">
        <v>2.0299999999999999E-2</v>
      </c>
      <c r="G90" s="194">
        <f t="shared" si="45"/>
        <v>73448.275862068971</v>
      </c>
      <c r="H90" s="183"/>
    </row>
    <row r="91" spans="1:8">
      <c r="A91" s="183">
        <v>45</v>
      </c>
      <c r="B91" s="190" t="s">
        <v>360</v>
      </c>
      <c r="C91" s="192">
        <v>636</v>
      </c>
      <c r="D91" s="192">
        <v>311</v>
      </c>
      <c r="E91" s="192"/>
      <c r="F91" s="193">
        <v>2.0400000000000001E-2</v>
      </c>
      <c r="G91" s="194">
        <f t="shared" si="45"/>
        <v>46421.568627450979</v>
      </c>
      <c r="H91" s="183"/>
    </row>
    <row r="92" spans="1:8">
      <c r="A92" s="183">
        <v>46</v>
      </c>
      <c r="B92" s="190" t="s">
        <v>361</v>
      </c>
      <c r="C92" s="192">
        <v>474</v>
      </c>
      <c r="D92" s="192">
        <v>303</v>
      </c>
      <c r="E92" s="192"/>
      <c r="F92" s="193">
        <v>2.1999999999999999E-2</v>
      </c>
      <c r="G92" s="194">
        <f t="shared" si="45"/>
        <v>35318.181818181823</v>
      </c>
      <c r="H92" s="183"/>
    </row>
    <row r="93" spans="1:8">
      <c r="A93" s="183">
        <v>47</v>
      </c>
      <c r="B93" s="190" t="s">
        <v>362</v>
      </c>
      <c r="C93" s="192">
        <v>390</v>
      </c>
      <c r="D93" s="192">
        <v>279</v>
      </c>
      <c r="E93" s="192"/>
      <c r="F93" s="193">
        <v>9.9000000000000008E-3</v>
      </c>
      <c r="G93" s="194">
        <f t="shared" si="45"/>
        <v>67575.757575757569</v>
      </c>
      <c r="H93" s="183"/>
    </row>
    <row r="94" spans="1:8">
      <c r="A94" s="183">
        <v>48</v>
      </c>
      <c r="B94" s="190" t="s">
        <v>363</v>
      </c>
      <c r="C94" s="192">
        <v>248</v>
      </c>
      <c r="D94" s="192">
        <v>108</v>
      </c>
      <c r="E94" s="192"/>
      <c r="F94" s="193">
        <v>1.7399999999999999E-2</v>
      </c>
      <c r="G94" s="194">
        <f t="shared" si="45"/>
        <v>20459.77011494253</v>
      </c>
      <c r="H94" s="183"/>
    </row>
    <row r="95" spans="1:8">
      <c r="A95" s="183">
        <v>49</v>
      </c>
      <c r="B95" s="190" t="s">
        <v>364</v>
      </c>
      <c r="C95" s="192">
        <v>215</v>
      </c>
      <c r="D95" s="192">
        <v>167</v>
      </c>
      <c r="E95" s="192"/>
      <c r="F95" s="193">
        <v>1.17E-2</v>
      </c>
      <c r="G95" s="194">
        <f t="shared" si="45"/>
        <v>32649.572649572649</v>
      </c>
      <c r="H95" s="183"/>
    </row>
    <row r="96" spans="1:8">
      <c r="A96" s="183">
        <v>50</v>
      </c>
      <c r="B96" s="190" t="s">
        <v>365</v>
      </c>
      <c r="C96" s="192">
        <v>138</v>
      </c>
      <c r="D96" s="192">
        <v>128</v>
      </c>
      <c r="E96" s="192"/>
      <c r="F96" s="193">
        <v>1.46E-2</v>
      </c>
      <c r="G96" s="194">
        <f t="shared" si="45"/>
        <v>18219.178082191782</v>
      </c>
      <c r="H96" s="183"/>
    </row>
    <row r="97" spans="1:8">
      <c r="A97" s="183">
        <v>51</v>
      </c>
      <c r="B97" s="190" t="s">
        <v>366</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314</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u8/MxgJU0y2IOAEN6kPnYXIo8805p5wM6jJyY8WezyGLIJ28/2bTLppRqLyDCjRLYNB9eY3fVHlVi0pyM0czpQ==" saltValue="Koj+DALq0kR/hBWHGKj/wQ=="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380</v>
      </c>
    </row>
    <row r="3" spans="1:41">
      <c r="A3" s="165" t="s">
        <v>253</v>
      </c>
      <c r="D3" s="7" t="s">
        <v>109</v>
      </c>
      <c r="O3" s="7" t="s">
        <v>254</v>
      </c>
      <c r="V3" s="7" t="s">
        <v>255</v>
      </c>
      <c r="AC3" s="7" t="s">
        <v>256</v>
      </c>
      <c r="AJ3" s="7" t="s">
        <v>257</v>
      </c>
    </row>
    <row r="4" spans="1:41">
      <c r="A4" s="33" t="s">
        <v>209</v>
      </c>
      <c r="D4" s="166" t="s">
        <v>209</v>
      </c>
      <c r="E4" s="166" t="s">
        <v>258</v>
      </c>
      <c r="F4" s="166" t="s">
        <v>259</v>
      </c>
      <c r="G4" s="166" t="s">
        <v>122</v>
      </c>
      <c r="H4" s="166" t="s">
        <v>121</v>
      </c>
      <c r="I4" s="166" t="s">
        <v>260</v>
      </c>
      <c r="J4" s="166" t="s">
        <v>49</v>
      </c>
      <c r="K4" s="166" t="s">
        <v>261</v>
      </c>
      <c r="L4" s="166" t="s">
        <v>262</v>
      </c>
      <c r="M4" s="170" t="s">
        <v>270</v>
      </c>
      <c r="O4" s="166" t="s">
        <v>209</v>
      </c>
      <c r="P4" s="166" t="s">
        <v>258</v>
      </c>
      <c r="Q4" s="166" t="s">
        <v>259</v>
      </c>
      <c r="R4" s="166" t="s">
        <v>122</v>
      </c>
      <c r="S4" s="166" t="s">
        <v>121</v>
      </c>
      <c r="T4" s="166" t="s">
        <v>260</v>
      </c>
      <c r="V4" s="166" t="s">
        <v>209</v>
      </c>
      <c r="W4" s="166" t="s">
        <v>258</v>
      </c>
      <c r="X4" s="166" t="s">
        <v>259</v>
      </c>
      <c r="Y4" s="166" t="s">
        <v>122</v>
      </c>
      <c r="Z4" s="166" t="s">
        <v>121</v>
      </c>
      <c r="AA4" s="166" t="s">
        <v>260</v>
      </c>
      <c r="AC4" s="166" t="s">
        <v>209</v>
      </c>
      <c r="AD4" s="166" t="s">
        <v>258</v>
      </c>
      <c r="AE4" s="166" t="s">
        <v>259</v>
      </c>
      <c r="AF4" s="166" t="s">
        <v>122</v>
      </c>
      <c r="AG4" s="166" t="s">
        <v>121</v>
      </c>
      <c r="AH4" s="166" t="s">
        <v>260</v>
      </c>
      <c r="AJ4" s="166" t="s">
        <v>209</v>
      </c>
      <c r="AK4" s="166" t="s">
        <v>258</v>
      </c>
      <c r="AL4" s="166" t="s">
        <v>259</v>
      </c>
      <c r="AM4" s="166" t="s">
        <v>122</v>
      </c>
      <c r="AN4" s="166" t="s">
        <v>121</v>
      </c>
      <c r="AO4" s="166" t="s">
        <v>260</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263</v>
      </c>
      <c r="D22" s="140" t="s">
        <v>264</v>
      </c>
      <c r="F22" s="140" t="s">
        <v>265</v>
      </c>
      <c r="L22" s="165" t="s">
        <v>266</v>
      </c>
      <c r="M22" s="165"/>
      <c r="P22" s="165"/>
    </row>
    <row r="23" spans="1:41">
      <c r="A23" s="33" t="s">
        <v>209</v>
      </c>
      <c r="B23" s="33" t="s">
        <v>267</v>
      </c>
      <c r="C23" s="33" t="s">
        <v>35</v>
      </c>
      <c r="L23" s="33" t="s">
        <v>209</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457</v>
      </c>
    </row>
    <row r="43" spans="1:41">
      <c r="A43" s="165" t="s">
        <v>253</v>
      </c>
      <c r="D43" s="7" t="s">
        <v>109</v>
      </c>
      <c r="O43" s="7" t="s">
        <v>254</v>
      </c>
      <c r="V43" s="7" t="s">
        <v>255</v>
      </c>
      <c r="AC43" s="7" t="s">
        <v>256</v>
      </c>
      <c r="AJ43" s="7" t="s">
        <v>257</v>
      </c>
    </row>
    <row r="44" spans="1:41">
      <c r="A44" s="33" t="s">
        <v>209</v>
      </c>
      <c r="D44" s="166" t="s">
        <v>209</v>
      </c>
      <c r="E44" s="166" t="s">
        <v>258</v>
      </c>
      <c r="F44" s="166" t="s">
        <v>259</v>
      </c>
      <c r="G44" s="166" t="s">
        <v>122</v>
      </c>
      <c r="H44" s="166" t="s">
        <v>121</v>
      </c>
      <c r="I44" s="166" t="s">
        <v>260</v>
      </c>
      <c r="J44" s="166" t="s">
        <v>49</v>
      </c>
      <c r="K44" s="166" t="s">
        <v>261</v>
      </c>
      <c r="L44" s="166" t="s">
        <v>262</v>
      </c>
      <c r="M44" s="170" t="s">
        <v>270</v>
      </c>
      <c r="O44" s="166" t="s">
        <v>209</v>
      </c>
      <c r="P44" s="166" t="s">
        <v>258</v>
      </c>
      <c r="Q44" s="166" t="s">
        <v>259</v>
      </c>
      <c r="R44" s="166" t="s">
        <v>122</v>
      </c>
      <c r="S44" s="166" t="s">
        <v>121</v>
      </c>
      <c r="T44" s="166" t="s">
        <v>260</v>
      </c>
      <c r="V44" s="166" t="s">
        <v>209</v>
      </c>
      <c r="W44" s="166" t="s">
        <v>258</v>
      </c>
      <c r="X44" s="166" t="s">
        <v>259</v>
      </c>
      <c r="Y44" s="166" t="s">
        <v>122</v>
      </c>
      <c r="Z44" s="166" t="s">
        <v>121</v>
      </c>
      <c r="AA44" s="166" t="s">
        <v>260</v>
      </c>
      <c r="AC44" s="166" t="s">
        <v>209</v>
      </c>
      <c r="AD44" s="166" t="s">
        <v>258</v>
      </c>
      <c r="AE44" s="166" t="s">
        <v>259</v>
      </c>
      <c r="AF44" s="166" t="s">
        <v>122</v>
      </c>
      <c r="AG44" s="166" t="s">
        <v>121</v>
      </c>
      <c r="AH44" s="166" t="s">
        <v>260</v>
      </c>
      <c r="AJ44" s="166" t="s">
        <v>209</v>
      </c>
      <c r="AK44" s="166" t="s">
        <v>258</v>
      </c>
      <c r="AL44" s="166" t="s">
        <v>259</v>
      </c>
      <c r="AM44" s="166" t="s">
        <v>122</v>
      </c>
      <c r="AN44" s="166" t="s">
        <v>121</v>
      </c>
      <c r="AO44" s="166" t="s">
        <v>260</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263</v>
      </c>
      <c r="D62" s="140" t="s">
        <v>264</v>
      </c>
      <c r="F62" s="140" t="s">
        <v>265</v>
      </c>
      <c r="L62" s="165" t="s">
        <v>266</v>
      </c>
      <c r="M62" s="165"/>
      <c r="P62" s="165" t="s">
        <v>268</v>
      </c>
    </row>
    <row r="63" spans="1:41">
      <c r="A63" s="33" t="s">
        <v>209</v>
      </c>
      <c r="B63" s="33" t="s">
        <v>267</v>
      </c>
      <c r="C63" s="33" t="s">
        <v>35</v>
      </c>
      <c r="D63" s="33" t="s">
        <v>109</v>
      </c>
      <c r="L63" s="33" t="s">
        <v>209</v>
      </c>
      <c r="P63" s="33" t="s">
        <v>209</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hClMLAVyGwkH8cB90MRa54BXHkn9iMufJ0MNXi8XRFEqWn+V5MrC0LTnNmlRWa7yNP9fX6rdjwdRjuuUvQMcog==" saltValue="U2rgHnfUr3uEc8RuyRm1XQ=="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topLeftCell="A3"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251</v>
      </c>
    </row>
    <row r="3" spans="1:13" ht="16" thickBot="1">
      <c r="A3" t="s">
        <v>220</v>
      </c>
    </row>
    <row r="4" spans="1:13">
      <c r="A4" s="313" t="s">
        <v>221</v>
      </c>
      <c r="B4" s="314"/>
      <c r="C4" s="314"/>
      <c r="D4" s="314"/>
      <c r="E4" s="314"/>
      <c r="F4" s="314"/>
      <c r="G4" s="314"/>
      <c r="H4" s="314"/>
      <c r="I4" s="314"/>
      <c r="J4" s="314"/>
      <c r="K4" s="314"/>
      <c r="L4" s="314"/>
      <c r="M4" s="315"/>
    </row>
    <row r="5" spans="1:13" ht="16" thickBot="1">
      <c r="A5" s="148" t="s">
        <v>222</v>
      </c>
      <c r="B5" s="149" t="s">
        <v>223</v>
      </c>
      <c r="C5" s="150" t="s">
        <v>224</v>
      </c>
      <c r="D5" s="150" t="s">
        <v>225</v>
      </c>
      <c r="E5" s="150" t="s">
        <v>226</v>
      </c>
      <c r="F5" s="150" t="s">
        <v>227</v>
      </c>
      <c r="G5" s="150" t="s">
        <v>228</v>
      </c>
      <c r="H5" s="150" t="s">
        <v>229</v>
      </c>
      <c r="I5" s="150" t="s">
        <v>230</v>
      </c>
      <c r="J5" s="150" t="s">
        <v>231</v>
      </c>
      <c r="K5" s="150" t="s">
        <v>232</v>
      </c>
      <c r="L5" s="150" t="s">
        <v>233</v>
      </c>
      <c r="M5" s="151" t="s">
        <v>234</v>
      </c>
    </row>
    <row r="6" spans="1:13">
      <c r="A6" s="152" t="s">
        <v>235</v>
      </c>
      <c r="B6" s="153" t="s">
        <v>236</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235</v>
      </c>
      <c r="B7" s="157" t="s">
        <v>237</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238</v>
      </c>
      <c r="B8" s="157" t="s">
        <v>236</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238</v>
      </c>
      <c r="B9" s="157" t="s">
        <v>237</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239</v>
      </c>
      <c r="B10" s="157" t="s">
        <v>236</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239</v>
      </c>
      <c r="B11" s="157" t="s">
        <v>237</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240</v>
      </c>
      <c r="B12" s="157" t="s">
        <v>236</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240</v>
      </c>
      <c r="B13" s="157" t="s">
        <v>237</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241</v>
      </c>
      <c r="B14" s="157" t="s">
        <v>236</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241</v>
      </c>
      <c r="B15" s="157" t="s">
        <v>237</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242</v>
      </c>
    </row>
    <row r="18" spans="1:13">
      <c r="A18" s="313" t="s">
        <v>221</v>
      </c>
      <c r="B18" s="314"/>
      <c r="C18" s="314"/>
      <c r="D18" s="314"/>
      <c r="E18" s="314"/>
      <c r="F18" s="314"/>
      <c r="G18" s="314"/>
      <c r="H18" s="314"/>
      <c r="I18" s="314"/>
      <c r="J18" s="314"/>
      <c r="K18" s="314"/>
      <c r="L18" s="314"/>
      <c r="M18" s="315"/>
    </row>
    <row r="19" spans="1:13" ht="16" thickBot="1">
      <c r="A19" s="148" t="s">
        <v>222</v>
      </c>
      <c r="B19" s="149" t="s">
        <v>223</v>
      </c>
      <c r="C19" s="150" t="s">
        <v>224</v>
      </c>
      <c r="D19" s="150" t="s">
        <v>225</v>
      </c>
      <c r="E19" s="150" t="s">
        <v>226</v>
      </c>
      <c r="F19" s="150" t="s">
        <v>227</v>
      </c>
      <c r="G19" s="150" t="s">
        <v>228</v>
      </c>
      <c r="H19" s="150" t="s">
        <v>229</v>
      </c>
      <c r="I19" s="150" t="s">
        <v>230</v>
      </c>
      <c r="J19" s="150" t="s">
        <v>231</v>
      </c>
      <c r="K19" s="150" t="s">
        <v>232</v>
      </c>
      <c r="L19" s="150" t="s">
        <v>233</v>
      </c>
      <c r="M19" s="151" t="s">
        <v>234</v>
      </c>
    </row>
    <row r="20" spans="1:13">
      <c r="A20" s="152" t="s">
        <v>235</v>
      </c>
      <c r="B20" s="153" t="s">
        <v>243</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244</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238</v>
      </c>
      <c r="B22" s="153" t="s">
        <v>243</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244</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239</v>
      </c>
      <c r="B24" s="153" t="s">
        <v>243</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244</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240</v>
      </c>
      <c r="B26" s="153" t="s">
        <v>243</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244</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241</v>
      </c>
      <c r="B28" s="153" t="s">
        <v>243</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244</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245</v>
      </c>
    </row>
    <row r="32" spans="1:13">
      <c r="A32" s="313"/>
      <c r="B32" s="314"/>
      <c r="C32" s="314"/>
      <c r="D32" s="314"/>
      <c r="E32" s="314"/>
      <c r="F32" s="314"/>
      <c r="G32" s="314"/>
      <c r="H32" s="314"/>
      <c r="I32" s="314"/>
      <c r="J32" s="314"/>
      <c r="K32" s="314"/>
      <c r="L32" s="314"/>
      <c r="M32" s="315"/>
    </row>
    <row r="33" spans="1:14" ht="16" thickBot="1">
      <c r="A33" s="148" t="s">
        <v>222</v>
      </c>
      <c r="B33" s="149" t="s">
        <v>223</v>
      </c>
      <c r="C33" s="150" t="s">
        <v>224</v>
      </c>
      <c r="D33" s="150" t="s">
        <v>225</v>
      </c>
      <c r="E33" s="150" t="s">
        <v>226</v>
      </c>
      <c r="F33" s="150" t="s">
        <v>227</v>
      </c>
      <c r="G33" s="150" t="s">
        <v>228</v>
      </c>
      <c r="H33" s="150" t="s">
        <v>229</v>
      </c>
      <c r="I33" s="150" t="s">
        <v>230</v>
      </c>
      <c r="J33" s="150" t="s">
        <v>231</v>
      </c>
      <c r="K33" s="150" t="s">
        <v>232</v>
      </c>
      <c r="L33" s="150" t="s">
        <v>233</v>
      </c>
      <c r="M33" s="151" t="s">
        <v>234</v>
      </c>
    </row>
    <row r="34" spans="1:14" ht="16" thickBot="1">
      <c r="A34" s="152" t="s">
        <v>235</v>
      </c>
      <c r="B34" s="153" t="s">
        <v>246</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238</v>
      </c>
      <c r="B35" s="153" t="s">
        <v>246</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239</v>
      </c>
      <c r="B36" s="153" t="s">
        <v>246</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240</v>
      </c>
      <c r="B37" s="153" t="s">
        <v>246</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241</v>
      </c>
      <c r="B38" s="153" t="s">
        <v>246</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243</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247</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248</v>
      </c>
      <c r="I42" s="296" t="s">
        <v>271</v>
      </c>
      <c r="J42" s="296"/>
      <c r="K42" s="296" t="s">
        <v>273</v>
      </c>
      <c r="L42" s="296"/>
      <c r="N42" s="69" t="s">
        <v>274</v>
      </c>
    </row>
    <row r="43" spans="1:14">
      <c r="A43" t="s">
        <v>252</v>
      </c>
      <c r="F43" s="33" t="s">
        <v>0</v>
      </c>
      <c r="G43" s="33" t="s">
        <v>1</v>
      </c>
      <c r="H43" s="33" t="s">
        <v>269</v>
      </c>
      <c r="I43" s="33" t="s">
        <v>48</v>
      </c>
      <c r="J43" s="33" t="s">
        <v>272</v>
      </c>
      <c r="K43" s="33" t="s">
        <v>48</v>
      </c>
      <c r="L43" s="33" t="s">
        <v>272</v>
      </c>
      <c r="N43" s="171" t="s">
        <v>275</v>
      </c>
    </row>
    <row r="44" spans="1:14">
      <c r="A44" t="s">
        <v>0</v>
      </c>
      <c r="B44" t="s">
        <v>1</v>
      </c>
      <c r="C44" t="s">
        <v>22</v>
      </c>
      <c r="D44" t="s">
        <v>75</v>
      </c>
      <c r="E44" t="s">
        <v>249</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250</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250</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250</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8b0JNc243v0yL8puE7TvlE/jgF6VSly8EoKVoRvcy1toeX6RoKrSlP4cATtbpBDAU0XV0KNmE1ONY8ag7bWDzA==" saltValue="myMTmoAkO1/r/RSHqcdvPg=="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24"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454</v>
      </c>
      <c r="C1" s="2"/>
      <c r="D1" s="2"/>
      <c r="E1" s="2"/>
      <c r="F1" s="68"/>
      <c r="J1" s="2"/>
      <c r="N1" s="2"/>
    </row>
    <row r="2" spans="1:22" ht="16" thickBot="1">
      <c r="B2" s="2"/>
      <c r="C2" s="2"/>
      <c r="D2" s="2"/>
      <c r="E2" s="2"/>
      <c r="F2" s="316" t="s">
        <v>453</v>
      </c>
      <c r="G2" s="316"/>
      <c r="H2" s="316"/>
      <c r="I2" s="316"/>
      <c r="J2" s="316" t="s">
        <v>130</v>
      </c>
      <c r="K2" s="316"/>
      <c r="L2" s="316"/>
      <c r="M2" s="316"/>
      <c r="N2" s="316" t="s">
        <v>131</v>
      </c>
      <c r="O2" s="316"/>
      <c r="P2" s="316"/>
      <c r="Q2" s="316"/>
    </row>
    <row r="3" spans="1:2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2632260.010244769</v>
      </c>
      <c r="D4" s="3">
        <f>'ZEV Sales'!D4</f>
        <v>154764.88759798688</v>
      </c>
      <c r="E4" s="3"/>
      <c r="F4" s="85"/>
      <c r="G4" s="3"/>
      <c r="H4" s="3"/>
      <c r="I4" s="89"/>
      <c r="J4" s="85"/>
      <c r="K4" s="3"/>
      <c r="L4" s="3"/>
      <c r="M4" s="89"/>
      <c r="N4" s="99"/>
      <c r="O4" s="3"/>
      <c r="P4" s="3"/>
      <c r="Q4" s="100"/>
      <c r="U4" s="3"/>
      <c r="V4" s="3"/>
    </row>
    <row r="5" spans="1:22">
      <c r="A5">
        <f>'ZEV Sales'!S11</f>
        <v>2025</v>
      </c>
      <c r="B5">
        <f>'ZEV Sales'!T11</f>
        <v>30</v>
      </c>
      <c r="C5" s="3">
        <f>'Combined MOVES output'!AE19</f>
        <v>3265327.6940010153</v>
      </c>
      <c r="D5" s="3">
        <f>'ZEV Sales'!D5</f>
        <v>179412.34949430148</v>
      </c>
      <c r="E5" s="3">
        <f>D4+D5</f>
        <v>334177.23709228833</v>
      </c>
      <c r="F5" s="85"/>
      <c r="G5" s="3"/>
      <c r="H5" s="3"/>
      <c r="I5" s="89"/>
      <c r="J5" s="85"/>
      <c r="K5" s="3"/>
      <c r="L5" s="3"/>
      <c r="M5" s="89"/>
      <c r="N5" s="85"/>
      <c r="O5" s="3"/>
      <c r="P5" s="3"/>
      <c r="Q5" s="90"/>
      <c r="U5" s="3"/>
      <c r="V5" s="3"/>
    </row>
    <row r="6" spans="1:22">
      <c r="A6">
        <f>'ZEV Sales'!S12</f>
        <v>2025</v>
      </c>
      <c r="B6">
        <f>'ZEV Sales'!T12</f>
        <v>41</v>
      </c>
      <c r="C6" s="3"/>
      <c r="D6" s="3">
        <f>'ZEV Sales'!D6</f>
        <v>15072.793425650956</v>
      </c>
      <c r="E6" s="3"/>
      <c r="F6" s="85"/>
      <c r="G6" s="3"/>
      <c r="H6" s="3"/>
      <c r="I6" s="89"/>
      <c r="J6" s="85"/>
      <c r="K6" s="3"/>
      <c r="L6" s="3"/>
      <c r="M6" s="89"/>
      <c r="N6" s="85"/>
      <c r="O6" s="3"/>
      <c r="P6" s="3"/>
      <c r="Q6" s="90"/>
      <c r="U6" s="3"/>
      <c r="V6" s="3"/>
    </row>
    <row r="7" spans="1:22">
      <c r="A7" s="91">
        <f>A6</f>
        <v>2025</v>
      </c>
      <c r="B7" s="206" t="s">
        <v>33</v>
      </c>
      <c r="C7" s="92">
        <f>C4+C5</f>
        <v>5897587.7042457843</v>
      </c>
      <c r="D7" s="3">
        <f>'ZEV Sales'!D7</f>
        <v>349669.83700466395</v>
      </c>
      <c r="E7" s="92"/>
      <c r="F7" s="93">
        <f>C7-I7</f>
        <v>5755210.7879516212</v>
      </c>
      <c r="G7" s="92">
        <f>'Fleet ZEV fractions'!V17</f>
        <v>98466.278558580219</v>
      </c>
      <c r="H7" s="92">
        <f>'Fleet ZEV fractions'!X17</f>
        <v>43910.637735583077</v>
      </c>
      <c r="I7" s="94">
        <f>'Fleet ZEV fractions'!Z17</f>
        <v>142376.9162941633</v>
      </c>
      <c r="J7" s="252">
        <f>F7</f>
        <v>5755210.7879516212</v>
      </c>
      <c r="K7" s="253">
        <f t="shared" ref="K7:M7" si="0">G7</f>
        <v>98466.278558580219</v>
      </c>
      <c r="L7" s="253">
        <f t="shared" si="0"/>
        <v>43910.637735583077</v>
      </c>
      <c r="M7" s="253">
        <f t="shared" si="0"/>
        <v>142376.9162941633</v>
      </c>
      <c r="N7" s="252">
        <f>F7</f>
        <v>5755210.7879516212</v>
      </c>
      <c r="O7" s="253">
        <f t="shared" ref="O7:Q7" si="1">G7</f>
        <v>98466.278558580219</v>
      </c>
      <c r="P7" s="253">
        <f t="shared" si="1"/>
        <v>43910.637735583077</v>
      </c>
      <c r="Q7" s="254">
        <f t="shared" si="1"/>
        <v>142376.9162941633</v>
      </c>
      <c r="U7" s="3"/>
      <c r="V7" s="3"/>
    </row>
    <row r="8" spans="1:22">
      <c r="A8">
        <v>2026</v>
      </c>
      <c r="B8">
        <f>'ZEV Sales'!T14</f>
        <v>20</v>
      </c>
      <c r="C8" s="3">
        <f>C4+(C24-C4)/5</f>
        <v>2695886.8186566154</v>
      </c>
      <c r="D8" s="3">
        <f>'ZEV Sales'!D8</f>
        <v>159887.42202277607</v>
      </c>
      <c r="E8" s="3"/>
      <c r="F8" s="85"/>
      <c r="G8" s="3"/>
      <c r="H8" s="3"/>
      <c r="I8" s="3"/>
      <c r="J8" s="85"/>
      <c r="K8" s="3"/>
      <c r="L8" s="3"/>
      <c r="M8" s="3"/>
      <c r="N8" s="85"/>
      <c r="O8" s="3"/>
      <c r="P8" s="3"/>
      <c r="Q8" s="86"/>
      <c r="U8" s="3"/>
      <c r="V8" s="3"/>
    </row>
    <row r="9" spans="1:22">
      <c r="A9">
        <v>2026</v>
      </c>
      <c r="B9">
        <f>'ZEV Sales'!T15</f>
        <v>30</v>
      </c>
      <c r="C9" s="3">
        <f t="shared" ref="C9:C11" si="2">C5+(C25-C5)/5</f>
        <v>3350455.7460861923</v>
      </c>
      <c r="D9" s="3">
        <f>'ZEV Sales'!D9</f>
        <v>181730.63648974407</v>
      </c>
      <c r="E9" s="3">
        <f>D8+D9</f>
        <v>341618.05851252016</v>
      </c>
      <c r="F9" s="85"/>
      <c r="G9" s="3"/>
      <c r="H9" s="3"/>
      <c r="I9" s="3"/>
      <c r="J9" s="85"/>
      <c r="K9" s="3"/>
      <c r="L9" s="3"/>
      <c r="M9" s="3"/>
      <c r="N9" s="85"/>
      <c r="O9" s="3"/>
      <c r="P9" s="3"/>
      <c r="Q9" s="86"/>
      <c r="U9" s="3"/>
      <c r="V9" s="3"/>
    </row>
    <row r="10" spans="1:22">
      <c r="A10">
        <v>2026</v>
      </c>
      <c r="B10">
        <f>'ZEV Sales'!T16</f>
        <v>41</v>
      </c>
      <c r="C10" s="3"/>
      <c r="D10" s="3">
        <f>'ZEV Sales'!D10</f>
        <v>14990.596303876186</v>
      </c>
      <c r="E10" s="3"/>
      <c r="F10" s="85"/>
      <c r="G10" s="3"/>
      <c r="H10" s="3"/>
      <c r="I10" s="3"/>
      <c r="J10" s="85"/>
      <c r="K10" s="3"/>
      <c r="L10" s="3"/>
      <c r="M10" s="3"/>
      <c r="N10" s="85"/>
      <c r="O10" s="3"/>
      <c r="P10" s="3"/>
      <c r="Q10" s="86"/>
      <c r="U10" s="3"/>
      <c r="V10" s="3"/>
    </row>
    <row r="11" spans="1:22">
      <c r="A11" s="91">
        <v>2026</v>
      </c>
      <c r="B11" s="206" t="s">
        <v>33</v>
      </c>
      <c r="C11" s="92">
        <f t="shared" si="2"/>
        <v>6046342.5647428073</v>
      </c>
      <c r="D11" s="3">
        <f>'ZEV Sales'!D11</f>
        <v>357269.0439240752</v>
      </c>
      <c r="E11" s="92"/>
      <c r="F11" s="93">
        <f>C11-I11</f>
        <v>5845207.3423844902</v>
      </c>
      <c r="G11" s="92">
        <f>'Fleet ZEV fractions'!V18</f>
        <v>155174.87627165858</v>
      </c>
      <c r="H11" s="92">
        <f>'Fleet ZEV fractions'!X18</f>
        <v>45960.346086658188</v>
      </c>
      <c r="I11" s="92">
        <f>'Fleet ZEV fractions'!Z18</f>
        <v>201135.22235831677</v>
      </c>
      <c r="J11" s="93">
        <f>C11-M11</f>
        <v>5784399.3279692624</v>
      </c>
      <c r="K11" s="92">
        <f>'Fleet ZEV fractions'!AB18</f>
        <v>202559.31050533635</v>
      </c>
      <c r="L11" s="92">
        <f>'Fleet ZEV fractions'!AD18</f>
        <v>59383.92626820899</v>
      </c>
      <c r="M11" s="92">
        <f>'Fleet ZEV fractions'!AF18</f>
        <v>261943.23677354533</v>
      </c>
      <c r="N11" s="93">
        <f>C11-Q11</f>
        <v>5808312.5920651387</v>
      </c>
      <c r="O11" s="92">
        <f>'Fleet ZEV fractions'!AH18</f>
        <v>181740.70411598514</v>
      </c>
      <c r="P11" s="92">
        <f>'Fleet ZEV fractions'!AJ18</f>
        <v>56289.268561683806</v>
      </c>
      <c r="Q11" s="95">
        <f>'Fleet ZEV fractions'!AL18</f>
        <v>238029.97267766893</v>
      </c>
      <c r="U11" s="3"/>
      <c r="V11" s="3"/>
    </row>
    <row r="12" spans="1:22">
      <c r="A12">
        <v>2027</v>
      </c>
      <c r="B12">
        <f>'ZEV Sales'!T18</f>
        <v>20</v>
      </c>
      <c r="C12" s="3">
        <f>C4+2*(C24-C4)/5</f>
        <v>2759513.6270684614</v>
      </c>
      <c r="D12" s="3">
        <f>'ZEV Sales'!D12</f>
        <v>165075.17044181563</v>
      </c>
      <c r="E12" s="3"/>
      <c r="F12" s="85"/>
      <c r="G12" s="3"/>
      <c r="H12" s="3"/>
      <c r="I12" s="3"/>
      <c r="J12" s="85"/>
      <c r="K12" s="3"/>
      <c r="L12" s="3"/>
      <c r="M12" s="3"/>
      <c r="N12" s="85"/>
      <c r="O12" s="3"/>
      <c r="P12" s="3"/>
      <c r="Q12" s="86"/>
      <c r="U12" s="3"/>
      <c r="V12" s="3"/>
    </row>
    <row r="13" spans="1:22">
      <c r="A13">
        <v>2027</v>
      </c>
      <c r="B13">
        <f>'ZEV Sales'!T19</f>
        <v>30</v>
      </c>
      <c r="C13" s="3">
        <f t="shared" ref="C13:C15" si="3">C5+2*(C25-C5)/5</f>
        <v>3435583.7981713689</v>
      </c>
      <c r="D13" s="3">
        <f>'ZEV Sales'!D13</f>
        <v>183929.04668246058</v>
      </c>
      <c r="E13" s="3">
        <f>D12+D13</f>
        <v>349004.21712427621</v>
      </c>
      <c r="F13" s="85"/>
      <c r="G13" s="3"/>
      <c r="H13" s="3"/>
      <c r="I13" s="3"/>
      <c r="J13" s="85"/>
      <c r="K13" s="3"/>
      <c r="L13" s="3"/>
      <c r="M13" s="3"/>
      <c r="N13" s="85"/>
      <c r="O13" s="3"/>
      <c r="P13" s="3"/>
      <c r="Q13" s="86"/>
      <c r="U13" s="3"/>
      <c r="V13" s="3"/>
    </row>
    <row r="14" spans="1:22">
      <c r="A14">
        <v>2027</v>
      </c>
      <c r="B14">
        <f>'ZEV Sales'!T20</f>
        <v>41</v>
      </c>
      <c r="C14" s="3"/>
      <c r="D14" s="3">
        <f>'ZEV Sales'!D14</f>
        <v>14908.521793269776</v>
      </c>
      <c r="E14" s="3"/>
      <c r="F14" s="85"/>
      <c r="G14" s="3"/>
      <c r="H14" s="3"/>
      <c r="I14" s="3"/>
      <c r="J14" s="85"/>
      <c r="K14" s="3"/>
      <c r="L14" s="3"/>
      <c r="M14" s="3"/>
      <c r="N14" s="85"/>
      <c r="O14" s="3"/>
      <c r="P14" s="3"/>
      <c r="Q14" s="86"/>
      <c r="U14" s="3"/>
      <c r="V14" s="3"/>
    </row>
    <row r="15" spans="1:22">
      <c r="A15" s="91">
        <v>2027</v>
      </c>
      <c r="B15" s="206" t="s">
        <v>33</v>
      </c>
      <c r="C15" s="92">
        <f t="shared" si="3"/>
        <v>6195097.4252398303</v>
      </c>
      <c r="D15" s="3">
        <f>'ZEV Sales'!D15</f>
        <v>364830.46208765276</v>
      </c>
      <c r="E15" s="92"/>
      <c r="F15" s="93">
        <f>C15-I15</f>
        <v>5933933.4775361381</v>
      </c>
      <c r="G15" s="92">
        <f>'Fleet ZEV fractions'!V19</f>
        <v>213109.57631428842</v>
      </c>
      <c r="H15" s="92">
        <f>'Fleet ZEV fractions'!X19</f>
        <v>48054.371389403852</v>
      </c>
      <c r="I15" s="92">
        <f>'Fleet ZEV fractions'!Z19</f>
        <v>261163.94770369228</v>
      </c>
      <c r="J15" s="93">
        <f>C15-M15</f>
        <v>5783082.375102846</v>
      </c>
      <c r="K15" s="92">
        <f>'Fleet ZEV fractions'!AB19</f>
        <v>338065.33021879429</v>
      </c>
      <c r="L15" s="92">
        <f>'Fleet ZEV fractions'!AD19</f>
        <v>73949.719918189818</v>
      </c>
      <c r="M15" s="92">
        <f>'Fleet ZEV fractions'!AF19</f>
        <v>412015.05013698409</v>
      </c>
      <c r="N15" s="93">
        <f>C15-Q15</f>
        <v>5837010.0018714108</v>
      </c>
      <c r="O15" s="92">
        <f>'Fleet ZEV fractions'!AH19</f>
        <v>290145.51988675148</v>
      </c>
      <c r="P15" s="92">
        <f>'Fleet ZEV fractions'!AJ19</f>
        <v>67941.903481668473</v>
      </c>
      <c r="Q15" s="95">
        <f>'Fleet ZEV fractions'!AL19</f>
        <v>358087.42336841999</v>
      </c>
      <c r="U15" s="3"/>
      <c r="V15" s="3"/>
    </row>
    <row r="16" spans="1:22">
      <c r="A16">
        <v>2028</v>
      </c>
      <c r="B16">
        <f>'ZEV Sales'!T22</f>
        <v>20</v>
      </c>
      <c r="C16" s="3">
        <f>C4+3*(C24-C4)/5</f>
        <v>2823140.4354803078</v>
      </c>
      <c r="D16" s="3">
        <f>'ZEV Sales'!D16</f>
        <v>170328.13285510571</v>
      </c>
      <c r="E16" s="3"/>
      <c r="F16" s="85"/>
      <c r="G16" s="3"/>
      <c r="H16" s="3"/>
      <c r="I16" s="3"/>
      <c r="J16" s="85"/>
      <c r="K16" s="3"/>
      <c r="L16" s="3"/>
      <c r="M16" s="3"/>
      <c r="N16" s="85"/>
      <c r="O16" s="3"/>
      <c r="P16" s="3"/>
      <c r="Q16" s="86"/>
      <c r="U16" s="3"/>
      <c r="V16" s="3"/>
    </row>
    <row r="17" spans="1:22">
      <c r="A17">
        <v>2028</v>
      </c>
      <c r="B17">
        <f>'ZEV Sales'!T23</f>
        <v>30</v>
      </c>
      <c r="C17" s="3">
        <f>C5+3*(C25-C5)/5</f>
        <v>3520711.8502565459</v>
      </c>
      <c r="D17" s="3">
        <f>'ZEV Sales'!D17</f>
        <v>186007.58007245109</v>
      </c>
      <c r="E17" s="3">
        <f>D16+D17</f>
        <v>356335.71292755683</v>
      </c>
      <c r="F17" s="85"/>
      <c r="G17" s="3"/>
      <c r="H17" s="3"/>
      <c r="I17" s="3"/>
      <c r="J17" s="85"/>
      <c r="K17" s="3"/>
      <c r="L17" s="3"/>
      <c r="M17" s="3"/>
      <c r="N17" s="85"/>
      <c r="O17" s="3"/>
      <c r="P17" s="3"/>
      <c r="Q17" s="86"/>
      <c r="U17" s="3"/>
      <c r="V17" s="3"/>
    </row>
    <row r="18" spans="1:22">
      <c r="A18">
        <v>2028</v>
      </c>
      <c r="B18">
        <f>'ZEV Sales'!T24</f>
        <v>41</v>
      </c>
      <c r="C18" s="3"/>
      <c r="D18" s="3">
        <f>'ZEV Sales'!D18</f>
        <v>14826.569893831722</v>
      </c>
      <c r="E18" s="3"/>
      <c r="F18" s="85"/>
      <c r="G18" s="3"/>
      <c r="H18" s="3"/>
      <c r="I18" s="3"/>
      <c r="J18" s="85"/>
      <c r="K18" s="3"/>
      <c r="L18" s="3"/>
      <c r="M18" s="3"/>
      <c r="N18" s="85"/>
      <c r="O18" s="3"/>
      <c r="P18" s="3"/>
      <c r="Q18" s="86"/>
      <c r="U18" s="3"/>
      <c r="V18" s="3"/>
    </row>
    <row r="19" spans="1:22">
      <c r="A19" s="91">
        <v>2028</v>
      </c>
      <c r="B19" s="206" t="s">
        <v>33</v>
      </c>
      <c r="C19" s="92">
        <f>C7+3*(C27-C7)/5</f>
        <v>6343852.2857368533</v>
      </c>
      <c r="D19" s="3">
        <f>'ZEV Sales'!D19</f>
        <v>347311.49271743192</v>
      </c>
      <c r="E19" s="92"/>
      <c r="F19" s="93">
        <f>C19-I19</f>
        <v>6021398.5954096215</v>
      </c>
      <c r="G19" s="92">
        <f>'Fleet ZEV fractions'!V20</f>
        <v>272261.30466026289</v>
      </c>
      <c r="H19" s="92">
        <f>'Fleet ZEV fractions'!X20</f>
        <v>50192.385666969174</v>
      </c>
      <c r="I19" s="92">
        <f>'Fleet ZEV fractions'!Z20</f>
        <v>322453.69032723206</v>
      </c>
      <c r="J19" s="93">
        <f>C19-M19</f>
        <v>5750106.0220068153</v>
      </c>
      <c r="K19" s="92">
        <f>'Fleet ZEV fractions'!AB20</f>
        <v>505258.04672440398</v>
      </c>
      <c r="L19" s="92">
        <f>'Fleet ZEV fractions'!AD20</f>
        <v>88488.217005634142</v>
      </c>
      <c r="M19" s="92">
        <f>'Fleet ZEV fractions'!AF20</f>
        <v>593746.26373003807</v>
      </c>
      <c r="N19" s="93">
        <f>C19-Q19</f>
        <v>5840379.8914939901</v>
      </c>
      <c r="O19" s="92">
        <f>'Fleet ZEV fractions'!AH20</f>
        <v>423899.6930912392</v>
      </c>
      <c r="P19" s="92">
        <f>'Fleet ZEV fractions'!AJ20</f>
        <v>79572.701151623929</v>
      </c>
      <c r="Q19" s="95">
        <f>'Fleet ZEV fractions'!AL20</f>
        <v>503472.39424286317</v>
      </c>
      <c r="U19" s="3"/>
      <c r="V19" s="3"/>
    </row>
    <row r="20" spans="1:22">
      <c r="A20">
        <v>2029</v>
      </c>
      <c r="B20">
        <v>20</v>
      </c>
      <c r="C20" s="3">
        <f>C4+4*(C24-C4)/5</f>
        <v>2886767.2438921537</v>
      </c>
      <c r="D20" s="3">
        <f>'ZEV Sales'!D20</f>
        <v>175646.30926264613</v>
      </c>
      <c r="E20" s="3"/>
      <c r="F20" s="85"/>
      <c r="G20" s="3"/>
      <c r="H20" s="3"/>
      <c r="I20" s="3"/>
      <c r="J20" s="85"/>
      <c r="K20" s="3"/>
      <c r="L20" s="3"/>
      <c r="M20" s="3"/>
      <c r="N20" s="85"/>
      <c r="O20" s="3"/>
      <c r="P20" s="3"/>
      <c r="Q20" s="86"/>
      <c r="U20" s="3"/>
      <c r="V20" s="3"/>
    </row>
    <row r="21" spans="1:22">
      <c r="A21">
        <v>2029</v>
      </c>
      <c r="B21">
        <v>30</v>
      </c>
      <c r="C21" s="3">
        <f t="shared" ref="C21:C23" si="4">C5+4*(C25-C5)/5</f>
        <v>3605839.9023417225</v>
      </c>
      <c r="D21" s="3">
        <f>'ZEV Sales'!D21</f>
        <v>187966.23665971553</v>
      </c>
      <c r="E21" s="3">
        <f>D20+D21</f>
        <v>363612.54592236166</v>
      </c>
      <c r="F21" s="85"/>
      <c r="G21" s="3"/>
      <c r="H21" s="3"/>
      <c r="I21" s="3"/>
      <c r="J21" s="85"/>
      <c r="K21" s="3"/>
      <c r="L21" s="3"/>
      <c r="M21" s="3"/>
      <c r="N21" s="85"/>
      <c r="O21" s="3"/>
      <c r="P21" s="3"/>
      <c r="Q21" s="86"/>
      <c r="U21" s="3"/>
      <c r="V21" s="3"/>
    </row>
    <row r="22" spans="1:22">
      <c r="A22">
        <v>2029</v>
      </c>
      <c r="B22">
        <v>41</v>
      </c>
      <c r="C22" s="3"/>
      <c r="D22" s="3">
        <f>'ZEV Sales'!D22</f>
        <v>14744.740605562027</v>
      </c>
      <c r="E22" s="3"/>
      <c r="F22" s="85"/>
      <c r="G22" s="3"/>
      <c r="H22" s="3"/>
      <c r="I22" s="3"/>
      <c r="J22" s="85"/>
      <c r="K22" s="3"/>
      <c r="L22" s="3"/>
      <c r="M22" s="3"/>
      <c r="N22" s="85"/>
      <c r="O22" s="3"/>
      <c r="P22" s="3"/>
      <c r="Q22" s="86"/>
      <c r="U22" s="3"/>
      <c r="V22" s="3"/>
    </row>
    <row r="23" spans="1:22">
      <c r="A23" s="91">
        <v>2029</v>
      </c>
      <c r="B23" s="206" t="s">
        <v>33</v>
      </c>
      <c r="C23" s="92">
        <f t="shared" si="4"/>
        <v>6492607.1462338762</v>
      </c>
      <c r="D23" s="3">
        <f>'ZEV Sales'!D23</f>
        <v>379839.93214730633</v>
      </c>
      <c r="E23" s="92"/>
      <c r="F23" s="93">
        <f>C23-I23</f>
        <v>6107612.0980079975</v>
      </c>
      <c r="G23" s="92">
        <f>'Fleet ZEV fractions'!V21</f>
        <v>332620.98728337494</v>
      </c>
      <c r="H23" s="92">
        <f>'Fleet ZEV fractions'!X21</f>
        <v>52374.060942503333</v>
      </c>
      <c r="I23" s="92">
        <f>'Fleet ZEV fractions'!Z21</f>
        <v>384995.04822587827</v>
      </c>
      <c r="J23" s="93">
        <f>C23-M23</f>
        <v>5684329.4804096445</v>
      </c>
      <c r="K23" s="92">
        <f>'Fleet ZEV fractions'!AB21</f>
        <v>705487.35534565116</v>
      </c>
      <c r="L23" s="92">
        <f>'Fleet ZEV fractions'!AD21</f>
        <v>102790.31047858036</v>
      </c>
      <c r="M23" s="92">
        <f>'Fleet ZEV fractions'!AF21</f>
        <v>808277.66582423146</v>
      </c>
      <c r="N23" s="93">
        <f>C23-Q23</f>
        <v>5817509.6303156586</v>
      </c>
      <c r="O23" s="92">
        <f>'Fleet ZEV fractions'!AH21</f>
        <v>584083.13998823694</v>
      </c>
      <c r="P23" s="92">
        <f>'Fleet ZEV fractions'!AJ21</f>
        <v>91014.375929980903</v>
      </c>
      <c r="Q23" s="95">
        <f>'Fleet ZEV fractions'!AL21</f>
        <v>675097.51591821783</v>
      </c>
      <c r="U23" s="3"/>
      <c r="V23" s="3"/>
    </row>
    <row r="24" spans="1:22">
      <c r="A24">
        <v>2030</v>
      </c>
      <c r="B24">
        <v>20</v>
      </c>
      <c r="C24" s="3">
        <f>'Combined MOVES output'!AE23</f>
        <v>2950394.0523040001</v>
      </c>
      <c r="D24" s="3">
        <f>'ZEV Sales'!D24</f>
        <v>181029.69966443701</v>
      </c>
      <c r="E24" s="3"/>
      <c r="F24" s="85"/>
      <c r="G24" s="3"/>
      <c r="H24" s="3"/>
      <c r="I24" s="89"/>
      <c r="J24" s="85"/>
      <c r="K24" s="3"/>
      <c r="L24" s="3"/>
      <c r="M24" s="89"/>
      <c r="N24" s="85"/>
      <c r="O24" s="3"/>
      <c r="P24" s="3"/>
      <c r="Q24" s="90"/>
      <c r="U24" s="3"/>
      <c r="V24" s="3"/>
    </row>
    <row r="25" spans="1:22">
      <c r="A25">
        <v>2030</v>
      </c>
      <c r="B25">
        <v>30</v>
      </c>
      <c r="C25" s="3">
        <f>'Combined MOVES output'!AE24</f>
        <v>3690967.9544268996</v>
      </c>
      <c r="D25" s="3">
        <f>'ZEV Sales'!D25</f>
        <v>189805.01644425394</v>
      </c>
      <c r="E25" s="3">
        <f>D24+D25</f>
        <v>370834.71610869095</v>
      </c>
      <c r="F25" s="85"/>
      <c r="G25" s="3"/>
      <c r="H25" s="3"/>
      <c r="I25" s="89"/>
      <c r="J25" s="85"/>
      <c r="K25" s="3"/>
      <c r="L25" s="3"/>
      <c r="M25" s="89"/>
      <c r="N25" s="85"/>
      <c r="O25" s="3"/>
      <c r="P25" s="3"/>
      <c r="Q25" s="90"/>
      <c r="U25" s="3"/>
      <c r="V25" s="3"/>
    </row>
    <row r="26" spans="1:22">
      <c r="A26">
        <v>2030</v>
      </c>
      <c r="B26">
        <v>41</v>
      </c>
      <c r="C26" s="3"/>
      <c r="D26" s="3">
        <f>'ZEV Sales'!D26</f>
        <v>14663.033928460685</v>
      </c>
      <c r="E26" s="3"/>
      <c r="F26" s="85"/>
      <c r="G26" s="3"/>
      <c r="H26" s="3"/>
      <c r="I26" s="89"/>
      <c r="J26" s="85"/>
      <c r="K26" s="3"/>
      <c r="L26" s="3"/>
      <c r="M26" s="89"/>
      <c r="N26" s="85"/>
      <c r="O26" s="3"/>
      <c r="P26" s="3"/>
      <c r="Q26" s="90"/>
      <c r="U26" s="3"/>
      <c r="V26" s="3"/>
    </row>
    <row r="27" spans="1:22">
      <c r="A27" s="91">
        <v>2030</v>
      </c>
      <c r="B27" s="206" t="s">
        <v>33</v>
      </c>
      <c r="C27" s="92">
        <f>C24+C25</f>
        <v>6641362.0067308992</v>
      </c>
      <c r="D27" s="3">
        <f>'ZEV Sales'!D27</f>
        <v>387287.9840433824</v>
      </c>
      <c r="E27" s="92"/>
      <c r="F27" s="93">
        <f>C27-I27</f>
        <v>6192583.3873343263</v>
      </c>
      <c r="G27" s="92">
        <f>'Fleet ZEV fractions'!V22</f>
        <v>394179.55015741766</v>
      </c>
      <c r="H27" s="92">
        <f>'Fleet ZEV fractions'!X22</f>
        <v>54599.069239155448</v>
      </c>
      <c r="I27" s="94">
        <f>'Fleet ZEV fractions'!Z22</f>
        <v>448778.61939657311</v>
      </c>
      <c r="J27" s="93">
        <f>C27-M27</f>
        <v>5580916.7339527579</v>
      </c>
      <c r="K27" s="92">
        <f>'Fleet ZEV fractions'!AB22</f>
        <v>943245.38475933764</v>
      </c>
      <c r="L27" s="92">
        <f>'Fleet ZEV fractions'!AD22</f>
        <v>117199.88801880379</v>
      </c>
      <c r="M27" s="92">
        <f>'Fleet ZEV fractions'!AF22</f>
        <v>1060445.2727781413</v>
      </c>
      <c r="N27" s="93">
        <f>C27-Q27</f>
        <v>5764530.4052495537</v>
      </c>
      <c r="O27" s="92">
        <f>'Fleet ZEV fractions'!AH22</f>
        <v>774289.56351918611</v>
      </c>
      <c r="P27" s="92">
        <f>'Fleet ZEV fractions'!AJ22</f>
        <v>102542.03796215964</v>
      </c>
      <c r="Q27" s="95">
        <f>'Fleet ZEV fractions'!AL22</f>
        <v>876831.60148134572</v>
      </c>
      <c r="U27" s="3"/>
      <c r="V27" s="3"/>
    </row>
    <row r="28" spans="1:22">
      <c r="A28">
        <v>2031</v>
      </c>
      <c r="B28">
        <v>20</v>
      </c>
      <c r="C28" s="3">
        <f>C24+(C44-C24)/5</f>
        <v>3031211.5319715426</v>
      </c>
      <c r="D28" s="3">
        <f>'ZEV Sales'!D28</f>
        <v>187508.00171588841</v>
      </c>
      <c r="E28" s="3"/>
      <c r="F28" s="85"/>
      <c r="G28" s="3"/>
      <c r="H28" s="3"/>
      <c r="I28" s="3"/>
      <c r="J28" s="85"/>
      <c r="K28" s="3"/>
      <c r="L28" s="3"/>
      <c r="M28" s="3"/>
      <c r="N28" s="85"/>
      <c r="O28" s="3"/>
      <c r="P28" s="3"/>
      <c r="Q28" s="86"/>
      <c r="U28" s="3"/>
      <c r="V28" s="3"/>
    </row>
    <row r="29" spans="1:22">
      <c r="A29">
        <v>2031</v>
      </c>
      <c r="B29">
        <v>30</v>
      </c>
      <c r="C29" s="3">
        <f t="shared" ref="C29:C31" si="5">C25+(C45-C25)/5</f>
        <v>3802598.8549481039</v>
      </c>
      <c r="D29" s="3">
        <f>'ZEV Sales'!D29</f>
        <v>195146.57563298556</v>
      </c>
      <c r="E29" s="3">
        <f>D28+D29</f>
        <v>382654.57734887395</v>
      </c>
      <c r="F29" s="85"/>
      <c r="G29" s="3"/>
      <c r="H29" s="3"/>
      <c r="I29" s="3"/>
      <c r="J29" s="85"/>
      <c r="K29" s="3"/>
      <c r="L29" s="3"/>
      <c r="M29" s="3"/>
      <c r="N29" s="85"/>
      <c r="O29" s="3"/>
      <c r="P29" s="3"/>
      <c r="Q29" s="86"/>
      <c r="U29" s="3"/>
      <c r="V29" s="3"/>
    </row>
    <row r="30" spans="1:22">
      <c r="A30">
        <v>2031</v>
      </c>
      <c r="B30">
        <v>41</v>
      </c>
      <c r="C30" s="3"/>
      <c r="D30" s="3">
        <f>'ZEV Sales'!D30</f>
        <v>15039.99894362295</v>
      </c>
      <c r="E30" s="3"/>
      <c r="F30" s="85"/>
      <c r="G30" s="3"/>
      <c r="H30" s="3"/>
      <c r="I30" s="3"/>
      <c r="J30" s="85"/>
      <c r="K30" s="3"/>
      <c r="L30" s="3"/>
      <c r="M30" s="3"/>
      <c r="N30" s="85"/>
      <c r="O30" s="3"/>
      <c r="P30" s="3"/>
      <c r="Q30" s="86"/>
      <c r="U30" s="3"/>
      <c r="V30" s="3"/>
    </row>
    <row r="31" spans="1:22">
      <c r="A31" s="91">
        <v>2031</v>
      </c>
      <c r="B31" s="206" t="s">
        <v>33</v>
      </c>
      <c r="C31" s="92">
        <f t="shared" si="5"/>
        <v>6833810.3869196465</v>
      </c>
      <c r="D31" s="3">
        <f>'ZEV Sales'!D31</f>
        <v>399950.1171934749</v>
      </c>
      <c r="E31" s="92"/>
      <c r="F31" s="93">
        <f>C31-I31</f>
        <v>6319215.1802190673</v>
      </c>
      <c r="G31" s="92">
        <f>'Fleet ZEV fractions'!V23</f>
        <v>457700.20999733073</v>
      </c>
      <c r="H31" s="92">
        <f>'Fleet ZEV fractions'!X23</f>
        <v>56894.996703248704</v>
      </c>
      <c r="I31" s="92">
        <f>'Fleet ZEV fractions'!Z23</f>
        <v>514595.20670057944</v>
      </c>
      <c r="J31" s="93">
        <f>C31-M31</f>
        <v>5482547.635356361</v>
      </c>
      <c r="K31" s="92">
        <f>'Fleet ZEV fractions'!AB23</f>
        <v>1221052.6079146201</v>
      </c>
      <c r="L31" s="92">
        <f>'Fleet ZEV fractions'!AD23</f>
        <v>130210.1436486655</v>
      </c>
      <c r="M31" s="92">
        <f>'Fleet ZEV fractions'!AF23</f>
        <v>1351262.7515632855</v>
      </c>
      <c r="N31" s="93">
        <f>C31-Q31</f>
        <v>5666161.3066531569</v>
      </c>
      <c r="O31" s="92">
        <f>'Fleet ZEV fractions'!AH23</f>
        <v>1052096.7866744685</v>
      </c>
      <c r="P31" s="92">
        <f>'Fleet ZEV fractions'!AJ23</f>
        <v>115552.29359202135</v>
      </c>
      <c r="Q31" s="95">
        <f>'Fleet ZEV fractions'!AL23</f>
        <v>1167649.0802664899</v>
      </c>
      <c r="U31" s="3"/>
      <c r="V31" s="3"/>
    </row>
    <row r="32" spans="1:22">
      <c r="A32">
        <v>2032</v>
      </c>
      <c r="B32">
        <v>20</v>
      </c>
      <c r="C32" s="3">
        <f>C24+2*(C44-C24)/5</f>
        <v>3112029.0116390856</v>
      </c>
      <c r="D32" s="3">
        <f>'ZEV Sales'!D32</f>
        <v>194067.32991362957</v>
      </c>
      <c r="E32" s="3"/>
      <c r="F32" s="85"/>
      <c r="G32" s="3"/>
      <c r="H32" s="3"/>
      <c r="I32" s="3"/>
      <c r="J32" s="85"/>
      <c r="K32" s="3"/>
      <c r="L32" s="3"/>
      <c r="M32" s="3"/>
      <c r="N32" s="85"/>
      <c r="O32" s="3"/>
      <c r="P32" s="3"/>
      <c r="Q32" s="86"/>
      <c r="U32" s="3"/>
      <c r="V32" s="3"/>
    </row>
    <row r="33" spans="1:22">
      <c r="A33">
        <v>2032</v>
      </c>
      <c r="B33">
        <v>30</v>
      </c>
      <c r="C33" s="3">
        <f t="shared" ref="C33:C35" si="6">C25+2*(C45-C25)/5</f>
        <v>3914229.7554693082</v>
      </c>
      <c r="D33" s="3">
        <f>'ZEV Sales'!D33</f>
        <v>200464.71018505466</v>
      </c>
      <c r="E33" s="3">
        <f>D32+D33</f>
        <v>394532.04009868426</v>
      </c>
      <c r="F33" s="85"/>
      <c r="G33" s="3"/>
      <c r="H33" s="3"/>
      <c r="I33" s="3"/>
      <c r="J33" s="85"/>
      <c r="K33" s="3"/>
      <c r="L33" s="3"/>
      <c r="M33" s="3"/>
      <c r="N33" s="85"/>
      <c r="O33" s="3"/>
      <c r="P33" s="3"/>
      <c r="Q33" s="86"/>
      <c r="U33" s="3"/>
      <c r="V33" s="3"/>
    </row>
    <row r="34" spans="1:22">
      <c r="A34">
        <v>2032</v>
      </c>
      <c r="B34">
        <v>41</v>
      </c>
      <c r="C34" s="3"/>
      <c r="D34" s="3">
        <f>'ZEV Sales'!D34</f>
        <v>15418.806512998131</v>
      </c>
      <c r="E34" s="3"/>
      <c r="F34" s="85"/>
      <c r="G34" s="3"/>
      <c r="H34" s="3"/>
      <c r="I34" s="3"/>
      <c r="J34" s="85"/>
      <c r="K34" s="3"/>
      <c r="L34" s="3"/>
      <c r="M34" s="3"/>
      <c r="N34" s="85"/>
      <c r="O34" s="3"/>
      <c r="P34" s="3"/>
      <c r="Q34" s="86"/>
      <c r="U34" s="3"/>
      <c r="V34" s="3"/>
    </row>
    <row r="35" spans="1:22">
      <c r="A35" s="91">
        <v>2032</v>
      </c>
      <c r="B35" s="206" t="s">
        <v>33</v>
      </c>
      <c r="C35" s="92">
        <f t="shared" si="6"/>
        <v>7026258.7671083938</v>
      </c>
      <c r="D35" s="3">
        <f>'ZEV Sales'!D35</f>
        <v>412697.97824465838</v>
      </c>
      <c r="E35" s="92"/>
      <c r="F35" s="93">
        <f>C35-I35</f>
        <v>6443804.0495108403</v>
      </c>
      <c r="G35" s="92">
        <f>'Fleet ZEV fractions'!V24</f>
        <v>523192.5286537123</v>
      </c>
      <c r="H35" s="92">
        <f>'Fleet ZEV fractions'!X24</f>
        <v>59262.188943840854</v>
      </c>
      <c r="I35" s="92">
        <f>'Fleet ZEV fractions'!Z24</f>
        <v>582454.71759755316</v>
      </c>
      <c r="J35" s="93">
        <f>C35-M35</f>
        <v>5351479.7426641872</v>
      </c>
      <c r="K35" s="92">
        <f>'Fleet ZEV fractions'!AB24</f>
        <v>1531154.791432186</v>
      </c>
      <c r="L35" s="92">
        <f>'Fleet ZEV fractions'!AD24</f>
        <v>143624.23301202076</v>
      </c>
      <c r="M35" s="92">
        <f>'Fleet ZEV fractions'!AF24</f>
        <v>1674779.0244442066</v>
      </c>
      <c r="N35" s="93">
        <f>C35-Q35</f>
        <v>5535093.413960983</v>
      </c>
      <c r="O35" s="92">
        <f>'Fleet ZEV fractions'!AH24</f>
        <v>1362198.9701920343</v>
      </c>
      <c r="P35" s="92">
        <f>'Fleet ZEV fractions'!AJ24</f>
        <v>128966.38295537661</v>
      </c>
      <c r="Q35" s="95">
        <f>'Fleet ZEV fractions'!AL24</f>
        <v>1491165.353147411</v>
      </c>
      <c r="U35" s="3"/>
      <c r="V35" s="3"/>
    </row>
    <row r="36" spans="1:22">
      <c r="A36">
        <v>2033</v>
      </c>
      <c r="B36">
        <v>20</v>
      </c>
      <c r="C36" s="3">
        <f>C24+3*(C44-C24)/5</f>
        <v>3192846.4913066281</v>
      </c>
      <c r="D36" s="3">
        <f>'ZEV Sales'!D36</f>
        <v>200707.68425766044</v>
      </c>
      <c r="E36" s="3"/>
      <c r="F36" s="85"/>
      <c r="G36" s="3"/>
      <c r="H36" s="3"/>
      <c r="I36" s="3"/>
      <c r="J36" s="85"/>
      <c r="K36" s="3"/>
      <c r="L36" s="3"/>
      <c r="M36" s="3"/>
      <c r="N36" s="85"/>
      <c r="O36" s="3"/>
      <c r="P36" s="3"/>
      <c r="Q36" s="86"/>
      <c r="U36" s="3"/>
      <c r="V36" s="3"/>
    </row>
    <row r="37" spans="1:22">
      <c r="A37">
        <v>2033</v>
      </c>
      <c r="B37">
        <v>30</v>
      </c>
      <c r="C37" s="3">
        <f>C25+3*(C45-C25)/5</f>
        <v>4025860.655990513</v>
      </c>
      <c r="D37" s="3">
        <f>'ZEV Sales'!D37</f>
        <v>205759.4201004612</v>
      </c>
      <c r="E37" s="3">
        <f>D36+D37</f>
        <v>406467.10435812164</v>
      </c>
      <c r="F37" s="85"/>
      <c r="G37" s="3"/>
      <c r="H37" s="3"/>
      <c r="I37" s="3"/>
      <c r="J37" s="85"/>
      <c r="K37" s="3"/>
      <c r="L37" s="3"/>
      <c r="M37" s="3"/>
      <c r="N37" s="85"/>
      <c r="O37" s="3"/>
      <c r="P37" s="3"/>
      <c r="Q37" s="86"/>
      <c r="U37" s="3"/>
      <c r="V37" s="3"/>
    </row>
    <row r="38" spans="1:22">
      <c r="A38">
        <v>2033</v>
      </c>
      <c r="B38">
        <v>41</v>
      </c>
      <c r="C38" s="3"/>
      <c r="D38" s="3">
        <f>'ZEV Sales'!D38</f>
        <v>15799.456636586228</v>
      </c>
      <c r="E38" s="3"/>
      <c r="F38" s="85"/>
      <c r="G38" s="3"/>
      <c r="H38" s="3"/>
      <c r="I38" s="3"/>
      <c r="J38" s="85"/>
      <c r="K38" s="3"/>
      <c r="L38" s="3"/>
      <c r="M38" s="3"/>
      <c r="N38" s="85"/>
      <c r="O38" s="3"/>
      <c r="P38" s="3"/>
      <c r="Q38" s="86"/>
      <c r="U38" s="3"/>
      <c r="V38" s="3"/>
    </row>
    <row r="39" spans="1:22">
      <c r="A39" s="91">
        <v>2033</v>
      </c>
      <c r="B39" s="206" t="s">
        <v>33</v>
      </c>
      <c r="C39" s="92">
        <f>C27+3*(C47-C27)/5</f>
        <v>7218707.1472971402</v>
      </c>
      <c r="D39" s="3">
        <f>'ZEV Sales'!D39</f>
        <v>425531.56719693303</v>
      </c>
      <c r="E39" s="92"/>
      <c r="F39" s="93">
        <f>C39-I39</f>
        <v>6566340.0877499897</v>
      </c>
      <c r="G39" s="92">
        <f>'Fleet ZEV fractions'!V25</f>
        <v>590666.06797716045</v>
      </c>
      <c r="H39" s="92">
        <f>'Fleet ZEV fractions'!X25</f>
        <v>61700.991569989594</v>
      </c>
      <c r="I39" s="92">
        <f>'Fleet ZEV fractions'!Z25</f>
        <v>652367.05954715004</v>
      </c>
      <c r="J39" s="93">
        <f>C39-M39</f>
        <v>5186237.0710177869</v>
      </c>
      <c r="K39" s="92">
        <f>'Fleet ZEV fractions'!AB25</f>
        <v>1861612.5472753388</v>
      </c>
      <c r="L39" s="92">
        <f>'Fleet ZEV fractions'!AD25</f>
        <v>170857.52900401491</v>
      </c>
      <c r="M39" s="92">
        <f>'Fleet ZEV fractions'!AF25</f>
        <v>2032470.0762793536</v>
      </c>
      <c r="N39" s="93">
        <f>C39-Q39</f>
        <v>5369850.7423145827</v>
      </c>
      <c r="O39" s="92">
        <f>'Fleet ZEV fractions'!AH25</f>
        <v>1692656.726035187</v>
      </c>
      <c r="P39" s="92">
        <f>'Fleet ZEV fractions'!AJ25</f>
        <v>156199.67894737076</v>
      </c>
      <c r="Q39" s="95">
        <f>'Fleet ZEV fractions'!AL25</f>
        <v>1848856.404982558</v>
      </c>
      <c r="U39" s="3"/>
      <c r="V39" s="3"/>
    </row>
    <row r="40" spans="1:22">
      <c r="A40">
        <v>2034</v>
      </c>
      <c r="B40">
        <v>20</v>
      </c>
      <c r="C40" s="3">
        <f>C24+4*(C44-C24)/5</f>
        <v>3273663.9709741711</v>
      </c>
      <c r="D40" s="3">
        <f>'ZEV Sales'!D40</f>
        <v>207429.06474798103</v>
      </c>
      <c r="E40" s="3"/>
      <c r="F40" s="85"/>
      <c r="G40" s="3"/>
      <c r="H40" s="3"/>
      <c r="I40" s="3"/>
      <c r="J40" s="85"/>
      <c r="K40" s="3"/>
      <c r="L40" s="3"/>
      <c r="M40" s="3"/>
      <c r="N40" s="85"/>
      <c r="O40" s="3"/>
      <c r="P40" s="3"/>
      <c r="Q40" s="86"/>
      <c r="U40" s="3"/>
      <c r="V40" s="3"/>
    </row>
    <row r="41" spans="1:22">
      <c r="A41">
        <v>2034</v>
      </c>
      <c r="B41">
        <v>30</v>
      </c>
      <c r="C41" s="3">
        <f t="shared" ref="C41:C43" si="7">C25+4*(C45-C25)/5</f>
        <v>4137491.5565117174</v>
      </c>
      <c r="D41" s="3">
        <f>'ZEV Sales'!D41</f>
        <v>211030.70537920523</v>
      </c>
      <c r="E41" s="3">
        <f>D40+D41</f>
        <v>418459.77012718626</v>
      </c>
      <c r="F41" s="85"/>
      <c r="G41" s="3"/>
      <c r="H41" s="3"/>
      <c r="I41" s="3"/>
      <c r="J41" s="85"/>
      <c r="K41" s="3"/>
      <c r="L41" s="3"/>
      <c r="M41" s="3"/>
      <c r="N41" s="85"/>
      <c r="O41" s="3"/>
      <c r="P41" s="3"/>
      <c r="Q41" s="86"/>
      <c r="U41" s="3"/>
      <c r="V41" s="3"/>
    </row>
    <row r="42" spans="1:22">
      <c r="A42">
        <v>2034</v>
      </c>
      <c r="B42">
        <v>41</v>
      </c>
      <c r="C42" s="3"/>
      <c r="D42" s="3">
        <f>'ZEV Sales'!D42</f>
        <v>16181.949314387242</v>
      </c>
      <c r="E42" s="3"/>
      <c r="F42" s="85"/>
      <c r="G42" s="3"/>
      <c r="H42" s="3"/>
      <c r="I42" s="3"/>
      <c r="J42" s="85"/>
      <c r="K42" s="3"/>
      <c r="L42" s="3"/>
      <c r="M42" s="3"/>
      <c r="N42" s="85"/>
      <c r="O42" s="3"/>
      <c r="P42" s="3"/>
      <c r="Q42" s="86"/>
      <c r="U42" s="3"/>
      <c r="V42" s="3"/>
    </row>
    <row r="43" spans="1:22">
      <c r="A43" s="91">
        <v>2034</v>
      </c>
      <c r="B43" s="206" t="s">
        <v>33</v>
      </c>
      <c r="C43" s="92">
        <f t="shared" si="7"/>
        <v>7411155.5274858875</v>
      </c>
      <c r="D43" s="3">
        <f>'ZEV Sales'!D43</f>
        <v>438450.88405029877</v>
      </c>
      <c r="E43" s="92"/>
      <c r="F43" s="93">
        <f>C43-I43</f>
        <v>6686813.3874768615</v>
      </c>
      <c r="G43" s="92">
        <f>'Fleet ZEV fractions'!V26</f>
        <v>660130.38981827337</v>
      </c>
      <c r="H43" s="92">
        <f>'Fleet ZEV fractions'!X26</f>
        <v>64211.750190752675</v>
      </c>
      <c r="I43" s="92">
        <f>'Fleet ZEV fractions'!Z26</f>
        <v>724342.14000902604</v>
      </c>
      <c r="J43" s="93">
        <f>C43-M43</f>
        <v>4985333.2672869787</v>
      </c>
      <c r="K43" s="92">
        <f>'Fleet ZEV fractions'!AB26</f>
        <v>2207678.7771705217</v>
      </c>
      <c r="L43" s="92">
        <f>'Fleet ZEV fractions'!AD26</f>
        <v>218143.48302838695</v>
      </c>
      <c r="M43" s="92">
        <f>'Fleet ZEV fractions'!AF26</f>
        <v>2425822.2601989089</v>
      </c>
      <c r="N43" s="93">
        <f>C43-Q43</f>
        <v>5168946.9385837745</v>
      </c>
      <c r="O43" s="92">
        <f>'Fleet ZEV fractions'!AH26</f>
        <v>2038722.9559303699</v>
      </c>
      <c r="P43" s="92">
        <f>'Fleet ZEV fractions'!AJ26</f>
        <v>203485.6329717428</v>
      </c>
      <c r="Q43" s="95">
        <f>'Fleet ZEV fractions'!AL26</f>
        <v>2242208.588902113</v>
      </c>
      <c r="U43" s="3"/>
      <c r="V43" s="3"/>
    </row>
    <row r="44" spans="1:22">
      <c r="A44">
        <v>2035</v>
      </c>
      <c r="B44">
        <v>20</v>
      </c>
      <c r="C44" s="3">
        <f>'Combined MOVES output'!AE28</f>
        <v>3354481.4506417136</v>
      </c>
      <c r="D44" s="3">
        <f>'ZEV Sales'!D44</f>
        <v>214231.47138459131</v>
      </c>
      <c r="E44" s="3"/>
      <c r="F44" s="85"/>
      <c r="G44" s="3"/>
      <c r="H44" s="3"/>
      <c r="I44" s="89"/>
      <c r="J44" s="85"/>
      <c r="K44" s="3"/>
      <c r="L44" s="3"/>
      <c r="M44" s="89"/>
      <c r="N44" s="85"/>
      <c r="O44" s="3"/>
      <c r="P44" s="3"/>
      <c r="Q44" s="90"/>
      <c r="U44" s="3"/>
      <c r="V44" s="3"/>
    </row>
    <row r="45" spans="1:22">
      <c r="A45">
        <v>2035</v>
      </c>
      <c r="B45">
        <v>30</v>
      </c>
      <c r="C45" s="3">
        <f>'Combined MOVES output'!AE29</f>
        <v>4249122.4570329217</v>
      </c>
      <c r="D45" s="3">
        <f>'ZEV Sales'!D45</f>
        <v>216278.56602128671</v>
      </c>
      <c r="E45" s="3">
        <f>D44+D45</f>
        <v>430510.03740587801</v>
      </c>
      <c r="F45" s="85"/>
      <c r="G45" s="3"/>
      <c r="H45" s="3"/>
      <c r="I45" s="89"/>
      <c r="J45" s="85"/>
      <c r="K45" s="3"/>
      <c r="L45" s="3"/>
      <c r="M45" s="89"/>
      <c r="N45" s="85"/>
      <c r="O45" s="3"/>
      <c r="P45" s="3"/>
      <c r="Q45" s="90"/>
      <c r="U45" s="3"/>
      <c r="V45" s="3"/>
    </row>
    <row r="46" spans="1:22">
      <c r="A46">
        <v>2035</v>
      </c>
      <c r="B46">
        <v>41</v>
      </c>
      <c r="C46" s="3"/>
      <c r="D46" s="3">
        <f>'ZEV Sales'!D46</f>
        <v>16566.284546401173</v>
      </c>
      <c r="E46" s="3"/>
      <c r="F46" s="85"/>
      <c r="G46" s="3"/>
      <c r="H46" s="3"/>
      <c r="I46" s="89"/>
      <c r="J46" s="85"/>
      <c r="K46" s="3"/>
      <c r="L46" s="3"/>
      <c r="M46" s="89"/>
      <c r="N46" s="85"/>
      <c r="O46" s="3"/>
      <c r="P46" s="3"/>
      <c r="Q46" s="90"/>
      <c r="U46" s="3"/>
      <c r="V46" s="3"/>
    </row>
    <row r="47" spans="1:22">
      <c r="A47" s="91">
        <v>2035</v>
      </c>
      <c r="B47" s="206" t="s">
        <v>33</v>
      </c>
      <c r="C47" s="92">
        <f>C44+C45</f>
        <v>7603603.9076746348</v>
      </c>
      <c r="D47" s="3">
        <f>'ZEV Sales'!D47</f>
        <v>451455.92880475562</v>
      </c>
      <c r="E47" s="92"/>
      <c r="F47" s="93">
        <f>C47-I47</f>
        <v>6805214.041231798</v>
      </c>
      <c r="G47" s="92">
        <f>'Fleet ZEV fractions'!V27</f>
        <v>731595.05602764909</v>
      </c>
      <c r="H47" s="92">
        <f>'Fleet ZEV fractions'!X27</f>
        <v>66794.810415187967</v>
      </c>
      <c r="I47" s="94">
        <f>'Fleet ZEV fractions'!Z27</f>
        <v>798389.86644283705</v>
      </c>
      <c r="J47" s="93">
        <f>C47-M47</f>
        <v>4747271.6100698486</v>
      </c>
      <c r="K47" s="92">
        <f>'Fleet ZEV fractions'!AB27</f>
        <v>2563710.5781051829</v>
      </c>
      <c r="L47" s="92">
        <f>'Fleet ZEV fractions'!AD27</f>
        <v>292621.71949960385</v>
      </c>
      <c r="M47" s="92">
        <f>'Fleet ZEV fractions'!AF27</f>
        <v>2856332.2976047867</v>
      </c>
      <c r="N47" s="93">
        <f>C47-Q47</f>
        <v>4930885.2813666444</v>
      </c>
      <c r="O47" s="92">
        <f>'Fleet ZEV fractions'!AH27</f>
        <v>2394754.7568650311</v>
      </c>
      <c r="P47" s="92">
        <f>'Fleet ZEV fractions'!AJ27</f>
        <v>277963.86944295967</v>
      </c>
      <c r="Q47" s="95">
        <f>'Fleet ZEV fractions'!AL27</f>
        <v>2672718.6263079909</v>
      </c>
      <c r="U47" s="3"/>
      <c r="V47" s="3"/>
    </row>
    <row r="48" spans="1:22">
      <c r="A48">
        <v>2040</v>
      </c>
      <c r="B48">
        <v>20</v>
      </c>
      <c r="C48" s="3">
        <f>'Combined MOVES output'!AE33</f>
        <v>3800035.474618</v>
      </c>
      <c r="D48" s="3">
        <f>'ZEV Sales'!D48</f>
        <v>240045.92409010581</v>
      </c>
      <c r="E48" s="3"/>
      <c r="F48" s="85"/>
      <c r="G48" s="3"/>
      <c r="H48" s="3"/>
      <c r="I48" s="89"/>
      <c r="J48" s="85"/>
      <c r="K48" s="3"/>
      <c r="L48" s="3"/>
      <c r="M48" s="89"/>
      <c r="N48" s="85"/>
      <c r="O48" s="3"/>
      <c r="P48" s="3"/>
      <c r="Q48" s="90"/>
      <c r="U48" s="3"/>
      <c r="V48" s="3"/>
    </row>
    <row r="49" spans="1:22">
      <c r="A49">
        <v>2040</v>
      </c>
      <c r="B49">
        <v>30</v>
      </c>
      <c r="C49" s="3">
        <f>'Combined MOVES output'!AE34</f>
        <v>4760943.8020371003</v>
      </c>
      <c r="D49" s="3">
        <f>'ZEV Sales'!D49</f>
        <v>243447.90072935133</v>
      </c>
      <c r="E49" s="3">
        <f>D48+D49</f>
        <v>483493.82481945714</v>
      </c>
      <c r="F49" s="85"/>
      <c r="G49" s="3"/>
      <c r="H49" s="3"/>
      <c r="I49" s="89"/>
      <c r="J49" s="85"/>
      <c r="K49" s="3"/>
      <c r="L49" s="3"/>
      <c r="M49" s="89"/>
      <c r="N49" s="85"/>
      <c r="O49" s="3"/>
      <c r="P49" s="3"/>
      <c r="Q49" s="90"/>
      <c r="U49" s="3"/>
      <c r="V49" s="3"/>
    </row>
    <row r="50" spans="1:22">
      <c r="A50">
        <v>2040</v>
      </c>
      <c r="B50">
        <v>41</v>
      </c>
      <c r="C50" s="3"/>
      <c r="D50" s="3">
        <f>'ZEV Sales'!D50</f>
        <v>18614.624738067239</v>
      </c>
      <c r="E50" s="3"/>
      <c r="F50" s="85"/>
      <c r="G50" s="3"/>
      <c r="H50" s="3"/>
      <c r="I50" s="89"/>
      <c r="J50" s="85"/>
      <c r="K50" s="3"/>
      <c r="L50" s="3"/>
      <c r="M50" s="89"/>
      <c r="N50" s="85"/>
      <c r="O50" s="3"/>
      <c r="P50" s="3"/>
      <c r="Q50" s="90"/>
      <c r="U50" s="3"/>
      <c r="V50" s="3"/>
    </row>
    <row r="51" spans="1:22" ht="16" thickBot="1">
      <c r="A51" s="91">
        <v>2040</v>
      </c>
      <c r="B51" s="91" t="s">
        <v>133</v>
      </c>
      <c r="C51" s="92">
        <f>C48+C49</f>
        <v>8560979.2766551003</v>
      </c>
      <c r="D51" s="3">
        <f>'ZEV Sales'!D51</f>
        <v>508420.80258631887</v>
      </c>
      <c r="E51" s="92"/>
      <c r="F51" s="96">
        <f>C51-I51</f>
        <v>7365011.1437378014</v>
      </c>
      <c r="G51" s="97">
        <f>'Fleet ZEV fractions'!V32</f>
        <v>1115304.3132064904</v>
      </c>
      <c r="H51" s="97">
        <f>'Fleet ZEV fractions'!X32</f>
        <v>80663.819710808806</v>
      </c>
      <c r="I51" s="98">
        <f>'Fleet ZEV fractions'!Z32</f>
        <v>1195968.1329172992</v>
      </c>
      <c r="J51" s="96">
        <f>C51-M51</f>
        <v>3393145.4297801871</v>
      </c>
      <c r="K51" s="97">
        <f>'Fleet ZEV fractions'!AB32</f>
        <v>4475322.3593515782</v>
      </c>
      <c r="L51" s="97">
        <f>'Fleet ZEV fractions'!AD32</f>
        <v>692511.48752333573</v>
      </c>
      <c r="M51" s="97">
        <f>'Fleet ZEV fractions'!AF32</f>
        <v>5167833.8468749132</v>
      </c>
      <c r="N51" s="96">
        <f>C51-Q51</f>
        <v>3576759.1010769829</v>
      </c>
      <c r="O51" s="97">
        <f>'Fleet ZEV fractions'!AH32</f>
        <v>4306366.5381114269</v>
      </c>
      <c r="P51" s="97">
        <f>'Fleet ZEV fractions'!AJ32</f>
        <v>677853.63746669155</v>
      </c>
      <c r="Q51" s="101">
        <f>'Fleet ZEV fractions'!AL32</f>
        <v>4984220.1755781174</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OdvwWX3cKqCMOa/PXbEFvlibt8nTS0a0Q3X3hfvLu63F2rO5LgcgOvm8gla8iwaweGVehPJTLom69A1Duc5BZQ==" saltValue="it6rH0SAQ7yP0UtYl1VmiQ=="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456</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316" t="s">
        <v>48</v>
      </c>
      <c r="G2" s="316"/>
      <c r="H2" s="316"/>
      <c r="I2" s="316"/>
      <c r="J2" s="316" t="s">
        <v>130</v>
      </c>
      <c r="K2" s="316"/>
      <c r="L2" s="316"/>
      <c r="M2" s="316"/>
      <c r="N2" s="316" t="s">
        <v>131</v>
      </c>
      <c r="O2" s="316"/>
      <c r="P2" s="316"/>
      <c r="Q2" s="316"/>
      <c r="S2" s="19" t="s">
        <v>71</v>
      </c>
      <c r="AF2" s="82"/>
    </row>
    <row r="3" spans="1:3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2632260.010244769</v>
      </c>
      <c r="D4" s="3">
        <f>C4*U10</f>
        <v>154764.88759798688</v>
      </c>
      <c r="E4" s="3"/>
      <c r="F4" s="85"/>
      <c r="G4" s="3"/>
      <c r="H4" s="3"/>
      <c r="I4" s="89"/>
      <c r="J4" s="85"/>
      <c r="K4" s="3"/>
      <c r="L4" s="3"/>
      <c r="M4" s="89"/>
      <c r="N4" s="99"/>
      <c r="O4" s="3"/>
      <c r="P4" s="3"/>
      <c r="Q4" s="100"/>
      <c r="S4" s="19"/>
      <c r="AF4" s="82"/>
    </row>
    <row r="5" spans="1:32">
      <c r="A5">
        <f>'ZEV Sales'!S11</f>
        <v>2025</v>
      </c>
      <c r="B5">
        <f>'ZEV Sales'!T11</f>
        <v>30</v>
      </c>
      <c r="C5" s="3">
        <f>'Combined MOVES output'!AE19</f>
        <v>3265327.6940010153</v>
      </c>
      <c r="D5" s="3">
        <f>C5*U11</f>
        <v>179412.34949430148</v>
      </c>
      <c r="E5" s="3">
        <f>D4+D5</f>
        <v>334177.23709228833</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281150.70312307694</v>
      </c>
      <c r="D6" s="3">
        <f>C6*U12</f>
        <v>15072.793425650956</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6178738.4073688611</v>
      </c>
      <c r="D7" s="92">
        <f>C7*U13</f>
        <v>349669.83700466395</v>
      </c>
      <c r="E7" s="92">
        <f>E5</f>
        <v>334177.23709228833</v>
      </c>
      <c r="F7" s="93">
        <f>E7-I7</f>
        <v>288729.13284773711</v>
      </c>
      <c r="G7" s="94">
        <f>$E7*'Fleet ZEV fractions'!B17</f>
        <v>43108.863584905193</v>
      </c>
      <c r="H7" s="94">
        <f>$E7*'Fleet ZEV fractions'!C17</f>
        <v>2339.2406596460182</v>
      </c>
      <c r="I7" s="94">
        <f>$E7*'Fleet ZEV fractions'!D17</f>
        <v>45448.104244551214</v>
      </c>
      <c r="J7" s="252">
        <f>F7</f>
        <v>288729.13284773711</v>
      </c>
      <c r="K7" s="253">
        <f t="shared" ref="K7:M7" si="0">G7</f>
        <v>43108.863584905193</v>
      </c>
      <c r="L7" s="253">
        <f t="shared" si="0"/>
        <v>2339.2406596460182</v>
      </c>
      <c r="M7" s="253">
        <f t="shared" si="0"/>
        <v>45448.104244551214</v>
      </c>
      <c r="N7" s="252">
        <f>F7</f>
        <v>288729.13284773711</v>
      </c>
      <c r="O7" s="253">
        <f t="shared" ref="O7:Q7" si="1">G7</f>
        <v>43108.863584905193</v>
      </c>
      <c r="P7" s="253">
        <f t="shared" si="1"/>
        <v>2339.2406596460182</v>
      </c>
      <c r="Q7" s="254">
        <f t="shared" si="1"/>
        <v>45448.104244551214</v>
      </c>
      <c r="S7" s="19">
        <v>2020</v>
      </c>
      <c r="T7">
        <v>30</v>
      </c>
      <c r="U7">
        <v>6.0448579796706946E-2</v>
      </c>
      <c r="AF7" s="82"/>
    </row>
    <row r="8" spans="1:32">
      <c r="A8">
        <v>2026</v>
      </c>
      <c r="B8">
        <f>'ZEV Sales'!T14</f>
        <v>20</v>
      </c>
      <c r="C8" s="3">
        <f>C4+(C24-C4)/5</f>
        <v>2695886.8186566154</v>
      </c>
      <c r="D8" s="3">
        <f t="shared" ref="D8:D23" si="2">C8*AB10</f>
        <v>159887.42202277607</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3350455.7460861923</v>
      </c>
      <c r="D9" s="3">
        <f t="shared" si="2"/>
        <v>181730.63648974407</v>
      </c>
      <c r="E9" s="3">
        <f>D8+D9</f>
        <v>341618.05851252016</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280900.30273846153</v>
      </c>
      <c r="D10" s="3">
        <f t="shared" si="2"/>
        <v>14990.596303876186</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6327242.8674812689</v>
      </c>
      <c r="D11" s="92">
        <f t="shared" si="2"/>
        <v>357269.0439240752</v>
      </c>
      <c r="E11" s="92">
        <f>E9</f>
        <v>341618.05851252016</v>
      </c>
      <c r="F11" s="93">
        <f>E11-I11</f>
        <v>282859.75244836666</v>
      </c>
      <c r="G11" s="92">
        <f>$E11*'Fleet ZEV fractions'!B18</f>
        <v>56708.59771307835</v>
      </c>
      <c r="H11" s="92">
        <f>$E11*'Fleet ZEV fractions'!C18</f>
        <v>2049.7083510751208</v>
      </c>
      <c r="I11" s="92">
        <f>$E11*'Fleet ZEV fractions'!D18</f>
        <v>58758.306064153476</v>
      </c>
      <c r="J11" s="93">
        <f>E11-M11</f>
        <v>222051.7380331381</v>
      </c>
      <c r="K11" s="92">
        <f>$E11*'Fleet ZEV fractions'!H18</f>
        <v>104093.03194675613</v>
      </c>
      <c r="L11" s="92">
        <f>$E11*'Fleet ZEV fractions'!I18</f>
        <v>15473.288532625913</v>
      </c>
      <c r="M11" s="92">
        <f>$E11*'Fleet ZEV fractions'!J18</f>
        <v>119566.32047938205</v>
      </c>
      <c r="N11" s="93">
        <f>E11-Q11</f>
        <v>245965.00212901452</v>
      </c>
      <c r="O11" s="92">
        <f>$E11*'Fleet ZEV fractions'!K18</f>
        <v>83274.425557404917</v>
      </c>
      <c r="P11" s="92">
        <f>$E11*'Fleet ZEV fractions'!L18</f>
        <v>12378.630826100731</v>
      </c>
      <c r="Q11" s="95">
        <f>$E11*'Fleet ZEV fractions'!M18</f>
        <v>95653.056383505638</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2759513.6270684614</v>
      </c>
      <c r="D12" s="3">
        <f t="shared" si="2"/>
        <v>165075.17044181563</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3435583.7981713689</v>
      </c>
      <c r="D13" s="3">
        <f t="shared" si="2"/>
        <v>183929.04668246058</v>
      </c>
      <c r="E13" s="3">
        <f>D12+D13</f>
        <v>349004.21712427621</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280649.90235384618</v>
      </c>
      <c r="D14" s="3">
        <f t="shared" si="2"/>
        <v>14908.521793269776</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6475747.3275936767</v>
      </c>
      <c r="D15" s="92">
        <f t="shared" si="2"/>
        <v>364830.46208765276</v>
      </c>
      <c r="E15" s="92">
        <f>E13</f>
        <v>349004.21712427621</v>
      </c>
      <c r="F15" s="93">
        <f>E15-I15</f>
        <v>288975.49177890073</v>
      </c>
      <c r="G15" s="92">
        <f>$E15*'Fleet ZEV fractions'!B19</f>
        <v>57934.700042629855</v>
      </c>
      <c r="H15" s="92">
        <f>$E15*'Fleet ZEV fractions'!C19</f>
        <v>2094.0253027456574</v>
      </c>
      <c r="I15" s="92">
        <f>$E15*'Fleet ZEV fractions'!D19</f>
        <v>60028.725345375511</v>
      </c>
      <c r="J15" s="93">
        <f>E15-M15</f>
        <v>198932.40376083745</v>
      </c>
      <c r="K15" s="92">
        <f>$E15*'Fleet ZEV fractions'!H19</f>
        <v>135506.01971345796</v>
      </c>
      <c r="L15" s="92">
        <f>$E15*'Fleet ZEV fractions'!I19</f>
        <v>14565.793649980824</v>
      </c>
      <c r="M15" s="92">
        <f>$E15*'Fleet ZEV fractions'!J19</f>
        <v>150071.81336343876</v>
      </c>
      <c r="N15" s="93">
        <f>E15-Q15</f>
        <v>228946.76643352519</v>
      </c>
      <c r="O15" s="92">
        <f>$E15*'Fleet ZEV fractions'!K19</f>
        <v>108404.81577076636</v>
      </c>
      <c r="P15" s="92">
        <f>$E15*'Fleet ZEV fractions'!L19</f>
        <v>11652.634919984661</v>
      </c>
      <c r="Q15" s="95">
        <f>$E15*'Fleet ZEV fractions'!M19</f>
        <v>120057.45069075102</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2823140.4354803078</v>
      </c>
      <c r="D16" s="3">
        <f t="shared" si="2"/>
        <v>170328.13285510571</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3520711.8502565459</v>
      </c>
      <c r="D17" s="3">
        <f t="shared" si="2"/>
        <v>186007.58007245109</v>
      </c>
      <c r="E17" s="3">
        <f>D16+D17</f>
        <v>356335.71292755683</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280399.50196923077</v>
      </c>
      <c r="D18" s="3">
        <f t="shared" si="2"/>
        <v>14826.569893831722</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6178739.0794731239</v>
      </c>
      <c r="D19" s="92">
        <f t="shared" si="2"/>
        <v>347311.49271743192</v>
      </c>
      <c r="E19" s="92">
        <f>E17</f>
        <v>356335.71292755683</v>
      </c>
      <c r="F19" s="93">
        <f>E19-I19</f>
        <v>295045.97030401707</v>
      </c>
      <c r="G19" s="92">
        <f>$E19*'Fleet ZEV fractions'!B20</f>
        <v>59151.728345974436</v>
      </c>
      <c r="H19" s="92">
        <f>$E19*'Fleet ZEV fractions'!C20</f>
        <v>2138.0142775653412</v>
      </c>
      <c r="I19" s="92">
        <f>$E19*'Fleet ZEV fractions'!D20</f>
        <v>61289.74262353978</v>
      </c>
      <c r="J19" s="93">
        <f>E19-M19</f>
        <v>174604.49933450285</v>
      </c>
      <c r="K19" s="92">
        <f>$E19*'Fleet ZEV fractions'!H20</f>
        <v>167192.71650560966</v>
      </c>
      <c r="L19" s="92">
        <f>$E19*'Fleet ZEV fractions'!I20</f>
        <v>14538.497087444319</v>
      </c>
      <c r="M19" s="92">
        <f>$E19*'Fleet ZEV fractions'!J20</f>
        <v>181731.21359305398</v>
      </c>
      <c r="N19" s="93">
        <f>E19-Q19</f>
        <v>210950.74205311364</v>
      </c>
      <c r="O19" s="92">
        <f>$E19*'Fleet ZEV fractions'!K20</f>
        <v>133754.17320448774</v>
      </c>
      <c r="P19" s="92">
        <f>$E19*'Fleet ZEV fractions'!L20</f>
        <v>11630.797669955457</v>
      </c>
      <c r="Q19" s="95">
        <f>$E19*'Fleet ZEV fractions'!M20</f>
        <v>145384.97087444318</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2886767.2438921537</v>
      </c>
      <c r="D20" s="3">
        <f t="shared" si="2"/>
        <v>175646.30926264613</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3605839.9023417225</v>
      </c>
      <c r="D21" s="3">
        <f t="shared" si="2"/>
        <v>187966.23665971553</v>
      </c>
      <c r="E21" s="3">
        <f>D20+D21</f>
        <v>363612.54592236166</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280149.10158461542</v>
      </c>
      <c r="D22" s="3">
        <f t="shared" si="2"/>
        <v>14744.740605562027</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6772756.2478184914</v>
      </c>
      <c r="D23" s="92">
        <f t="shared" si="2"/>
        <v>379839.93214730633</v>
      </c>
      <c r="E23" s="92">
        <f>E21</f>
        <v>363612.54592236166</v>
      </c>
      <c r="F23" s="93">
        <f>E23-I23</f>
        <v>301071.18802371545</v>
      </c>
      <c r="G23" s="92">
        <f>$E23*'Fleet ZEV fractions'!B21</f>
        <v>60359.682623112036</v>
      </c>
      <c r="H23" s="92">
        <f>$E23*'Fleet ZEV fractions'!C21</f>
        <v>2181.6752755341699</v>
      </c>
      <c r="I23" s="92">
        <f>$E23*'Fleet ZEV fractions'!D21</f>
        <v>62541.357898646209</v>
      </c>
      <c r="J23" s="93">
        <f>E23-M23</f>
        <v>149081.14382816831</v>
      </c>
      <c r="K23" s="92">
        <f>$E23*'Fleet ZEV fractions'!H21</f>
        <v>200229.30862124715</v>
      </c>
      <c r="L23" s="92">
        <f>$E23*'Fleet ZEV fractions'!I21</f>
        <v>14302.093472946224</v>
      </c>
      <c r="M23" s="92">
        <f>$E23*'Fleet ZEV fractions'!J21</f>
        <v>214531.40209419336</v>
      </c>
      <c r="N23" s="93">
        <f>E23-Q23</f>
        <v>191987.42424700697</v>
      </c>
      <c r="O23" s="92">
        <f>$E23*'Fleet ZEV fractions'!K21</f>
        <v>160183.44689699772</v>
      </c>
      <c r="P23" s="92">
        <f>$E23*'Fleet ZEV fractions'!L21</f>
        <v>11441.674778356979</v>
      </c>
      <c r="Q23" s="95">
        <f>$E23*'Fleet ZEV fractions'!M21</f>
        <v>171625.12167535469</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2950394.0523040001</v>
      </c>
      <c r="D24" s="3">
        <f>C24*U14</f>
        <v>181029.69966443701</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3690967.9544268996</v>
      </c>
      <c r="D25" s="3">
        <f>C25*U15</f>
        <v>189805.01644425394</v>
      </c>
      <c r="E25" s="3">
        <f>D24+D25</f>
        <v>370834.71610869095</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279898.70120000001</v>
      </c>
      <c r="D26" s="3">
        <f>C26*U16</f>
        <v>14663.033928460685</v>
      </c>
      <c r="E26" s="3"/>
      <c r="F26" s="85"/>
      <c r="G26" s="3"/>
      <c r="H26" s="3"/>
      <c r="I26" s="89"/>
      <c r="J26" s="85"/>
      <c r="K26" s="3"/>
      <c r="L26" s="3"/>
      <c r="M26" s="89"/>
      <c r="N26" s="85"/>
      <c r="O26" s="3"/>
      <c r="P26" s="3"/>
      <c r="Q26" s="90"/>
    </row>
    <row r="27" spans="1:32">
      <c r="A27" s="91">
        <v>2030</v>
      </c>
      <c r="B27" s="91" t="s">
        <v>133</v>
      </c>
      <c r="C27" s="92">
        <f>'Combined MOVES output'!AE26</f>
        <v>6921260.7079308992</v>
      </c>
      <c r="D27" s="92">
        <f>C27*U17</f>
        <v>387287.9840433824</v>
      </c>
      <c r="E27" s="92">
        <f>E25</f>
        <v>370834.71610869095</v>
      </c>
      <c r="F27" s="93">
        <f>E27-I27</f>
        <v>307051.14493799611</v>
      </c>
      <c r="G27" s="94">
        <f>$E27*'Fleet ZEV fractions'!B22</f>
        <v>61558.562874042698</v>
      </c>
      <c r="H27" s="94">
        <f>$E27*'Fleet ZEV fractions'!C22</f>
        <v>2225.0082966521459</v>
      </c>
      <c r="I27" s="94">
        <f>$E27*'Fleet ZEV fractions'!D22</f>
        <v>63783.57117069485</v>
      </c>
      <c r="J27" s="93">
        <f>E27-M27</f>
        <v>118667.10915478109</v>
      </c>
      <c r="K27" s="92">
        <f>$E27*'Fleet ZEV fractions'!H22</f>
        <v>237758.02941368645</v>
      </c>
      <c r="L27" s="92">
        <f>$E27*'Fleet ZEV fractions'!I22</f>
        <v>14409.577540223421</v>
      </c>
      <c r="M27" s="92">
        <f>$E27*'Fleet ZEV fractions'!J22</f>
        <v>252167.60695390985</v>
      </c>
      <c r="N27" s="93">
        <f>E27-Q27</f>
        <v>169100.63054556306</v>
      </c>
      <c r="O27" s="92">
        <f>$E27*'Fleet ZEV fractions'!K22</f>
        <v>190206.42353094916</v>
      </c>
      <c r="P27" s="92">
        <f>$E27*'Fleet ZEV fractions'!L22</f>
        <v>11527.662032178738</v>
      </c>
      <c r="Q27" s="95">
        <f>$E27*'Fleet ZEV fractions'!M22</f>
        <v>201734.08556312788</v>
      </c>
    </row>
    <row r="28" spans="1:32">
      <c r="A28">
        <v>2031</v>
      </c>
      <c r="B28">
        <v>20</v>
      </c>
      <c r="C28" s="3">
        <f>C24+(C44-C24)/5</f>
        <v>3031211.5319715426</v>
      </c>
      <c r="D28" s="3">
        <f t="shared" ref="D28:D43" si="8">C28*AF10</f>
        <v>187508.00171588841</v>
      </c>
      <c r="E28" s="3"/>
      <c r="F28" s="85"/>
      <c r="G28" s="3"/>
      <c r="H28" s="3"/>
      <c r="I28" s="3"/>
      <c r="J28" s="85"/>
      <c r="K28" s="3"/>
      <c r="L28" s="3"/>
      <c r="M28" s="3"/>
      <c r="N28" s="85"/>
      <c r="O28" s="3"/>
      <c r="P28" s="3"/>
      <c r="Q28" s="86"/>
    </row>
    <row r="29" spans="1:32">
      <c r="A29">
        <v>2031</v>
      </c>
      <c r="B29">
        <v>30</v>
      </c>
      <c r="C29" s="3">
        <f t="shared" ref="C29:C31" si="9">C25+(C45-C25)/5</f>
        <v>3802598.8549481039</v>
      </c>
      <c r="D29" s="3">
        <f t="shared" si="8"/>
        <v>195146.57563298556</v>
      </c>
      <c r="E29" s="3">
        <f>D28+D29</f>
        <v>382654.57734887395</v>
      </c>
      <c r="F29" s="85"/>
      <c r="G29" s="3"/>
      <c r="H29" s="3"/>
      <c r="I29" s="3"/>
      <c r="J29" s="85"/>
      <c r="K29" s="3"/>
      <c r="L29" s="3"/>
      <c r="M29" s="3"/>
      <c r="N29" s="85"/>
      <c r="O29" s="3"/>
      <c r="P29" s="3"/>
      <c r="Q29" s="86"/>
    </row>
    <row r="30" spans="1:32">
      <c r="A30">
        <v>2031</v>
      </c>
      <c r="B30">
        <v>41</v>
      </c>
      <c r="C30" s="3">
        <f t="shared" si="9"/>
        <v>286309.02815199806</v>
      </c>
      <c r="D30" s="3">
        <f t="shared" si="8"/>
        <v>15039.99894362295</v>
      </c>
      <c r="E30" s="3"/>
      <c r="F30" s="85"/>
      <c r="G30" s="3"/>
      <c r="H30" s="3"/>
      <c r="I30" s="3"/>
      <c r="J30" s="85"/>
      <c r="K30" s="3"/>
      <c r="L30" s="3"/>
      <c r="M30" s="3"/>
      <c r="N30" s="85"/>
      <c r="O30" s="3"/>
      <c r="P30" s="3"/>
      <c r="Q30" s="86"/>
    </row>
    <row r="31" spans="1:32">
      <c r="A31" s="91">
        <v>2031</v>
      </c>
      <c r="B31" s="91" t="s">
        <v>133</v>
      </c>
      <c r="C31" s="92">
        <f t="shared" si="9"/>
        <v>7120119.4150716448</v>
      </c>
      <c r="D31" s="92">
        <f t="shared" si="8"/>
        <v>399950.1171934749</v>
      </c>
      <c r="E31" s="92">
        <f>E29</f>
        <v>382654.57734887395</v>
      </c>
      <c r="F31" s="93">
        <f>E31-I31</f>
        <v>316837.99004486762</v>
      </c>
      <c r="G31" s="92">
        <f>$E31*'Fleet ZEV fractions'!B23</f>
        <v>63520.659839913082</v>
      </c>
      <c r="H31" s="92">
        <f>$E31*'Fleet ZEV fractions'!C23</f>
        <v>2295.9274640932435</v>
      </c>
      <c r="I31" s="92">
        <f>$E31*'Fleet ZEV fractions'!D23</f>
        <v>65816.587304006331</v>
      </c>
      <c r="J31" s="93">
        <f>E31-M31</f>
        <v>91837.098563729727</v>
      </c>
      <c r="K31" s="92">
        <f>$E31*'Fleet ZEV fractions'!H23</f>
        <v>277807.2231552825</v>
      </c>
      <c r="L31" s="92">
        <f>$E31*'Fleet ZEV fractions'!I23</f>
        <v>13010.255629861715</v>
      </c>
      <c r="M31" s="92">
        <f>$E31*'Fleet ZEV fractions'!J23</f>
        <v>290817.47878514422</v>
      </c>
      <c r="N31" s="93">
        <f>E31-Q31</f>
        <v>91837.098563729727</v>
      </c>
      <c r="O31" s="92">
        <f>$E31*'Fleet ZEV fractions'!K23</f>
        <v>277807.2231552825</v>
      </c>
      <c r="P31" s="92">
        <f>$E31*'Fleet ZEV fractions'!L23</f>
        <v>13010.255629861715</v>
      </c>
      <c r="Q31" s="95">
        <f>$E31*'Fleet ZEV fractions'!M23</f>
        <v>290817.47878514422</v>
      </c>
    </row>
    <row r="32" spans="1:32">
      <c r="A32">
        <v>2032</v>
      </c>
      <c r="B32">
        <v>20</v>
      </c>
      <c r="C32" s="3">
        <f>C24+2*(C44-C24)/5</f>
        <v>3112029.0116390856</v>
      </c>
      <c r="D32" s="3">
        <f t="shared" si="8"/>
        <v>194067.32991362957</v>
      </c>
      <c r="E32" s="3"/>
      <c r="F32" s="85"/>
      <c r="G32" s="3"/>
      <c r="H32" s="3"/>
      <c r="I32" s="3"/>
      <c r="J32" s="85"/>
      <c r="K32" s="3"/>
      <c r="L32" s="3"/>
      <c r="M32" s="3"/>
      <c r="N32" s="85"/>
      <c r="O32" s="3"/>
      <c r="P32" s="3"/>
      <c r="Q32" s="86"/>
    </row>
    <row r="33" spans="1:17">
      <c r="A33">
        <v>2032</v>
      </c>
      <c r="B33">
        <v>30</v>
      </c>
      <c r="C33" s="3">
        <f t="shared" ref="C33:C35" si="10">C25+2*(C45-C25)/5</f>
        <v>3914229.7554693082</v>
      </c>
      <c r="D33" s="3">
        <f t="shared" si="8"/>
        <v>200464.71018505466</v>
      </c>
      <c r="E33" s="3">
        <f>D32+D33</f>
        <v>394532.04009868426</v>
      </c>
      <c r="F33" s="85"/>
      <c r="G33" s="3"/>
      <c r="H33" s="3"/>
      <c r="I33" s="3"/>
      <c r="J33" s="85"/>
      <c r="K33" s="3"/>
      <c r="L33" s="3"/>
      <c r="M33" s="3"/>
      <c r="N33" s="85"/>
      <c r="O33" s="3"/>
      <c r="P33" s="3"/>
      <c r="Q33" s="86"/>
    </row>
    <row r="34" spans="1:17">
      <c r="A34">
        <v>2032</v>
      </c>
      <c r="B34">
        <v>41</v>
      </c>
      <c r="C34" s="3">
        <f t="shared" si="10"/>
        <v>292719.35510399617</v>
      </c>
      <c r="D34" s="3">
        <f t="shared" si="8"/>
        <v>15418.806512998131</v>
      </c>
      <c r="E34" s="3"/>
      <c r="F34" s="85"/>
      <c r="G34" s="3"/>
      <c r="H34" s="3"/>
      <c r="I34" s="3"/>
      <c r="J34" s="85"/>
      <c r="K34" s="3"/>
      <c r="L34" s="3"/>
      <c r="M34" s="3"/>
      <c r="N34" s="85"/>
      <c r="O34" s="3"/>
      <c r="P34" s="3"/>
      <c r="Q34" s="86"/>
    </row>
    <row r="35" spans="1:17">
      <c r="A35" s="91">
        <v>2032</v>
      </c>
      <c r="B35" s="91" t="s">
        <v>133</v>
      </c>
      <c r="C35" s="92">
        <f t="shared" si="10"/>
        <v>7318978.1222123895</v>
      </c>
      <c r="D35" s="92">
        <f t="shared" si="8"/>
        <v>412697.97824465838</v>
      </c>
      <c r="E35" s="92">
        <f>E33</f>
        <v>394532.04009868426</v>
      </c>
      <c r="F35" s="93">
        <f>E35-I35</f>
        <v>326672.52920171054</v>
      </c>
      <c r="G35" s="92">
        <f>$E35*'Fleet ZEV fractions'!B24</f>
        <v>65492.318656381591</v>
      </c>
      <c r="H35" s="92">
        <f>$E35*'Fleet ZEV fractions'!C24</f>
        <v>2367.1922405921055</v>
      </c>
      <c r="I35" s="92">
        <f>$E35*'Fleet ZEV fractions'!D24</f>
        <v>67859.510896973705</v>
      </c>
      <c r="J35" s="93">
        <f>E35-M35</f>
        <v>71015.767217763118</v>
      </c>
      <c r="K35" s="92">
        <f>$E35*'Fleet ZEV fractions'!H24</f>
        <v>310102.18351756583</v>
      </c>
      <c r="L35" s="92">
        <f>$E35*'Fleet ZEV fractions'!I24</f>
        <v>13414.089363355266</v>
      </c>
      <c r="M35" s="92">
        <f>$E35*'Fleet ZEV fractions'!J24</f>
        <v>323516.27288092114</v>
      </c>
      <c r="N35" s="93">
        <f>E35-Q35</f>
        <v>71015.767217763118</v>
      </c>
      <c r="O35" s="92">
        <f>$E35*'Fleet ZEV fractions'!K24</f>
        <v>310102.18351756583</v>
      </c>
      <c r="P35" s="92">
        <f>$E35*'Fleet ZEV fractions'!L24</f>
        <v>13414.089363355266</v>
      </c>
      <c r="Q35" s="95">
        <f>$E35*'Fleet ZEV fractions'!M24</f>
        <v>323516.27288092114</v>
      </c>
    </row>
    <row r="36" spans="1:17">
      <c r="A36">
        <v>2033</v>
      </c>
      <c r="B36">
        <v>20</v>
      </c>
      <c r="C36" s="3">
        <f>C24+3*(C44-C24)/5</f>
        <v>3192846.4913066281</v>
      </c>
      <c r="D36" s="3">
        <f t="shared" si="8"/>
        <v>200707.68425766044</v>
      </c>
      <c r="E36" s="3"/>
      <c r="F36" s="85"/>
      <c r="G36" s="3"/>
      <c r="H36" s="3"/>
      <c r="I36" s="3"/>
      <c r="J36" s="85"/>
      <c r="K36" s="3"/>
      <c r="L36" s="3"/>
      <c r="M36" s="3"/>
      <c r="N36" s="85"/>
      <c r="O36" s="3"/>
      <c r="P36" s="3"/>
      <c r="Q36" s="86"/>
    </row>
    <row r="37" spans="1:17">
      <c r="A37">
        <v>2033</v>
      </c>
      <c r="B37">
        <v>30</v>
      </c>
      <c r="C37" s="3">
        <f>C25+3*(C45-C25)/5</f>
        <v>4025860.655990513</v>
      </c>
      <c r="D37" s="3">
        <f t="shared" si="8"/>
        <v>205759.4201004612</v>
      </c>
      <c r="E37" s="3">
        <f>D36+D37</f>
        <v>406467.10435812164</v>
      </c>
      <c r="F37" s="85"/>
      <c r="G37" s="3"/>
      <c r="H37" s="3"/>
      <c r="I37" s="3"/>
      <c r="J37" s="85"/>
      <c r="K37" s="3"/>
      <c r="L37" s="3"/>
      <c r="M37" s="3"/>
      <c r="N37" s="85"/>
      <c r="O37" s="3"/>
      <c r="P37" s="3"/>
      <c r="Q37" s="86"/>
    </row>
    <row r="38" spans="1:17">
      <c r="A38">
        <v>2033</v>
      </c>
      <c r="B38">
        <v>41</v>
      </c>
      <c r="C38" s="3">
        <f>C26+3*(C46-C26)/5</f>
        <v>299129.68205599423</v>
      </c>
      <c r="D38" s="3">
        <f t="shared" si="8"/>
        <v>15799.456636586228</v>
      </c>
      <c r="E38" s="3"/>
      <c r="F38" s="85"/>
      <c r="G38" s="3"/>
      <c r="H38" s="3"/>
      <c r="I38" s="3"/>
      <c r="J38" s="85"/>
      <c r="K38" s="3"/>
      <c r="L38" s="3"/>
      <c r="M38" s="3"/>
      <c r="N38" s="85"/>
      <c r="O38" s="3"/>
      <c r="P38" s="3"/>
      <c r="Q38" s="86"/>
    </row>
    <row r="39" spans="1:17">
      <c r="A39" s="91">
        <v>2033</v>
      </c>
      <c r="B39" s="91" t="s">
        <v>133</v>
      </c>
      <c r="C39" s="92">
        <f>C27+3*(C47-C27)/5</f>
        <v>7517836.8293531351</v>
      </c>
      <c r="D39" s="92">
        <f t="shared" si="8"/>
        <v>425531.56719693303</v>
      </c>
      <c r="E39" s="92">
        <f>E37</f>
        <v>406467.10435812164</v>
      </c>
      <c r="F39" s="93">
        <f>E39-I39</f>
        <v>336554.76240852469</v>
      </c>
      <c r="G39" s="92">
        <f>$E39*'Fleet ZEV fractions'!B25</f>
        <v>67473.539323448189</v>
      </c>
      <c r="H39" s="92">
        <f>$E39*'Fleet ZEV fractions'!C25</f>
        <v>2438.8026261487298</v>
      </c>
      <c r="I39" s="92">
        <f>$E39*'Fleet ZEV fractions'!D25</f>
        <v>69912.341949596928</v>
      </c>
      <c r="J39" s="93">
        <f>E39-M39</f>
        <v>48776.052522974613</v>
      </c>
      <c r="K39" s="92">
        <f>$E39*'Fleet ZEV fractions'!H25</f>
        <v>330457.75584315287</v>
      </c>
      <c r="L39" s="92">
        <f>$E39*'Fleet ZEV fractions'!I25</f>
        <v>27233.29599199415</v>
      </c>
      <c r="M39" s="92">
        <f>$E39*'Fleet ZEV fractions'!J25</f>
        <v>357691.05183514702</v>
      </c>
      <c r="N39" s="93">
        <f>E39-Q39</f>
        <v>48776.052522974613</v>
      </c>
      <c r="O39" s="92">
        <f>$E39*'Fleet ZEV fractions'!K25</f>
        <v>330457.75584315287</v>
      </c>
      <c r="P39" s="92">
        <f>$E39*'Fleet ZEV fractions'!L25</f>
        <v>27233.29599199415</v>
      </c>
      <c r="Q39" s="95">
        <f>$E39*'Fleet ZEV fractions'!M25</f>
        <v>357691.05183514702</v>
      </c>
    </row>
    <row r="40" spans="1:17">
      <c r="A40">
        <v>2034</v>
      </c>
      <c r="B40">
        <v>20</v>
      </c>
      <c r="C40" s="3">
        <f>C24+4*(C44-C24)/5</f>
        <v>3273663.9709741711</v>
      </c>
      <c r="D40" s="3">
        <f t="shared" si="8"/>
        <v>207429.06474798103</v>
      </c>
      <c r="E40" s="3"/>
      <c r="F40" s="85"/>
      <c r="G40" s="3"/>
      <c r="H40" s="3"/>
      <c r="I40" s="3"/>
      <c r="J40" s="85"/>
      <c r="K40" s="3"/>
      <c r="L40" s="3"/>
      <c r="M40" s="3"/>
      <c r="N40" s="85"/>
      <c r="O40" s="3"/>
      <c r="P40" s="3"/>
      <c r="Q40" s="86"/>
    </row>
    <row r="41" spans="1:17">
      <c r="A41">
        <v>2034</v>
      </c>
      <c r="B41">
        <v>30</v>
      </c>
      <c r="C41" s="3">
        <f t="shared" ref="C41:C43" si="11">C25+4*(C45-C25)/5</f>
        <v>4137491.5565117174</v>
      </c>
      <c r="D41" s="3">
        <f t="shared" si="8"/>
        <v>211030.70537920523</v>
      </c>
      <c r="E41" s="3">
        <f>D40+D41</f>
        <v>418459.77012718626</v>
      </c>
      <c r="F41" s="85"/>
      <c r="G41" s="3"/>
      <c r="H41" s="3"/>
      <c r="I41" s="3"/>
      <c r="J41" s="85"/>
      <c r="K41" s="3"/>
      <c r="L41" s="3"/>
      <c r="M41" s="3"/>
      <c r="N41" s="85"/>
      <c r="O41" s="3"/>
      <c r="P41" s="3"/>
      <c r="Q41" s="86"/>
    </row>
    <row r="42" spans="1:17">
      <c r="A42">
        <v>2034</v>
      </c>
      <c r="B42">
        <v>41</v>
      </c>
      <c r="C42" s="3">
        <f t="shared" si="11"/>
        <v>305540.00900799234</v>
      </c>
      <c r="D42" s="3">
        <f t="shared" si="8"/>
        <v>16181.949314387242</v>
      </c>
      <c r="E42" s="3"/>
      <c r="F42" s="85"/>
      <c r="G42" s="3"/>
      <c r="H42" s="3"/>
      <c r="I42" s="3"/>
      <c r="J42" s="85"/>
      <c r="K42" s="3"/>
      <c r="L42" s="3"/>
      <c r="M42" s="3"/>
      <c r="N42" s="85"/>
      <c r="O42" s="3"/>
      <c r="P42" s="3"/>
      <c r="Q42" s="86"/>
    </row>
    <row r="43" spans="1:17">
      <c r="A43" s="91">
        <v>2034</v>
      </c>
      <c r="B43" s="91" t="s">
        <v>133</v>
      </c>
      <c r="C43" s="92">
        <f t="shared" si="11"/>
        <v>7716695.5364938797</v>
      </c>
      <c r="D43" s="92">
        <f t="shared" si="8"/>
        <v>438450.88405029877</v>
      </c>
      <c r="E43" s="92">
        <f>E41</f>
        <v>418459.77012718626</v>
      </c>
      <c r="F43" s="93">
        <f>E43-I43</f>
        <v>346484.6896653102</v>
      </c>
      <c r="G43" s="92">
        <f>$E43*'Fleet ZEV fractions'!B26</f>
        <v>69464.32184111292</v>
      </c>
      <c r="H43" s="92">
        <f>$E43*'Fleet ZEV fractions'!C26</f>
        <v>2510.7586207631175</v>
      </c>
      <c r="I43" s="92">
        <f>$E43*'Fleet ZEV fractions'!D26</f>
        <v>71975.080461876045</v>
      </c>
      <c r="J43" s="93">
        <f>E43-M43</f>
        <v>25107.586207631219</v>
      </c>
      <c r="K43" s="92">
        <f>$E43*'Fleet ZEV fractions'!H26</f>
        <v>346066.229895183</v>
      </c>
      <c r="L43" s="92">
        <f>$E43*'Fleet ZEV fractions'!I26</f>
        <v>47285.954024372048</v>
      </c>
      <c r="M43" s="92">
        <f>$E43*'Fleet ZEV fractions'!J26</f>
        <v>393352.18391955504</v>
      </c>
      <c r="N43" s="93">
        <f>E43-Q43</f>
        <v>25107.586207631219</v>
      </c>
      <c r="O43" s="92">
        <f>$E43*'Fleet ZEV fractions'!K26</f>
        <v>346066.229895183</v>
      </c>
      <c r="P43" s="92">
        <f>$E43*'Fleet ZEV fractions'!L26</f>
        <v>47285.954024372048</v>
      </c>
      <c r="Q43" s="95">
        <f>$E43*'Fleet ZEV fractions'!M26</f>
        <v>393352.18391955504</v>
      </c>
    </row>
    <row r="44" spans="1:17">
      <c r="A44">
        <v>2035</v>
      </c>
      <c r="B44">
        <v>20</v>
      </c>
      <c r="C44" s="3">
        <f>'Combined MOVES output'!AE28</f>
        <v>3354481.4506417136</v>
      </c>
      <c r="D44" s="3">
        <f t="shared" ref="D44:D51" si="12">C44*U18</f>
        <v>214231.47138459131</v>
      </c>
      <c r="E44" s="3"/>
      <c r="F44" s="85"/>
      <c r="G44" s="3"/>
      <c r="H44" s="3"/>
      <c r="I44" s="89"/>
      <c r="J44" s="85"/>
      <c r="K44" s="3"/>
      <c r="L44" s="3"/>
      <c r="M44" s="89"/>
      <c r="N44" s="85"/>
      <c r="O44" s="3"/>
      <c r="P44" s="3"/>
      <c r="Q44" s="90"/>
    </row>
    <row r="45" spans="1:17">
      <c r="A45">
        <v>2035</v>
      </c>
      <c r="B45">
        <v>30</v>
      </c>
      <c r="C45" s="3">
        <f>'Combined MOVES output'!AE29</f>
        <v>4249122.4570329217</v>
      </c>
      <c r="D45" s="3">
        <f t="shared" si="12"/>
        <v>216278.56602128671</v>
      </c>
      <c r="E45" s="3">
        <f>D44+D45</f>
        <v>430510.03740587801</v>
      </c>
      <c r="F45" s="85"/>
      <c r="G45" s="3"/>
      <c r="H45" s="3"/>
      <c r="I45" s="89"/>
      <c r="J45" s="85"/>
      <c r="K45" s="3"/>
      <c r="L45" s="3"/>
      <c r="M45" s="89"/>
      <c r="N45" s="85"/>
      <c r="O45" s="3"/>
      <c r="P45" s="3"/>
      <c r="Q45" s="90"/>
    </row>
    <row r="46" spans="1:17">
      <c r="A46">
        <v>2035</v>
      </c>
      <c r="B46">
        <v>41</v>
      </c>
      <c r="C46" s="3">
        <f>'Combined MOVES output'!AE30</f>
        <v>311950.33595999039</v>
      </c>
      <c r="D46" s="3">
        <f t="shared" si="12"/>
        <v>16566.284546401173</v>
      </c>
      <c r="E46" s="3"/>
      <c r="F46" s="85"/>
      <c r="G46" s="3"/>
      <c r="H46" s="3"/>
      <c r="I46" s="89"/>
      <c r="J46" s="85"/>
      <c r="K46" s="3"/>
      <c r="L46" s="3"/>
      <c r="M46" s="89"/>
      <c r="N46" s="85"/>
      <c r="O46" s="3"/>
      <c r="P46" s="3"/>
      <c r="Q46" s="90"/>
    </row>
    <row r="47" spans="1:17">
      <c r="A47" s="91">
        <v>2035</v>
      </c>
      <c r="B47" s="91" t="s">
        <v>133</v>
      </c>
      <c r="C47" s="92">
        <f>'Combined MOVES output'!AE31</f>
        <v>7915554.2436346253</v>
      </c>
      <c r="D47" s="92">
        <f t="shared" si="12"/>
        <v>451455.92880475562</v>
      </c>
      <c r="E47" s="92">
        <f>E45</f>
        <v>430510.03740587801</v>
      </c>
      <c r="F47" s="93">
        <f>E47-I47</f>
        <v>356462.310972067</v>
      </c>
      <c r="G47" s="94">
        <f>$E47*'Fleet ZEV fractions'!B27</f>
        <v>71464.666209375748</v>
      </c>
      <c r="H47" s="94">
        <f>$E47*'Fleet ZEV fractions'!C27</f>
        <v>2583.0602244352681</v>
      </c>
      <c r="I47" s="94">
        <f>$E47*'Fleet ZEV fractions'!D27</f>
        <v>74047.726433811025</v>
      </c>
      <c r="J47" s="93">
        <f>E47-M47</f>
        <v>0</v>
      </c>
      <c r="K47" s="92">
        <f>$E47*'Fleet ZEV fractions'!H27</f>
        <v>356031.80093466112</v>
      </c>
      <c r="L47" s="92">
        <f>$E47*'Fleet ZEV fractions'!I27</f>
        <v>74478.236471216893</v>
      </c>
      <c r="M47" s="92">
        <f>$E47*'Fleet ZEV fractions'!J27</f>
        <v>430510.03740587801</v>
      </c>
      <c r="N47" s="93">
        <f>E47-Q47</f>
        <v>0</v>
      </c>
      <c r="O47" s="92">
        <f>$E47*'Fleet ZEV fractions'!K27</f>
        <v>356031.80093466112</v>
      </c>
      <c r="P47" s="92">
        <f>$E47*'Fleet ZEV fractions'!L27</f>
        <v>74478.236471216893</v>
      </c>
      <c r="Q47" s="95">
        <f>$E47*'Fleet ZEV fractions'!M27</f>
        <v>430510.03740587801</v>
      </c>
    </row>
    <row r="48" spans="1:17">
      <c r="A48">
        <v>2040</v>
      </c>
      <c r="B48">
        <v>20</v>
      </c>
      <c r="C48" s="3">
        <f>'Combined MOVES output'!AE33</f>
        <v>3800035.474618</v>
      </c>
      <c r="D48" s="3">
        <f t="shared" si="12"/>
        <v>240045.92409010581</v>
      </c>
      <c r="E48" s="3"/>
      <c r="F48" s="85"/>
      <c r="G48" s="3"/>
      <c r="H48" s="3"/>
      <c r="I48" s="89"/>
      <c r="J48" s="85"/>
      <c r="K48" s="3"/>
      <c r="L48" s="3"/>
      <c r="M48" s="89"/>
      <c r="N48" s="85"/>
      <c r="O48" s="3"/>
      <c r="P48" s="3"/>
      <c r="Q48" s="90"/>
    </row>
    <row r="49" spans="1:17">
      <c r="A49">
        <v>2040</v>
      </c>
      <c r="B49">
        <v>30</v>
      </c>
      <c r="C49" s="3">
        <f>'Combined MOVES output'!AE34</f>
        <v>4760943.8020371003</v>
      </c>
      <c r="D49" s="3">
        <f t="shared" si="12"/>
        <v>243447.90072935133</v>
      </c>
      <c r="E49" s="3">
        <f>D48+D49</f>
        <v>483493.82481945714</v>
      </c>
      <c r="F49" s="85"/>
      <c r="G49" s="3"/>
      <c r="H49" s="3"/>
      <c r="I49" s="89"/>
      <c r="J49" s="85"/>
      <c r="K49" s="3"/>
      <c r="L49" s="3"/>
      <c r="M49" s="89"/>
      <c r="N49" s="85"/>
      <c r="O49" s="3"/>
      <c r="P49" s="3"/>
      <c r="Q49" s="90"/>
    </row>
    <row r="50" spans="1:17">
      <c r="A50">
        <v>2040</v>
      </c>
      <c r="B50">
        <v>41</v>
      </c>
      <c r="C50" s="3">
        <f>'Combined MOVES output'!AE35</f>
        <v>343601.99219999998</v>
      </c>
      <c r="D50" s="3">
        <f t="shared" si="12"/>
        <v>18614.624738067239</v>
      </c>
      <c r="E50" s="3"/>
      <c r="F50" s="85"/>
      <c r="G50" s="3"/>
      <c r="H50" s="3"/>
      <c r="I50" s="89"/>
      <c r="J50" s="85"/>
      <c r="K50" s="3"/>
      <c r="L50" s="3"/>
      <c r="M50" s="89"/>
      <c r="N50" s="85"/>
      <c r="O50" s="3"/>
      <c r="P50" s="3"/>
      <c r="Q50" s="90"/>
    </row>
    <row r="51" spans="1:17" ht="16" thickBot="1">
      <c r="A51" s="91">
        <v>2040</v>
      </c>
      <c r="B51" s="91" t="s">
        <v>133</v>
      </c>
      <c r="C51" s="92">
        <f>'Combined MOVES output'!AE36</f>
        <v>8904581.2688551005</v>
      </c>
      <c r="D51" s="92">
        <f t="shared" si="12"/>
        <v>508420.80258631887</v>
      </c>
      <c r="E51" s="92">
        <f>E49</f>
        <v>483493.82481945714</v>
      </c>
      <c r="F51" s="93">
        <f>E51-I51</f>
        <v>400332.8869505105</v>
      </c>
      <c r="G51" s="98">
        <f>$E51*'Fleet ZEV fractions'!B32</f>
        <v>80259.974920029883</v>
      </c>
      <c r="H51" s="98">
        <f>$E51*'Fleet ZEV fractions'!C32</f>
        <v>2900.9629489167428</v>
      </c>
      <c r="I51" s="98">
        <f>$E51*'Fleet ZEV fractions'!D32</f>
        <v>83160.937868946639</v>
      </c>
      <c r="J51" s="96">
        <f>E51-M51</f>
        <v>0</v>
      </c>
      <c r="K51" s="97">
        <f>$E51*'Fleet ZEV fractions'!H32</f>
        <v>399849.39312569104</v>
      </c>
      <c r="L51" s="97">
        <f>$E51*'Fleet ZEV fractions'!I32</f>
        <v>83644.431693766077</v>
      </c>
      <c r="M51" s="97">
        <f>$E51*'Fleet ZEV fractions'!J32</f>
        <v>483493.82481945714</v>
      </c>
      <c r="N51" s="96">
        <f>E51-Q51</f>
        <v>0</v>
      </c>
      <c r="O51" s="97">
        <f>$E51*'Fleet ZEV fractions'!K32</f>
        <v>399849.39312569104</v>
      </c>
      <c r="P51" s="97">
        <f>$E51*'Fleet ZEV fractions'!L32</f>
        <v>83644.431693766077</v>
      </c>
      <c r="Q51" s="101">
        <f>$E51*'Fleet ZEV fractions'!M32</f>
        <v>483493.82481945714</v>
      </c>
    </row>
    <row r="52" spans="1:17">
      <c r="N52" s="249" t="s">
        <v>138</v>
      </c>
    </row>
    <row r="53" spans="1:17">
      <c r="N53" s="249" t="s">
        <v>455</v>
      </c>
    </row>
  </sheetData>
  <sheetProtection algorithmName="SHA-512" hashValue="x3TUXoZPdsbxC8QsJ181Zs1s8rrWEkqcHvJgv6lmrkM5LkZ4dY/+AxipRzJmSPtfJ1FhyqSTWftNzHH8MOY5/Q==" saltValue="+9XAIcNArNQ4nZhu0Nblrg=="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7"/>
  <sheetViews>
    <sheetView topLeftCell="B7" workbookViewId="0">
      <selection activeCell="L32" sqref="L32"/>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203</v>
      </c>
      <c r="AH5" s="296" t="s">
        <v>46</v>
      </c>
      <c r="AI5" s="296"/>
    </row>
    <row r="6" spans="1:53">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655</v>
      </c>
      <c r="F7" s="81" t="s">
        <v>24</v>
      </c>
      <c r="G7" s="81" t="s">
        <v>115</v>
      </c>
      <c r="H7" s="81" t="s">
        <v>116</v>
      </c>
      <c r="I7" s="81" t="s">
        <v>117</v>
      </c>
      <c r="J7" s="81" t="s">
        <v>74</v>
      </c>
      <c r="K7" s="117" t="s">
        <v>75</v>
      </c>
      <c r="L7" s="205" t="s">
        <v>3</v>
      </c>
      <c r="M7" s="205" t="s">
        <v>26</v>
      </c>
      <c r="N7" s="205" t="s">
        <v>21</v>
      </c>
      <c r="O7" s="29"/>
      <c r="P7" s="107">
        <f>'County Scale Output 2017-2040'!A4</f>
        <v>2017</v>
      </c>
      <c r="Q7" s="108">
        <f>'County Scale Output 2017-2040'!B4</f>
        <v>20</v>
      </c>
      <c r="R7" s="109">
        <f>'County Scale Output 2017-2040'!C4</f>
        <v>14982284756.8125</v>
      </c>
      <c r="S7" s="109">
        <f>'County Scale Output 2017-2040'!D4</f>
        <v>1195815813.89062</v>
      </c>
      <c r="T7" s="109">
        <f>'County Scale Output 2017-2040'!E4</f>
        <v>235778752.97265601</v>
      </c>
      <c r="U7" s="109">
        <f>'County Scale Output 2017-2040'!F4</f>
        <v>8424168561664</v>
      </c>
      <c r="V7" s="109">
        <f>AJ7</f>
        <v>8524326025397.1172</v>
      </c>
      <c r="W7" s="109">
        <f>'County Scale Output 2017-2040'!G4</f>
        <v>111153421.77001999</v>
      </c>
      <c r="X7" s="109">
        <f>'County Scale Output 2017-2040'!H4</f>
        <v>250749283.49511701</v>
      </c>
      <c r="Y7" s="109">
        <f>'County Scale Output 2017-2040'!I4</f>
        <v>54725601.643188499</v>
      </c>
      <c r="Z7" s="109">
        <f>'County Scale Output 2017-2040'!J4</f>
        <v>28640082.989379901</v>
      </c>
      <c r="AA7" s="109">
        <f>X7+Y7+Z7</f>
        <v>334114968.12768537</v>
      </c>
      <c r="AB7" s="109">
        <f>'County Scale Output 2017-2040'!K4</f>
        <v>14057981505.1875</v>
      </c>
      <c r="AC7" s="109">
        <f>'County Scale Output 2017-2040'!L4</f>
        <v>99953902.578125</v>
      </c>
      <c r="AD7" s="109">
        <f>'County Scale Output 2017-2040'!M4</f>
        <v>949552069.17968798</v>
      </c>
      <c r="AE7" s="109">
        <f>'County Scale Output 2017-2040'!N4</f>
        <v>2123245.5429499997</v>
      </c>
      <c r="AF7" s="110">
        <f>'County Scale Output 2017-2040'!O4</f>
        <v>22896844255.5</v>
      </c>
      <c r="AH7">
        <v>25</v>
      </c>
      <c r="AI7">
        <v>298</v>
      </c>
      <c r="AJ7">
        <f>U7+(S7*AH7)+(T7*AI7)</f>
        <v>8524326025397.1172</v>
      </c>
      <c r="AM7" s="6"/>
    </row>
    <row r="8" spans="1:53">
      <c r="A8">
        <v>2020</v>
      </c>
      <c r="B8" s="33" t="s">
        <v>109</v>
      </c>
      <c r="C8" s="3">
        <f>R16</f>
        <v>30359598371.465881</v>
      </c>
      <c r="D8" s="3">
        <f>V16</f>
        <v>23610165582535.422</v>
      </c>
      <c r="E8" s="3">
        <f>W17*(1-J27)</f>
        <v>257925338.49520811</v>
      </c>
      <c r="F8" s="3">
        <f t="shared" ref="F8:K8" si="0">AA16</f>
        <v>865674173.13555408</v>
      </c>
      <c r="G8" s="3">
        <f t="shared" si="0"/>
        <v>25878685459.552876</v>
      </c>
      <c r="H8" s="3">
        <f t="shared" si="0"/>
        <v>243033513.64960274</v>
      </c>
      <c r="I8" s="3">
        <f t="shared" si="0"/>
        <v>1766066432.1848173</v>
      </c>
      <c r="J8" s="3">
        <f t="shared" si="0"/>
        <v>5436216.1068068231</v>
      </c>
      <c r="K8" s="35">
        <f t="shared" si="0"/>
        <v>56621178250.739151</v>
      </c>
      <c r="L8" s="204"/>
      <c r="M8" s="204"/>
      <c r="N8" s="204"/>
      <c r="P8" s="107">
        <f>'County Scale Output 2017-2040'!A5</f>
        <v>2017</v>
      </c>
      <c r="Q8" s="108">
        <f>'County Scale Output 2017-2040'!B5</f>
        <v>30</v>
      </c>
      <c r="R8" s="109">
        <f>'County Scale Output 2017-2040'!C5</f>
        <v>23524713813.5</v>
      </c>
      <c r="S8" s="109">
        <f>'County Scale Output 2017-2040'!D5</f>
        <v>1498033525.75</v>
      </c>
      <c r="T8" s="109">
        <f>'County Scale Output 2017-2040'!E5</f>
        <v>420020006.29296899</v>
      </c>
      <c r="U8" s="109">
        <f>'County Scale Output 2017-2040'!F5</f>
        <v>14222503150592</v>
      </c>
      <c r="V8" s="109">
        <f t="shared" ref="V8:V10" si="1">AJ8</f>
        <v>14385119950611.055</v>
      </c>
      <c r="W8" s="109">
        <f>'County Scale Output 2017-2040'!G5</f>
        <v>187567957.39038101</v>
      </c>
      <c r="X8" s="109">
        <f>'County Scale Output 2017-2040'!H5</f>
        <v>286135570.484375</v>
      </c>
      <c r="Y8" s="109">
        <f>'County Scale Output 2017-2040'!I5</f>
        <v>76518881.179077104</v>
      </c>
      <c r="Z8" s="109">
        <f>'County Scale Output 2017-2040'!J5</f>
        <v>37504081.716674797</v>
      </c>
      <c r="AA8" s="109">
        <f t="shared" ref="AA8:AA10" si="2">X8+Y8+Z8</f>
        <v>400158533.38012689</v>
      </c>
      <c r="AB8" s="109">
        <f>'County Scale Output 2017-2040'!K5</f>
        <v>15471894802.5</v>
      </c>
      <c r="AC8" s="109">
        <f>'County Scale Output 2017-2040'!L5</f>
        <v>168623311.87890601</v>
      </c>
      <c r="AD8" s="109">
        <f>'County Scale Output 2017-2040'!M5</f>
        <v>1049864549.90625</v>
      </c>
      <c r="AE8" s="109">
        <f>'County Scale Output 2017-2040'!N5</f>
        <v>2584303.2773195999</v>
      </c>
      <c r="AF8" s="110">
        <f>'County Scale Output 2017-2040'!O5</f>
        <v>30369829197</v>
      </c>
      <c r="AH8">
        <v>25</v>
      </c>
      <c r="AI8">
        <v>298</v>
      </c>
      <c r="AJ8">
        <f>U8+(S8*AH8)+(T8*AI8)</f>
        <v>14385119950611.055</v>
      </c>
      <c r="AN8" s="6"/>
    </row>
    <row r="9" spans="1:53">
      <c r="A9">
        <v>2025</v>
      </c>
      <c r="B9" s="33" t="s">
        <v>109</v>
      </c>
      <c r="C9" s="3">
        <f>R21</f>
        <v>16443622213.770332</v>
      </c>
      <c r="D9" s="3">
        <f>V21</f>
        <v>21910860093362.785</v>
      </c>
      <c r="E9" s="3">
        <f>W22*(1-J32)</f>
        <v>254458507.64158371</v>
      </c>
      <c r="F9" s="3">
        <f t="shared" ref="F9:K9" si="3">AA21</f>
        <v>741011033.25225544</v>
      </c>
      <c r="G9" s="3">
        <f t="shared" si="3"/>
        <v>20727847493.027271</v>
      </c>
      <c r="H9" s="3">
        <f t="shared" si="3"/>
        <v>238060371.45390049</v>
      </c>
      <c r="I9" s="3">
        <f t="shared" si="3"/>
        <v>1599963867.9319499</v>
      </c>
      <c r="J9" s="3">
        <f t="shared" si="3"/>
        <v>6178738.4073688611</v>
      </c>
      <c r="K9" s="35">
        <f t="shared" si="3"/>
        <v>57991168594.471077</v>
      </c>
      <c r="L9" s="204">
        <f>U21</f>
        <v>21734302056816.617</v>
      </c>
      <c r="M9" s="204">
        <f>S21</f>
        <v>1643801384.7237928</v>
      </c>
      <c r="N9" s="204">
        <f>T21</f>
        <v>454573831.97340685</v>
      </c>
      <c r="P9" s="107">
        <f>'County Scale Output 2017-2040'!A6</f>
        <v>2017</v>
      </c>
      <c r="Q9" s="108">
        <f>'County Scale Output 2017-2040'!B6</f>
        <v>41</v>
      </c>
      <c r="R9" s="109">
        <f>'County Scale Output 2017-2040'!C6</f>
        <v>7040390784</v>
      </c>
      <c r="S9" s="109">
        <f>'County Scale Output 2017-2040'!D6</f>
        <v>255463182</v>
      </c>
      <c r="T9" s="109">
        <f>'County Scale Output 2017-2040'!E6</f>
        <v>73941937.125</v>
      </c>
      <c r="U9" s="109">
        <f>'County Scale Output 2017-2040'!F6</f>
        <v>1860871471104</v>
      </c>
      <c r="V9" s="109">
        <f t="shared" si="1"/>
        <v>1889292747917.25</v>
      </c>
      <c r="W9" s="109">
        <f>'County Scale Output 2017-2040'!G6</f>
        <v>24233676</v>
      </c>
      <c r="X9" s="109">
        <f>'County Scale Output 2017-2040'!H6</f>
        <v>264264481</v>
      </c>
      <c r="Y9" s="109">
        <f>'County Scale Output 2017-2040'!I6</f>
        <v>6719849.4375</v>
      </c>
      <c r="Z9" s="109">
        <f>'County Scale Output 2017-2040'!J6</f>
        <v>4296849</v>
      </c>
      <c r="AA9" s="109">
        <f t="shared" si="2"/>
        <v>275281179.4375</v>
      </c>
      <c r="AB9" s="109">
        <f>'County Scale Output 2017-2040'!K6</f>
        <v>2413544416</v>
      </c>
      <c r="AC9" s="109">
        <f>'County Scale Output 2017-2040'!L6</f>
        <v>14039342.1875</v>
      </c>
      <c r="AD9" s="109">
        <f>'County Scale Output 2017-2040'!M6</f>
        <v>107859526</v>
      </c>
      <c r="AE9" s="109">
        <f>'County Scale Output 2017-2040'!N6</f>
        <v>283153.90620000003</v>
      </c>
      <c r="AF9" s="110">
        <f>'County Scale Output 2017-2040'!O6</f>
        <v>2532510592</v>
      </c>
      <c r="AH9">
        <v>25</v>
      </c>
      <c r="AI9">
        <v>298</v>
      </c>
      <c r="AJ9">
        <f>U9+(S9*AH9)+(T9*AI9)</f>
        <v>1889292747917.25</v>
      </c>
      <c r="AN9" s="6"/>
    </row>
    <row r="10" spans="1:53">
      <c r="A10">
        <v>2026</v>
      </c>
      <c r="B10" s="33" t="s">
        <v>109</v>
      </c>
      <c r="C10">
        <f t="shared" ref="C10:K10" si="4">C9+(C14-C9)/5</f>
        <v>14797289726.953766</v>
      </c>
      <c r="D10" s="3">
        <f t="shared" si="4"/>
        <v>21654002277584.914</v>
      </c>
      <c r="E10" s="3">
        <f t="shared" si="4"/>
        <v>253940953.91176406</v>
      </c>
      <c r="F10">
        <f t="shared" si="4"/>
        <v>726892536.36179566</v>
      </c>
      <c r="G10">
        <f t="shared" si="4"/>
        <v>19903478242.971817</v>
      </c>
      <c r="H10" s="3">
        <f t="shared" si="4"/>
        <v>237299023.86605006</v>
      </c>
      <c r="I10">
        <f t="shared" si="4"/>
        <v>1569235654.1299348</v>
      </c>
      <c r="J10">
        <f t="shared" si="4"/>
        <v>6327242.8674812689</v>
      </c>
      <c r="K10" s="82">
        <f t="shared" si="4"/>
        <v>58265166663.217461</v>
      </c>
      <c r="L10" s="204">
        <f t="shared" ref="L10:N10" si="5">L9+(L14-L9)/5</f>
        <v>21483414036058.094</v>
      </c>
      <c r="M10" s="204">
        <f t="shared" si="5"/>
        <v>1568732407.6977842</v>
      </c>
      <c r="N10" s="204">
        <f t="shared" si="5"/>
        <v>440838695.75294429</v>
      </c>
      <c r="P10" s="111">
        <f>P9</f>
        <v>2017</v>
      </c>
      <c r="Q10" s="112" t="s">
        <v>109</v>
      </c>
      <c r="R10" s="113">
        <f t="shared" ref="R10:Z10" si="6">SUM(R7:R9)</f>
        <v>45547389354.3125</v>
      </c>
      <c r="S10" s="113">
        <f t="shared" si="6"/>
        <v>2949312521.6406202</v>
      </c>
      <c r="T10" s="113">
        <f t="shared" si="6"/>
        <v>729740696.390625</v>
      </c>
      <c r="U10" s="113">
        <f t="shared" si="6"/>
        <v>24507543183360</v>
      </c>
      <c r="V10" s="114">
        <f t="shared" si="1"/>
        <v>24798738723925.422</v>
      </c>
      <c r="W10" s="113">
        <f t="shared" si="6"/>
        <v>322955055.16040099</v>
      </c>
      <c r="X10" s="137">
        <f t="shared" si="6"/>
        <v>801149334.97949195</v>
      </c>
      <c r="Y10" s="113">
        <f t="shared" si="6"/>
        <v>137964332.2597656</v>
      </c>
      <c r="Z10" s="113">
        <f t="shared" si="6"/>
        <v>70441013.706054702</v>
      </c>
      <c r="AA10" s="114">
        <f t="shared" si="2"/>
        <v>1009554680.9453123</v>
      </c>
      <c r="AB10" s="113">
        <f>SUM(AB7:AB9)</f>
        <v>31943420723.6875</v>
      </c>
      <c r="AC10" s="113">
        <f t="shared" ref="AC10:AD10" si="7">SUM(AC7:AC9)</f>
        <v>282616556.64453101</v>
      </c>
      <c r="AD10" s="113">
        <f t="shared" si="7"/>
        <v>2107276145.085938</v>
      </c>
      <c r="AE10" s="113">
        <f>SUM(AE7:AE9)</f>
        <v>4990702.7264695996</v>
      </c>
      <c r="AF10" s="115">
        <f>SUM(AF7:AF9)</f>
        <v>55799184044.5</v>
      </c>
      <c r="AJ10">
        <f>SUM(AJ7:AJ9)</f>
        <v>24798738723925.422</v>
      </c>
      <c r="AM10" s="2" t="s">
        <v>79</v>
      </c>
    </row>
    <row r="11" spans="1:53">
      <c r="A11">
        <v>2027</v>
      </c>
      <c r="B11" s="33" t="s">
        <v>109</v>
      </c>
      <c r="C11">
        <f t="shared" ref="C11:K11" si="8">C9+(C14-C9)/5*2</f>
        <v>13150957240.137199</v>
      </c>
      <c r="D11" s="3">
        <f t="shared" si="8"/>
        <v>21397144461807.043</v>
      </c>
      <c r="E11" s="3">
        <f t="shared" si="8"/>
        <v>253423400.18194437</v>
      </c>
      <c r="F11">
        <f t="shared" si="8"/>
        <v>712774039.47133601</v>
      </c>
      <c r="G11">
        <f t="shared" si="8"/>
        <v>19079108992.916363</v>
      </c>
      <c r="H11" s="3">
        <f t="shared" si="8"/>
        <v>236537676.27819964</v>
      </c>
      <c r="I11">
        <f t="shared" si="8"/>
        <v>1538507440.32792</v>
      </c>
      <c r="J11">
        <f t="shared" si="8"/>
        <v>6475747.3275936767</v>
      </c>
      <c r="K11" s="82">
        <f t="shared" si="8"/>
        <v>58539164731.963844</v>
      </c>
      <c r="L11" s="204">
        <f t="shared" ref="L11:N11" si="9">L9+(L14-L9)/5*2</f>
        <v>21232526015299.57</v>
      </c>
      <c r="M11" s="204">
        <f t="shared" si="9"/>
        <v>1493663430.6717756</v>
      </c>
      <c r="N11" s="204">
        <f t="shared" si="9"/>
        <v>427103559.53248173</v>
      </c>
      <c r="P11" s="38"/>
      <c r="R11" s="3"/>
      <c r="S11" s="3"/>
      <c r="T11" s="3"/>
      <c r="U11" s="3"/>
      <c r="V11" s="3"/>
      <c r="W11" s="3"/>
      <c r="X11" s="3"/>
      <c r="Y11" s="3"/>
      <c r="Z11" s="3"/>
      <c r="AA11" s="3"/>
      <c r="AB11" s="3"/>
      <c r="AC11" s="3"/>
      <c r="AD11" s="3"/>
      <c r="AE11" s="3"/>
      <c r="AF11" s="3"/>
      <c r="AH11" s="296"/>
      <c r="AI11" s="296"/>
      <c r="AM11" s="6"/>
    </row>
    <row r="12" spans="1:53">
      <c r="A12">
        <v>2028</v>
      </c>
      <c r="B12" s="33" t="s">
        <v>109</v>
      </c>
      <c r="C12">
        <f t="shared" ref="C12:K12" si="10">C9+(C14-C9)/5*3</f>
        <v>11504624753.320633</v>
      </c>
      <c r="D12" s="3">
        <f t="shared" si="10"/>
        <v>21140286646029.172</v>
      </c>
      <c r="E12" s="3">
        <f t="shared" si="10"/>
        <v>252905846.45212471</v>
      </c>
      <c r="F12">
        <f t="shared" si="10"/>
        <v>698655542.58087623</v>
      </c>
      <c r="G12">
        <f t="shared" si="10"/>
        <v>18254739742.860909</v>
      </c>
      <c r="H12" s="3">
        <f t="shared" si="10"/>
        <v>235776328.69034922</v>
      </c>
      <c r="I12">
        <f t="shared" si="10"/>
        <v>1507779226.5259049</v>
      </c>
      <c r="J12">
        <f t="shared" si="10"/>
        <v>6624251.7877060836</v>
      </c>
      <c r="K12" s="82">
        <f t="shared" si="10"/>
        <v>58813162800.710236</v>
      </c>
      <c r="L12" s="204">
        <f t="shared" ref="L12:N12" si="11">L9+(L14-L9)/5*3</f>
        <v>20981637994541.047</v>
      </c>
      <c r="M12" s="204">
        <f t="shared" si="11"/>
        <v>1418594453.6457672</v>
      </c>
      <c r="N12" s="204">
        <f t="shared" si="11"/>
        <v>413368423.31201911</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9858292266.5040665</v>
      </c>
      <c r="D13" s="3">
        <f t="shared" si="12"/>
        <v>20883428830251.301</v>
      </c>
      <c r="E13" s="3">
        <f t="shared" si="12"/>
        <v>252388292.72230503</v>
      </c>
      <c r="F13">
        <f t="shared" si="12"/>
        <v>684537045.69041657</v>
      </c>
      <c r="G13">
        <f t="shared" si="12"/>
        <v>17430370492.805454</v>
      </c>
      <c r="H13" s="3">
        <f t="shared" si="12"/>
        <v>235014981.1024988</v>
      </c>
      <c r="I13">
        <f t="shared" si="12"/>
        <v>1477051012.7238901</v>
      </c>
      <c r="J13">
        <f t="shared" si="12"/>
        <v>6772756.2478184914</v>
      </c>
      <c r="K13" s="82">
        <f t="shared" si="12"/>
        <v>59087160869.456619</v>
      </c>
      <c r="L13" s="204">
        <f t="shared" ref="L13:N13" si="13">L9+(L14-L9)/5*4</f>
        <v>20730749973782.523</v>
      </c>
      <c r="M13" s="204">
        <f t="shared" si="13"/>
        <v>1343525476.6197586</v>
      </c>
      <c r="N13" s="204">
        <f t="shared" si="13"/>
        <v>399633287.09155655</v>
      </c>
      <c r="P13">
        <f t="shared" ref="P13:P15" si="14">AM13</f>
        <v>2020</v>
      </c>
      <c r="Q13">
        <f t="shared" ref="Q13:Q15" si="15">AN13</f>
        <v>20</v>
      </c>
      <c r="R13" s="31">
        <f t="shared" ref="R13:U15" si="16">R7-AO13*(R7-R23)</f>
        <v>10154435958.771164</v>
      </c>
      <c r="S13" s="31">
        <f t="shared" si="16"/>
        <v>900969765.28331208</v>
      </c>
      <c r="T13" s="31">
        <f t="shared" si="16"/>
        <v>190771431.54258409</v>
      </c>
      <c r="U13" s="31">
        <f t="shared" si="16"/>
        <v>8115882201506.9648</v>
      </c>
      <c r="V13" s="3">
        <f>AJ13</f>
        <v>8195256332238.7383</v>
      </c>
      <c r="W13" s="31">
        <f t="shared" ref="W13:X15" si="17">W7-AS13*(W7-W23)</f>
        <v>97243507.026490331</v>
      </c>
      <c r="X13" s="43">
        <f t="shared" si="17"/>
        <v>198847654.92493883</v>
      </c>
      <c r="Y13" s="43">
        <f t="shared" ref="Y13:Z15" si="18">IF(Y7&lt;Y23,Y7+AU13*(Y23-Y7),Y7+AU13*(Y7-Y23))</f>
        <v>55544161.986309357</v>
      </c>
      <c r="Z13" s="43">
        <f t="shared" si="18"/>
        <v>29068463.442617588</v>
      </c>
      <c r="AA13" s="3">
        <f>X13+Y13+Z13</f>
        <v>283460280.35386574</v>
      </c>
      <c r="AB13" s="31">
        <f>AB7-AW13*(AB7-AB23)</f>
        <v>11731739822.123631</v>
      </c>
      <c r="AC13" s="31">
        <f t="shared" ref="AC13:AD13" si="19">AC7-AX13*(AC7-AC23)</f>
        <v>87953815.887155592</v>
      </c>
      <c r="AD13" s="31">
        <f t="shared" si="19"/>
        <v>754086306.59601414</v>
      </c>
      <c r="AE13" s="43">
        <f>IF(AE7&lt;AE23,AE7+AZ13*(AE23-AE7),AE7+AZ13*(AE7-AE23))</f>
        <v>2314125.9681855384</v>
      </c>
      <c r="AF13" s="43">
        <f>IF(AF7&lt;AF23,AF7+BA13*(AF23-AF7),AF7+BA13*(AF7-AF23))</f>
        <v>23239324467</v>
      </c>
      <c r="AH13">
        <v>25</v>
      </c>
      <c r="AI13">
        <v>298</v>
      </c>
      <c r="AJ13">
        <f>U13+(S13*AH13)+(T13*AI13)</f>
        <v>8195256332238.7383</v>
      </c>
      <c r="AM13">
        <f>'Output Interpolation'!AC9</f>
        <v>2020</v>
      </c>
      <c r="AN13">
        <f>'Output Interpolation'!AD9</f>
        <v>20</v>
      </c>
      <c r="AO13">
        <f>'Output Interpolation'!AE9</f>
        <v>0.39062355476379051</v>
      </c>
      <c r="AP13">
        <f>'Output Interpolation'!AF9</f>
        <v>0.43019829942251048</v>
      </c>
      <c r="AQ13">
        <f>'Output Interpolation'!AG9</f>
        <v>0.41509392203986334</v>
      </c>
      <c r="AR13">
        <f>'Output Interpolation'!AH9</f>
        <v>0.25186978368778729</v>
      </c>
      <c r="AS13">
        <f>'Output Interpolation'!AI9</f>
        <v>0.86242432607901198</v>
      </c>
      <c r="AT13">
        <f>'Output Interpolation'!AJ9</f>
        <v>0.57458299821438408</v>
      </c>
      <c r="AU13">
        <f>'Output Interpolation'!AN9</f>
        <v>0.23076923076923078</v>
      </c>
      <c r="AV13">
        <f>'Output Interpolation'!AO9</f>
        <v>0.23076923076923078</v>
      </c>
      <c r="AW13">
        <f>'Output Interpolation'!AK9</f>
        <v>0.37449879324583368</v>
      </c>
      <c r="AX13">
        <f>'Output Interpolation'!AL9</f>
        <v>0.81529679991596227</v>
      </c>
      <c r="AY13">
        <f>'Output Interpolation'!AM9</f>
        <v>0.5504212528725928</v>
      </c>
      <c r="AZ13">
        <f>'Output Interpolation'!AP9</f>
        <v>0.23076923076923078</v>
      </c>
      <c r="BA13">
        <f>'Output Interpolation'!AQ9</f>
        <v>0.23076923076923078</v>
      </c>
    </row>
    <row r="14" spans="1:53">
      <c r="A14">
        <v>2030</v>
      </c>
      <c r="B14" s="33" t="s">
        <v>109</v>
      </c>
      <c r="C14" s="3">
        <f>R26</f>
        <v>8211959779.6875</v>
      </c>
      <c r="D14" s="3">
        <f>V26</f>
        <v>20626571014473.43</v>
      </c>
      <c r="E14" s="3">
        <f>W27*(1-J37)</f>
        <v>251870738.99248537</v>
      </c>
      <c r="F14" s="3">
        <f t="shared" ref="F14:K14" si="20">AA26</f>
        <v>670418548.7999568</v>
      </c>
      <c r="G14" s="3">
        <f t="shared" si="20"/>
        <v>16606001242.75</v>
      </c>
      <c r="H14" s="3">
        <f t="shared" si="20"/>
        <v>234253633.51464838</v>
      </c>
      <c r="I14" s="3">
        <f t="shared" si="20"/>
        <v>1446322798.921875</v>
      </c>
      <c r="J14" s="3">
        <f t="shared" si="20"/>
        <v>6921260.7079308992</v>
      </c>
      <c r="K14" s="35">
        <f t="shared" si="20"/>
        <v>59361158938.203003</v>
      </c>
      <c r="L14" s="204">
        <f>U26</f>
        <v>20479861953024</v>
      </c>
      <c r="M14" s="204">
        <f>S26</f>
        <v>1268456499.59375</v>
      </c>
      <c r="N14" s="204">
        <f>T26</f>
        <v>385898150.87109399</v>
      </c>
      <c r="P14">
        <f t="shared" si="14"/>
        <v>2020</v>
      </c>
      <c r="Q14">
        <f t="shared" si="15"/>
        <v>30</v>
      </c>
      <c r="R14" s="31">
        <f t="shared" si="16"/>
        <v>15298688587.214073</v>
      </c>
      <c r="S14" s="31">
        <f t="shared" si="16"/>
        <v>1094971216.8435707</v>
      </c>
      <c r="T14" s="31">
        <f t="shared" si="16"/>
        <v>340951956.42072964</v>
      </c>
      <c r="U14" s="31">
        <f t="shared" si="16"/>
        <v>13492476536815.969</v>
      </c>
      <c r="V14" s="3">
        <f t="shared" ref="V14:V16" si="21">AJ14</f>
        <v>13621454500250.436</v>
      </c>
      <c r="W14" s="31">
        <f t="shared" si="17"/>
        <v>160766945.29950282</v>
      </c>
      <c r="X14" s="43">
        <f t="shared" si="17"/>
        <v>275153945.15524566</v>
      </c>
      <c r="Y14" s="43">
        <f t="shared" si="18"/>
        <v>77829029.255382791</v>
      </c>
      <c r="Z14" s="43">
        <f t="shared" si="18"/>
        <v>38153672.867633522</v>
      </c>
      <c r="AA14" s="3">
        <f t="shared" ref="AA14:AA16" si="22">X14+Y14+Z14</f>
        <v>391136647.27826196</v>
      </c>
      <c r="AB14" s="31">
        <f>AB8-AW14*(AB8-AB24)</f>
        <v>12336384569.390316</v>
      </c>
      <c r="AC14" s="31">
        <f t="shared" ref="AC14:AD14" si="23">AC8-AX14*(AC8-AC24)</f>
        <v>144662332.09474304</v>
      </c>
      <c r="AD14" s="31">
        <f t="shared" si="23"/>
        <v>915373345.90068328</v>
      </c>
      <c r="AE14" s="43">
        <f>IF(AE8&lt;AE24,AE8+AZ14*(AE24-AE8),AE8+AZ14*(AE8-AE24))</f>
        <v>2839687.4335751305</v>
      </c>
      <c r="AF14" s="43">
        <f>IF(AF8&lt;AF24,AF8+BA14*(AF24-AF8),AF8+BA14*(AF8-AF24))</f>
        <v>30898152848.354538</v>
      </c>
      <c r="AH14">
        <v>25</v>
      </c>
      <c r="AI14">
        <v>298</v>
      </c>
      <c r="AJ14">
        <f>U14+(S14*AH14)+(T14*AI14)</f>
        <v>13621454500250.436</v>
      </c>
      <c r="AM14">
        <f>'Output Interpolation'!AC10</f>
        <v>2020</v>
      </c>
      <c r="AN14">
        <f>'Output Interpolation'!AD10</f>
        <v>30</v>
      </c>
      <c r="AO14">
        <f>'Output Interpolation'!AE10</f>
        <v>0.41929824669245203</v>
      </c>
      <c r="AP14">
        <f>'Output Interpolation'!AF10</f>
        <v>0.46342194420094612</v>
      </c>
      <c r="AQ14">
        <f>'Output Interpolation'!AG10</f>
        <v>0.4216616901922649</v>
      </c>
      <c r="AR14">
        <f>'Output Interpolation'!AH10</f>
        <v>0.31480591518692291</v>
      </c>
      <c r="AS14">
        <f>'Output Interpolation'!AI10</f>
        <v>0.87496256647464032</v>
      </c>
      <c r="AT14">
        <f>'Output Interpolation'!AJ10</f>
        <v>0.28602669387605517</v>
      </c>
      <c r="AU14">
        <f>'Output Interpolation'!AN10</f>
        <v>0.23076923076923078</v>
      </c>
      <c r="AV14">
        <f>'Output Interpolation'!AO10</f>
        <v>0.23076923076923075</v>
      </c>
      <c r="AW14">
        <f>'Output Interpolation'!AK10</f>
        <v>0.42176000445378231</v>
      </c>
      <c r="AX14">
        <f>'Output Interpolation'!AL10</f>
        <v>0.83524384571668286</v>
      </c>
      <c r="AY14">
        <f>'Output Interpolation'!AM10</f>
        <v>0.49217084423342677</v>
      </c>
      <c r="AZ14">
        <f>'Output Interpolation'!AP10</f>
        <v>0.23076923076923078</v>
      </c>
      <c r="BA14">
        <f>'Output Interpolation'!AQ10</f>
        <v>0.23076923076923078</v>
      </c>
    </row>
    <row r="15" spans="1:53">
      <c r="A15">
        <v>2031</v>
      </c>
      <c r="B15" s="33" t="s">
        <v>109</v>
      </c>
      <c r="C15">
        <f t="shared" ref="C15:K15" si="24">C14+(C19-C14)/5</f>
        <v>7585012628.7227774</v>
      </c>
      <c r="D15" s="3">
        <f t="shared" si="24"/>
        <v>20429508014426.738</v>
      </c>
      <c r="E15" s="3">
        <f t="shared" si="24"/>
        <v>249339818.11493629</v>
      </c>
      <c r="F15">
        <f t="shared" si="24"/>
        <v>674834310.26081491</v>
      </c>
      <c r="G15">
        <f t="shared" si="24"/>
        <v>16520281326.274609</v>
      </c>
      <c r="H15" s="3">
        <f t="shared" si="24"/>
        <v>232433542.00358161</v>
      </c>
      <c r="I15">
        <f t="shared" si="24"/>
        <v>1434300349.3304861</v>
      </c>
      <c r="J15">
        <f t="shared" si="24"/>
        <v>7120119.4150716448</v>
      </c>
      <c r="K15" s="82">
        <f t="shared" si="24"/>
        <v>59597184443.032928</v>
      </c>
      <c r="L15" s="223">
        <f t="shared" ref="L15:N15" si="25">L14+(L19-L14)/5</f>
        <v>20283508008961.918</v>
      </c>
      <c r="M15" s="204">
        <f t="shared" si="25"/>
        <v>1240769860.7280555</v>
      </c>
      <c r="N15" s="204">
        <f t="shared" si="25"/>
        <v>385841472.97523618</v>
      </c>
      <c r="P15">
        <f t="shared" si="14"/>
        <v>2020</v>
      </c>
      <c r="Q15">
        <f t="shared" si="15"/>
        <v>41</v>
      </c>
      <c r="R15" s="31">
        <f t="shared" si="16"/>
        <v>4906473825.4806452</v>
      </c>
      <c r="S15" s="31">
        <f t="shared" si="16"/>
        <v>206021744.62185153</v>
      </c>
      <c r="T15" s="31">
        <f t="shared" si="16"/>
        <v>56440841.038573049</v>
      </c>
      <c r="U15" s="31">
        <f t="shared" si="16"/>
        <v>1771484835801.21</v>
      </c>
      <c r="V15" s="3">
        <f t="shared" si="21"/>
        <v>1793454750046.2512</v>
      </c>
      <c r="W15" s="31">
        <f t="shared" si="17"/>
        <v>18566578.917848129</v>
      </c>
      <c r="X15" s="43">
        <f t="shared" si="17"/>
        <v>179932605.20054176</v>
      </c>
      <c r="Y15" s="43">
        <f t="shared" si="18"/>
        <v>6768173.949519231</v>
      </c>
      <c r="Z15" s="43">
        <f t="shared" si="18"/>
        <v>4376466.353365385</v>
      </c>
      <c r="AA15" s="3">
        <f t="shared" si="22"/>
        <v>191077245.50342637</v>
      </c>
      <c r="AB15" s="31">
        <f>AB9-AW15*(AB9-AB25)</f>
        <v>1810561068.0389299</v>
      </c>
      <c r="AC15" s="31">
        <f t="shared" ref="AC15:AD15" si="26">AC9-AX15*(AC9-AC25)</f>
        <v>10417365.667704117</v>
      </c>
      <c r="AD15" s="31">
        <f t="shared" si="26"/>
        <v>96606779.688119978</v>
      </c>
      <c r="AE15" s="43">
        <f>IF(AE9&lt;AE25,AE9+AZ15*(AE25-AE9),AE9-AZ15*(AE9-AE25))</f>
        <v>282402.70504615386</v>
      </c>
      <c r="AF15" s="43">
        <f>IF(AF9&lt;AF25,AF9+BA15*(AF25-AF9),AF9-BA15*(AF9-AF25))</f>
        <v>2483700935.3846154</v>
      </c>
      <c r="AH15">
        <v>25</v>
      </c>
      <c r="AI15">
        <v>298</v>
      </c>
      <c r="AJ15">
        <f>U15+(S15*AH15)+(T15*AI15)</f>
        <v>1793454750046.2512</v>
      </c>
      <c r="AM15">
        <f>'Output Interpolation'!AC11</f>
        <v>2020</v>
      </c>
      <c r="AN15">
        <f>'Output Interpolation'!AD11</f>
        <v>41</v>
      </c>
      <c r="AO15">
        <f>'Output Interpolation'!AE11</f>
        <v>0.3983018546523881</v>
      </c>
      <c r="AP15">
        <f>'Output Interpolation'!AF11</f>
        <v>0.39323097513259786</v>
      </c>
      <c r="AQ15">
        <f>'Output Interpolation'!AG11</f>
        <v>0.3653648123441679</v>
      </c>
      <c r="AR15">
        <f>'Output Interpolation'!AH11</f>
        <v>0.18441011223544035</v>
      </c>
      <c r="AS15">
        <f>'Output Interpolation'!AI11</f>
        <v>0.89125025602099095</v>
      </c>
      <c r="AT15">
        <f>'Output Interpolation'!AJ11</f>
        <v>0.37689480559163602</v>
      </c>
      <c r="AU15">
        <f>'Output Interpolation'!AN11</f>
        <v>0.23076923076923078</v>
      </c>
      <c r="AV15">
        <f>'Output Interpolation'!AO11</f>
        <v>0.23076923076923078</v>
      </c>
      <c r="AW15">
        <f>'Output Interpolation'!AK11</f>
        <v>0.35648708570363691</v>
      </c>
      <c r="AX15">
        <f>'Output Interpolation'!AL11</f>
        <v>0.73070214948559353</v>
      </c>
      <c r="AY15">
        <f>'Output Interpolation'!AM11</f>
        <v>0.34547484864234745</v>
      </c>
      <c r="AZ15">
        <f>'Output Interpolation'!AP11</f>
        <v>0.23076923076923081</v>
      </c>
      <c r="BA15">
        <f>'Output Interpolation'!AQ11</f>
        <v>0.23076923076923078</v>
      </c>
    </row>
    <row r="16" spans="1:53">
      <c r="A16">
        <v>2032</v>
      </c>
      <c r="B16" s="33" t="s">
        <v>109</v>
      </c>
      <c r="C16">
        <f t="shared" ref="C16:K16" si="27">C14+(C19-C14)/5*2</f>
        <v>6958065477.7580547</v>
      </c>
      <c r="D16" s="3">
        <f t="shared" si="27"/>
        <v>20232445014380.051</v>
      </c>
      <c r="E16" s="3">
        <f t="shared" si="27"/>
        <v>246808897.23738724</v>
      </c>
      <c r="F16">
        <f t="shared" si="27"/>
        <v>679250071.72167289</v>
      </c>
      <c r="G16">
        <f t="shared" si="27"/>
        <v>16434561409.799215</v>
      </c>
      <c r="H16" s="3">
        <f t="shared" si="27"/>
        <v>230613450.49251485</v>
      </c>
      <c r="I16">
        <f t="shared" si="27"/>
        <v>1422277899.7390971</v>
      </c>
      <c r="J16">
        <f t="shared" si="27"/>
        <v>7318978.1222123895</v>
      </c>
      <c r="K16" s="82">
        <f t="shared" si="27"/>
        <v>59833209947.862854</v>
      </c>
      <c r="L16" s="223">
        <f t="shared" ref="L16:N16" si="28">L14+(L19-L14)/5*2</f>
        <v>20087154064899.836</v>
      </c>
      <c r="M16" s="204">
        <f t="shared" si="28"/>
        <v>1213083221.862361</v>
      </c>
      <c r="N16" s="204">
        <f t="shared" si="28"/>
        <v>385784795.07937843</v>
      </c>
      <c r="P16">
        <v>2020</v>
      </c>
      <c r="Q16" s="8" t="s">
        <v>109</v>
      </c>
      <c r="R16" s="31">
        <f t="shared" ref="R16:Z16" si="29">SUM(R13:R15)</f>
        <v>30359598371.465881</v>
      </c>
      <c r="S16" s="31">
        <f t="shared" si="29"/>
        <v>2201962726.7487345</v>
      </c>
      <c r="T16" s="31">
        <f t="shared" si="29"/>
        <v>588164229.00188673</v>
      </c>
      <c r="U16" s="31">
        <f t="shared" si="29"/>
        <v>23379843574124.145</v>
      </c>
      <c r="V16" s="3">
        <f t="shared" si="21"/>
        <v>23610165582535.422</v>
      </c>
      <c r="W16" s="31">
        <f t="shared" si="29"/>
        <v>276577031.24384129</v>
      </c>
      <c r="X16" s="43">
        <f t="shared" si="29"/>
        <v>653934205.28072619</v>
      </c>
      <c r="Y16" s="31">
        <f t="shared" si="29"/>
        <v>140141365.19121137</v>
      </c>
      <c r="Z16" s="31">
        <f t="shared" si="29"/>
        <v>71598602.663616508</v>
      </c>
      <c r="AA16" s="3">
        <f t="shared" si="22"/>
        <v>865674173.13555408</v>
      </c>
      <c r="AB16" s="31">
        <f t="shared" ref="AB16:AD16" si="30">SUM(AB13:AB15)</f>
        <v>25878685459.552876</v>
      </c>
      <c r="AC16" s="31">
        <f t="shared" si="30"/>
        <v>243033513.64960274</v>
      </c>
      <c r="AD16" s="31">
        <f t="shared" si="30"/>
        <v>1766066432.1848173</v>
      </c>
      <c r="AE16" s="31">
        <f>SUM(AE13:AE15)</f>
        <v>5436216.1068068231</v>
      </c>
      <c r="AF16" s="43">
        <f>SUM(AF13:AF15)</f>
        <v>56621178250.739151</v>
      </c>
      <c r="AG16" s="204">
        <f>AE13+AE14</f>
        <v>5153813.4017606694</v>
      </c>
      <c r="AJ16">
        <f>SUM(AJ13:AJ15)</f>
        <v>23610165582535.422</v>
      </c>
    </row>
    <row r="17" spans="1:53">
      <c r="A17">
        <v>2033</v>
      </c>
      <c r="B17" s="33" t="s">
        <v>109</v>
      </c>
      <c r="C17">
        <f t="shared" ref="C17:K17" si="31">C14+(C19-C14)/5*3</f>
        <v>6331118326.7933331</v>
      </c>
      <c r="D17" s="3">
        <f t="shared" si="31"/>
        <v>20035382014333.359</v>
      </c>
      <c r="E17" s="3">
        <f t="shared" si="31"/>
        <v>244277976.35983816</v>
      </c>
      <c r="F17">
        <f t="shared" si="31"/>
        <v>683665833.182531</v>
      </c>
      <c r="G17">
        <f t="shared" si="31"/>
        <v>16348841493.323824</v>
      </c>
      <c r="H17" s="3">
        <f t="shared" si="31"/>
        <v>228793358.98144808</v>
      </c>
      <c r="I17">
        <f t="shared" si="31"/>
        <v>1410255450.1477084</v>
      </c>
      <c r="J17">
        <f t="shared" si="31"/>
        <v>7517836.8293531351</v>
      </c>
      <c r="K17" s="82">
        <f t="shared" si="31"/>
        <v>60069235452.692787</v>
      </c>
      <c r="L17" s="223">
        <f t="shared" ref="L17:N17" si="32">L14+(L19-L14)/5*3</f>
        <v>19890800120837.758</v>
      </c>
      <c r="M17" s="204">
        <f t="shared" si="32"/>
        <v>1185396582.9966664</v>
      </c>
      <c r="N17" s="204">
        <f t="shared" si="32"/>
        <v>385728117.18352062</v>
      </c>
      <c r="P17" s="6"/>
      <c r="R17" s="3"/>
      <c r="S17" s="3"/>
      <c r="T17" s="3"/>
      <c r="U17" s="3"/>
      <c r="V17" s="3"/>
      <c r="W17" s="3">
        <f>W16-W15</f>
        <v>258010452.32599315</v>
      </c>
      <c r="X17" s="3"/>
      <c r="Y17" s="3"/>
      <c r="Z17" s="3"/>
      <c r="AA17" s="3"/>
      <c r="AB17" s="3"/>
      <c r="AC17" s="3"/>
      <c r="AD17" s="3"/>
      <c r="AE17" s="31">
        <f>AE13+AE14</f>
        <v>5153813.4017606694</v>
      </c>
      <c r="AF17" s="31"/>
      <c r="AG17" s="205">
        <f>AG16/AE16</f>
        <v>0.94805160437007829</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5704171175.8286104</v>
      </c>
      <c r="D18" s="3">
        <f t="shared" si="33"/>
        <v>19838319014286.672</v>
      </c>
      <c r="E18" s="3">
        <f t="shared" si="33"/>
        <v>241747055.48228911</v>
      </c>
      <c r="F18" s="3">
        <f t="shared" si="33"/>
        <v>688081594.64338899</v>
      </c>
      <c r="G18">
        <f t="shared" si="33"/>
        <v>16263121576.848431</v>
      </c>
      <c r="H18" s="3">
        <f t="shared" si="33"/>
        <v>226973267.47038132</v>
      </c>
      <c r="I18">
        <f t="shared" si="33"/>
        <v>1398233000.5563195</v>
      </c>
      <c r="J18">
        <f t="shared" si="33"/>
        <v>7716695.5364938797</v>
      </c>
      <c r="K18" s="82">
        <f t="shared" si="33"/>
        <v>60305260957.522713</v>
      </c>
      <c r="L18" s="223">
        <f t="shared" ref="L18:N18" si="34">L14+(L19-L14)/5*4</f>
        <v>19694446176775.676</v>
      </c>
      <c r="M18" s="204">
        <f t="shared" si="34"/>
        <v>1157709944.1309719</v>
      </c>
      <c r="N18" s="204">
        <f t="shared" si="34"/>
        <v>385671439.28766286</v>
      </c>
      <c r="P18">
        <v>2025</v>
      </c>
      <c r="Q18">
        <v>20</v>
      </c>
      <c r="R18" s="3">
        <f t="shared" ref="R18:U20" si="35">R13-AO18*(R7-R23)</f>
        <v>5258189644.9879131</v>
      </c>
      <c r="S18" s="3">
        <f t="shared" si="35"/>
        <v>664991529.48512793</v>
      </c>
      <c r="T18" s="3">
        <f t="shared" si="35"/>
        <v>148504483.24100274</v>
      </c>
      <c r="U18" s="3">
        <f t="shared" si="35"/>
        <v>7608046678451.2227</v>
      </c>
      <c r="V18" s="3">
        <f>AJ18</f>
        <v>7668925802694.1689</v>
      </c>
      <c r="W18" s="3">
        <f t="shared" ref="W18:X20" si="36">W13-AS18*(W7-W23)</f>
        <v>96011225.962804571</v>
      </c>
      <c r="X18" s="3">
        <f t="shared" si="36"/>
        <v>170787949.48644561</v>
      </c>
      <c r="Y18" s="43">
        <f t="shared" ref="Y18:Z20" si="37">IF(Y7&lt;Y23,Y7+AU18*(Y23-Y7),Y7+AU18*(Y7-Y23))</f>
        <v>56908429.224844128</v>
      </c>
      <c r="Z18" s="43">
        <f t="shared" si="37"/>
        <v>29782430.864680395</v>
      </c>
      <c r="AA18" s="3">
        <f>X18+Y18+Z18</f>
        <v>257478809.57597011</v>
      </c>
      <c r="AB18" s="3">
        <f>AB13-AW18*(AB7-AB23)</f>
        <v>9699337070.6265354</v>
      </c>
      <c r="AC18" s="3">
        <f t="shared" ref="AC18:AD18" si="38">AC13-AX18*(AC7-AC23)</f>
        <v>86452735.116778091</v>
      </c>
      <c r="AD18" s="3">
        <f t="shared" si="38"/>
        <v>679531739.892699</v>
      </c>
      <c r="AE18" s="43">
        <f>IF(AE7&lt;AE23,AE7+AZ18*(AE23-AE7),AE7+AZ18*(AE7-AE23))</f>
        <v>2632260.010244769</v>
      </c>
      <c r="AF18" s="43">
        <f>IF(AF7&lt;AF23,AF7+BA18*(AF23-AF7),AF7+BA18*(AF7-AF23))</f>
        <v>23810124819.5</v>
      </c>
      <c r="AH18">
        <v>25</v>
      </c>
      <c r="AI18">
        <v>298</v>
      </c>
      <c r="AJ18">
        <f>U18+(S18*AH18)+(T18*AI18)</f>
        <v>7668925802694.1689</v>
      </c>
      <c r="AM18">
        <f>'Output Interpolation'!AC14</f>
        <v>2025</v>
      </c>
      <c r="AN18">
        <f>'Output Interpolation'!AD14</f>
        <v>20</v>
      </c>
      <c r="AO18">
        <f>'Output Interpolation'!AE14</f>
        <v>0.39615763046785124</v>
      </c>
      <c r="AP18">
        <f>'Output Interpolation'!AF14</f>
        <v>0.34430658379386841</v>
      </c>
      <c r="AQ18">
        <f>'Output Interpolation'!AG14</f>
        <v>0.38981998452004979</v>
      </c>
      <c r="AR18">
        <f>'Output Interpolation'!AH14</f>
        <v>0.41490133808018614</v>
      </c>
      <c r="AS18">
        <f>'Output Interpolation'!AI14</f>
        <v>7.6402277475026897E-2</v>
      </c>
      <c r="AT18">
        <f>'Output Interpolation'!AJ14</f>
        <v>0.31063822319297507</v>
      </c>
      <c r="AU18">
        <f>'Output Interpolation'!AN14</f>
        <v>0.61538461538461542</v>
      </c>
      <c r="AV18">
        <f>'Output Interpolation'!AO14</f>
        <v>0.61538461538461542</v>
      </c>
      <c r="AW18">
        <f>'Output Interpolation'!AK14</f>
        <v>0.3271940243211075</v>
      </c>
      <c r="AX18">
        <f>'Output Interpolation'!AL14</f>
        <v>0.10198479227863848</v>
      </c>
      <c r="AY18">
        <f>'Output Interpolation'!AM14</f>
        <v>0.2099417180266818</v>
      </c>
      <c r="AZ18">
        <f>'Output Interpolation'!AP14</f>
        <v>0.61538461538461542</v>
      </c>
      <c r="BA18">
        <f>'Output Interpolation'!AQ14</f>
        <v>0.61538461538461542</v>
      </c>
    </row>
    <row r="19" spans="1:53">
      <c r="A19">
        <v>2035</v>
      </c>
      <c r="B19" s="33" t="s">
        <v>109</v>
      </c>
      <c r="C19" s="3">
        <f>R31</f>
        <v>5077224024.8638878</v>
      </c>
      <c r="D19" s="3">
        <f>V31</f>
        <v>19641256014239.98</v>
      </c>
      <c r="E19" s="3">
        <f>W32*(1-J42)</f>
        <v>239216134.60474002</v>
      </c>
      <c r="F19" s="3">
        <f t="shared" ref="F19:K19" si="39">AA31</f>
        <v>692497356.10424709</v>
      </c>
      <c r="G19" s="3">
        <f t="shared" si="39"/>
        <v>16177401660.373039</v>
      </c>
      <c r="H19" s="3">
        <f t="shared" si="39"/>
        <v>225153175.95931455</v>
      </c>
      <c r="I19" s="3">
        <f t="shared" si="39"/>
        <v>1386210550.9649305</v>
      </c>
      <c r="J19" s="3">
        <f t="shared" si="39"/>
        <v>7915554.2436346253</v>
      </c>
      <c r="K19" s="35">
        <f t="shared" si="39"/>
        <v>60541286462.352638</v>
      </c>
      <c r="L19" s="223">
        <f>U31</f>
        <v>19498092232713.594</v>
      </c>
      <c r="M19" s="204">
        <f>S31</f>
        <v>1130023305.2652774</v>
      </c>
      <c r="N19" s="204">
        <f>T31</f>
        <v>385614761.39180505</v>
      </c>
      <c r="P19">
        <v>2025</v>
      </c>
      <c r="Q19">
        <v>30</v>
      </c>
      <c r="R19" s="3">
        <f t="shared" si="35"/>
        <v>8358980515.21731</v>
      </c>
      <c r="S19" s="3">
        <f t="shared" si="35"/>
        <v>819013331.26313353</v>
      </c>
      <c r="T19" s="3">
        <f t="shared" si="35"/>
        <v>269659636.23152423</v>
      </c>
      <c r="U19" s="3">
        <f t="shared" si="35"/>
        <v>12553753034758.668</v>
      </c>
      <c r="V19" s="3">
        <f t="shared" ref="V19:V21" si="40">AJ19</f>
        <v>12654586939637.24</v>
      </c>
      <c r="W19" s="3">
        <f t="shared" si="36"/>
        <v>158535107.27465507</v>
      </c>
      <c r="X19" s="3">
        <f t="shared" si="36"/>
        <v>260036598.32065403</v>
      </c>
      <c r="Y19" s="43">
        <f t="shared" si="37"/>
        <v>80012609.382558957</v>
      </c>
      <c r="Z19" s="43">
        <f t="shared" si="37"/>
        <v>39236324.78589806</v>
      </c>
      <c r="AA19" s="3">
        <f t="shared" ref="AA19:AA21" si="41">X19+Y19+Z19</f>
        <v>379285532.48911107</v>
      </c>
      <c r="AB19" s="3">
        <f>AB14-AW19*(AB8-AB24)</f>
        <v>9859399874.238615</v>
      </c>
      <c r="AC19" s="3">
        <f t="shared" ref="AC19:AD19" si="42">AC14-AX19*(AC8-AC24)</f>
        <v>141904844.81267095</v>
      </c>
      <c r="AD19" s="3">
        <f t="shared" si="42"/>
        <v>838072133.0848372</v>
      </c>
      <c r="AE19" s="43">
        <f>IF(AE8&lt;AE24,AE8+AZ19*(AE24-AE8),AE8+AZ19*(AE8-AE24))</f>
        <v>3265327.6940010153</v>
      </c>
      <c r="AF19" s="43">
        <f>IF(AF8&lt;AF24,AF8+BA19*(AF24-AF8),AF8+BA19*(AF8-AF24))</f>
        <v>31778692267.27877</v>
      </c>
      <c r="AG19">
        <f>AE18/(AE18+AE19)</f>
        <v>0.44632825186300418</v>
      </c>
      <c r="AH19">
        <v>25</v>
      </c>
      <c r="AI19">
        <v>298</v>
      </c>
      <c r="AJ19">
        <f>U19+(S19*AH19)+(T19*AI19)</f>
        <v>12654586939637.24</v>
      </c>
      <c r="AM19">
        <f>'Output Interpolation'!AC15</f>
        <v>2025</v>
      </c>
      <c r="AN19">
        <f>'Output Interpolation'!AD15</f>
        <v>30</v>
      </c>
      <c r="AO19">
        <f>'Output Interpolation'!AE15</f>
        <v>0.35373188716313786</v>
      </c>
      <c r="AP19">
        <f>'Output Interpolation'!AF15</f>
        <v>0.31728330093736662</v>
      </c>
      <c r="AQ19">
        <f>'Output Interpolation'!AG15</f>
        <v>0.38019453214392396</v>
      </c>
      <c r="AR19">
        <f>'Output Interpolation'!AH15</f>
        <v>0.40480128476971411</v>
      </c>
      <c r="AS19">
        <f>'Output Interpolation'!AI15</f>
        <v>7.2861976986350746E-2</v>
      </c>
      <c r="AT19">
        <f>'Output Interpolation'!AJ15</f>
        <v>0.39374542526108164</v>
      </c>
      <c r="AU19">
        <f>'Output Interpolation'!AN15</f>
        <v>0.61538461538461542</v>
      </c>
      <c r="AV19">
        <f>'Output Interpolation'!AO15</f>
        <v>0.61538461538461542</v>
      </c>
      <c r="AW19">
        <f>'Output Interpolation'!AK15</f>
        <v>0.33318120445840299</v>
      </c>
      <c r="AX19">
        <f>'Output Interpolation'!AL15</f>
        <v>9.6121874094440757E-2</v>
      </c>
      <c r="AY19">
        <f>'Output Interpolation'!AM15</f>
        <v>0.28288395105949088</v>
      </c>
      <c r="AZ19">
        <f>'Output Interpolation'!AP15</f>
        <v>0.61538461538461542</v>
      </c>
      <c r="BA19">
        <f>'Output Interpolation'!AQ15</f>
        <v>0.61538461538461542</v>
      </c>
    </row>
    <row r="20" spans="1:53">
      <c r="A20">
        <v>2036</v>
      </c>
      <c r="B20" s="33" t="s">
        <v>109</v>
      </c>
      <c r="C20">
        <f t="shared" ref="C20:K20" si="43">C19+(C24-C19)/5</f>
        <v>4972633234.0661106</v>
      </c>
      <c r="D20" s="3">
        <f t="shared" si="43"/>
        <v>19589217659960.676</v>
      </c>
      <c r="E20" s="3">
        <f t="shared" si="43"/>
        <v>238542392.8259792</v>
      </c>
      <c r="F20" s="3">
        <f t="shared" si="43"/>
        <v>703321649.18683994</v>
      </c>
      <c r="G20">
        <f t="shared" si="43"/>
        <v>16125717203.423431</v>
      </c>
      <c r="H20" s="3">
        <f t="shared" si="43"/>
        <v>223712998.76784226</v>
      </c>
      <c r="I20">
        <f t="shared" si="43"/>
        <v>1397048352.6360068</v>
      </c>
      <c r="J20">
        <f t="shared" si="43"/>
        <v>8113359.64867872</v>
      </c>
      <c r="K20" s="82">
        <f t="shared" si="43"/>
        <v>60891621246.868149</v>
      </c>
      <c r="L20" s="223">
        <f t="shared" ref="L20:N20" si="44">L19+(L24-L19)/5</f>
        <v>19444410183073.273</v>
      </c>
      <c r="M20" s="204">
        <f t="shared" si="44"/>
        <v>1128737434.202847</v>
      </c>
      <c r="N20" s="204">
        <f t="shared" si="44"/>
        <v>391238392.72594404</v>
      </c>
      <c r="P20">
        <v>2025</v>
      </c>
      <c r="Q20">
        <v>41</v>
      </c>
      <c r="R20" s="3">
        <f t="shared" si="35"/>
        <v>2826452053.5651083</v>
      </c>
      <c r="S20" s="3">
        <f t="shared" si="35"/>
        <v>159796523.97553128</v>
      </c>
      <c r="T20" s="3">
        <f t="shared" si="35"/>
        <v>36409712.500879906</v>
      </c>
      <c r="U20" s="3">
        <f t="shared" si="35"/>
        <v>1572502343606.7258</v>
      </c>
      <c r="V20" s="3">
        <f t="shared" si="40"/>
        <v>1587347351031.3762</v>
      </c>
      <c r="W20" s="3">
        <f t="shared" si="36"/>
        <v>18214855.249954633</v>
      </c>
      <c r="X20" s="3">
        <f t="shared" si="36"/>
        <v>92888814.441981837</v>
      </c>
      <c r="Y20" s="43">
        <f t="shared" si="37"/>
        <v>6848714.802884615</v>
      </c>
      <c r="Z20" s="43">
        <f t="shared" si="37"/>
        <v>4509161.942307692</v>
      </c>
      <c r="AA20" s="3">
        <f t="shared" si="41"/>
        <v>104246691.18717414</v>
      </c>
      <c r="AB20" s="3">
        <f>AB15-AW20*(AB9-AB25)</f>
        <v>1169110548.1621218</v>
      </c>
      <c r="AC20" s="3">
        <f t="shared" ref="AC20:AD20" si="45">AC15-AX20*(AC9-AC25)</f>
        <v>9702791.5244514588</v>
      </c>
      <c r="AD20" s="3">
        <f t="shared" si="45"/>
        <v>82359994.954413712</v>
      </c>
      <c r="AE20" s="43">
        <f>IF(AE9&lt;AE25,AE9+AZ20*(AE25-AE9),AE9-AZ20*(AE9-AE25))</f>
        <v>281150.70312307694</v>
      </c>
      <c r="AF20" s="43">
        <f>IF(AF9&lt;AF25,AF9+BA20*(AF25-AF9),AF9-BA20*(AF9-AF25))</f>
        <v>2402351507.6923075</v>
      </c>
      <c r="AH20">
        <v>25</v>
      </c>
      <c r="AI20">
        <v>298</v>
      </c>
      <c r="AJ20">
        <f>U20+(S20*AH20)+(T20*AI20)</f>
        <v>1587347351031.3762</v>
      </c>
      <c r="AM20">
        <f>'Output Interpolation'!AC16</f>
        <v>2025</v>
      </c>
      <c r="AN20">
        <f>'Output Interpolation'!AD16</f>
        <v>41</v>
      </c>
      <c r="AO20">
        <f>'Output Interpolation'!AE16</f>
        <v>0.38824216011018248</v>
      </c>
      <c r="AP20">
        <f>'Output Interpolation'!AF16</f>
        <v>0.36765089274094909</v>
      </c>
      <c r="AQ20">
        <f>'Output Interpolation'!AG16</f>
        <v>0.41818349451222014</v>
      </c>
      <c r="AR20">
        <f>'Output Interpolation'!AH16</f>
        <v>0.41051308838478123</v>
      </c>
      <c r="AS20">
        <f>'Output Interpolation'!AI16</f>
        <v>5.531470601518091E-2</v>
      </c>
      <c r="AT20">
        <f>'Output Interpolation'!AJ16</f>
        <v>0.38901485689610671</v>
      </c>
      <c r="AU20">
        <f>'Output Interpolation'!AN16</f>
        <v>0.61538461538461542</v>
      </c>
      <c r="AV20">
        <f>'Output Interpolation'!AO16</f>
        <v>0.61538461538461542</v>
      </c>
      <c r="AW20">
        <f>'Output Interpolation'!AK16</f>
        <v>0.37922909020155815</v>
      </c>
      <c r="AX20">
        <f>'Output Interpolation'!AL16</f>
        <v>0.14415909644576297</v>
      </c>
      <c r="AY20">
        <f>'Output Interpolation'!AM16</f>
        <v>0.4373959621146884</v>
      </c>
      <c r="AZ20">
        <f>'Output Interpolation'!AP16</f>
        <v>0.61538461538461542</v>
      </c>
      <c r="BA20">
        <f>'Output Interpolation'!AQ16</f>
        <v>0.61538461538461542</v>
      </c>
    </row>
    <row r="21" spans="1:53">
      <c r="A21">
        <v>2037</v>
      </c>
      <c r="B21" s="33" t="s">
        <v>109</v>
      </c>
      <c r="C21">
        <f t="shared" ref="C21:K21" si="46">C19+(C24-C19)/5*2</f>
        <v>4868042443.2683325</v>
      </c>
      <c r="D21" s="3">
        <f t="shared" si="46"/>
        <v>19537179305681.371</v>
      </c>
      <c r="E21" s="3">
        <f t="shared" si="46"/>
        <v>237868651.04721838</v>
      </c>
      <c r="F21" s="3">
        <f t="shared" si="46"/>
        <v>714145942.26943278</v>
      </c>
      <c r="G21">
        <f t="shared" si="46"/>
        <v>16074032746.473824</v>
      </c>
      <c r="H21" s="3">
        <f t="shared" si="46"/>
        <v>222272821.57636997</v>
      </c>
      <c r="I21">
        <f t="shared" si="46"/>
        <v>1407886154.3070831</v>
      </c>
      <c r="J21">
        <f t="shared" si="46"/>
        <v>8311165.0537228156</v>
      </c>
      <c r="K21" s="82">
        <f t="shared" si="46"/>
        <v>61241956031.383659</v>
      </c>
      <c r="L21" s="223">
        <f t="shared" ref="L21:N21" si="47">L19+(L24-L19)/5*2</f>
        <v>19390728133432.957</v>
      </c>
      <c r="M21" s="204">
        <f t="shared" si="47"/>
        <v>1127451563.1404164</v>
      </c>
      <c r="N21" s="204">
        <f t="shared" si="47"/>
        <v>396862024.06008303</v>
      </c>
      <c r="P21">
        <v>2025</v>
      </c>
      <c r="Q21" s="8" t="s">
        <v>109</v>
      </c>
      <c r="R21" s="3">
        <f t="shared" ref="R21:Z21" si="48">SUM(R18:R20)</f>
        <v>16443622213.770332</v>
      </c>
      <c r="S21" s="3">
        <f t="shared" si="48"/>
        <v>1643801384.7237928</v>
      </c>
      <c r="T21" s="3">
        <f t="shared" si="48"/>
        <v>454573831.97340685</v>
      </c>
      <c r="U21" s="3">
        <f t="shared" si="48"/>
        <v>21734302056816.617</v>
      </c>
      <c r="V21" s="3">
        <f t="shared" si="40"/>
        <v>21910860093362.785</v>
      </c>
      <c r="W21" s="3">
        <f t="shared" si="48"/>
        <v>272761188.4874143</v>
      </c>
      <c r="X21" s="3">
        <f t="shared" si="48"/>
        <v>523713362.24908149</v>
      </c>
      <c r="Y21" s="3">
        <f t="shared" si="48"/>
        <v>143769753.41028771</v>
      </c>
      <c r="Z21" s="3">
        <f t="shared" si="48"/>
        <v>73527917.59288615</v>
      </c>
      <c r="AA21" s="3">
        <f t="shared" si="41"/>
        <v>741011033.25225544</v>
      </c>
      <c r="AB21" s="3">
        <f t="shared" ref="AB21:AD21" si="49">SUM(AB18:AB20)</f>
        <v>20727847493.027271</v>
      </c>
      <c r="AC21" s="3">
        <f t="shared" si="49"/>
        <v>238060371.45390049</v>
      </c>
      <c r="AD21" s="3">
        <f t="shared" si="49"/>
        <v>1599963867.9319499</v>
      </c>
      <c r="AE21" s="3">
        <f>SUM(AE18:AE20)</f>
        <v>6178738.4073688611</v>
      </c>
      <c r="AF21" s="3">
        <f>SUM(AF18:AF20)</f>
        <v>57991168594.471077</v>
      </c>
      <c r="AJ21">
        <f>SUM(AJ18:AJ20)</f>
        <v>21910860093362.785</v>
      </c>
    </row>
    <row r="22" spans="1:53">
      <c r="A22">
        <v>2038</v>
      </c>
      <c r="B22" s="33" t="s">
        <v>109</v>
      </c>
      <c r="C22">
        <f t="shared" ref="C22:K22" si="50">C19+(C24-C19)/5*3</f>
        <v>4763451652.4705553</v>
      </c>
      <c r="D22" s="3">
        <f t="shared" si="50"/>
        <v>19485140951402.062</v>
      </c>
      <c r="E22" s="3">
        <f t="shared" si="50"/>
        <v>237194909.26845753</v>
      </c>
      <c r="F22" s="3">
        <f t="shared" si="50"/>
        <v>724970235.35202575</v>
      </c>
      <c r="G22">
        <f t="shared" si="50"/>
        <v>16022348289.524216</v>
      </c>
      <c r="H22" s="3">
        <f t="shared" si="50"/>
        <v>220832644.38489768</v>
      </c>
      <c r="I22">
        <f t="shared" si="50"/>
        <v>1418723955.9781594</v>
      </c>
      <c r="J22">
        <f t="shared" si="50"/>
        <v>8508970.4587669112</v>
      </c>
      <c r="K22" s="82">
        <f t="shared" si="50"/>
        <v>61592290815.899178</v>
      </c>
      <c r="L22" s="223">
        <f t="shared" ref="L22:N22" si="51">L19+(L24-L19)/5*3</f>
        <v>19337046083792.637</v>
      </c>
      <c r="M22" s="204">
        <f t="shared" si="51"/>
        <v>1126165692.077986</v>
      </c>
      <c r="N22" s="204">
        <f t="shared" si="51"/>
        <v>402485655.39422202</v>
      </c>
      <c r="R22" s="3"/>
      <c r="S22" s="3"/>
      <c r="T22" s="3"/>
      <c r="U22" s="3"/>
      <c r="V22" s="3"/>
      <c r="W22" s="3">
        <f>W21-W20</f>
        <v>254546333.23745966</v>
      </c>
      <c r="X22" s="3"/>
      <c r="Y22" s="3"/>
      <c r="Z22" s="3"/>
      <c r="AA22" s="3"/>
      <c r="AB22" s="3"/>
      <c r="AC22" s="3"/>
      <c r="AD22" s="3"/>
      <c r="AE22" s="3"/>
      <c r="AF22" s="3"/>
    </row>
    <row r="23" spans="1:53">
      <c r="A23">
        <v>2039</v>
      </c>
      <c r="B23" s="33" t="s">
        <v>109</v>
      </c>
      <c r="C23">
        <f t="shared" ref="C23:K23" si="52">C19+(C24-C19)/5*4</f>
        <v>4658860861.6727772</v>
      </c>
      <c r="D23" s="3">
        <f t="shared" si="52"/>
        <v>19433102597122.758</v>
      </c>
      <c r="E23" s="3">
        <f t="shared" si="52"/>
        <v>236521167.48969671</v>
      </c>
      <c r="F23" s="3">
        <f t="shared" si="52"/>
        <v>735794528.43461859</v>
      </c>
      <c r="G23">
        <f t="shared" si="52"/>
        <v>15970663832.574608</v>
      </c>
      <c r="H23" s="3">
        <f t="shared" si="52"/>
        <v>219392467.19342539</v>
      </c>
      <c r="I23">
        <f t="shared" si="52"/>
        <v>1429561757.6492357</v>
      </c>
      <c r="J23">
        <f t="shared" si="52"/>
        <v>8706775.8638110049</v>
      </c>
      <c r="K23" s="82">
        <f t="shared" si="52"/>
        <v>61942625600.414688</v>
      </c>
      <c r="L23" s="223">
        <f t="shared" ref="L23:N23" si="53">L19+(L24-L19)/5*4</f>
        <v>19283364034152.32</v>
      </c>
      <c r="M23" s="204">
        <f t="shared" si="53"/>
        <v>1124879821.0155554</v>
      </c>
      <c r="N23" s="204">
        <f t="shared" si="53"/>
        <v>408109286.72836101</v>
      </c>
      <c r="P23" s="18">
        <f>'County Scale Output 2017-2040'!A9</f>
        <v>2030</v>
      </c>
      <c r="Q23" s="38">
        <f>'County Scale Output 2017-2040'!B9</f>
        <v>20</v>
      </c>
      <c r="R23" s="40">
        <f>'County Scale Output 2017-2040'!C9</f>
        <v>2622946106.6875</v>
      </c>
      <c r="S23" s="40">
        <f>'County Scale Output 2017-2040'!D9</f>
        <v>510443396.09375</v>
      </c>
      <c r="T23" s="40">
        <f>'County Scale Output 2017-2040'!E9</f>
        <v>127351914.996094</v>
      </c>
      <c r="U23" s="40">
        <f>'County Scale Output 2017-2040'!F9</f>
        <v>7200177515008</v>
      </c>
      <c r="V23" s="40">
        <f>AJ23</f>
        <v>7250889470579.1797</v>
      </c>
      <c r="W23" s="40">
        <f>'County Scale Output 2017-2040'!G9</f>
        <v>95024569.274902299</v>
      </c>
      <c r="X23" s="40">
        <f>'County Scale Output 2017-2040'!H9</f>
        <v>160420073.03906199</v>
      </c>
      <c r="Y23" s="40">
        <f>'County Scale Output 2017-2040'!I9</f>
        <v>58272696.463378899</v>
      </c>
      <c r="Z23" s="40">
        <f>'County Scale Output 2017-2040'!J9</f>
        <v>30496398.286743201</v>
      </c>
      <c r="AA23" s="40">
        <f>X23+Y23+Z23</f>
        <v>249189167.78918409</v>
      </c>
      <c r="AB23" s="40">
        <f>'County Scale Output 2017-2040'!K9</f>
        <v>7846368210.25</v>
      </c>
      <c r="AC23" s="40">
        <f>'County Scale Output 2017-2040'!L9</f>
        <v>85235229.952148393</v>
      </c>
      <c r="AD23" s="40">
        <f>'County Scale Output 2017-2040'!M9</f>
        <v>594431765.296875</v>
      </c>
      <c r="AE23" s="40">
        <f>'County Scale Output 2017-2040'!N9</f>
        <v>2950394.0523040001</v>
      </c>
      <c r="AF23" s="41">
        <f>'County Scale Output 2017-2040'!O9</f>
        <v>24380925172</v>
      </c>
      <c r="AH23">
        <v>25</v>
      </c>
      <c r="AI23">
        <v>298</v>
      </c>
      <c r="AJ23">
        <f>U23+(S23*AH23)+(T23*AI23)</f>
        <v>7250889470579.1797</v>
      </c>
    </row>
    <row r="24" spans="1:53">
      <c r="A24" s="66">
        <v>2040</v>
      </c>
      <c r="B24" s="136" t="s">
        <v>109</v>
      </c>
      <c r="C24" s="32">
        <f>R36</f>
        <v>4554270070.875</v>
      </c>
      <c r="D24" s="32">
        <f>V36</f>
        <v>19381064242843.453</v>
      </c>
      <c r="E24" s="32">
        <f>W37*(1-J47)</f>
        <v>235847425.71093589</v>
      </c>
      <c r="F24" s="32">
        <f t="shared" ref="F24:K24" si="54">AA36</f>
        <v>746618821.51721144</v>
      </c>
      <c r="G24" s="32">
        <f t="shared" si="54"/>
        <v>15918979375.625</v>
      </c>
      <c r="H24" s="32">
        <f t="shared" si="54"/>
        <v>217952290.0019531</v>
      </c>
      <c r="I24" s="32">
        <f t="shared" si="54"/>
        <v>1440399559.320312</v>
      </c>
      <c r="J24" s="32">
        <f t="shared" si="54"/>
        <v>8904581.2688551005</v>
      </c>
      <c r="K24" s="36">
        <f t="shared" si="54"/>
        <v>62292960384.930199</v>
      </c>
      <c r="L24" s="204">
        <f>U36</f>
        <v>19229681984512</v>
      </c>
      <c r="M24" s="204">
        <f>S36</f>
        <v>1123593949.953125</v>
      </c>
      <c r="N24" s="204">
        <f>T36</f>
        <v>413732918.0625</v>
      </c>
      <c r="P24" s="19">
        <f>'County Scale Output 2017-2040'!A10</f>
        <v>2030</v>
      </c>
      <c r="Q24">
        <f>'County Scale Output 2017-2040'!B10</f>
        <v>30</v>
      </c>
      <c r="R24" s="3">
        <f>'County Scale Output 2017-2040'!C10</f>
        <v>3906159977</v>
      </c>
      <c r="S24" s="3">
        <f>'County Scale Output 2017-2040'!D10</f>
        <v>628281210.5</v>
      </c>
      <c r="T24" s="3">
        <f>'County Scale Output 2017-2040'!E10</f>
        <v>232504631.5</v>
      </c>
      <c r="U24" s="3">
        <f>'County Scale Output 2017-2040'!F10</f>
        <v>11903529527296</v>
      </c>
      <c r="V24" s="3">
        <f t="shared" ref="V24:V26" si="55">AJ24</f>
        <v>11988522937745.5</v>
      </c>
      <c r="W24" s="3">
        <f>'County Scale Output 2017-2040'!G10</f>
        <v>156936918.85479701</v>
      </c>
      <c r="X24" s="3">
        <f>'County Scale Output 2017-2040'!H10</f>
        <v>247741862.609375</v>
      </c>
      <c r="Y24" s="3">
        <f>'County Scale Output 2017-2040'!I10</f>
        <v>82196189.509735107</v>
      </c>
      <c r="Z24" s="3">
        <f>'County Scale Output 2017-2040'!J10</f>
        <v>40318976.704162598</v>
      </c>
      <c r="AA24" s="3">
        <f t="shared" ref="AA24:AA26" si="56">X24+Y24+Z24</f>
        <v>370257028.82327271</v>
      </c>
      <c r="AB24" s="3">
        <f>'County Scale Output 2017-2040'!K10</f>
        <v>8037547780.5</v>
      </c>
      <c r="AC24" s="3">
        <f>'County Scale Output 2017-2040'!L10</f>
        <v>139935905.3125</v>
      </c>
      <c r="AD24" s="3">
        <f>'County Scale Output 2017-2040'!M10</f>
        <v>776603332.625</v>
      </c>
      <c r="AE24" s="3">
        <f>'County Scale Output 2017-2040'!N10</f>
        <v>3690967.9544268996</v>
      </c>
      <c r="AF24" s="35">
        <f>'County Scale Output 2017-2040'!O10</f>
        <v>32659231686.202999</v>
      </c>
      <c r="AG24">
        <f>AE23/(AE23+AE24)</f>
        <v>0.44424532939385469</v>
      </c>
      <c r="AH24">
        <v>25</v>
      </c>
      <c r="AI24">
        <v>298</v>
      </c>
      <c r="AJ24">
        <f>U24+(S24*AH24)+(T24*AI24)</f>
        <v>11988522937745.5</v>
      </c>
    </row>
    <row r="25" spans="1:53">
      <c r="P25" s="19">
        <f>'County Scale Output 2017-2040'!A11</f>
        <v>2030</v>
      </c>
      <c r="Q25" s="8">
        <v>41</v>
      </c>
      <c r="R25" s="3">
        <f>'County Scale Output 2017-2040'!C11</f>
        <v>1682853696</v>
      </c>
      <c r="S25" s="3">
        <f>'County Scale Output 2017-2040'!D11</f>
        <v>129731893</v>
      </c>
      <c r="T25" s="3">
        <f>'County Scale Output 2017-2040'!E11</f>
        <v>26041604.375</v>
      </c>
      <c r="U25" s="3">
        <f>'County Scale Output 2017-2040'!F11</f>
        <v>1376154910720</v>
      </c>
      <c r="V25" s="3">
        <f t="shared" si="55"/>
        <v>1387158606148.75</v>
      </c>
      <c r="W25" s="3">
        <f>'County Scale Output 2017-2040'!G11</f>
        <v>17875083.625</v>
      </c>
      <c r="X25" s="3">
        <f>'County Scale Output 2017-2040'!H11</f>
        <v>40510068.5</v>
      </c>
      <c r="Y25" s="3">
        <f>'County Scale Output 2017-2040'!I11</f>
        <v>6510443.21875</v>
      </c>
      <c r="Z25" s="3">
        <f>'County Scale Output 2017-2040'!J11</f>
        <v>3951840.46875</v>
      </c>
      <c r="AA25" s="3">
        <f t="shared" si="56"/>
        <v>50972352.1875</v>
      </c>
      <c r="AB25" s="3">
        <f>'County Scale Output 2017-2040'!K11</f>
        <v>722085252</v>
      </c>
      <c r="AC25" s="3">
        <f>'County Scale Output 2017-2040'!L11</f>
        <v>9082498.25</v>
      </c>
      <c r="AD25" s="3">
        <f>'County Scale Output 2017-2040'!M11</f>
        <v>75287701</v>
      </c>
      <c r="AE25" s="3">
        <f>'County Scale Output 2017-2040'!N11</f>
        <v>279898.70120000001</v>
      </c>
      <c r="AF25" s="35">
        <f>'County Scale Output 2017-2040'!O11</f>
        <v>2321002080</v>
      </c>
      <c r="AH25">
        <v>25</v>
      </c>
      <c r="AI25">
        <v>298</v>
      </c>
      <c r="AJ25">
        <f>U25+(S25*AH25)+(T25*AI25)</f>
        <v>1387158606148.75</v>
      </c>
    </row>
    <row r="26" spans="1:53">
      <c r="A26" t="s">
        <v>204</v>
      </c>
      <c r="I26" t="str">
        <f>'Fleet ZEV fractions'!AF38</f>
        <v>State MOVES output ZEV VMT fraction by year (interpolated):</v>
      </c>
      <c r="P26" s="20">
        <v>2030</v>
      </c>
      <c r="Q26" s="67" t="s">
        <v>109</v>
      </c>
      <c r="R26" s="32">
        <f t="shared" ref="R26:Z26" si="57">SUM(R23:R25)</f>
        <v>8211959779.6875</v>
      </c>
      <c r="S26" s="32">
        <f t="shared" si="57"/>
        <v>1268456499.59375</v>
      </c>
      <c r="T26" s="32">
        <f t="shared" si="57"/>
        <v>385898150.87109399</v>
      </c>
      <c r="U26" s="32">
        <f t="shared" si="57"/>
        <v>20479861953024</v>
      </c>
      <c r="V26" s="32">
        <f t="shared" si="55"/>
        <v>20626571014473.43</v>
      </c>
      <c r="W26" s="32">
        <f t="shared" si="57"/>
        <v>269836571.75469929</v>
      </c>
      <c r="X26" s="32">
        <f t="shared" si="57"/>
        <v>448672004.14843702</v>
      </c>
      <c r="Y26" s="32">
        <f t="shared" si="57"/>
        <v>146979329.19186401</v>
      </c>
      <c r="Z26" s="32">
        <f t="shared" si="57"/>
        <v>74767215.459655792</v>
      </c>
      <c r="AA26" s="32">
        <f t="shared" si="56"/>
        <v>670418548.7999568</v>
      </c>
      <c r="AB26" s="32">
        <f>SUM(AB23:AB25)</f>
        <v>16606001242.75</v>
      </c>
      <c r="AC26" s="32">
        <f t="shared" ref="AC26:AD26" si="58">SUM(AC23:AC25)</f>
        <v>234253633.51464838</v>
      </c>
      <c r="AD26" s="32">
        <f t="shared" si="58"/>
        <v>1446322798.921875</v>
      </c>
      <c r="AE26" s="32">
        <f>SUM(AE23:AE25)</f>
        <v>6921260.7079308992</v>
      </c>
      <c r="AF26" s="36">
        <f>SUM(AF23:AF25)</f>
        <v>59361158938.203003</v>
      </c>
      <c r="AJ26">
        <f>SUM(AJ23:AJ25)</f>
        <v>20626571014473.43</v>
      </c>
    </row>
    <row r="27" spans="1:53">
      <c r="I27">
        <f>'Fleet ZEV fractions'!AF39</f>
        <v>2020</v>
      </c>
      <c r="J27">
        <f>'Fleet ZEV fractions'!AG39</f>
        <v>3.2988520433074447E-4</v>
      </c>
      <c r="P27" s="6"/>
      <c r="R27" s="3"/>
      <c r="S27" s="3"/>
      <c r="T27" s="3"/>
      <c r="U27" s="3"/>
      <c r="V27" s="3"/>
      <c r="W27" s="3">
        <f>W26-W25</f>
        <v>251961488.12969929</v>
      </c>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205</v>
      </c>
      <c r="E28" t="s">
        <v>206</v>
      </c>
      <c r="I28">
        <f>'Fleet ZEV fractions'!AF40</f>
        <v>2021</v>
      </c>
      <c r="J28">
        <f>'Fleet ZEV fractions'!AG40</f>
        <v>3.3392326600725287E-4</v>
      </c>
      <c r="P28">
        <v>2035</v>
      </c>
      <c r="Q28">
        <v>20</v>
      </c>
      <c r="R28" s="3">
        <f t="shared" ref="R28:U30" si="59">AO28*(R23+R33)</f>
        <v>1682677038.5338349</v>
      </c>
      <c r="S28" s="3">
        <f t="shared" si="59"/>
        <v>444318430.30609041</v>
      </c>
      <c r="T28" s="3">
        <f t="shared" si="59"/>
        <v>129270739.56678888</v>
      </c>
      <c r="U28" s="3">
        <f t="shared" si="59"/>
        <v>6678326763131.0635</v>
      </c>
      <c r="V28" s="3">
        <f>AJ28</f>
        <v>6727957404279.6191</v>
      </c>
      <c r="W28" s="3">
        <f t="shared" ref="W28:Z30" si="60">AS28*(W23+W33)</f>
        <v>88083396.821636125</v>
      </c>
      <c r="X28" s="3">
        <f t="shared" si="60"/>
        <v>181249776.14558622</v>
      </c>
      <c r="Y28" s="3">
        <f t="shared" si="60"/>
        <v>59099850.292687699</v>
      </c>
      <c r="Z28" s="3">
        <f t="shared" si="60"/>
        <v>30929295.275771182</v>
      </c>
      <c r="AA28" s="3">
        <f>X28+Y28+Z28</f>
        <v>271278921.71404511</v>
      </c>
      <c r="AB28" s="3">
        <f>AW28*(AB23+AB33)</f>
        <v>7632533656.4779234</v>
      </c>
      <c r="AC28" s="3">
        <f t="shared" ref="AC28:AD28" si="61">AX28*(AC23+AC33)</f>
        <v>80103653.834188595</v>
      </c>
      <c r="AD28" s="3">
        <f t="shared" si="61"/>
        <v>575443287.51489496</v>
      </c>
      <c r="AE28" s="3">
        <f t="shared" ref="AE28:AF30" si="62">AZ28*(AE23+AE33)</f>
        <v>3354481.4506417136</v>
      </c>
      <c r="AF28" s="3">
        <f t="shared" si="62"/>
        <v>24726995015.303856</v>
      </c>
      <c r="AH28">
        <v>25</v>
      </c>
      <c r="AI28">
        <v>298</v>
      </c>
      <c r="AJ28">
        <f>U28+(S28*AH28)+(T28*AI28)</f>
        <v>6727957404279.6191</v>
      </c>
      <c r="AM28">
        <f>'Output Interpolation'!AC24</f>
        <v>2035</v>
      </c>
      <c r="AN28">
        <f>'Output Interpolation'!AD24</f>
        <v>20</v>
      </c>
      <c r="AO28">
        <f>'Output Interpolation'!AE24</f>
        <v>0.40683840749414518</v>
      </c>
      <c r="AP28">
        <f>'Output Interpolation'!AF24</f>
        <v>0.47115221772809318</v>
      </c>
      <c r="AQ28">
        <f>'Output Interpolation'!AG24</f>
        <v>0.48588901745923313</v>
      </c>
      <c r="AR28">
        <f>'Output Interpolation'!AH24</f>
        <v>0.48691460055096419</v>
      </c>
      <c r="AS28">
        <f>'Output Interpolation'!AI24</f>
        <v>0.48681067498060704</v>
      </c>
      <c r="AT28">
        <f>'Output Interpolation'!AJ24</f>
        <v>0.48675840377432672</v>
      </c>
      <c r="AU28">
        <f>'Output Interpolation'!AN24</f>
        <v>0.49485045239177533</v>
      </c>
      <c r="AV28">
        <f>'Output Interpolation'!AO24</f>
        <v>0.49485067510606834</v>
      </c>
      <c r="AW28">
        <f>'Output Interpolation'!AK24</f>
        <v>0.49485045239177533</v>
      </c>
      <c r="AX28">
        <f>'Output Interpolation'!AL24</f>
        <v>0.49485067510606834</v>
      </c>
      <c r="AY28">
        <f>'Output Interpolation'!AM24</f>
        <v>0.48556725079721447</v>
      </c>
      <c r="AZ28">
        <f>'Output Interpolation'!AP24</f>
        <v>0.49692859354555169</v>
      </c>
      <c r="BA28">
        <f>'Output Interpolation'!AQ24</f>
        <v>0.49485038020069866</v>
      </c>
    </row>
    <row r="29" spans="1:53">
      <c r="A29">
        <v>2020</v>
      </c>
      <c r="B29" t="s">
        <v>109</v>
      </c>
      <c r="C29" s="3">
        <f>F8</f>
        <v>865674173.13555408</v>
      </c>
      <c r="D29" s="3">
        <f>X16</f>
        <v>653934205.28072619</v>
      </c>
      <c r="E29" s="42">
        <f>D29/C29</f>
        <v>0.75540454546785707</v>
      </c>
      <c r="I29">
        <f>'Fleet ZEV fractions'!AF41</f>
        <v>2022</v>
      </c>
      <c r="J29">
        <f>'Fleet ZEV fractions'!AG41</f>
        <v>3.3594229684550704E-4</v>
      </c>
      <c r="P29">
        <v>2035</v>
      </c>
      <c r="Q29">
        <v>30</v>
      </c>
      <c r="R29" s="3">
        <f t="shared" si="59"/>
        <v>2246777624.9754291</v>
      </c>
      <c r="S29" s="3">
        <f t="shared" si="59"/>
        <v>560149906.92836523</v>
      </c>
      <c r="T29" s="3">
        <f t="shared" si="59"/>
        <v>235164079.11346617</v>
      </c>
      <c r="U29" s="3">
        <f t="shared" si="59"/>
        <v>11484570125926.4</v>
      </c>
      <c r="V29" s="3">
        <f t="shared" ref="V29:V31" si="63">AJ29</f>
        <v>11568652769175.422</v>
      </c>
      <c r="W29" s="3">
        <f t="shared" si="60"/>
        <v>151186749.61146429</v>
      </c>
      <c r="X29" s="3">
        <f t="shared" si="60"/>
        <v>263449199.95353618</v>
      </c>
      <c r="Y29" s="3">
        <f t="shared" si="60"/>
        <v>84053633.148112282</v>
      </c>
      <c r="Z29" s="3">
        <f t="shared" si="60"/>
        <v>41235969.995954879</v>
      </c>
      <c r="AA29" s="3">
        <f t="shared" ref="AA29:AA31" si="64">X29+Y29+Z29</f>
        <v>388738803.09760332</v>
      </c>
      <c r="AB29" s="3">
        <f>AW29*(AB24+AB34)</f>
        <v>7951405691.9462185</v>
      </c>
      <c r="AC29" s="3">
        <f t="shared" ref="AC29:AD29" si="65">AX29*(AC24+AC34)</f>
        <v>136372518.48190334</v>
      </c>
      <c r="AD29" s="3">
        <f t="shared" si="65"/>
        <v>744372439.83246291</v>
      </c>
      <c r="AE29" s="3">
        <f t="shared" si="62"/>
        <v>4249122.4570329217</v>
      </c>
      <c r="AF29" s="3">
        <f t="shared" si="62"/>
        <v>33403771520.287117</v>
      </c>
      <c r="AG29">
        <f>AE28/(AE28+AE29)</f>
        <v>0.44116993617406813</v>
      </c>
      <c r="AH29">
        <v>25</v>
      </c>
      <c r="AI29">
        <v>298</v>
      </c>
      <c r="AJ29">
        <f>U29+(S29*AH29)+(T29*AI29)</f>
        <v>11568652769175.422</v>
      </c>
      <c r="AM29">
        <f>'Output Interpolation'!AC25</f>
        <v>2035</v>
      </c>
      <c r="AN29">
        <f>'Output Interpolation'!AD25</f>
        <v>30</v>
      </c>
      <c r="AO29">
        <f>'Output Interpolation'!AE25</f>
        <v>0.37670457130405843</v>
      </c>
      <c r="AP29">
        <f>'Output Interpolation'!AF25</f>
        <v>0.47133667645270949</v>
      </c>
      <c r="AQ29">
        <f>'Output Interpolation'!AG25</f>
        <v>0.48209918602246044</v>
      </c>
      <c r="AR29">
        <f>'Output Interpolation'!AH25</f>
        <v>0.49333333333333335</v>
      </c>
      <c r="AS29">
        <f>'Output Interpolation'!AI25</f>
        <v>0.49264036055041471</v>
      </c>
      <c r="AT29">
        <f>'Output Interpolation'!AJ25</f>
        <v>0.49106309631129663</v>
      </c>
      <c r="AU29">
        <f>'Output Interpolation'!AN25</f>
        <v>0.4995746620700322</v>
      </c>
      <c r="AV29">
        <f>'Output Interpolation'!AO25</f>
        <v>0.49958344836939411</v>
      </c>
      <c r="AW29">
        <f>'Output Interpolation'!AK25</f>
        <v>0.4995746620700322</v>
      </c>
      <c r="AX29">
        <f>'Output Interpolation'!AL25</f>
        <v>0.49958344836939411</v>
      </c>
      <c r="AY29">
        <f>'Output Interpolation'!AM25</f>
        <v>0.47996193018982514</v>
      </c>
      <c r="AZ29">
        <f>'Output Interpolation'!AP25</f>
        <v>0.50274098682859569</v>
      </c>
      <c r="BA29">
        <f>'Output Interpolation'!AQ25</f>
        <v>0.49958580067799863</v>
      </c>
    </row>
    <row r="30" spans="1:53">
      <c r="A30">
        <v>2025</v>
      </c>
      <c r="B30" t="s">
        <v>109</v>
      </c>
      <c r="C30" s="3">
        <f t="shared" ref="C30:C45" si="66">F9</f>
        <v>741011033.25225544</v>
      </c>
      <c r="D30" s="3">
        <f>X21</f>
        <v>523713362.24908149</v>
      </c>
      <c r="E30" s="42">
        <f t="shared" ref="E30:E45" si="67">D30/C30</f>
        <v>0.70675514769400016</v>
      </c>
      <c r="I30">
        <f>'Fleet ZEV fractions'!AF42</f>
        <v>2023</v>
      </c>
      <c r="J30">
        <f>'Fleet ZEV fractions'!AG42</f>
        <v>3.3897084310288835E-4</v>
      </c>
      <c r="P30">
        <v>2035</v>
      </c>
      <c r="Q30">
        <v>41</v>
      </c>
      <c r="R30" s="3">
        <f t="shared" si="59"/>
        <v>1147769361.354624</v>
      </c>
      <c r="S30" s="3">
        <f t="shared" si="59"/>
        <v>125554968.03082192</v>
      </c>
      <c r="T30" s="3">
        <f t="shared" si="59"/>
        <v>21179942.711549994</v>
      </c>
      <c r="U30" s="3">
        <f t="shared" si="59"/>
        <v>1335195343656.1299</v>
      </c>
      <c r="V30" s="3">
        <f t="shared" si="63"/>
        <v>1344645840784.9424</v>
      </c>
      <c r="W30" s="3">
        <f t="shared" si="60"/>
        <v>17356361.321028434</v>
      </c>
      <c r="X30" s="3">
        <f t="shared" si="60"/>
        <v>21532156.802996196</v>
      </c>
      <c r="Y30" s="3">
        <f t="shared" si="60"/>
        <v>6840351.8404864529</v>
      </c>
      <c r="Z30" s="3">
        <f t="shared" si="60"/>
        <v>4107122.6491160309</v>
      </c>
      <c r="AA30" s="3">
        <f t="shared" si="64"/>
        <v>32479631.29259868</v>
      </c>
      <c r="AB30" s="3">
        <f>AW30*(AB25+AB35)</f>
        <v>593462311.94889808</v>
      </c>
      <c r="AC30" s="3">
        <f t="shared" ref="AC30:AD30" si="68">AX30*(AC25+AC35)</f>
        <v>8677003.6432225946</v>
      </c>
      <c r="AD30" s="3">
        <f t="shared" si="68"/>
        <v>66394823.617572717</v>
      </c>
      <c r="AE30" s="3">
        <f t="shared" si="62"/>
        <v>311950.33595999039</v>
      </c>
      <c r="AF30" s="3">
        <f t="shared" si="62"/>
        <v>2410519926.761663</v>
      </c>
      <c r="AH30">
        <v>25</v>
      </c>
      <c r="AI30">
        <v>298</v>
      </c>
      <c r="AJ30">
        <f>U30+(S30*AH30)+(T30*AI30)</f>
        <v>1344645840784.9424</v>
      </c>
      <c r="AM30">
        <f>'Output Interpolation'!AC26</f>
        <v>2035</v>
      </c>
      <c r="AN30">
        <f>'Output Interpolation'!AD26</f>
        <v>41</v>
      </c>
      <c r="AO30">
        <f>'Output Interpolation'!AE26</f>
        <v>0.43052922201723637</v>
      </c>
      <c r="AP30">
        <f>'Output Interpolation'!AF26</f>
        <v>0.481837084148728</v>
      </c>
      <c r="AQ30">
        <f>'Output Interpolation'!AG26</f>
        <v>0.46255287908333809</v>
      </c>
      <c r="AR30">
        <f>'Output Interpolation'!AH26</f>
        <v>0.49189189189189192</v>
      </c>
      <c r="AS30">
        <f>'Output Interpolation'!AI26</f>
        <v>0.49255281790099442</v>
      </c>
      <c r="AT30">
        <f>'Output Interpolation'!AJ26</f>
        <v>0.40176339208563827</v>
      </c>
      <c r="AU30">
        <f>'Output Interpolation'!AN26</f>
        <v>0.50093473347146356</v>
      </c>
      <c r="AV30">
        <f>'Output Interpolation'!AO26</f>
        <v>0.49985397694033323</v>
      </c>
      <c r="AW30">
        <f>'Output Interpolation'!AK26</f>
        <v>0.50093473347146356</v>
      </c>
      <c r="AX30">
        <f>'Output Interpolation'!AL26</f>
        <v>0.49985397694033323</v>
      </c>
      <c r="AY30">
        <f>'Output Interpolation'!AM26</f>
        <v>0.44049281306863558</v>
      </c>
      <c r="AZ30">
        <f>'Output Interpolation'!AP26</f>
        <v>0.5003207522655666</v>
      </c>
      <c r="BA30">
        <f>'Output Interpolation'!AQ26</f>
        <v>0.49984257790044345</v>
      </c>
    </row>
    <row r="31" spans="1:53">
      <c r="A31">
        <v>2026</v>
      </c>
      <c r="B31" t="s">
        <v>109</v>
      </c>
      <c r="C31" s="3">
        <f t="shared" si="66"/>
        <v>726892536.36179566</v>
      </c>
      <c r="D31" s="3">
        <f>D30+(D35-D30)/5</f>
        <v>508705090.62895262</v>
      </c>
      <c r="E31" s="42">
        <f t="shared" si="67"/>
        <v>0.69983534729232</v>
      </c>
      <c r="I31">
        <f>'Fleet ZEV fractions'!AF43</f>
        <v>2024</v>
      </c>
      <c r="J31">
        <f>'Fleet ZEV fractions'!AG43</f>
        <v>3.4199938936026961E-4</v>
      </c>
      <c r="P31">
        <v>2035</v>
      </c>
      <c r="Q31" s="8" t="s">
        <v>109</v>
      </c>
      <c r="R31" s="3">
        <f t="shared" ref="R31:Z31" si="69">SUM(R28:R30)</f>
        <v>5077224024.8638878</v>
      </c>
      <c r="S31" s="3">
        <f t="shared" si="69"/>
        <v>1130023305.2652774</v>
      </c>
      <c r="T31" s="3">
        <f t="shared" si="69"/>
        <v>385614761.39180505</v>
      </c>
      <c r="U31" s="3">
        <f t="shared" si="69"/>
        <v>19498092232713.594</v>
      </c>
      <c r="V31" s="3">
        <f t="shared" si="63"/>
        <v>19641256014239.98</v>
      </c>
      <c r="W31" s="3">
        <f t="shared" si="69"/>
        <v>256626507.75412884</v>
      </c>
      <c r="X31" s="3">
        <f t="shared" si="69"/>
        <v>466231132.90211862</v>
      </c>
      <c r="Y31" s="3">
        <f t="shared" si="69"/>
        <v>149993835.28128645</v>
      </c>
      <c r="Z31" s="3">
        <f t="shared" si="69"/>
        <v>76272387.920842081</v>
      </c>
      <c r="AA31" s="3">
        <f t="shared" si="64"/>
        <v>692497356.10424709</v>
      </c>
      <c r="AB31" s="3">
        <f t="shared" ref="AB31:AD31" si="70">SUM(AB28:AB30)</f>
        <v>16177401660.373039</v>
      </c>
      <c r="AC31" s="3">
        <f t="shared" si="70"/>
        <v>225153175.95931455</v>
      </c>
      <c r="AD31" s="3">
        <f t="shared" si="70"/>
        <v>1386210550.9649305</v>
      </c>
      <c r="AE31" s="3">
        <f>SUM(AE28:AE30)</f>
        <v>7915554.2436346253</v>
      </c>
      <c r="AF31" s="3">
        <f>SUM(AF28:AF30)</f>
        <v>60541286462.352638</v>
      </c>
      <c r="AJ31">
        <f>SUM(AJ28:AJ30)</f>
        <v>19641256014239.98</v>
      </c>
    </row>
    <row r="32" spans="1:53">
      <c r="A32">
        <v>2027</v>
      </c>
      <c r="B32" t="s">
        <v>109</v>
      </c>
      <c r="C32" s="3">
        <f t="shared" si="66"/>
        <v>712774039.47133601</v>
      </c>
      <c r="D32" s="3">
        <f>D30+(D35-D30)/5*2</f>
        <v>493696819.00882369</v>
      </c>
      <c r="E32" s="42">
        <f t="shared" si="67"/>
        <v>0.69264141462699491</v>
      </c>
      <c r="I32">
        <f>'Fleet ZEV fractions'!AF44</f>
        <v>2025</v>
      </c>
      <c r="J32">
        <f>'Fleet ZEV fractions'!AG44</f>
        <v>3.4502793561765093E-4</v>
      </c>
      <c r="P32" s="6"/>
      <c r="R32" s="3"/>
      <c r="S32" s="3"/>
      <c r="T32" s="3"/>
      <c r="U32" s="3"/>
      <c r="V32" s="3"/>
      <c r="W32" s="3">
        <f>W31-W30</f>
        <v>239270146.4331004</v>
      </c>
      <c r="X32" s="3"/>
      <c r="Y32" s="3"/>
      <c r="Z32" s="3"/>
      <c r="AA32" s="3"/>
      <c r="AB32" s="3"/>
      <c r="AC32" s="3"/>
      <c r="AD32" s="3"/>
      <c r="AE32" s="3"/>
      <c r="AF32" s="3"/>
    </row>
    <row r="33" spans="1:36">
      <c r="A33">
        <v>2028</v>
      </c>
      <c r="B33" t="s">
        <v>109</v>
      </c>
      <c r="C33" s="3">
        <f t="shared" si="66"/>
        <v>698655542.58087623</v>
      </c>
      <c r="D33" s="3">
        <f>D30+(D35-D30)/5*3</f>
        <v>478688547.38869482</v>
      </c>
      <c r="E33" s="42">
        <f t="shared" si="67"/>
        <v>0.68515673062635429</v>
      </c>
      <c r="I33">
        <f>'Fleet ZEV fractions'!AF45</f>
        <v>2026</v>
      </c>
      <c r="J33">
        <f>'Fleet ZEV fractions'!AG45</f>
        <v>3.4805648187503219E-4</v>
      </c>
      <c r="P33" s="18">
        <f>'County Scale Output 2017-2040'!A14</f>
        <v>2040</v>
      </c>
      <c r="Q33" s="38">
        <f>'County Scale Output 2017-2040'!B14</f>
        <v>20</v>
      </c>
      <c r="R33" s="40">
        <f>'County Scale Output 2017-2040'!C14</f>
        <v>1513037634.125</v>
      </c>
      <c r="S33" s="40">
        <f>'County Scale Output 2017-2040'!D14</f>
        <v>432603062.328125</v>
      </c>
      <c r="T33" s="40">
        <f>'County Scale Output 2017-2040'!E14</f>
        <v>138698016</v>
      </c>
      <c r="U33" s="40">
        <f>'County Scale Output 2017-2040'!F14</f>
        <v>6515424267264</v>
      </c>
      <c r="V33" s="40">
        <f>AJ33</f>
        <v>6567571352590.2031</v>
      </c>
      <c r="W33" s="40">
        <f>'County Scale Output 2017-2040'!G14</f>
        <v>85915170.440429702</v>
      </c>
      <c r="X33" s="40">
        <f>'County Scale Output 2017-2040'!H14</f>
        <v>211940783.47656199</v>
      </c>
      <c r="Y33" s="40">
        <f>'County Scale Output 2017-2040'!I14</f>
        <v>61157022.165832497</v>
      </c>
      <c r="Z33" s="40">
        <f>'County Scale Output 2017-2040'!J14</f>
        <v>32005881.353759799</v>
      </c>
      <c r="AA33" s="40">
        <f>X33+Y33+Z33</f>
        <v>305103686.99615431</v>
      </c>
      <c r="AB33" s="40">
        <f>'County Scale Output 2017-2040'!K14</f>
        <v>7577551520.625</v>
      </c>
      <c r="AC33" s="40">
        <f>'County Scale Output 2017-2040'!L14</f>
        <v>76639165.423828095</v>
      </c>
      <c r="AD33" s="40">
        <f>'County Scale Output 2017-2040'!M14</f>
        <v>590663165.57031202</v>
      </c>
      <c r="AE33" s="40">
        <f>'County Scale Output 2017-2040'!N14</f>
        <v>3800035.474618</v>
      </c>
      <c r="AF33" s="41">
        <f>'County Scale Output 2017-2040'!O14</f>
        <v>25587703740.188</v>
      </c>
      <c r="AH33">
        <v>25</v>
      </c>
      <c r="AI33">
        <v>298</v>
      </c>
      <c r="AJ33">
        <f>U33+(S33*AH33)+(T33*AI33)</f>
        <v>6567571352590.2031</v>
      </c>
    </row>
    <row r="34" spans="1:36">
      <c r="A34">
        <v>2029</v>
      </c>
      <c r="B34" t="s">
        <v>109</v>
      </c>
      <c r="C34" s="3">
        <f t="shared" si="66"/>
        <v>684537045.69041657</v>
      </c>
      <c r="D34" s="3">
        <f>D30+(D35-D30)/5*4</f>
        <v>463680275.76856589</v>
      </c>
      <c r="E34" s="42">
        <f t="shared" si="67"/>
        <v>0.67736330515305132</v>
      </c>
      <c r="I34">
        <f>'Fleet ZEV fractions'!AF46</f>
        <v>2027</v>
      </c>
      <c r="J34">
        <f>'Fleet ZEV fractions'!AG46</f>
        <v>3.510850281324135E-4</v>
      </c>
      <c r="P34" s="19">
        <f>'County Scale Output 2017-2040'!A15</f>
        <v>2040</v>
      </c>
      <c r="Q34">
        <f>'County Scale Output 2017-2040'!B15</f>
        <v>30</v>
      </c>
      <c r="R34" s="3">
        <f>'County Scale Output 2017-2040'!C15</f>
        <v>2058136174.75</v>
      </c>
      <c r="S34" s="3">
        <f>'County Scale Output 2017-2040'!D15</f>
        <v>560147220.625</v>
      </c>
      <c r="T34" s="3">
        <f>'County Scale Output 2017-2040'!E15</f>
        <v>255287270.9375</v>
      </c>
      <c r="U34" s="3">
        <f>'County Scale Output 2017-2040'!F15</f>
        <v>11376004511744</v>
      </c>
      <c r="V34" s="3">
        <f t="shared" ref="V34:V36" si="71">AJ34</f>
        <v>11466083798999</v>
      </c>
      <c r="W34" s="3">
        <f>'County Scale Output 2017-2040'!G15</f>
        <v>149953790.307861</v>
      </c>
      <c r="X34" s="3">
        <f>'County Scale Output 2017-2040'!H15</f>
        <v>288745611.0625</v>
      </c>
      <c r="Y34" s="3">
        <f>'County Scale Output 2017-2040'!I15</f>
        <v>86054203.334106401</v>
      </c>
      <c r="Z34" s="3">
        <f>'County Scale Output 2017-2040'!J15</f>
        <v>42221728.218200698</v>
      </c>
      <c r="AA34" s="3">
        <f t="shared" ref="AA34:AA36" si="72">X34+Y34+Z34</f>
        <v>417021542.61480707</v>
      </c>
      <c r="AB34" s="3">
        <f>'County Scale Output 2017-2040'!K15</f>
        <v>7878803259</v>
      </c>
      <c r="AC34" s="3">
        <f>'County Scale Output 2017-2040'!L15</f>
        <v>133036545.890625</v>
      </c>
      <c r="AD34" s="3">
        <f>'County Scale Output 2017-2040'!M15</f>
        <v>774295588.75</v>
      </c>
      <c r="AE34" s="3">
        <f>'County Scale Output 2017-2040'!N15</f>
        <v>4760943.8020371003</v>
      </c>
      <c r="AF34" s="35">
        <f>'County Scale Output 2017-2040'!O15</f>
        <v>34203700516.742199</v>
      </c>
      <c r="AG34">
        <f>AE33/(AE33+AE34)</f>
        <v>0.44387859750814973</v>
      </c>
      <c r="AH34">
        <v>25</v>
      </c>
      <c r="AI34">
        <v>298</v>
      </c>
      <c r="AJ34">
        <f>U34+(S34*AH34)+(T34*AI34)</f>
        <v>11466083798999</v>
      </c>
    </row>
    <row r="35" spans="1:36">
      <c r="A35">
        <v>2030</v>
      </c>
      <c r="B35" t="s">
        <v>109</v>
      </c>
      <c r="C35" s="3">
        <f t="shared" si="66"/>
        <v>670418548.7999568</v>
      </c>
      <c r="D35" s="3">
        <f>X26</f>
        <v>448672004.14843702</v>
      </c>
      <c r="E35" s="42">
        <f t="shared" si="67"/>
        <v>0.66924163263614334</v>
      </c>
      <c r="I35">
        <f>'Fleet ZEV fractions'!AF47</f>
        <v>2028</v>
      </c>
      <c r="J35">
        <f>'Fleet ZEV fractions'!AG47</f>
        <v>3.5411357438979476E-4</v>
      </c>
      <c r="P35" s="19">
        <f>'County Scale Output 2017-2040'!A16</f>
        <v>2040</v>
      </c>
      <c r="Q35">
        <f>'County Scale Output 2017-2040'!B16</f>
        <v>41</v>
      </c>
      <c r="R35" s="3">
        <f>'County Scale Output 2017-2040'!C16</f>
        <v>983096262</v>
      </c>
      <c r="S35" s="3">
        <f>'County Scale Output 2017-2040'!D16</f>
        <v>130843667</v>
      </c>
      <c r="T35" s="3">
        <f>'County Scale Output 2017-2040'!E16</f>
        <v>19747631.125</v>
      </c>
      <c r="U35" s="3">
        <f>'County Scale Output 2017-2040'!F16</f>
        <v>1338253205504</v>
      </c>
      <c r="V35" s="3">
        <f t="shared" si="71"/>
        <v>1347409091254.25</v>
      </c>
      <c r="W35" s="3">
        <f>'County Scale Output 2017-2040'!G16</f>
        <v>17362480.125</v>
      </c>
      <c r="X35" s="3">
        <f>'County Scale Output 2017-2040'!H16</f>
        <v>13084054.875</v>
      </c>
      <c r="Y35" s="3">
        <f>'County Scale Output 2017-2040'!I16</f>
        <v>7144732.5625</v>
      </c>
      <c r="Z35" s="3">
        <f>'County Scale Output 2017-2040'!J16</f>
        <v>4264804.46875</v>
      </c>
      <c r="AA35" s="3">
        <f t="shared" si="72"/>
        <v>24493591.90625</v>
      </c>
      <c r="AB35" s="3">
        <f>'County Scale Output 2017-2040'!K16</f>
        <v>462624596</v>
      </c>
      <c r="AC35" s="3">
        <f>'County Scale Output 2017-2040'!L16</f>
        <v>8276578.6875</v>
      </c>
      <c r="AD35" s="3">
        <f>'County Scale Output 2017-2040'!M16</f>
        <v>75440805</v>
      </c>
      <c r="AE35" s="3">
        <f>'County Scale Output 2017-2040'!N16</f>
        <v>343601.99219999998</v>
      </c>
      <c r="AF35" s="35">
        <f>'County Scale Output 2017-2040'!O16</f>
        <v>2501556128</v>
      </c>
      <c r="AH35">
        <v>25</v>
      </c>
      <c r="AI35">
        <v>298</v>
      </c>
      <c r="AJ35">
        <f>U35+(S35*AH35)+(T35*AI35)</f>
        <v>1347409091254.25</v>
      </c>
    </row>
    <row r="36" spans="1:36">
      <c r="A36">
        <v>2031</v>
      </c>
      <c r="B36" t="s">
        <v>109</v>
      </c>
      <c r="C36" s="3">
        <f t="shared" si="66"/>
        <v>674834310.26081491</v>
      </c>
      <c r="D36" s="3">
        <f>D35+(D40-D35)/5</f>
        <v>452183829.89917332</v>
      </c>
      <c r="E36" s="42">
        <f t="shared" si="67"/>
        <v>0.67006644893975531</v>
      </c>
      <c r="I36">
        <f>'Fleet ZEV fractions'!AF48</f>
        <v>2029</v>
      </c>
      <c r="J36">
        <f>'Fleet ZEV fractions'!AG48</f>
        <v>3.5714212064717608E-4</v>
      </c>
      <c r="P36" s="20">
        <v>2040</v>
      </c>
      <c r="Q36" s="67" t="s">
        <v>109</v>
      </c>
      <c r="R36" s="32">
        <f t="shared" ref="R36:Z36" si="73">SUM(R33:R35)</f>
        <v>4554270070.875</v>
      </c>
      <c r="S36" s="32">
        <f t="shared" si="73"/>
        <v>1123593949.953125</v>
      </c>
      <c r="T36" s="32">
        <f t="shared" si="73"/>
        <v>413732918.0625</v>
      </c>
      <c r="U36" s="32">
        <f t="shared" si="73"/>
        <v>19229681984512</v>
      </c>
      <c r="V36" s="32">
        <f t="shared" si="71"/>
        <v>19381064242843.453</v>
      </c>
      <c r="W36" s="32">
        <f t="shared" si="73"/>
        <v>253231440.87329072</v>
      </c>
      <c r="X36" s="32">
        <f t="shared" si="73"/>
        <v>513770449.41406202</v>
      </c>
      <c r="Y36" s="32">
        <f t="shared" si="73"/>
        <v>154355958.06243891</v>
      </c>
      <c r="Z36" s="32">
        <f t="shared" si="73"/>
        <v>78492414.040710494</v>
      </c>
      <c r="AA36" s="32">
        <f t="shared" si="72"/>
        <v>746618821.51721144</v>
      </c>
      <c r="AB36" s="32">
        <f>SUM(AB33:AB35)</f>
        <v>15918979375.625</v>
      </c>
      <c r="AC36" s="32">
        <f t="shared" ref="AC36:AD36" si="74">SUM(AC33:AC35)</f>
        <v>217952290.0019531</v>
      </c>
      <c r="AD36" s="32">
        <f t="shared" si="74"/>
        <v>1440399559.320312</v>
      </c>
      <c r="AE36" s="32">
        <f>SUM(AE33:AE35)</f>
        <v>8904581.2688551005</v>
      </c>
      <c r="AF36" s="36">
        <f>SUM(AF33:AF35)</f>
        <v>62292960384.930199</v>
      </c>
      <c r="AJ36">
        <f>SUM(AJ33:AJ35)</f>
        <v>19381064242843.453</v>
      </c>
    </row>
    <row r="37" spans="1:36">
      <c r="A37">
        <v>2032</v>
      </c>
      <c r="B37" t="s">
        <v>109</v>
      </c>
      <c r="C37" s="3">
        <f t="shared" si="66"/>
        <v>679250071.72167289</v>
      </c>
      <c r="D37" s="3">
        <f>D35+(D40-D35)/5*2</f>
        <v>455695655.64990968</v>
      </c>
      <c r="E37" s="42">
        <f t="shared" si="67"/>
        <v>0.67088054108683837</v>
      </c>
      <c r="I37">
        <f>'Fleet ZEV fractions'!AF49</f>
        <v>2030</v>
      </c>
      <c r="J37">
        <f>'Fleet ZEV fractions'!AG49</f>
        <v>3.6017066690455734E-4</v>
      </c>
      <c r="W37" s="3">
        <f>W36-W35</f>
        <v>235868960.74829072</v>
      </c>
    </row>
    <row r="38" spans="1:36">
      <c r="A38">
        <v>2033</v>
      </c>
      <c r="B38" t="s">
        <v>109</v>
      </c>
      <c r="C38" s="3">
        <f t="shared" si="66"/>
        <v>683665833.182531</v>
      </c>
      <c r="D38" s="3">
        <f>D35+(D40-D35)/5*3</f>
        <v>459207481.40064597</v>
      </c>
      <c r="E38" s="42">
        <f t="shared" si="67"/>
        <v>0.67168411687767171</v>
      </c>
      <c r="I38">
        <f>'Fleet ZEV fractions'!AF50</f>
        <v>2031</v>
      </c>
      <c r="J38">
        <f>'Fleet ZEV fractions'!AG50</f>
        <v>3.3328368553201801E-4</v>
      </c>
      <c r="AG38">
        <f>(AG19+AG24+AG29+AG34)/4</f>
        <v>0.44390552873476918</v>
      </c>
    </row>
    <row r="39" spans="1:36">
      <c r="A39">
        <v>2034</v>
      </c>
      <c r="B39" t="s">
        <v>109</v>
      </c>
      <c r="C39" s="3">
        <f t="shared" si="66"/>
        <v>688081594.64338899</v>
      </c>
      <c r="D39" s="3">
        <f>D35+(D40-D35)/5*4</f>
        <v>462719307.15138233</v>
      </c>
      <c r="E39" s="42">
        <f t="shared" si="67"/>
        <v>0.67247737877830482</v>
      </c>
      <c r="I39">
        <f>'Fleet ZEV fractions'!AF51</f>
        <v>2032</v>
      </c>
      <c r="J39">
        <f>'Fleet ZEV fractions'!AG51</f>
        <v>3.0639670415947868E-4</v>
      </c>
    </row>
    <row r="40" spans="1:36">
      <c r="A40">
        <v>2035</v>
      </c>
      <c r="B40" t="s">
        <v>109</v>
      </c>
      <c r="C40" s="3">
        <f t="shared" si="66"/>
        <v>692497356.10424709</v>
      </c>
      <c r="D40" s="3">
        <f>X31</f>
        <v>466231132.90211862</v>
      </c>
      <c r="E40" s="42">
        <f t="shared" si="67"/>
        <v>0.67326052409062653</v>
      </c>
      <c r="I40">
        <f>'Fleet ZEV fractions'!AF52</f>
        <v>2033</v>
      </c>
      <c r="J40">
        <f>'Fleet ZEV fractions'!AG52</f>
        <v>2.795097227869394E-4</v>
      </c>
    </row>
    <row r="41" spans="1:36">
      <c r="A41">
        <v>2036</v>
      </c>
      <c r="B41" t="s">
        <v>109</v>
      </c>
      <c r="C41" s="3">
        <f t="shared" si="66"/>
        <v>703321649.18683994</v>
      </c>
      <c r="D41" s="3">
        <f>D40+(D45-D40)/5</f>
        <v>475738996.20450729</v>
      </c>
      <c r="E41" s="42">
        <f t="shared" si="67"/>
        <v>0.67641739274561352</v>
      </c>
      <c r="I41">
        <f>'Fleet ZEV fractions'!AF53</f>
        <v>2034</v>
      </c>
      <c r="J41">
        <f>'Fleet ZEV fractions'!AG53</f>
        <v>2.5262274141440007E-4</v>
      </c>
    </row>
    <row r="42" spans="1:36">
      <c r="A42">
        <v>2037</v>
      </c>
      <c r="B42" t="s">
        <v>109</v>
      </c>
      <c r="C42" s="3">
        <f t="shared" si="66"/>
        <v>714145942.26943278</v>
      </c>
      <c r="D42" s="3">
        <f>D40+(D45-D40)/5*2</f>
        <v>485246859.50689596</v>
      </c>
      <c r="E42" s="42">
        <f t="shared" si="67"/>
        <v>0.67947856423417463</v>
      </c>
      <c r="I42">
        <f>'Fleet ZEV fractions'!AF54</f>
        <v>2035</v>
      </c>
      <c r="J42">
        <f>'Fleet ZEV fractions'!AG54</f>
        <v>2.2573576004186074E-4</v>
      </c>
    </row>
    <row r="43" spans="1:36">
      <c r="A43">
        <v>2038</v>
      </c>
      <c r="B43" t="s">
        <v>109</v>
      </c>
      <c r="C43" s="3">
        <f t="shared" si="66"/>
        <v>724970235.35202575</v>
      </c>
      <c r="D43" s="3">
        <f>D40+(D45-D40)/5*3</f>
        <v>494754722.80928469</v>
      </c>
      <c r="E43" s="42">
        <f t="shared" si="67"/>
        <v>0.68244832502543407</v>
      </c>
      <c r="I43">
        <f>'Fleet ZEV fractions'!AF55</f>
        <v>2036</v>
      </c>
      <c r="J43">
        <f>'Fleet ZEV fractions'!AG55</f>
        <v>1.9884877866932144E-4</v>
      </c>
    </row>
    <row r="44" spans="1:36">
      <c r="A44">
        <v>2039</v>
      </c>
      <c r="B44" t="s">
        <v>109</v>
      </c>
      <c r="C44" s="3">
        <f t="shared" si="66"/>
        <v>735794528.43461859</v>
      </c>
      <c r="D44" s="3">
        <f>D40+(D45-D40)/5*4</f>
        <v>504262586.11167336</v>
      </c>
      <c r="E44" s="42">
        <f t="shared" si="67"/>
        <v>0.6853307093550659</v>
      </c>
      <c r="I44">
        <f>'Fleet ZEV fractions'!AF56</f>
        <v>2037</v>
      </c>
      <c r="J44">
        <f>'Fleet ZEV fractions'!AG56</f>
        <v>1.7196179729678211E-4</v>
      </c>
    </row>
    <row r="45" spans="1:36">
      <c r="A45">
        <v>2040</v>
      </c>
      <c r="B45" t="s">
        <v>109</v>
      </c>
      <c r="C45" s="3">
        <f t="shared" si="66"/>
        <v>746618821.51721144</v>
      </c>
      <c r="D45" s="3">
        <f>X36</f>
        <v>513770449.41406202</v>
      </c>
      <c r="E45" s="42">
        <f t="shared" si="67"/>
        <v>0.68812951750938189</v>
      </c>
      <c r="I45">
        <f>'Fleet ZEV fractions'!AF57</f>
        <v>2038</v>
      </c>
      <c r="J45">
        <f>'Fleet ZEV fractions'!AG57</f>
        <v>1.4507481592424278E-4</v>
      </c>
    </row>
    <row r="46" spans="1:36">
      <c r="I46">
        <f>'Fleet ZEV fractions'!AF58</f>
        <v>2039</v>
      </c>
      <c r="J46">
        <f>'Fleet ZEV fractions'!AG58</f>
        <v>1.1818783455170344E-4</v>
      </c>
    </row>
    <row r="47" spans="1:36">
      <c r="I47">
        <f>'Fleet ZEV fractions'!AF59</f>
        <v>2040</v>
      </c>
      <c r="J47">
        <f>'Fleet ZEV fractions'!AG59</f>
        <v>9.1300853179164128E-5</v>
      </c>
    </row>
  </sheetData>
  <sheetProtection algorithmName="SHA-512" hashValue="6K1Ba1CKXVYCYmQ9/6XalUCiV9Z5EEGNs1UPuwtsoDg94+Np18K2MmBtZpi4yueQDXaNjnKDtVGdrFMiwfY5Pw==" saltValue="HM+hP2NbjJuPeY8vZRwlvw=="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U32"/>
  <sheetViews>
    <sheetView workbookViewId="0">
      <selection activeCell="E1" sqref="E1"/>
    </sheetView>
  </sheetViews>
  <sheetFormatPr baseColWidth="10" defaultColWidth="8.83203125" defaultRowHeight="15"/>
  <cols>
    <col min="3" max="3" width="12.1640625" bestFit="1" customWidth="1"/>
    <col min="4" max="4" width="11.5" customWidth="1"/>
    <col min="5" max="5" width="11.1640625" bestFit="1" customWidth="1"/>
    <col min="6" max="6" width="15.1640625" customWidth="1"/>
    <col min="7" max="7" width="10.1640625" bestFit="1" customWidth="1"/>
    <col min="8" max="8" width="11" customWidth="1"/>
    <col min="9" max="9" width="10.1640625" bestFit="1" customWidth="1"/>
    <col min="10" max="10" width="9.33203125" bestFit="1" customWidth="1"/>
    <col min="11" max="11" width="12.6640625" customWidth="1"/>
    <col min="12" max="12" width="10" customWidth="1"/>
    <col min="13" max="13" width="11.6640625" customWidth="1"/>
    <col min="14" max="14" width="9.33203125" bestFit="1" customWidth="1"/>
    <col min="15" max="15" width="12.83203125" customWidth="1"/>
  </cols>
  <sheetData>
    <row r="1" spans="1:21">
      <c r="A1" s="2" t="s">
        <v>76</v>
      </c>
      <c r="C1" s="6"/>
      <c r="E1" t="s">
        <v>551</v>
      </c>
      <c r="H1" s="6"/>
      <c r="I1" s="6"/>
      <c r="Q1" s="30" t="s">
        <v>509</v>
      </c>
    </row>
    <row r="2" spans="1:21">
      <c r="Q2" t="s">
        <v>510</v>
      </c>
      <c r="R2" t="s">
        <v>0</v>
      </c>
      <c r="S2" t="s">
        <v>31</v>
      </c>
      <c r="T2" t="s">
        <v>511</v>
      </c>
      <c r="U2" t="s">
        <v>75</v>
      </c>
    </row>
    <row r="3" spans="1:21">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27</v>
      </c>
      <c r="R3">
        <v>2017</v>
      </c>
      <c r="S3">
        <v>20</v>
      </c>
      <c r="T3">
        <v>1</v>
      </c>
      <c r="U3">
        <v>22742047232</v>
      </c>
    </row>
    <row r="4" spans="1:21">
      <c r="A4">
        <v>2017</v>
      </c>
      <c r="B4">
        <v>20</v>
      </c>
      <c r="C4" s="3">
        <v>14982284756.8125</v>
      </c>
      <c r="D4" s="3">
        <v>1195815813.89062</v>
      </c>
      <c r="E4" s="3">
        <v>235778752.97265601</v>
      </c>
      <c r="F4" s="3">
        <v>8424168561664</v>
      </c>
      <c r="G4" s="3">
        <v>111153421.77001999</v>
      </c>
      <c r="H4" s="3">
        <v>250749283.49511701</v>
      </c>
      <c r="I4" s="3">
        <v>54725601.643188499</v>
      </c>
      <c r="J4" s="3">
        <v>28640082.989379901</v>
      </c>
      <c r="K4" s="3">
        <v>14057981505.1875</v>
      </c>
      <c r="L4" s="3">
        <v>99953902.578125</v>
      </c>
      <c r="M4" s="3">
        <v>949552069.17968798</v>
      </c>
      <c r="N4" s="3">
        <v>2123245.5429499997</v>
      </c>
      <c r="O4">
        <v>22896844255.5</v>
      </c>
      <c r="Q4">
        <v>27</v>
      </c>
      <c r="R4">
        <v>2017</v>
      </c>
      <c r="S4">
        <v>20</v>
      </c>
      <c r="T4">
        <v>2</v>
      </c>
      <c r="U4">
        <v>121572972</v>
      </c>
    </row>
    <row r="5" spans="1:21">
      <c r="A5">
        <v>2017</v>
      </c>
      <c r="B5">
        <v>30</v>
      </c>
      <c r="C5" s="3">
        <v>23524713813.5</v>
      </c>
      <c r="D5" s="3">
        <v>1498033525.75</v>
      </c>
      <c r="E5" s="3">
        <v>420020006.29296899</v>
      </c>
      <c r="F5" s="3">
        <v>14222503150592</v>
      </c>
      <c r="G5" s="3">
        <v>187567957.39038101</v>
      </c>
      <c r="H5" s="3">
        <v>286135570.484375</v>
      </c>
      <c r="I5" s="3">
        <v>76518881.179077104</v>
      </c>
      <c r="J5" s="3">
        <v>37504081.716674797</v>
      </c>
      <c r="K5" s="3">
        <v>15471894802.5</v>
      </c>
      <c r="L5" s="3">
        <v>168623311.87890601</v>
      </c>
      <c r="M5" s="3">
        <v>1049864549.90625</v>
      </c>
      <c r="N5" s="3">
        <v>2584303.2773195999</v>
      </c>
      <c r="O5">
        <v>30369829197</v>
      </c>
      <c r="Q5">
        <v>27</v>
      </c>
      <c r="R5">
        <v>2017</v>
      </c>
      <c r="S5">
        <v>20</v>
      </c>
      <c r="T5">
        <v>5</v>
      </c>
      <c r="U5">
        <v>17999612.5</v>
      </c>
    </row>
    <row r="6" spans="1:21">
      <c r="A6">
        <v>2017</v>
      </c>
      <c r="B6">
        <v>41</v>
      </c>
      <c r="C6" s="3">
        <v>7040390784</v>
      </c>
      <c r="D6" s="3">
        <v>255463182</v>
      </c>
      <c r="E6" s="3">
        <v>73941937.125</v>
      </c>
      <c r="F6" s="3">
        <v>1860871471104</v>
      </c>
      <c r="G6" s="3">
        <v>24233676</v>
      </c>
      <c r="H6" s="3">
        <v>264264481</v>
      </c>
      <c r="I6" s="3">
        <v>6719849.4375</v>
      </c>
      <c r="J6" s="3">
        <v>4296849</v>
      </c>
      <c r="K6" s="3">
        <v>2413544416</v>
      </c>
      <c r="L6" s="3">
        <v>14039342.1875</v>
      </c>
      <c r="M6" s="3">
        <v>107859526</v>
      </c>
      <c r="N6" s="3">
        <v>283153.90620000003</v>
      </c>
      <c r="O6">
        <v>2532510592</v>
      </c>
      <c r="Q6">
        <v>27</v>
      </c>
      <c r="R6">
        <v>2017</v>
      </c>
      <c r="S6">
        <v>20</v>
      </c>
      <c r="T6">
        <v>9</v>
      </c>
      <c r="U6">
        <v>15224439</v>
      </c>
    </row>
    <row r="7" spans="1:21">
      <c r="C7" s="3"/>
      <c r="D7" s="3"/>
      <c r="E7" s="3"/>
      <c r="F7" s="3"/>
      <c r="G7" s="3"/>
      <c r="H7" s="3"/>
      <c r="I7" s="3"/>
      <c r="J7" s="3"/>
      <c r="K7" s="3"/>
      <c r="L7" s="3"/>
      <c r="M7" s="3"/>
      <c r="N7" s="3"/>
      <c r="Q7">
        <v>27</v>
      </c>
      <c r="R7">
        <v>2017</v>
      </c>
      <c r="S7">
        <v>30</v>
      </c>
      <c r="T7">
        <v>1</v>
      </c>
      <c r="U7">
        <v>30108083200</v>
      </c>
    </row>
    <row r="8" spans="1:21">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27</v>
      </c>
      <c r="R8">
        <v>2017</v>
      </c>
      <c r="S8">
        <v>30</v>
      </c>
      <c r="T8">
        <v>2</v>
      </c>
      <c r="U8">
        <v>164606912</v>
      </c>
    </row>
    <row r="9" spans="1:21">
      <c r="A9">
        <v>2030</v>
      </c>
      <c r="B9">
        <v>20</v>
      </c>
      <c r="C9" s="3">
        <v>2622946106.6875</v>
      </c>
      <c r="D9" s="3">
        <v>510443396.09375</v>
      </c>
      <c r="E9" s="3">
        <v>127351914.996094</v>
      </c>
      <c r="F9" s="3">
        <v>7200177515008</v>
      </c>
      <c r="G9" s="3">
        <v>95024569.274902299</v>
      </c>
      <c r="H9" s="3">
        <v>160420073.03906199</v>
      </c>
      <c r="I9" s="3">
        <v>58272696.463378899</v>
      </c>
      <c r="J9" s="3">
        <v>30496398.286743201</v>
      </c>
      <c r="K9" s="3">
        <v>7846368210.25</v>
      </c>
      <c r="L9" s="3">
        <v>85235229.952148393</v>
      </c>
      <c r="M9" s="3">
        <v>594431765.296875</v>
      </c>
      <c r="N9" s="3">
        <v>2950394.0523040001</v>
      </c>
      <c r="O9">
        <v>24380925172</v>
      </c>
      <c r="Q9">
        <v>27</v>
      </c>
      <c r="R9">
        <v>2017</v>
      </c>
      <c r="S9">
        <v>30</v>
      </c>
      <c r="T9">
        <v>5</v>
      </c>
      <c r="U9">
        <v>94463170</v>
      </c>
    </row>
    <row r="10" spans="1:21">
      <c r="A10">
        <v>2030</v>
      </c>
      <c r="B10">
        <v>30</v>
      </c>
      <c r="C10" s="3">
        <v>3906159977</v>
      </c>
      <c r="D10" s="3">
        <v>628281210.5</v>
      </c>
      <c r="E10" s="3">
        <v>232504631.5</v>
      </c>
      <c r="F10" s="3">
        <v>11903529527296</v>
      </c>
      <c r="G10" s="3">
        <v>156936918.85479701</v>
      </c>
      <c r="H10" s="3">
        <v>247741862.609375</v>
      </c>
      <c r="I10" s="3">
        <v>82196189.509735107</v>
      </c>
      <c r="J10" s="3">
        <v>40318976.704162598</v>
      </c>
      <c r="K10" s="3">
        <v>8037547780.5</v>
      </c>
      <c r="L10" s="3">
        <v>139935905.3125</v>
      </c>
      <c r="M10" s="3">
        <v>776603332.625</v>
      </c>
      <c r="N10" s="3">
        <v>3690967.9544268996</v>
      </c>
      <c r="O10">
        <v>32659231686.202999</v>
      </c>
      <c r="Q10">
        <v>27</v>
      </c>
      <c r="R10">
        <v>2017</v>
      </c>
      <c r="S10">
        <v>30</v>
      </c>
      <c r="T10">
        <v>9</v>
      </c>
      <c r="U10">
        <v>2675915</v>
      </c>
    </row>
    <row r="11" spans="1:21">
      <c r="A11">
        <v>2030</v>
      </c>
      <c r="B11">
        <v>41</v>
      </c>
      <c r="C11" s="3">
        <v>1682853696</v>
      </c>
      <c r="D11" s="3">
        <v>129731893</v>
      </c>
      <c r="E11" s="3">
        <v>26041604.375</v>
      </c>
      <c r="F11" s="3">
        <v>1376154910720</v>
      </c>
      <c r="G11" s="3">
        <v>17875083.625</v>
      </c>
      <c r="H11" s="3">
        <v>40510068.5</v>
      </c>
      <c r="I11" s="3">
        <v>6510443.21875</v>
      </c>
      <c r="J11" s="3">
        <v>3951840.46875</v>
      </c>
      <c r="K11" s="3">
        <v>722085252</v>
      </c>
      <c r="L11" s="3">
        <v>9082498.25</v>
      </c>
      <c r="M11" s="3">
        <v>75287701</v>
      </c>
      <c r="N11" s="3">
        <v>279898.70120000001</v>
      </c>
      <c r="O11">
        <v>2321002080</v>
      </c>
      <c r="Q11">
        <v>27</v>
      </c>
      <c r="R11">
        <v>2017</v>
      </c>
      <c r="S11">
        <v>41</v>
      </c>
      <c r="T11">
        <v>1</v>
      </c>
      <c r="U11">
        <v>1295743872</v>
      </c>
    </row>
    <row r="12" spans="1:21">
      <c r="C12" s="3"/>
      <c r="D12" s="3"/>
      <c r="E12" s="3"/>
      <c r="F12" s="3"/>
      <c r="G12" s="3"/>
      <c r="H12" s="3"/>
      <c r="I12" s="3"/>
      <c r="J12" s="3"/>
      <c r="K12" s="3"/>
      <c r="L12" s="3"/>
      <c r="M12" s="3"/>
      <c r="N12" s="3"/>
      <c r="Q12">
        <v>27</v>
      </c>
      <c r="R12">
        <v>2017</v>
      </c>
      <c r="S12">
        <v>41</v>
      </c>
      <c r="T12">
        <v>2</v>
      </c>
      <c r="U12">
        <v>1236766720</v>
      </c>
    </row>
    <row r="13" spans="1:21">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27</v>
      </c>
      <c r="R13">
        <v>2030</v>
      </c>
      <c r="S13">
        <v>20</v>
      </c>
      <c r="T13">
        <v>1</v>
      </c>
      <c r="U13">
        <v>24127636992</v>
      </c>
    </row>
    <row r="14" spans="1:21">
      <c r="A14">
        <v>2040</v>
      </c>
      <c r="B14">
        <v>20</v>
      </c>
      <c r="C14" s="3">
        <v>1513037634.125</v>
      </c>
      <c r="D14" s="3">
        <v>432603062.328125</v>
      </c>
      <c r="E14" s="3">
        <v>138698016</v>
      </c>
      <c r="F14" s="3">
        <v>6515424267264</v>
      </c>
      <c r="G14" s="3">
        <v>85915170.440429702</v>
      </c>
      <c r="H14" s="3">
        <v>211940783.47656199</v>
      </c>
      <c r="I14" s="3">
        <v>61157022.165832497</v>
      </c>
      <c r="J14" s="3">
        <v>32005881.353759799</v>
      </c>
      <c r="K14" s="3">
        <v>7577551520.625</v>
      </c>
      <c r="L14" s="3">
        <v>76639165.423828095</v>
      </c>
      <c r="M14" s="3">
        <v>590663165.57031202</v>
      </c>
      <c r="N14" s="3">
        <v>3800035.474618</v>
      </c>
      <c r="O14">
        <v>25587703740.188</v>
      </c>
      <c r="Q14">
        <v>27</v>
      </c>
      <c r="R14">
        <v>2030</v>
      </c>
      <c r="S14">
        <v>20</v>
      </c>
      <c r="T14">
        <v>2</v>
      </c>
      <c r="U14">
        <v>213900524</v>
      </c>
    </row>
    <row r="15" spans="1:21">
      <c r="A15">
        <v>2040</v>
      </c>
      <c r="B15">
        <v>30</v>
      </c>
      <c r="C15" s="3">
        <v>2058136174.75</v>
      </c>
      <c r="D15" s="3">
        <v>560147220.625</v>
      </c>
      <c r="E15" s="3">
        <v>255287270.9375</v>
      </c>
      <c r="F15" s="3">
        <v>11376004511744</v>
      </c>
      <c r="G15" s="3">
        <v>149953790.307861</v>
      </c>
      <c r="H15" s="3">
        <v>288745611.0625</v>
      </c>
      <c r="I15" s="3">
        <v>86054203.334106401</v>
      </c>
      <c r="J15" s="3">
        <v>42221728.218200698</v>
      </c>
      <c r="K15" s="3">
        <v>7878803259</v>
      </c>
      <c r="L15" s="3">
        <v>133036545.890625</v>
      </c>
      <c r="M15" s="3">
        <v>774295588.75</v>
      </c>
      <c r="N15" s="3">
        <v>4760943.8020371003</v>
      </c>
      <c r="O15">
        <v>34203700516.742199</v>
      </c>
      <c r="Q15">
        <v>27</v>
      </c>
      <c r="R15">
        <v>2030</v>
      </c>
      <c r="S15">
        <v>20</v>
      </c>
      <c r="T15">
        <v>5</v>
      </c>
      <c r="U15">
        <v>19391852</v>
      </c>
    </row>
    <row r="16" spans="1:21">
      <c r="A16">
        <v>2040</v>
      </c>
      <c r="B16">
        <v>41</v>
      </c>
      <c r="C16" s="3">
        <v>983096262</v>
      </c>
      <c r="D16" s="3">
        <v>130843667</v>
      </c>
      <c r="E16" s="3">
        <v>19747631.125</v>
      </c>
      <c r="F16" s="3">
        <v>1338253205504</v>
      </c>
      <c r="G16" s="3">
        <v>17362480.125</v>
      </c>
      <c r="H16" s="3">
        <v>13084054.875</v>
      </c>
      <c r="I16" s="3">
        <v>7144732.5625</v>
      </c>
      <c r="J16" s="3">
        <v>4264804.46875</v>
      </c>
      <c r="K16" s="3">
        <v>462624596</v>
      </c>
      <c r="L16" s="3">
        <v>8276578.6875</v>
      </c>
      <c r="M16" s="3">
        <v>75440805</v>
      </c>
      <c r="N16" s="3">
        <v>343601.99219999998</v>
      </c>
      <c r="O16">
        <v>2501556128</v>
      </c>
      <c r="Q16">
        <v>27</v>
      </c>
      <c r="R16">
        <v>2030</v>
      </c>
      <c r="S16">
        <v>20</v>
      </c>
      <c r="T16">
        <v>9</v>
      </c>
      <c r="U16">
        <v>19995804</v>
      </c>
    </row>
    <row r="17" spans="1:21">
      <c r="F17" s="37"/>
      <c r="Q17">
        <v>27</v>
      </c>
      <c r="R17">
        <v>2030</v>
      </c>
      <c r="S17">
        <v>30</v>
      </c>
      <c r="T17">
        <v>1</v>
      </c>
      <c r="U17">
        <v>31949934592</v>
      </c>
    </row>
    <row r="18" spans="1:21">
      <c r="K18" s="3"/>
      <c r="L18" s="3"/>
      <c r="M18" s="3"/>
      <c r="Q18">
        <v>27</v>
      </c>
      <c r="R18">
        <v>2030</v>
      </c>
      <c r="S18">
        <v>30</v>
      </c>
      <c r="T18">
        <v>2</v>
      </c>
      <c r="U18">
        <v>619608256</v>
      </c>
    </row>
    <row r="19" spans="1:21">
      <c r="A19" t="s">
        <v>77</v>
      </c>
      <c r="Q19">
        <v>27</v>
      </c>
      <c r="R19">
        <v>2030</v>
      </c>
      <c r="S19">
        <v>30</v>
      </c>
      <c r="T19">
        <v>5</v>
      </c>
      <c r="U19">
        <v>88304494</v>
      </c>
    </row>
    <row r="20" spans="1:21">
      <c r="F20" s="37"/>
      <c r="Q20">
        <v>27</v>
      </c>
      <c r="R20">
        <v>2030</v>
      </c>
      <c r="S20">
        <v>30</v>
      </c>
      <c r="T20">
        <v>9</v>
      </c>
      <c r="U20">
        <v>1384344.203</v>
      </c>
    </row>
    <row r="21" spans="1:21">
      <c r="F21" s="37"/>
      <c r="Q21">
        <v>27</v>
      </c>
      <c r="R21">
        <v>2030</v>
      </c>
      <c r="S21">
        <v>41</v>
      </c>
      <c r="T21">
        <v>1</v>
      </c>
      <c r="U21">
        <v>685298048</v>
      </c>
    </row>
    <row r="22" spans="1:21">
      <c r="F22" s="37"/>
      <c r="Q22">
        <v>27</v>
      </c>
      <c r="R22">
        <v>2030</v>
      </c>
      <c r="S22">
        <v>41</v>
      </c>
      <c r="T22">
        <v>2</v>
      </c>
      <c r="U22">
        <v>1635704032</v>
      </c>
    </row>
    <row r="23" spans="1:21">
      <c r="F23" s="37"/>
      <c r="Q23">
        <v>27</v>
      </c>
      <c r="R23">
        <v>2040</v>
      </c>
      <c r="S23">
        <v>20</v>
      </c>
      <c r="T23">
        <v>1</v>
      </c>
      <c r="U23">
        <v>25113335296</v>
      </c>
    </row>
    <row r="24" spans="1:21">
      <c r="F24" s="37"/>
      <c r="Q24">
        <v>27</v>
      </c>
      <c r="R24">
        <v>2040</v>
      </c>
      <c r="S24">
        <v>20</v>
      </c>
      <c r="T24">
        <v>2</v>
      </c>
      <c r="U24">
        <v>452257120</v>
      </c>
    </row>
    <row r="25" spans="1:21">
      <c r="F25" s="37"/>
      <c r="Q25">
        <v>27</v>
      </c>
      <c r="R25">
        <v>2040</v>
      </c>
      <c r="S25">
        <v>20</v>
      </c>
      <c r="T25">
        <v>5</v>
      </c>
      <c r="U25">
        <v>17050290.5</v>
      </c>
    </row>
    <row r="26" spans="1:21">
      <c r="F26" s="37"/>
      <c r="Q26">
        <v>27</v>
      </c>
      <c r="R26">
        <v>2040</v>
      </c>
      <c r="S26">
        <v>20</v>
      </c>
      <c r="T26">
        <v>9</v>
      </c>
      <c r="U26">
        <v>5061033.6880000001</v>
      </c>
    </row>
    <row r="27" spans="1:21">
      <c r="F27" s="37"/>
      <c r="Q27">
        <v>27</v>
      </c>
      <c r="R27">
        <v>2040</v>
      </c>
      <c r="S27">
        <v>30</v>
      </c>
      <c r="T27">
        <v>1</v>
      </c>
      <c r="U27">
        <v>33258970112</v>
      </c>
    </row>
    <row r="28" spans="1:21">
      <c r="C28" s="3"/>
      <c r="D28" s="3"/>
      <c r="E28" s="3"/>
      <c r="F28" s="3"/>
      <c r="G28" s="3"/>
      <c r="H28" s="3"/>
      <c r="I28" s="3"/>
      <c r="J28" s="3"/>
      <c r="K28" s="3"/>
      <c r="L28" s="3"/>
      <c r="M28" s="3"/>
      <c r="N28" s="3"/>
      <c r="O28" s="3"/>
      <c r="Q28">
        <v>27</v>
      </c>
      <c r="R28">
        <v>2040</v>
      </c>
      <c r="S28">
        <v>30</v>
      </c>
      <c r="T28">
        <v>2</v>
      </c>
      <c r="U28">
        <v>847806224</v>
      </c>
    </row>
    <row r="29" spans="1:21">
      <c r="Q29">
        <v>27</v>
      </c>
      <c r="R29">
        <v>2040</v>
      </c>
      <c r="S29">
        <v>30</v>
      </c>
      <c r="T29">
        <v>5</v>
      </c>
      <c r="U29">
        <v>96297814</v>
      </c>
    </row>
    <row r="30" spans="1:21">
      <c r="Q30">
        <v>27</v>
      </c>
      <c r="R30">
        <v>2040</v>
      </c>
      <c r="S30">
        <v>30</v>
      </c>
      <c r="T30">
        <v>9</v>
      </c>
      <c r="U30">
        <v>626366.74219999998</v>
      </c>
    </row>
    <row r="31" spans="1:21">
      <c r="Q31">
        <v>27</v>
      </c>
      <c r="R31">
        <v>2040</v>
      </c>
      <c r="S31">
        <v>41</v>
      </c>
      <c r="T31">
        <v>1</v>
      </c>
      <c r="U31">
        <v>590544608</v>
      </c>
    </row>
    <row r="32" spans="1:21">
      <c r="Q32">
        <v>27</v>
      </c>
      <c r="R32">
        <v>2040</v>
      </c>
      <c r="S32">
        <v>41</v>
      </c>
      <c r="T32">
        <v>2</v>
      </c>
      <c r="U32">
        <v>1911011520</v>
      </c>
    </row>
  </sheetData>
  <sheetProtection algorithmName="SHA-512" hashValue="x41Yyw3FvOnGmlobO2duxhA+wr+L0PCTBpp24LBMMa1NCd+82w/DJj3N/df24DCIPXBASbwNlmAai7HEAoOCiw==" saltValue="uph9TfRBUyX/REbaTC4fRQ=="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topLeftCell="C1" zoomScale="85" zoomScaleNormal="85" workbookViewId="0">
      <selection activeCell="I16" sqref="I16"/>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551</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7132230000</v>
      </c>
      <c r="D4">
        <v>745147000</v>
      </c>
      <c r="E4">
        <v>151000000</v>
      </c>
      <c r="F4" s="3">
        <v>8330000000000</v>
      </c>
      <c r="G4">
        <v>108305000</v>
      </c>
      <c r="H4">
        <v>142083000</v>
      </c>
      <c r="I4">
        <v>58732800</v>
      </c>
      <c r="J4">
        <v>29314500</v>
      </c>
      <c r="K4">
        <v>7947640000</v>
      </c>
      <c r="L4">
        <v>98711300</v>
      </c>
      <c r="M4">
        <v>650832000</v>
      </c>
      <c r="N4">
        <v>2135190</v>
      </c>
      <c r="O4">
        <v>23298400000</v>
      </c>
    </row>
    <row r="5" spans="1:15">
      <c r="A5">
        <v>2017</v>
      </c>
      <c r="B5">
        <v>30</v>
      </c>
      <c r="C5" s="3">
        <v>17819800000</v>
      </c>
      <c r="D5">
        <v>1232550000</v>
      </c>
      <c r="E5">
        <v>337457000</v>
      </c>
      <c r="F5" s="3">
        <v>14500000000000</v>
      </c>
      <c r="G5">
        <v>188914000</v>
      </c>
      <c r="H5">
        <v>241083000</v>
      </c>
      <c r="I5">
        <v>80723400</v>
      </c>
      <c r="J5">
        <v>38766500</v>
      </c>
      <c r="K5">
        <v>12271600000</v>
      </c>
      <c r="L5">
        <v>172086000</v>
      </c>
      <c r="M5">
        <v>960695000</v>
      </c>
      <c r="N5">
        <v>2607050</v>
      </c>
      <c r="O5">
        <v>31337800000</v>
      </c>
    </row>
    <row r="6" spans="1:15">
      <c r="A6">
        <v>2017</v>
      </c>
      <c r="B6">
        <v>41</v>
      </c>
      <c r="C6" s="3">
        <v>7530520000</v>
      </c>
      <c r="D6">
        <v>242508000</v>
      </c>
      <c r="E6">
        <v>68966800</v>
      </c>
      <c r="F6" s="3">
        <v>2290000000000</v>
      </c>
      <c r="G6">
        <v>29541800</v>
      </c>
      <c r="H6">
        <v>270664000</v>
      </c>
      <c r="I6">
        <v>8168970</v>
      </c>
      <c r="J6">
        <v>5202120</v>
      </c>
      <c r="K6">
        <v>2252270000</v>
      </c>
      <c r="L6">
        <v>16621800</v>
      </c>
      <c r="M6">
        <v>129590000</v>
      </c>
      <c r="N6">
        <v>267451</v>
      </c>
      <c r="O6">
        <v>3050900000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5170850000</v>
      </c>
      <c r="D9">
        <v>583599000</v>
      </c>
      <c r="E9">
        <v>132241000</v>
      </c>
      <c r="F9" s="3">
        <v>8170000000000</v>
      </c>
      <c r="G9">
        <v>106190000</v>
      </c>
      <c r="H9">
        <v>128810000</v>
      </c>
      <c r="I9">
        <v>61574800</v>
      </c>
      <c r="J9">
        <v>30733000</v>
      </c>
      <c r="K9">
        <v>6739070000</v>
      </c>
      <c r="L9">
        <v>54093700</v>
      </c>
      <c r="M9">
        <v>607128000</v>
      </c>
      <c r="N9">
        <v>2192930</v>
      </c>
      <c r="O9">
        <v>24425800000</v>
      </c>
    </row>
    <row r="10" spans="1:15">
      <c r="A10">
        <v>2020</v>
      </c>
      <c r="B10">
        <v>30</v>
      </c>
      <c r="C10" s="3">
        <v>12008200000</v>
      </c>
      <c r="D10">
        <v>901522000</v>
      </c>
      <c r="E10">
        <v>275034000</v>
      </c>
      <c r="F10" s="3">
        <v>14000000000000</v>
      </c>
      <c r="G10">
        <v>182576000</v>
      </c>
      <c r="H10">
        <v>235317000</v>
      </c>
      <c r="I10">
        <v>84253500</v>
      </c>
      <c r="J10">
        <v>40458900</v>
      </c>
      <c r="K10">
        <v>9709830000</v>
      </c>
      <c r="L10">
        <v>92839300</v>
      </c>
      <c r="M10">
        <v>889670000</v>
      </c>
      <c r="N10">
        <v>2661240</v>
      </c>
      <c r="O10">
        <v>32705200000</v>
      </c>
    </row>
    <row r="11" spans="1:15">
      <c r="A11">
        <v>2020</v>
      </c>
      <c r="B11">
        <v>41</v>
      </c>
      <c r="C11" s="3">
        <v>5044760000</v>
      </c>
      <c r="D11">
        <v>189705000</v>
      </c>
      <c r="E11">
        <v>51337500</v>
      </c>
      <c r="F11" s="3">
        <v>2130000000000</v>
      </c>
      <c r="G11">
        <v>27458900</v>
      </c>
      <c r="H11">
        <v>179355000</v>
      </c>
      <c r="I11">
        <v>7898570</v>
      </c>
      <c r="J11">
        <v>5012790</v>
      </c>
      <c r="K11">
        <v>1631350000</v>
      </c>
      <c r="L11">
        <v>10235300</v>
      </c>
      <c r="M11">
        <v>115455000</v>
      </c>
      <c r="N11">
        <v>254249</v>
      </c>
      <c r="O11">
        <v>2941870000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2924550000</v>
      </c>
      <c r="D14">
        <v>439402000</v>
      </c>
      <c r="E14">
        <v>111297000</v>
      </c>
      <c r="F14" s="3">
        <v>7480000000000</v>
      </c>
      <c r="G14">
        <v>97159200</v>
      </c>
      <c r="H14">
        <v>121785000</v>
      </c>
      <c r="I14">
        <v>63594400</v>
      </c>
      <c r="J14">
        <v>31741100</v>
      </c>
      <c r="K14">
        <v>5522550000</v>
      </c>
      <c r="L14">
        <v>49486700</v>
      </c>
      <c r="M14">
        <v>597420000</v>
      </c>
      <c r="N14">
        <v>2277130</v>
      </c>
      <c r="O14">
        <v>25227000000</v>
      </c>
    </row>
    <row r="15" spans="1:15">
      <c r="A15">
        <v>2025</v>
      </c>
      <c r="B15">
        <v>30</v>
      </c>
      <c r="C15" s="3">
        <v>6581290000</v>
      </c>
      <c r="D15">
        <v>651109000</v>
      </c>
      <c r="E15">
        <v>209675000</v>
      </c>
      <c r="F15" s="3">
        <v>12800000000000</v>
      </c>
      <c r="G15">
        <v>166683000</v>
      </c>
      <c r="H15">
        <v>217252000</v>
      </c>
      <c r="I15">
        <v>85978500</v>
      </c>
      <c r="J15">
        <v>41286600</v>
      </c>
      <c r="K15">
        <v>7411610000</v>
      </c>
      <c r="L15">
        <v>84549600</v>
      </c>
      <c r="M15">
        <v>841619000</v>
      </c>
      <c r="N15">
        <v>2742370</v>
      </c>
      <c r="O15">
        <v>33374000000</v>
      </c>
    </row>
    <row r="16" spans="1:15">
      <c r="A16">
        <v>2025</v>
      </c>
      <c r="B16">
        <v>41</v>
      </c>
      <c r="C16" s="3">
        <v>2875250000</v>
      </c>
      <c r="D16">
        <v>147984000</v>
      </c>
      <c r="E16">
        <v>33876300</v>
      </c>
      <c r="F16" s="3">
        <v>1950000000000</v>
      </c>
      <c r="G16">
        <v>25055400</v>
      </c>
      <c r="H16">
        <v>94801600</v>
      </c>
      <c r="I16">
        <v>7917450</v>
      </c>
      <c r="J16">
        <v>4993100</v>
      </c>
      <c r="K16">
        <v>1053200000</v>
      </c>
      <c r="L16">
        <v>9064600</v>
      </c>
      <c r="M16">
        <v>103105000</v>
      </c>
      <c r="N16">
        <v>246396</v>
      </c>
      <c r="O16">
        <v>2932840000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1718520000</v>
      </c>
      <c r="D19">
        <v>351717000</v>
      </c>
      <c r="E19">
        <v>104369000</v>
      </c>
      <c r="F19" s="3">
        <v>7100000000000</v>
      </c>
      <c r="G19">
        <v>92196200</v>
      </c>
      <c r="H19">
        <v>124454000</v>
      </c>
      <c r="I19">
        <v>67284700</v>
      </c>
      <c r="J19">
        <v>33582900</v>
      </c>
      <c r="K19">
        <v>4456310000</v>
      </c>
      <c r="L19">
        <v>46882200</v>
      </c>
      <c r="M19">
        <v>596313000</v>
      </c>
      <c r="N19">
        <v>2370380</v>
      </c>
      <c r="O19">
        <v>26690900000</v>
      </c>
    </row>
    <row r="20" spans="1:15">
      <c r="A20">
        <v>2030</v>
      </c>
      <c r="B20">
        <v>30</v>
      </c>
      <c r="C20" s="3">
        <v>2973950000</v>
      </c>
      <c r="D20">
        <v>470410000</v>
      </c>
      <c r="E20">
        <v>174581000</v>
      </c>
      <c r="F20" s="3">
        <v>11900000000000</v>
      </c>
      <c r="G20">
        <v>154308000</v>
      </c>
      <c r="H20">
        <v>200832000</v>
      </c>
      <c r="I20">
        <v>86923100</v>
      </c>
      <c r="J20">
        <v>41740700</v>
      </c>
      <c r="K20">
        <v>5636540000</v>
      </c>
      <c r="L20">
        <v>78125100</v>
      </c>
      <c r="M20">
        <v>797623000</v>
      </c>
      <c r="N20">
        <v>2765240</v>
      </c>
      <c r="O20">
        <v>33741200000</v>
      </c>
    </row>
    <row r="21" spans="1:15">
      <c r="A21">
        <v>2030</v>
      </c>
      <c r="B21">
        <v>41</v>
      </c>
      <c r="C21" s="3">
        <v>1768120000</v>
      </c>
      <c r="D21">
        <v>126759000</v>
      </c>
      <c r="E21">
        <v>26057000</v>
      </c>
      <c r="F21" s="3">
        <v>1860000000000</v>
      </c>
      <c r="G21">
        <v>23856000</v>
      </c>
      <c r="H21">
        <v>46271900</v>
      </c>
      <c r="I21">
        <v>8268130</v>
      </c>
      <c r="J21">
        <v>5217710</v>
      </c>
      <c r="K21">
        <v>683609000</v>
      </c>
      <c r="L21">
        <v>8444110</v>
      </c>
      <c r="M21">
        <v>101583000</v>
      </c>
      <c r="N21">
        <v>244708</v>
      </c>
      <c r="O21">
        <v>3066660000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1085750000</v>
      </c>
      <c r="D24">
        <v>308804000</v>
      </c>
      <c r="E24">
        <v>104557000</v>
      </c>
      <c r="F24" s="3">
        <v>7070000000000</v>
      </c>
      <c r="G24">
        <v>91749500</v>
      </c>
      <c r="H24">
        <v>123807000</v>
      </c>
      <c r="I24">
        <v>71740400</v>
      </c>
      <c r="J24">
        <v>35806900</v>
      </c>
      <c r="K24">
        <v>4100630000</v>
      </c>
      <c r="L24">
        <v>46539600</v>
      </c>
      <c r="M24">
        <v>604225000</v>
      </c>
      <c r="N24">
        <v>2487550</v>
      </c>
      <c r="O24">
        <v>28458400000</v>
      </c>
    </row>
    <row r="25" spans="1:15">
      <c r="A25">
        <v>2035</v>
      </c>
      <c r="B25">
        <v>30</v>
      </c>
      <c r="C25" s="3">
        <v>1573220000</v>
      </c>
      <c r="D25">
        <v>382263000</v>
      </c>
      <c r="E25">
        <v>158493000</v>
      </c>
      <c r="F25" s="3">
        <v>11100000000000</v>
      </c>
      <c r="G25">
        <v>143850000</v>
      </c>
      <c r="H25">
        <v>185751000</v>
      </c>
      <c r="I25">
        <v>85917300</v>
      </c>
      <c r="J25">
        <v>41257000</v>
      </c>
      <c r="K25">
        <v>4947150000</v>
      </c>
      <c r="L25">
        <v>72733200</v>
      </c>
      <c r="M25">
        <v>759602000</v>
      </c>
      <c r="N25">
        <v>2742070</v>
      </c>
      <c r="O25">
        <v>33350000000</v>
      </c>
    </row>
    <row r="26" spans="1:15">
      <c r="A26">
        <v>2035</v>
      </c>
      <c r="B26">
        <v>41</v>
      </c>
      <c r="C26" s="3">
        <v>1144890000</v>
      </c>
      <c r="D26">
        <v>118185000</v>
      </c>
      <c r="E26">
        <v>21988700</v>
      </c>
      <c r="F26" s="3">
        <v>1820000000000</v>
      </c>
      <c r="G26">
        <v>23423300</v>
      </c>
      <c r="H26">
        <v>24410300</v>
      </c>
      <c r="I26">
        <v>8510280</v>
      </c>
      <c r="J26">
        <v>5425640</v>
      </c>
      <c r="K26">
        <v>495291000</v>
      </c>
      <c r="L26">
        <v>8155290</v>
      </c>
      <c r="M26">
        <v>102600000</v>
      </c>
      <c r="N26">
        <v>246454</v>
      </c>
      <c r="O26">
        <v>3191050000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950230000</v>
      </c>
      <c r="D29">
        <v>303706000</v>
      </c>
      <c r="E29">
        <v>110818000</v>
      </c>
      <c r="F29" s="3">
        <v>7420000000000</v>
      </c>
      <c r="G29">
        <v>96274400</v>
      </c>
      <c r="H29">
        <v>129896000</v>
      </c>
      <c r="I29">
        <v>77689200</v>
      </c>
      <c r="J29">
        <v>38776100</v>
      </c>
      <c r="K29">
        <v>3988720000</v>
      </c>
      <c r="L29">
        <v>48754900</v>
      </c>
      <c r="M29">
        <v>651289000</v>
      </c>
      <c r="N29">
        <v>2635470</v>
      </c>
      <c r="O29">
        <v>30818200000</v>
      </c>
    </row>
    <row r="30" spans="1:15">
      <c r="A30">
        <v>2040</v>
      </c>
      <c r="B30">
        <v>30</v>
      </c>
      <c r="C30" s="3">
        <v>1202320000</v>
      </c>
      <c r="D30">
        <v>340609000</v>
      </c>
      <c r="E30">
        <v>154175000</v>
      </c>
      <c r="F30" s="3">
        <v>10600000000000</v>
      </c>
      <c r="G30">
        <v>137690000</v>
      </c>
      <c r="H30">
        <v>177431000</v>
      </c>
      <c r="I30">
        <v>85057800</v>
      </c>
      <c r="J30">
        <v>40842100</v>
      </c>
      <c r="K30">
        <v>4670840000</v>
      </c>
      <c r="L30">
        <v>69577600</v>
      </c>
      <c r="M30">
        <v>751317000</v>
      </c>
      <c r="N30">
        <v>2689000</v>
      </c>
      <c r="O30">
        <v>33014100000</v>
      </c>
    </row>
    <row r="31" spans="1:15">
      <c r="A31">
        <v>2040</v>
      </c>
      <c r="B31">
        <v>41</v>
      </c>
      <c r="C31" s="3">
        <v>891142000</v>
      </c>
      <c r="D31">
        <v>118521000</v>
      </c>
      <c r="E31">
        <v>21480700</v>
      </c>
      <c r="F31" s="3">
        <v>1840000000000</v>
      </c>
      <c r="G31">
        <v>23698900</v>
      </c>
      <c r="H31">
        <v>14486000</v>
      </c>
      <c r="I31">
        <v>8720670</v>
      </c>
      <c r="J31">
        <v>5636740</v>
      </c>
      <c r="K31">
        <v>440793000</v>
      </c>
      <c r="L31">
        <v>8191440</v>
      </c>
      <c r="M31">
        <v>105468000</v>
      </c>
      <c r="N31">
        <v>247884</v>
      </c>
      <c r="O31">
        <v>3317450000</v>
      </c>
    </row>
    <row r="33" spans="3:6">
      <c r="C33"/>
      <c r="F33"/>
    </row>
    <row r="44" spans="3:6">
      <c r="C44"/>
      <c r="F44"/>
    </row>
    <row r="54" spans="1:1">
      <c r="A54" s="6"/>
    </row>
  </sheetData>
  <sheetProtection algorithmName="SHA-512" hashValue="KHsxX6o/kkI9Nk8DMDXjwS3frK5Sps5ViuSjzHiuplOYUjBMHnc52tZnY7svo80m3XxgSJ9t+Kqz65cfRSuM0g==" saltValue="IC5r3uYRWrKD4POGHER5k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7132230000</v>
      </c>
      <c r="D4">
        <f>'Default Output 2017-2040'!D4</f>
        <v>745147000</v>
      </c>
      <c r="E4">
        <f>'Default Output 2017-2040'!E4</f>
        <v>151000000</v>
      </c>
      <c r="F4">
        <f>'Default Output 2017-2040'!F4</f>
        <v>8330000000000</v>
      </c>
      <c r="G4">
        <v>231746646.53983399</v>
      </c>
      <c r="H4">
        <f>'Default Output 2017-2040'!H4</f>
        <v>142083000</v>
      </c>
      <c r="I4">
        <f>'Default Output 2017-2040'!I4</f>
        <v>58732800</v>
      </c>
      <c r="J4">
        <f>'Default Output 2017-2040'!J4</f>
        <v>29314500</v>
      </c>
      <c r="K4">
        <f>'Default Output 2017-2040'!K4</f>
        <v>7947640000</v>
      </c>
      <c r="L4">
        <f>'Default Output 2017-2040'!L4</f>
        <v>98711300</v>
      </c>
      <c r="M4">
        <f>'Default Output 2017-2040'!M4</f>
        <v>650832000</v>
      </c>
      <c r="N4">
        <f>'Default Output 2017-2040'!N4</f>
        <v>2135190</v>
      </c>
      <c r="O4">
        <f>'Default Output 2017-2040'!O4</f>
        <v>23298400000</v>
      </c>
      <c r="Q4">
        <v>2017</v>
      </c>
      <c r="R4">
        <v>20</v>
      </c>
      <c r="S4">
        <f t="shared" ref="S4:S6" si="0">C4/$O4</f>
        <v>0.30612531332623699</v>
      </c>
      <c r="T4">
        <f t="shared" ref="T4:T6" si="1">D4/$O4</f>
        <v>3.1982754180544588E-2</v>
      </c>
      <c r="U4">
        <f t="shared" ref="U4:U6" si="2">E4/$O4</f>
        <v>6.4811317515365858E-3</v>
      </c>
      <c r="V4">
        <f t="shared" ref="V4:V6" si="3">F4/$O4</f>
        <v>357.53528139271367</v>
      </c>
      <c r="W4">
        <f t="shared" ref="W4:W6" si="4">G4/$O4</f>
        <v>9.9468910543142018E-3</v>
      </c>
      <c r="X4">
        <f t="shared" ref="X4" si="5">H4/$O4</f>
        <v>6.0984016069773033E-3</v>
      </c>
      <c r="Y4">
        <f>K4/$O4</f>
        <v>0.34112385399855782</v>
      </c>
      <c r="Z4">
        <f t="shared" ref="Z4:AA4" si="6">L4/$O4</f>
        <v>4.2368274216255195E-3</v>
      </c>
      <c r="AA4">
        <f t="shared" si="6"/>
        <v>2.7934622119973905E-2</v>
      </c>
    </row>
    <row r="5" spans="1:46">
      <c r="A5">
        <f>'Default Output 2017-2040'!A5</f>
        <v>2017</v>
      </c>
      <c r="B5">
        <f>'Default Output 2017-2040'!B5</f>
        <v>30</v>
      </c>
      <c r="C5">
        <f>'Default Output 2017-2040'!C5</f>
        <v>17819800000</v>
      </c>
      <c r="D5">
        <f>'Default Output 2017-2040'!D5</f>
        <v>1232550000</v>
      </c>
      <c r="E5">
        <f>'Default Output 2017-2040'!E5</f>
        <v>337457000</v>
      </c>
      <c r="F5">
        <f>'Default Output 2017-2040'!F5</f>
        <v>14500000000000</v>
      </c>
      <c r="G5">
        <v>396248401.95337898</v>
      </c>
      <c r="H5">
        <f>'Default Output 2017-2040'!H5</f>
        <v>241083000</v>
      </c>
      <c r="I5">
        <f>'Default Output 2017-2040'!I5</f>
        <v>80723400</v>
      </c>
      <c r="J5">
        <f>'Default Output 2017-2040'!J5</f>
        <v>38766500</v>
      </c>
      <c r="K5">
        <f>'Default Output 2017-2040'!K5</f>
        <v>12271600000</v>
      </c>
      <c r="L5">
        <f>'Default Output 2017-2040'!L5</f>
        <v>172086000</v>
      </c>
      <c r="M5">
        <f>'Default Output 2017-2040'!M5</f>
        <v>960695000</v>
      </c>
      <c r="N5">
        <f>'Default Output 2017-2040'!N5</f>
        <v>2607050</v>
      </c>
      <c r="O5">
        <f>'Default Output 2017-2040'!O5</f>
        <v>31337800000</v>
      </c>
      <c r="Q5">
        <v>2017</v>
      </c>
      <c r="R5">
        <v>30</v>
      </c>
      <c r="S5">
        <f t="shared" si="0"/>
        <v>0.56863596040564435</v>
      </c>
      <c r="T5">
        <f t="shared" si="1"/>
        <v>3.9331095354492022E-2</v>
      </c>
      <c r="U5">
        <f t="shared" si="2"/>
        <v>1.076836918992399E-2</v>
      </c>
      <c r="V5">
        <f t="shared" si="3"/>
        <v>462.69999808537932</v>
      </c>
      <c r="W5">
        <f t="shared" si="4"/>
        <v>1.2644423091390557E-2</v>
      </c>
      <c r="X5">
        <f t="shared" ref="X5:X6" si="7">H5/$O5</f>
        <v>7.6930416302356894E-3</v>
      </c>
      <c r="Y5">
        <f t="shared" ref="Y5:Y6" si="8">K5/$O5</f>
        <v>0.39159098596583042</v>
      </c>
      <c r="Z5">
        <f t="shared" ref="Z5:Z6" si="9">L5/$O5</f>
        <v>5.4913235772772817E-3</v>
      </c>
      <c r="AA5">
        <f t="shared" ref="AA5:AA6" si="10">M5/$O5</f>
        <v>3.0656108597285067E-2</v>
      </c>
    </row>
    <row r="6" spans="1:46">
      <c r="A6">
        <f>'Default Output 2017-2040'!A6</f>
        <v>2017</v>
      </c>
      <c r="B6">
        <f>'Default Output 2017-2040'!B6</f>
        <v>41</v>
      </c>
      <c r="C6">
        <f>'Default Output 2017-2040'!C6</f>
        <v>7530520000</v>
      </c>
      <c r="D6">
        <f>'Default Output 2017-2040'!D6</f>
        <v>242508000</v>
      </c>
      <c r="E6">
        <f>'Default Output 2017-2040'!E6</f>
        <v>68966800</v>
      </c>
      <c r="F6">
        <f>'Default Output 2017-2040'!F6</f>
        <v>2290000000000</v>
      </c>
      <c r="G6">
        <v>67348825.71875</v>
      </c>
      <c r="H6">
        <f>'Default Output 2017-2040'!H6</f>
        <v>270664000</v>
      </c>
      <c r="I6">
        <f>'Default Output 2017-2040'!I6</f>
        <v>8168970</v>
      </c>
      <c r="J6">
        <f>'Default Output 2017-2040'!J6</f>
        <v>5202120</v>
      </c>
      <c r="K6">
        <f>'Default Output 2017-2040'!K6</f>
        <v>2252270000</v>
      </c>
      <c r="L6">
        <f>'Default Output 2017-2040'!L6</f>
        <v>16621800</v>
      </c>
      <c r="M6">
        <f>'Default Output 2017-2040'!M6</f>
        <v>129590000</v>
      </c>
      <c r="N6">
        <f>'Default Output 2017-2040'!N6</f>
        <v>267451</v>
      </c>
      <c r="O6">
        <f>'Default Output 2017-2040'!O6</f>
        <v>3050900000</v>
      </c>
      <c r="Q6">
        <v>2017</v>
      </c>
      <c r="R6">
        <v>41</v>
      </c>
      <c r="S6">
        <f t="shared" si="0"/>
        <v>2.4682946015929725</v>
      </c>
      <c r="T6">
        <f t="shared" si="1"/>
        <v>7.9487364384280043E-2</v>
      </c>
      <c r="U6">
        <f t="shared" si="2"/>
        <v>2.2605395129306108E-2</v>
      </c>
      <c r="V6">
        <f t="shared" si="3"/>
        <v>750.59818414238418</v>
      </c>
      <c r="W6">
        <f t="shared" si="4"/>
        <v>2.207506824830378E-2</v>
      </c>
      <c r="X6">
        <f t="shared" si="7"/>
        <v>8.8716116555770427E-2</v>
      </c>
      <c r="Y6">
        <f t="shared" si="8"/>
        <v>0.73823134157133963</v>
      </c>
      <c r="Z6">
        <f t="shared" si="9"/>
        <v>5.4481628371955814E-3</v>
      </c>
      <c r="AA6">
        <f t="shared" si="10"/>
        <v>4.2475990691271427E-2</v>
      </c>
    </row>
    <row r="7" spans="1:46">
      <c r="AE7" s="296" t="s">
        <v>82</v>
      </c>
      <c r="AF7" s="296"/>
      <c r="AG7" s="296"/>
      <c r="AH7" s="296"/>
      <c r="AI7" s="296"/>
      <c r="AJ7" s="296"/>
      <c r="AK7" s="296"/>
      <c r="AL7" s="296"/>
      <c r="AM7" s="296"/>
      <c r="AN7" s="296" t="s">
        <v>80</v>
      </c>
      <c r="AO7" s="296"/>
      <c r="AP7" s="296"/>
      <c r="AQ7" s="296"/>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5170850000</v>
      </c>
      <c r="D9">
        <f>'Default Output 2017-2040'!D9</f>
        <v>583599000</v>
      </c>
      <c r="E9">
        <f>'Default Output 2017-2040'!E9</f>
        <v>132241000</v>
      </c>
      <c r="F9">
        <f>'Default Output 2017-2040'!F9</f>
        <v>8170000000000</v>
      </c>
      <c r="G9">
        <f>'Default Output 2017-2040'!G9</f>
        <v>106190000</v>
      </c>
      <c r="H9">
        <f>'Default Output 2017-2040'!H9</f>
        <v>128810000</v>
      </c>
      <c r="I9">
        <f>'Default Output 2017-2040'!I9</f>
        <v>61574800</v>
      </c>
      <c r="J9">
        <f>'Default Output 2017-2040'!J9</f>
        <v>30733000</v>
      </c>
      <c r="K9">
        <f>'Default Output 2017-2040'!K9</f>
        <v>6739070000</v>
      </c>
      <c r="L9">
        <f>'Default Output 2017-2040'!L9</f>
        <v>54093700</v>
      </c>
      <c r="M9">
        <f>'Default Output 2017-2040'!M9</f>
        <v>607128000</v>
      </c>
      <c r="N9">
        <f>'Default Output 2017-2040'!N9</f>
        <v>2192930</v>
      </c>
      <c r="O9">
        <f>'Default Output 2017-2040'!O9</f>
        <v>24425800000</v>
      </c>
      <c r="Q9">
        <v>2020</v>
      </c>
      <c r="R9">
        <v>20</v>
      </c>
      <c r="S9">
        <f t="shared" ref="S9:S11" si="13">C9/$O9</f>
        <v>0.2116962392224615</v>
      </c>
      <c r="T9">
        <f t="shared" ref="T9:X11" si="14">D9/$O9</f>
        <v>2.3892728180857945E-2</v>
      </c>
      <c r="U9">
        <f t="shared" si="14"/>
        <v>5.413988487582802E-3</v>
      </c>
      <c r="V9">
        <f t="shared" si="14"/>
        <v>334.48239156956987</v>
      </c>
      <c r="W9">
        <f t="shared" si="14"/>
        <v>4.3474522840602969E-3</v>
      </c>
      <c r="X9">
        <f t="shared" si="14"/>
        <v>5.273522259250465E-3</v>
      </c>
      <c r="Y9">
        <f>K9/$O9</f>
        <v>0.27589966347059258</v>
      </c>
      <c r="Z9">
        <f t="shared" ref="Z9:Z11" si="15">L9/$O9</f>
        <v>2.2146132368233589E-3</v>
      </c>
      <c r="AA9">
        <f t="shared" ref="AA9:AA11" si="16">M9/$O9</f>
        <v>2.4856012904387985E-2</v>
      </c>
      <c r="AC9">
        <f t="shared" ref="AC9:AC11" si="17">A9</f>
        <v>2020</v>
      </c>
      <c r="AD9">
        <f t="shared" ref="AD9:AD11" si="18">B9</f>
        <v>20</v>
      </c>
      <c r="AE9">
        <f t="shared" ref="AE9:AJ11" si="19">(S4-S9)/(S4-S19)</f>
        <v>0.39062355476379051</v>
      </c>
      <c r="AF9">
        <f t="shared" si="19"/>
        <v>0.43019829942251048</v>
      </c>
      <c r="AG9">
        <f t="shared" si="19"/>
        <v>0.41509392203986334</v>
      </c>
      <c r="AH9">
        <f t="shared" si="19"/>
        <v>0.25186978368778729</v>
      </c>
      <c r="AI9">
        <f t="shared" si="19"/>
        <v>0.86242432607901198</v>
      </c>
      <c r="AJ9">
        <f t="shared" si="19"/>
        <v>0.57458299821438408</v>
      </c>
      <c r="AK9">
        <f t="shared" ref="AK9" si="20">(Y4-Y9)/(Y4-Y19)</f>
        <v>0.37449879324583368</v>
      </c>
      <c r="AL9">
        <f t="shared" ref="AL9" si="21">(Z4-Z9)/(Z4-Z19)</f>
        <v>0.81529679991596227</v>
      </c>
      <c r="AM9">
        <f t="shared" ref="AM9" si="22">(AA4-AA9)/(AA4-AA19)</f>
        <v>0.5504212528725928</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12008200000</v>
      </c>
      <c r="D10">
        <f>'Default Output 2017-2040'!D10</f>
        <v>901522000</v>
      </c>
      <c r="E10">
        <f>'Default Output 2017-2040'!E10</f>
        <v>275034000</v>
      </c>
      <c r="F10">
        <f>'Default Output 2017-2040'!F10</f>
        <v>14000000000000</v>
      </c>
      <c r="G10">
        <f>'Default Output 2017-2040'!G10</f>
        <v>182576000</v>
      </c>
      <c r="H10">
        <f>'Default Output 2017-2040'!H10</f>
        <v>235317000</v>
      </c>
      <c r="I10">
        <f>'Default Output 2017-2040'!I10</f>
        <v>84253500</v>
      </c>
      <c r="J10">
        <f>'Default Output 2017-2040'!J10</f>
        <v>40458900</v>
      </c>
      <c r="K10">
        <f>'Default Output 2017-2040'!K10</f>
        <v>9709830000</v>
      </c>
      <c r="L10">
        <f>'Default Output 2017-2040'!L10</f>
        <v>92839300</v>
      </c>
      <c r="M10">
        <f>'Default Output 2017-2040'!M10</f>
        <v>889670000</v>
      </c>
      <c r="N10">
        <f>'Default Output 2017-2040'!N10</f>
        <v>2661240</v>
      </c>
      <c r="O10">
        <f>'Default Output 2017-2040'!O10</f>
        <v>32705200000</v>
      </c>
      <c r="Q10">
        <v>2020</v>
      </c>
      <c r="R10">
        <v>30</v>
      </c>
      <c r="S10">
        <f t="shared" si="13"/>
        <v>0.36716485451854752</v>
      </c>
      <c r="T10">
        <f t="shared" si="14"/>
        <v>2.7565096681873218E-2</v>
      </c>
      <c r="U10">
        <f t="shared" si="14"/>
        <v>8.4094883993982607E-3</v>
      </c>
      <c r="V10">
        <f t="shared" si="14"/>
        <v>428.06648484033121</v>
      </c>
      <c r="W10">
        <f t="shared" si="14"/>
        <v>5.5824761811577367E-3</v>
      </c>
      <c r="X10">
        <f t="shared" si="14"/>
        <v>7.1950943580837302E-3</v>
      </c>
      <c r="Y10">
        <f t="shared" ref="Y10:Y11" si="23">K10/$O10</f>
        <v>0.29688948546408522</v>
      </c>
      <c r="Z10">
        <f t="shared" si="15"/>
        <v>2.8386709147169256E-3</v>
      </c>
      <c r="AA10">
        <f t="shared" si="16"/>
        <v>2.7202707826278389E-2</v>
      </c>
      <c r="AC10">
        <f t="shared" si="17"/>
        <v>2020</v>
      </c>
      <c r="AD10">
        <f t="shared" si="18"/>
        <v>30</v>
      </c>
      <c r="AE10">
        <f t="shared" si="19"/>
        <v>0.41929824669245203</v>
      </c>
      <c r="AF10">
        <f t="shared" si="19"/>
        <v>0.46342194420094612</v>
      </c>
      <c r="AG10">
        <f t="shared" si="19"/>
        <v>0.4216616901922649</v>
      </c>
      <c r="AH10">
        <f t="shared" si="19"/>
        <v>0.31480591518692291</v>
      </c>
      <c r="AI10">
        <f t="shared" si="19"/>
        <v>0.87496256647464032</v>
      </c>
      <c r="AJ10">
        <f t="shared" si="19"/>
        <v>0.28602669387605517</v>
      </c>
      <c r="AK10">
        <f t="shared" ref="AK10:AK11" si="24">(Y5-Y10)/(Y5-Y20)</f>
        <v>0.42176000445378231</v>
      </c>
      <c r="AL10">
        <f t="shared" ref="AL10:AL11" si="25">(Z5-Z10)/(Z5-Z20)</f>
        <v>0.83524384571668286</v>
      </c>
      <c r="AM10">
        <f t="shared" ref="AM10:AM11" si="26">(AA5-AA10)/(AA5-AA20)</f>
        <v>0.49217084423342677</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0.23076923076923075</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5044760000</v>
      </c>
      <c r="D11">
        <f>'Default Output 2017-2040'!D11</f>
        <v>189705000</v>
      </c>
      <c r="E11">
        <f>'Default Output 2017-2040'!E11</f>
        <v>51337500</v>
      </c>
      <c r="F11">
        <f>'Default Output 2017-2040'!F11</f>
        <v>2130000000000</v>
      </c>
      <c r="G11">
        <f>'Default Output 2017-2040'!G11</f>
        <v>27458900</v>
      </c>
      <c r="H11">
        <f>'Default Output 2017-2040'!H11</f>
        <v>179355000</v>
      </c>
      <c r="I11">
        <f>'Default Output 2017-2040'!I11</f>
        <v>7898570</v>
      </c>
      <c r="J11">
        <f>'Default Output 2017-2040'!J11</f>
        <v>5012790</v>
      </c>
      <c r="K11">
        <f>'Default Output 2017-2040'!K11</f>
        <v>1631350000</v>
      </c>
      <c r="L11">
        <f>'Default Output 2017-2040'!L11</f>
        <v>10235300</v>
      </c>
      <c r="M11">
        <f>'Default Output 2017-2040'!M11</f>
        <v>115455000</v>
      </c>
      <c r="N11">
        <f>'Default Output 2017-2040'!N11</f>
        <v>254249</v>
      </c>
      <c r="O11">
        <f>'Default Output 2017-2040'!O11</f>
        <v>2941870000</v>
      </c>
      <c r="Q11">
        <v>2020</v>
      </c>
      <c r="R11">
        <v>41</v>
      </c>
      <c r="S11">
        <f t="shared" si="13"/>
        <v>1.7148140468477533</v>
      </c>
      <c r="T11">
        <f t="shared" si="14"/>
        <v>6.4484494556183658E-2</v>
      </c>
      <c r="U11">
        <f t="shared" si="14"/>
        <v>1.7450635140233931E-2</v>
      </c>
      <c r="V11">
        <f t="shared" si="14"/>
        <v>724.02927389721503</v>
      </c>
      <c r="W11">
        <f t="shared" si="14"/>
        <v>9.3338250840451827E-3</v>
      </c>
      <c r="X11">
        <f t="shared" si="14"/>
        <v>6.0966324140767608E-2</v>
      </c>
      <c r="Y11">
        <f t="shared" si="23"/>
        <v>0.5545282422404797</v>
      </c>
      <c r="Z11">
        <f t="shared" si="15"/>
        <v>3.4791816089766031E-3</v>
      </c>
      <c r="AA11">
        <f t="shared" si="16"/>
        <v>3.9245445923851159E-2</v>
      </c>
      <c r="AC11">
        <f t="shared" si="17"/>
        <v>2020</v>
      </c>
      <c r="AD11">
        <f t="shared" si="18"/>
        <v>41</v>
      </c>
      <c r="AE11">
        <f t="shared" si="19"/>
        <v>0.3983018546523881</v>
      </c>
      <c r="AF11">
        <f t="shared" si="19"/>
        <v>0.39323097513259786</v>
      </c>
      <c r="AG11">
        <f t="shared" si="19"/>
        <v>0.3653648123441679</v>
      </c>
      <c r="AH11">
        <f t="shared" si="19"/>
        <v>0.18441011223544035</v>
      </c>
      <c r="AI11">
        <f t="shared" si="19"/>
        <v>0.89125025602099095</v>
      </c>
      <c r="AJ11">
        <f t="shared" si="19"/>
        <v>0.37689480559163602</v>
      </c>
      <c r="AK11">
        <f t="shared" si="24"/>
        <v>0.35648708570363691</v>
      </c>
      <c r="AL11">
        <f t="shared" si="25"/>
        <v>0.73070214948559353</v>
      </c>
      <c r="AM11">
        <f t="shared" si="26"/>
        <v>0.34547484864234745</v>
      </c>
      <c r="AN11">
        <f>(3/13)*('County Scale Output 2017-2040'!I11-'County Scale Output 2017-2040'!I6)/('County Scale Output 2017-2040'!I11-'County Scale Output 2017-2040'!I6)</f>
        <v>0.23076923076923078</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0.23076923076923081</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2924550000</v>
      </c>
      <c r="D14">
        <f>'Default Output 2017-2040'!D14</f>
        <v>439402000</v>
      </c>
      <c r="E14">
        <f>'Default Output 2017-2040'!E14</f>
        <v>111297000</v>
      </c>
      <c r="F14">
        <f>'Default Output 2017-2040'!F14</f>
        <v>7480000000000</v>
      </c>
      <c r="G14">
        <f>'Default Output 2017-2040'!G14</f>
        <v>97159200</v>
      </c>
      <c r="H14">
        <f>'Default Output 2017-2040'!H14</f>
        <v>121785000</v>
      </c>
      <c r="I14">
        <f>'Default Output 2017-2040'!I14</f>
        <v>63594400</v>
      </c>
      <c r="J14">
        <f>'Default Output 2017-2040'!J14</f>
        <v>31741100</v>
      </c>
      <c r="K14">
        <f>'Default Output 2017-2040'!K14</f>
        <v>5522550000</v>
      </c>
      <c r="L14">
        <f>'Default Output 2017-2040'!L14</f>
        <v>49486700</v>
      </c>
      <c r="M14">
        <f>'Default Output 2017-2040'!M14</f>
        <v>597420000</v>
      </c>
      <c r="N14">
        <f>'Default Output 2017-2040'!N14</f>
        <v>2277130</v>
      </c>
      <c r="O14">
        <f>'Default Output 2017-2040'!O14</f>
        <v>25227000000</v>
      </c>
      <c r="Q14">
        <v>2025</v>
      </c>
      <c r="R14">
        <v>20</v>
      </c>
      <c r="S14">
        <f t="shared" ref="S14:S16" si="29">C14/$O14</f>
        <v>0.1159293613985016</v>
      </c>
      <c r="T14">
        <f t="shared" ref="T14:X16" si="30">D14/$O14</f>
        <v>1.741792523883141E-2</v>
      </c>
      <c r="U14">
        <f t="shared" si="30"/>
        <v>4.4118206683315493E-3</v>
      </c>
      <c r="V14">
        <f t="shared" si="30"/>
        <v>296.50770999326119</v>
      </c>
      <c r="W14">
        <f t="shared" si="30"/>
        <v>3.8513973124033774E-3</v>
      </c>
      <c r="X14">
        <f t="shared" si="30"/>
        <v>4.8275657034130099E-3</v>
      </c>
      <c r="Y14">
        <f>K14/$O14</f>
        <v>0.21891425853252466</v>
      </c>
      <c r="Z14">
        <f t="shared" ref="Z14:Z16" si="31">L14/$O14</f>
        <v>1.9616561620485989E-3</v>
      </c>
      <c r="AA14">
        <f t="shared" ref="AA14:AA16" si="32">M14/$O14</f>
        <v>2.3681769532643598E-2</v>
      </c>
      <c r="AC14">
        <f t="shared" ref="AC14:AD16" si="33">A14</f>
        <v>2025</v>
      </c>
      <c r="AD14">
        <f t="shared" si="33"/>
        <v>20</v>
      </c>
      <c r="AE14">
        <f t="shared" ref="AE14:AJ16" si="34">(S9-S14)/(S4-S19)</f>
        <v>0.39615763046785124</v>
      </c>
      <c r="AF14">
        <f t="shared" si="34"/>
        <v>0.34430658379386841</v>
      </c>
      <c r="AG14">
        <f t="shared" si="34"/>
        <v>0.38981998452004979</v>
      </c>
      <c r="AH14">
        <f t="shared" si="34"/>
        <v>0.41490133808018614</v>
      </c>
      <c r="AI14">
        <f t="shared" si="34"/>
        <v>7.6402277475026897E-2</v>
      </c>
      <c r="AJ14">
        <f t="shared" si="34"/>
        <v>0.31063822319297507</v>
      </c>
      <c r="AK14">
        <f t="shared" ref="AK14" si="35">(Y9-Y14)/(Y4-Y19)</f>
        <v>0.3271940243211075</v>
      </c>
      <c r="AL14">
        <f t="shared" ref="AL14" si="36">(Z9-Z14)/(Z4-Z19)</f>
        <v>0.10198479227863848</v>
      </c>
      <c r="AM14">
        <f t="shared" ref="AM14" si="37">(AA9-AA14)/(AA4-AA19)</f>
        <v>0.2099417180266818</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6581290000</v>
      </c>
      <c r="D15">
        <f>'Default Output 2017-2040'!D15</f>
        <v>651109000</v>
      </c>
      <c r="E15">
        <f>'Default Output 2017-2040'!E15</f>
        <v>209675000</v>
      </c>
      <c r="F15">
        <f>'Default Output 2017-2040'!F15</f>
        <v>12800000000000</v>
      </c>
      <c r="G15">
        <f>'Default Output 2017-2040'!G15</f>
        <v>166683000</v>
      </c>
      <c r="H15">
        <f>'Default Output 2017-2040'!H15</f>
        <v>217252000</v>
      </c>
      <c r="I15">
        <f>'Default Output 2017-2040'!I15</f>
        <v>85978500</v>
      </c>
      <c r="J15">
        <f>'Default Output 2017-2040'!J15</f>
        <v>41286600</v>
      </c>
      <c r="K15">
        <f>'Default Output 2017-2040'!K15</f>
        <v>7411610000</v>
      </c>
      <c r="L15">
        <f>'Default Output 2017-2040'!L15</f>
        <v>84549600</v>
      </c>
      <c r="M15">
        <f>'Default Output 2017-2040'!M15</f>
        <v>841619000</v>
      </c>
      <c r="N15">
        <f>'Default Output 2017-2040'!N15</f>
        <v>2742370</v>
      </c>
      <c r="O15">
        <f>'Default Output 2017-2040'!O15</f>
        <v>33374000000</v>
      </c>
      <c r="Q15">
        <v>2025</v>
      </c>
      <c r="R15">
        <v>30</v>
      </c>
      <c r="S15">
        <f t="shared" si="29"/>
        <v>0.19719811829567926</v>
      </c>
      <c r="T15">
        <f t="shared" si="30"/>
        <v>1.9509468448492839E-2</v>
      </c>
      <c r="U15">
        <f t="shared" si="30"/>
        <v>6.2825852459998804E-3</v>
      </c>
      <c r="V15">
        <f t="shared" si="30"/>
        <v>383.53209084916404</v>
      </c>
      <c r="W15">
        <f t="shared" si="30"/>
        <v>4.9943968358602507E-3</v>
      </c>
      <c r="X15">
        <f t="shared" si="30"/>
        <v>6.5096182657158269E-3</v>
      </c>
      <c r="Y15">
        <f t="shared" ref="Y15:Y16" si="38">K15/$O15</f>
        <v>0.22207736561395097</v>
      </c>
      <c r="Z15">
        <f t="shared" si="31"/>
        <v>2.5333972553484747E-3</v>
      </c>
      <c r="AA15">
        <f t="shared" si="32"/>
        <v>2.5217804278779888E-2</v>
      </c>
      <c r="AC15">
        <f t="shared" si="33"/>
        <v>2025</v>
      </c>
      <c r="AD15">
        <f t="shared" si="33"/>
        <v>30</v>
      </c>
      <c r="AE15">
        <f t="shared" si="34"/>
        <v>0.35373188716313786</v>
      </c>
      <c r="AF15">
        <f t="shared" si="34"/>
        <v>0.31728330093736662</v>
      </c>
      <c r="AG15">
        <f t="shared" si="34"/>
        <v>0.38019453214392396</v>
      </c>
      <c r="AH15">
        <f t="shared" si="34"/>
        <v>0.40480128476971411</v>
      </c>
      <c r="AI15">
        <f t="shared" si="34"/>
        <v>7.2861976986350746E-2</v>
      </c>
      <c r="AJ15">
        <f t="shared" si="34"/>
        <v>0.39374542526108164</v>
      </c>
      <c r="AK15">
        <f t="shared" ref="AK15:AK16" si="39">(Y10-Y15)/(Y5-Y20)</f>
        <v>0.33318120445840299</v>
      </c>
      <c r="AL15">
        <f t="shared" ref="AL15:AL16" si="40">(Z10-Z15)/(Z5-Z20)</f>
        <v>9.6121874094440757E-2</v>
      </c>
      <c r="AM15">
        <f t="shared" ref="AM15:AM16" si="41">(AA10-AA15)/(AA5-AA20)</f>
        <v>0.28288395105949088</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2875250000</v>
      </c>
      <c r="D16">
        <f>'Default Output 2017-2040'!D16</f>
        <v>147984000</v>
      </c>
      <c r="E16">
        <f>'Default Output 2017-2040'!E16</f>
        <v>33876300</v>
      </c>
      <c r="F16">
        <f>'Default Output 2017-2040'!F16</f>
        <v>1950000000000</v>
      </c>
      <c r="G16">
        <f>'Default Output 2017-2040'!G16</f>
        <v>25055400</v>
      </c>
      <c r="H16">
        <f>'Default Output 2017-2040'!H16</f>
        <v>94801600</v>
      </c>
      <c r="I16">
        <f>'Default Output 2017-2040'!I16</f>
        <v>7917450</v>
      </c>
      <c r="J16">
        <f>'Default Output 2017-2040'!J16</f>
        <v>4993100</v>
      </c>
      <c r="K16">
        <f>'Default Output 2017-2040'!K16</f>
        <v>1053200000</v>
      </c>
      <c r="L16">
        <f>'Default Output 2017-2040'!L16</f>
        <v>9064600</v>
      </c>
      <c r="M16">
        <f>'Default Output 2017-2040'!M16</f>
        <v>103105000</v>
      </c>
      <c r="N16">
        <f>'Default Output 2017-2040'!N16</f>
        <v>246396</v>
      </c>
      <c r="O16">
        <f>'Default Output 2017-2040'!O16</f>
        <v>2932840000</v>
      </c>
      <c r="Q16">
        <v>2025</v>
      </c>
      <c r="R16">
        <v>41</v>
      </c>
      <c r="S16">
        <f t="shared" si="29"/>
        <v>0.98036374299313978</v>
      </c>
      <c r="T16">
        <f t="shared" si="30"/>
        <v>5.0457576956124441E-2</v>
      </c>
      <c r="U16">
        <f t="shared" si="30"/>
        <v>1.1550681250937658E-2</v>
      </c>
      <c r="V16">
        <f t="shared" si="30"/>
        <v>664.88454876501953</v>
      </c>
      <c r="W16">
        <f t="shared" si="30"/>
        <v>8.5430504221164476E-3</v>
      </c>
      <c r="X16">
        <f t="shared" si="30"/>
        <v>3.2324163609334294E-2</v>
      </c>
      <c r="Y16">
        <f t="shared" si="38"/>
        <v>0.3591058496201634</v>
      </c>
      <c r="Z16">
        <f t="shared" si="31"/>
        <v>3.0907243490950749E-3</v>
      </c>
      <c r="AA16">
        <f t="shared" si="32"/>
        <v>3.515534430790633E-2</v>
      </c>
      <c r="AC16">
        <f t="shared" si="33"/>
        <v>2025</v>
      </c>
      <c r="AD16">
        <f t="shared" si="33"/>
        <v>41</v>
      </c>
      <c r="AE16">
        <f t="shared" si="34"/>
        <v>0.38824216011018248</v>
      </c>
      <c r="AF16">
        <f t="shared" si="34"/>
        <v>0.36765089274094909</v>
      </c>
      <c r="AG16">
        <f t="shared" si="34"/>
        <v>0.41818349451222014</v>
      </c>
      <c r="AH16">
        <f t="shared" si="34"/>
        <v>0.41051308838478123</v>
      </c>
      <c r="AI16">
        <f t="shared" si="34"/>
        <v>5.531470601518091E-2</v>
      </c>
      <c r="AJ16">
        <f t="shared" si="34"/>
        <v>0.38901485689610671</v>
      </c>
      <c r="AK16">
        <f t="shared" si="39"/>
        <v>0.37922909020155815</v>
      </c>
      <c r="AL16">
        <f t="shared" si="40"/>
        <v>0.14415909644576297</v>
      </c>
      <c r="AM16">
        <f t="shared" si="41"/>
        <v>0.4373959621146884</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1718520000</v>
      </c>
      <c r="D19">
        <f>'Default Output 2017-2040'!D19</f>
        <v>351717000</v>
      </c>
      <c r="E19">
        <f>'Default Output 2017-2040'!E19</f>
        <v>104369000</v>
      </c>
      <c r="F19">
        <f>'Default Output 2017-2040'!F19</f>
        <v>7100000000000</v>
      </c>
      <c r="G19">
        <f>'Default Output 2017-2040'!G19</f>
        <v>92196200</v>
      </c>
      <c r="H19">
        <f>'Default Output 2017-2040'!H19</f>
        <v>124454000</v>
      </c>
      <c r="I19">
        <f>'Default Output 2017-2040'!I19</f>
        <v>67284700</v>
      </c>
      <c r="J19">
        <f>'Default Output 2017-2040'!J19</f>
        <v>33582900</v>
      </c>
      <c r="K19">
        <f>'Default Output 2017-2040'!K19</f>
        <v>4456310000</v>
      </c>
      <c r="L19">
        <f>'Default Output 2017-2040'!L19</f>
        <v>46882200</v>
      </c>
      <c r="M19">
        <f>'Default Output 2017-2040'!M19</f>
        <v>596313000</v>
      </c>
      <c r="N19">
        <f>'Default Output 2017-2040'!N19</f>
        <v>2370380</v>
      </c>
      <c r="O19">
        <f>'Default Output 2017-2040'!O19</f>
        <v>26690900000</v>
      </c>
      <c r="Q19">
        <v>2030</v>
      </c>
      <c r="R19">
        <v>20</v>
      </c>
      <c r="S19">
        <f t="shared" ref="S19:S21" si="42">C19/$O19</f>
        <v>6.4385989232285154E-2</v>
      </c>
      <c r="T19">
        <f t="shared" ref="T19:X21" si="43">D19/$O19</f>
        <v>1.3177412526366665E-2</v>
      </c>
      <c r="U19">
        <f t="shared" si="43"/>
        <v>3.910284029388293E-3</v>
      </c>
      <c r="V19">
        <f t="shared" si="43"/>
        <v>266.00826498919105</v>
      </c>
      <c r="W19">
        <f t="shared" si="43"/>
        <v>3.4542184789572478E-3</v>
      </c>
      <c r="X19">
        <f t="shared" si="43"/>
        <v>4.6627876916851812E-3</v>
      </c>
      <c r="Y19">
        <f>K19/$O19</f>
        <v>0.1669599001907017</v>
      </c>
      <c r="Z19">
        <f t="shared" ref="Z19:Z21" si="44">L19/$O19</f>
        <v>1.7564862930811624E-3</v>
      </c>
      <c r="AA19">
        <f t="shared" ref="AA19:AA21" si="45">M19/$O19</f>
        <v>2.2341434721197113E-2</v>
      </c>
    </row>
    <row r="20" spans="1:43">
      <c r="A20">
        <f>'Default Output 2017-2040'!A20</f>
        <v>2030</v>
      </c>
      <c r="B20">
        <f>'Default Output 2017-2040'!B20</f>
        <v>30</v>
      </c>
      <c r="C20">
        <f>'Default Output 2017-2040'!C20</f>
        <v>2973950000</v>
      </c>
      <c r="D20">
        <f>'Default Output 2017-2040'!D20</f>
        <v>470410000</v>
      </c>
      <c r="E20">
        <f>'Default Output 2017-2040'!E20</f>
        <v>174581000</v>
      </c>
      <c r="F20">
        <f>'Default Output 2017-2040'!F20</f>
        <v>11900000000000</v>
      </c>
      <c r="G20">
        <f>'Default Output 2017-2040'!G20</f>
        <v>154308000</v>
      </c>
      <c r="H20">
        <f>'Default Output 2017-2040'!H20</f>
        <v>200832000</v>
      </c>
      <c r="I20">
        <f>'Default Output 2017-2040'!I20</f>
        <v>86923100</v>
      </c>
      <c r="J20">
        <f>'Default Output 2017-2040'!J20</f>
        <v>41740700</v>
      </c>
      <c r="K20">
        <f>'Default Output 2017-2040'!K20</f>
        <v>5636540000</v>
      </c>
      <c r="L20">
        <f>'Default Output 2017-2040'!L20</f>
        <v>78125100</v>
      </c>
      <c r="M20">
        <f>'Default Output 2017-2040'!M20</f>
        <v>797623000</v>
      </c>
      <c r="N20">
        <f>'Default Output 2017-2040'!N20</f>
        <v>2765240</v>
      </c>
      <c r="O20">
        <f>'Default Output 2017-2040'!O20</f>
        <v>33741200000</v>
      </c>
      <c r="Q20">
        <v>2030</v>
      </c>
      <c r="R20">
        <v>30</v>
      </c>
      <c r="S20">
        <f t="shared" si="42"/>
        <v>8.8140018730809816E-2</v>
      </c>
      <c r="T20">
        <f t="shared" si="43"/>
        <v>1.3941709245669983E-2</v>
      </c>
      <c r="U20">
        <f t="shared" si="43"/>
        <v>5.1741194741147323E-3</v>
      </c>
      <c r="V20">
        <f t="shared" si="43"/>
        <v>352.68455182388294</v>
      </c>
      <c r="W20">
        <f t="shared" si="43"/>
        <v>4.5732813296503975E-3</v>
      </c>
      <c r="X20">
        <f t="shared" si="43"/>
        <v>5.9521297404952992E-3</v>
      </c>
      <c r="Y20">
        <f t="shared" ref="Y20:Y21" si="46">K20/$O20</f>
        <v>0.16705214989389827</v>
      </c>
      <c r="Z20">
        <f t="shared" si="44"/>
        <v>2.3154215024954656E-3</v>
      </c>
      <c r="AA20">
        <f t="shared" si="45"/>
        <v>2.3639437838606808E-2</v>
      </c>
    </row>
    <row r="21" spans="1:43">
      <c r="A21">
        <f>'Default Output 2017-2040'!A21</f>
        <v>2030</v>
      </c>
      <c r="B21">
        <f>'Default Output 2017-2040'!B21</f>
        <v>41</v>
      </c>
      <c r="C21">
        <f>'Default Output 2017-2040'!C21</f>
        <v>1768120000</v>
      </c>
      <c r="D21">
        <f>'Default Output 2017-2040'!D21</f>
        <v>126759000</v>
      </c>
      <c r="E21">
        <f>'Default Output 2017-2040'!E21</f>
        <v>26057000</v>
      </c>
      <c r="F21">
        <f>'Default Output 2017-2040'!F21</f>
        <v>1860000000000</v>
      </c>
      <c r="G21">
        <f>'Default Output 2017-2040'!G21</f>
        <v>23856000</v>
      </c>
      <c r="H21">
        <f>'Default Output 2017-2040'!H21</f>
        <v>46271900</v>
      </c>
      <c r="I21">
        <f>'Default Output 2017-2040'!I21</f>
        <v>8268130</v>
      </c>
      <c r="J21">
        <f>'Default Output 2017-2040'!J21</f>
        <v>5217710</v>
      </c>
      <c r="K21">
        <f>'Default Output 2017-2040'!K21</f>
        <v>683609000</v>
      </c>
      <c r="L21">
        <f>'Default Output 2017-2040'!L21</f>
        <v>8444110</v>
      </c>
      <c r="M21">
        <f>'Default Output 2017-2040'!M21</f>
        <v>101583000</v>
      </c>
      <c r="N21">
        <f>'Default Output 2017-2040'!N21</f>
        <v>244708</v>
      </c>
      <c r="O21">
        <f>'Default Output 2017-2040'!O21</f>
        <v>3066660000</v>
      </c>
      <c r="Q21">
        <v>2030</v>
      </c>
      <c r="R21">
        <v>41</v>
      </c>
      <c r="S21">
        <f t="shared" si="42"/>
        <v>0.57656212296113685</v>
      </c>
      <c r="T21">
        <f t="shared" si="43"/>
        <v>4.1334546379448653E-2</v>
      </c>
      <c r="U21">
        <f t="shared" si="43"/>
        <v>8.4968662975354291E-3</v>
      </c>
      <c r="V21">
        <f t="shared" si="43"/>
        <v>606.52305765882102</v>
      </c>
      <c r="W21">
        <f t="shared" si="43"/>
        <v>7.7791473459724913E-3</v>
      </c>
      <c r="X21">
        <f t="shared" si="43"/>
        <v>1.5088695844990967E-2</v>
      </c>
      <c r="Y21">
        <f t="shared" si="46"/>
        <v>0.22291646286187577</v>
      </c>
      <c r="Z21">
        <f t="shared" si="44"/>
        <v>2.7535201163480789E-3</v>
      </c>
      <c r="AA21">
        <f t="shared" si="45"/>
        <v>3.3124963315137639E-2</v>
      </c>
    </row>
    <row r="22" spans="1:43">
      <c r="AE22" s="296" t="s">
        <v>80</v>
      </c>
      <c r="AF22" s="296"/>
      <c r="AG22" s="296"/>
      <c r="AH22" s="296"/>
      <c r="AI22" s="296"/>
      <c r="AJ22" s="296"/>
      <c r="AK22" s="296"/>
      <c r="AL22" s="296"/>
      <c r="AM22" s="296"/>
      <c r="AN22" s="296"/>
      <c r="AO22" s="296"/>
      <c r="AP22" s="296"/>
      <c r="AQ22" s="296"/>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1085750000</v>
      </c>
      <c r="D24">
        <f>'Default Output 2017-2040'!D24</f>
        <v>308804000</v>
      </c>
      <c r="E24">
        <f>'Default Output 2017-2040'!E24</f>
        <v>104557000</v>
      </c>
      <c r="F24">
        <f>'Default Output 2017-2040'!F24</f>
        <v>7070000000000</v>
      </c>
      <c r="G24">
        <f>'Default Output 2017-2040'!G24</f>
        <v>91749500</v>
      </c>
      <c r="H24">
        <f>'Default Output 2017-2040'!H24</f>
        <v>123807000</v>
      </c>
      <c r="I24">
        <f>'Default Output 2017-2040'!I24</f>
        <v>71740400</v>
      </c>
      <c r="J24">
        <f>'Default Output 2017-2040'!J24</f>
        <v>35806900</v>
      </c>
      <c r="K24">
        <f>'Default Output 2017-2040'!K24</f>
        <v>4100630000</v>
      </c>
      <c r="L24">
        <f>'Default Output 2017-2040'!L24</f>
        <v>46539600</v>
      </c>
      <c r="M24">
        <f>'Default Output 2017-2040'!M24</f>
        <v>604225000</v>
      </c>
      <c r="N24">
        <f>'Default Output 2017-2040'!N24</f>
        <v>2487550</v>
      </c>
      <c r="O24">
        <f>'Default Output 2017-2040'!O24</f>
        <v>28458400000</v>
      </c>
      <c r="AC24">
        <f t="shared" ref="AC24:AD26" si="49">A24</f>
        <v>2035</v>
      </c>
      <c r="AD24">
        <f t="shared" si="49"/>
        <v>20</v>
      </c>
      <c r="AE24">
        <f t="shared" ref="AE24:AJ26" si="50">C24/(C19+C29)</f>
        <v>0.40683840749414518</v>
      </c>
      <c r="AF24">
        <f t="shared" si="50"/>
        <v>0.47115221772809318</v>
      </c>
      <c r="AG24">
        <f t="shared" si="50"/>
        <v>0.48588901745923313</v>
      </c>
      <c r="AH24">
        <f t="shared" si="50"/>
        <v>0.48691460055096419</v>
      </c>
      <c r="AI24">
        <f t="shared" si="50"/>
        <v>0.48681067498060704</v>
      </c>
      <c r="AJ24">
        <f t="shared" si="50"/>
        <v>0.48675840377432672</v>
      </c>
      <c r="AK24">
        <f t="shared" ref="AK24" si="51">I24/(I19+I29)</f>
        <v>0.49485045239177533</v>
      </c>
      <c r="AL24">
        <f t="shared" ref="AL24" si="52">J24/(J19+J29)</f>
        <v>0.49485067510606834</v>
      </c>
      <c r="AM24">
        <f t="shared" ref="AM24" si="53">K24/(K19+K29)</f>
        <v>0.48556725079721447</v>
      </c>
      <c r="AN24">
        <f t="shared" ref="AN24:AO26" si="54">I24/(I19+I29)</f>
        <v>0.49485045239177533</v>
      </c>
      <c r="AO24">
        <f t="shared" si="54"/>
        <v>0.49485067510606834</v>
      </c>
      <c r="AP24">
        <f t="shared" ref="AP24:AQ26" si="55">N24/(N19+N29)</f>
        <v>0.49692859354555169</v>
      </c>
      <c r="AQ24">
        <f t="shared" si="55"/>
        <v>0.49485038020069866</v>
      </c>
    </row>
    <row r="25" spans="1:43">
      <c r="A25">
        <f>'Default Output 2017-2040'!A25</f>
        <v>2035</v>
      </c>
      <c r="B25">
        <f>'Default Output 2017-2040'!B25</f>
        <v>30</v>
      </c>
      <c r="C25">
        <f>'Default Output 2017-2040'!C25</f>
        <v>1573220000</v>
      </c>
      <c r="D25">
        <f>'Default Output 2017-2040'!D25</f>
        <v>382263000</v>
      </c>
      <c r="E25">
        <f>'Default Output 2017-2040'!E25</f>
        <v>158493000</v>
      </c>
      <c r="F25">
        <f>'Default Output 2017-2040'!F25</f>
        <v>11100000000000</v>
      </c>
      <c r="G25">
        <f>'Default Output 2017-2040'!G25</f>
        <v>143850000</v>
      </c>
      <c r="H25">
        <f>'Default Output 2017-2040'!H25</f>
        <v>185751000</v>
      </c>
      <c r="I25">
        <f>'Default Output 2017-2040'!I25</f>
        <v>85917300</v>
      </c>
      <c r="J25">
        <f>'Default Output 2017-2040'!J25</f>
        <v>41257000</v>
      </c>
      <c r="K25">
        <f>'Default Output 2017-2040'!K25</f>
        <v>4947150000</v>
      </c>
      <c r="L25">
        <f>'Default Output 2017-2040'!L25</f>
        <v>72733200</v>
      </c>
      <c r="M25">
        <f>'Default Output 2017-2040'!M25</f>
        <v>759602000</v>
      </c>
      <c r="N25">
        <f>'Default Output 2017-2040'!N25</f>
        <v>2742070</v>
      </c>
      <c r="O25">
        <f>'Default Output 2017-2040'!O25</f>
        <v>33350000000</v>
      </c>
      <c r="AC25">
        <f t="shared" si="49"/>
        <v>2035</v>
      </c>
      <c r="AD25">
        <f t="shared" si="49"/>
        <v>30</v>
      </c>
      <c r="AE25">
        <f t="shared" si="50"/>
        <v>0.37670457130405843</v>
      </c>
      <c r="AF25">
        <f t="shared" si="50"/>
        <v>0.47133667645270949</v>
      </c>
      <c r="AG25">
        <f t="shared" si="50"/>
        <v>0.48209918602246044</v>
      </c>
      <c r="AH25">
        <f t="shared" si="50"/>
        <v>0.49333333333333335</v>
      </c>
      <c r="AI25">
        <f t="shared" si="50"/>
        <v>0.49264036055041471</v>
      </c>
      <c r="AJ25">
        <f t="shared" ref="AJ25:AJ26" si="56">H25/(H20+H30)</f>
        <v>0.49106309631129663</v>
      </c>
      <c r="AK25">
        <f t="shared" ref="AK25:AK26" si="57">I25/(I20+I30)</f>
        <v>0.4995746620700322</v>
      </c>
      <c r="AL25">
        <f t="shared" ref="AL25:AL26" si="58">J25/(J20+J30)</f>
        <v>0.49958344836939411</v>
      </c>
      <c r="AM25">
        <f t="shared" ref="AM25:AM26" si="59">K25/(K20+K30)</f>
        <v>0.47996193018982514</v>
      </c>
      <c r="AN25">
        <f t="shared" si="54"/>
        <v>0.4995746620700322</v>
      </c>
      <c r="AO25">
        <f t="shared" si="54"/>
        <v>0.49958344836939411</v>
      </c>
      <c r="AP25">
        <f t="shared" si="55"/>
        <v>0.50274098682859569</v>
      </c>
      <c r="AQ25">
        <f t="shared" si="55"/>
        <v>0.49958580067799863</v>
      </c>
    </row>
    <row r="26" spans="1:43">
      <c r="A26">
        <f>'Default Output 2017-2040'!A26</f>
        <v>2035</v>
      </c>
      <c r="B26">
        <f>'Default Output 2017-2040'!B26</f>
        <v>41</v>
      </c>
      <c r="C26">
        <f>'Default Output 2017-2040'!C26</f>
        <v>1144890000</v>
      </c>
      <c r="D26">
        <f>'Default Output 2017-2040'!D26</f>
        <v>118185000</v>
      </c>
      <c r="E26">
        <f>'Default Output 2017-2040'!E26</f>
        <v>21988700</v>
      </c>
      <c r="F26">
        <f>'Default Output 2017-2040'!F26</f>
        <v>1820000000000</v>
      </c>
      <c r="G26">
        <f>'Default Output 2017-2040'!G26</f>
        <v>23423300</v>
      </c>
      <c r="H26">
        <f>'Default Output 2017-2040'!H26</f>
        <v>24410300</v>
      </c>
      <c r="I26">
        <f>'Default Output 2017-2040'!I26</f>
        <v>8510280</v>
      </c>
      <c r="J26">
        <f>'Default Output 2017-2040'!J26</f>
        <v>5425640</v>
      </c>
      <c r="K26">
        <f>'Default Output 2017-2040'!K26</f>
        <v>495291000</v>
      </c>
      <c r="L26">
        <f>'Default Output 2017-2040'!L26</f>
        <v>8155290</v>
      </c>
      <c r="M26">
        <f>'Default Output 2017-2040'!M26</f>
        <v>102600000</v>
      </c>
      <c r="N26">
        <f>'Default Output 2017-2040'!N26</f>
        <v>246454</v>
      </c>
      <c r="O26">
        <f>'Default Output 2017-2040'!O26</f>
        <v>3191050000</v>
      </c>
      <c r="AC26">
        <f t="shared" si="49"/>
        <v>2035</v>
      </c>
      <c r="AD26">
        <f t="shared" si="49"/>
        <v>41</v>
      </c>
      <c r="AE26">
        <f t="shared" si="50"/>
        <v>0.43052922201723637</v>
      </c>
      <c r="AF26">
        <f t="shared" si="50"/>
        <v>0.481837084148728</v>
      </c>
      <c r="AG26">
        <f t="shared" si="50"/>
        <v>0.46255287908333809</v>
      </c>
      <c r="AH26">
        <f t="shared" si="50"/>
        <v>0.49189189189189192</v>
      </c>
      <c r="AI26">
        <f t="shared" si="50"/>
        <v>0.49255281790099442</v>
      </c>
      <c r="AJ26">
        <f t="shared" si="56"/>
        <v>0.40176339208563827</v>
      </c>
      <c r="AK26">
        <f t="shared" si="57"/>
        <v>0.50093473347146356</v>
      </c>
      <c r="AL26">
        <f t="shared" si="58"/>
        <v>0.49985397694033323</v>
      </c>
      <c r="AM26">
        <f t="shared" si="59"/>
        <v>0.44049281306863558</v>
      </c>
      <c r="AN26">
        <f t="shared" si="54"/>
        <v>0.50093473347146356</v>
      </c>
      <c r="AO26">
        <f t="shared" si="54"/>
        <v>0.49985397694033323</v>
      </c>
      <c r="AP26">
        <f t="shared" si="55"/>
        <v>0.5003207522655666</v>
      </c>
      <c r="AQ26">
        <f t="shared" si="55"/>
        <v>0.49984257790044345</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950230000</v>
      </c>
      <c r="D29">
        <f>'Default Output 2017-2040'!D29</f>
        <v>303706000</v>
      </c>
      <c r="E29">
        <f>'Default Output 2017-2040'!E29</f>
        <v>110818000</v>
      </c>
      <c r="F29">
        <f>'Default Output 2017-2040'!F29</f>
        <v>7420000000000</v>
      </c>
      <c r="G29">
        <f>'Default Output 2017-2040'!G29</f>
        <v>96274400</v>
      </c>
      <c r="H29">
        <f>'Default Output 2017-2040'!H29</f>
        <v>129896000</v>
      </c>
      <c r="I29">
        <f>'Default Output 2017-2040'!I29</f>
        <v>77689200</v>
      </c>
      <c r="J29">
        <f>'Default Output 2017-2040'!J29</f>
        <v>38776100</v>
      </c>
      <c r="K29">
        <f>'Default Output 2017-2040'!K29</f>
        <v>3988720000</v>
      </c>
      <c r="L29">
        <f>'Default Output 2017-2040'!L29</f>
        <v>48754900</v>
      </c>
      <c r="M29">
        <f>'Default Output 2017-2040'!M29</f>
        <v>651289000</v>
      </c>
      <c r="N29">
        <f>'Default Output 2017-2040'!N29</f>
        <v>2635470</v>
      </c>
      <c r="O29">
        <f>'Default Output 2017-2040'!O29</f>
        <v>30818200000</v>
      </c>
    </row>
    <row r="30" spans="1:43">
      <c r="A30">
        <f>'Default Output 2017-2040'!A30</f>
        <v>2040</v>
      </c>
      <c r="B30">
        <f>'Default Output 2017-2040'!B30</f>
        <v>30</v>
      </c>
      <c r="C30">
        <f>'Default Output 2017-2040'!C30</f>
        <v>1202320000</v>
      </c>
      <c r="D30">
        <f>'Default Output 2017-2040'!D30</f>
        <v>340609000</v>
      </c>
      <c r="E30">
        <f>'Default Output 2017-2040'!E30</f>
        <v>154175000</v>
      </c>
      <c r="F30">
        <f>'Default Output 2017-2040'!F30</f>
        <v>10600000000000</v>
      </c>
      <c r="G30">
        <f>'Default Output 2017-2040'!G30</f>
        <v>137690000</v>
      </c>
      <c r="H30">
        <f>'Default Output 2017-2040'!H30</f>
        <v>177431000</v>
      </c>
      <c r="I30">
        <f>'Default Output 2017-2040'!I30</f>
        <v>85057800</v>
      </c>
      <c r="J30">
        <f>'Default Output 2017-2040'!J30</f>
        <v>40842100</v>
      </c>
      <c r="K30">
        <f>'Default Output 2017-2040'!K30</f>
        <v>4670840000</v>
      </c>
      <c r="L30">
        <f>'Default Output 2017-2040'!L30</f>
        <v>69577600</v>
      </c>
      <c r="M30">
        <f>'Default Output 2017-2040'!M30</f>
        <v>751317000</v>
      </c>
      <c r="N30">
        <f>'Default Output 2017-2040'!N30</f>
        <v>2689000</v>
      </c>
      <c r="O30">
        <f>'Default Output 2017-2040'!O30</f>
        <v>33014100000</v>
      </c>
    </row>
    <row r="31" spans="1:43">
      <c r="A31">
        <f>'Default Output 2017-2040'!A31</f>
        <v>2040</v>
      </c>
      <c r="B31">
        <f>'Default Output 2017-2040'!B31</f>
        <v>41</v>
      </c>
      <c r="C31">
        <f>'Default Output 2017-2040'!C31</f>
        <v>891142000</v>
      </c>
      <c r="D31">
        <f>'Default Output 2017-2040'!D31</f>
        <v>118521000</v>
      </c>
      <c r="E31">
        <f>'Default Output 2017-2040'!E31</f>
        <v>21480700</v>
      </c>
      <c r="F31">
        <f>'Default Output 2017-2040'!F31</f>
        <v>1840000000000</v>
      </c>
      <c r="G31">
        <f>'Default Output 2017-2040'!G31</f>
        <v>23698900</v>
      </c>
      <c r="H31">
        <f>'Default Output 2017-2040'!H31</f>
        <v>14486000</v>
      </c>
      <c r="I31">
        <f>'Default Output 2017-2040'!I31</f>
        <v>8720670</v>
      </c>
      <c r="J31">
        <f>'Default Output 2017-2040'!J31</f>
        <v>5636740</v>
      </c>
      <c r="K31">
        <f>'Default Output 2017-2040'!K31</f>
        <v>440793000</v>
      </c>
      <c r="L31">
        <f>'Default Output 2017-2040'!L31</f>
        <v>8191440</v>
      </c>
      <c r="M31">
        <f>'Default Output 2017-2040'!M31</f>
        <v>105468000</v>
      </c>
      <c r="N31">
        <f>'Default Output 2017-2040'!N31</f>
        <v>247884</v>
      </c>
      <c r="O31">
        <f>'Default Output 2017-2040'!O31</f>
        <v>3317450000</v>
      </c>
    </row>
    <row r="32" spans="1:43">
      <c r="AE32" s="33"/>
      <c r="AF32" s="33"/>
      <c r="AG32" s="33"/>
      <c r="AH32" s="33"/>
      <c r="AI32" s="33"/>
      <c r="AJ32" s="33"/>
      <c r="AK32" s="33"/>
      <c r="AL32" s="33"/>
      <c r="AM32" s="33"/>
      <c r="AN32" s="33"/>
      <c r="AO32" s="33"/>
      <c r="AP32" s="33"/>
      <c r="AQ32" s="33"/>
    </row>
  </sheetData>
  <sheetProtection algorithmName="SHA-512" hashValue="NLMrVmcjB0MRdAJRfMuW5EpEVfdPvzN3ZOJpwR42dLVIzOw26ACLCZtq+K8fgn0eqbY2wPD0FNlZgm6zjljdhQ==" saltValue="ticoQszDUgsSnMYYWd4u8Q=="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topLeftCell="A4" workbookViewId="0">
      <selection activeCell="F28" sqref="F28"/>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299</v>
      </c>
    </row>
    <row r="4" spans="1:2">
      <c r="A4" t="s">
        <v>172</v>
      </c>
    </row>
    <row r="5" spans="1:2">
      <c r="A5" t="s">
        <v>171</v>
      </c>
    </row>
    <row r="6" spans="1:2">
      <c r="A6" t="s">
        <v>173</v>
      </c>
    </row>
    <row r="8" spans="1:2">
      <c r="A8" s="2" t="s">
        <v>28</v>
      </c>
      <c r="B8" t="s">
        <v>431</v>
      </c>
    </row>
    <row r="9" spans="1:2">
      <c r="A9" s="2"/>
    </row>
    <row r="10" spans="1:2">
      <c r="A10" s="5" t="s">
        <v>18</v>
      </c>
    </row>
    <row r="11" spans="1:2">
      <c r="A11" s="5"/>
      <c r="B11" t="s">
        <v>432</v>
      </c>
    </row>
    <row r="12" spans="1:2">
      <c r="A12" s="5"/>
      <c r="B12" t="s">
        <v>83</v>
      </c>
    </row>
    <row r="13" spans="1:2">
      <c r="A13" s="5"/>
      <c r="B13" t="s">
        <v>435</v>
      </c>
    </row>
    <row r="14" spans="1:2">
      <c r="A14" s="5" t="s">
        <v>48</v>
      </c>
    </row>
    <row r="15" spans="1:2">
      <c r="A15" s="5"/>
      <c r="B15" t="s">
        <v>433</v>
      </c>
    </row>
    <row r="16" spans="1:2">
      <c r="A16" s="5"/>
      <c r="B16" t="s">
        <v>434</v>
      </c>
    </row>
    <row r="17" spans="1:4">
      <c r="A17" s="5" t="s">
        <v>174</v>
      </c>
    </row>
    <row r="18" spans="1:4">
      <c r="A18" s="5"/>
      <c r="B18" t="s">
        <v>179</v>
      </c>
    </row>
    <row r="19" spans="1:4">
      <c r="A19" s="5"/>
      <c r="B19" t="s">
        <v>180</v>
      </c>
    </row>
    <row r="20" spans="1:4" s="29" customFormat="1">
      <c r="A20" s="175"/>
      <c r="B20" s="29" t="s">
        <v>368</v>
      </c>
    </row>
    <row r="21" spans="1:4">
      <c r="A21" s="5"/>
      <c r="B21" t="s">
        <v>181</v>
      </c>
    </row>
    <row r="22" spans="1:4">
      <c r="A22" s="5" t="s">
        <v>175</v>
      </c>
    </row>
    <row r="23" spans="1:4">
      <c r="A23" s="5"/>
      <c r="B23" t="s">
        <v>182</v>
      </c>
    </row>
    <row r="25" spans="1:4">
      <c r="A25" t="s">
        <v>177</v>
      </c>
    </row>
    <row r="26" spans="1:4">
      <c r="A26" t="s">
        <v>178</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436</v>
      </c>
    </row>
    <row r="35" spans="1:4">
      <c r="A35" t="s">
        <v>38</v>
      </c>
    </row>
  </sheetData>
  <sheetProtection algorithmName="SHA-512" hashValue="WqGQ+kcoJxIJJT3yKnd2ibE4ZuwxHg1tDyPzmDuUNE50gleCyT4FdLd4R/8hg05mksP1e/0FnFZ94Uhj5H7n9Q==" saltValue="6e4sKzyo5FtcgzJ3sSfMMw=="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8"/>
  <sheetViews>
    <sheetView workbookViewId="0">
      <selection activeCell="F112" sqref="F112"/>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448</v>
      </c>
      <c r="B1" s="70"/>
      <c r="C1" s="29"/>
      <c r="D1" s="29"/>
      <c r="E1" s="29"/>
      <c r="F1" s="29"/>
      <c r="G1" s="29"/>
      <c r="H1" s="29"/>
      <c r="I1" s="29"/>
      <c r="J1" s="2" t="s">
        <v>471</v>
      </c>
      <c r="K1" s="62"/>
      <c r="M1" s="30"/>
      <c r="N1" t="s">
        <v>468</v>
      </c>
      <c r="P1" s="29" t="s">
        <v>478</v>
      </c>
      <c r="V1" s="1">
        <v>0.28760000000000002</v>
      </c>
    </row>
    <row r="2" spans="1:22">
      <c r="A2" s="29" t="s">
        <v>450</v>
      </c>
      <c r="C2" s="29"/>
      <c r="D2" s="29"/>
      <c r="E2" s="29"/>
      <c r="F2" s="29"/>
      <c r="G2" s="29"/>
      <c r="H2" s="29"/>
      <c r="I2" s="29"/>
      <c r="J2" s="29" t="s">
        <v>2</v>
      </c>
      <c r="K2" s="29" t="s">
        <v>210</v>
      </c>
      <c r="L2" t="s">
        <v>115</v>
      </c>
      <c r="M2" s="29" t="s">
        <v>116</v>
      </c>
      <c r="N2" s="29"/>
      <c r="O2" s="29"/>
      <c r="P2" s="29"/>
      <c r="V2" s="2" t="s">
        <v>39</v>
      </c>
    </row>
    <row r="3" spans="1:22">
      <c r="A3" s="29" t="s">
        <v>449</v>
      </c>
      <c r="B3" s="29"/>
      <c r="C3" s="29"/>
      <c r="D3" s="29"/>
      <c r="E3" s="29"/>
      <c r="F3" s="29"/>
      <c r="G3" s="29"/>
      <c r="H3" s="29"/>
      <c r="I3" s="235" t="s">
        <v>494</v>
      </c>
      <c r="J3" s="220">
        <f>D119</f>
        <v>9.0219143240665005</v>
      </c>
      <c r="K3" s="220">
        <f>D120</f>
        <v>0.94182418965856729</v>
      </c>
      <c r="L3" s="60">
        <f>D118</f>
        <v>2.2408995221443595</v>
      </c>
      <c r="M3" s="60">
        <f>D121</f>
        <v>2.9254521568730887</v>
      </c>
      <c r="V3" t="s">
        <v>41</v>
      </c>
    </row>
    <row r="4" spans="1:22">
      <c r="C4" s="29"/>
      <c r="D4" s="29"/>
      <c r="E4" s="29"/>
      <c r="F4" s="102"/>
      <c r="G4" s="102"/>
      <c r="H4" s="102"/>
      <c r="I4" s="235" t="s">
        <v>495</v>
      </c>
      <c r="J4" s="60">
        <f>E119</f>
        <v>0.39707327111225321</v>
      </c>
      <c r="K4" s="220">
        <f>E120</f>
        <v>0.18735969036007524</v>
      </c>
      <c r="L4" s="60">
        <f>E118</f>
        <v>1.936075648492201</v>
      </c>
      <c r="M4" s="60">
        <f>E121</f>
        <v>0.31434940557875063</v>
      </c>
      <c r="V4" t="s">
        <v>40</v>
      </c>
    </row>
    <row r="5" spans="1:22">
      <c r="B5" s="29"/>
      <c r="C5" s="29"/>
      <c r="D5" s="29"/>
      <c r="E5" s="29"/>
      <c r="F5" s="29"/>
      <c r="G5" s="29"/>
      <c r="H5" s="29"/>
      <c r="I5" s="235" t="s">
        <v>496</v>
      </c>
      <c r="J5" s="220">
        <f>I119</f>
        <v>0.14084814286092234</v>
      </c>
      <c r="K5" s="60">
        <f>J120</f>
        <v>6.9711265056816685E-2</v>
      </c>
      <c r="L5" s="60">
        <f>J118</f>
        <v>8.7483491732512159E-2</v>
      </c>
      <c r="M5" s="60">
        <f>J121</f>
        <v>0.34408997681304587</v>
      </c>
      <c r="V5" t="s">
        <v>304</v>
      </c>
    </row>
    <row r="6" spans="1:22">
      <c r="B6" s="29"/>
      <c r="C6" s="29"/>
      <c r="D6" s="29"/>
      <c r="E6" s="29"/>
      <c r="F6" s="29"/>
      <c r="G6" s="29"/>
      <c r="H6" s="29"/>
      <c r="I6" s="235" t="s">
        <v>497</v>
      </c>
      <c r="J6" s="220"/>
      <c r="K6" s="60"/>
      <c r="L6" s="60">
        <f>K125</f>
        <v>19.749000000000002</v>
      </c>
      <c r="M6" s="60"/>
    </row>
    <row r="7" spans="1:22">
      <c r="B7" s="29"/>
      <c r="C7" s="29"/>
      <c r="D7" s="29"/>
      <c r="E7" s="29"/>
      <c r="F7" s="29"/>
      <c r="G7" s="29"/>
      <c r="H7" s="29"/>
      <c r="I7" s="235" t="s">
        <v>219</v>
      </c>
      <c r="J7" s="220">
        <f>SUM(J3:J6)</f>
        <v>9.559835738039677</v>
      </c>
      <c r="K7" s="220">
        <f t="shared" ref="K7:M7" si="0">SUM(K3:K6)</f>
        <v>1.198895145075459</v>
      </c>
      <c r="L7" s="220">
        <f t="shared" si="0"/>
        <v>24.013458662369075</v>
      </c>
      <c r="M7" s="220">
        <f t="shared" si="0"/>
        <v>3.5838915392648851</v>
      </c>
    </row>
    <row r="8" spans="1:22">
      <c r="B8" s="29"/>
      <c r="C8" s="29"/>
      <c r="D8" s="29"/>
      <c r="E8" s="29"/>
      <c r="F8" s="29"/>
      <c r="G8" s="29"/>
      <c r="H8" s="29"/>
      <c r="I8" s="235"/>
      <c r="J8" s="220"/>
      <c r="K8" s="220"/>
      <c r="L8" s="220"/>
      <c r="M8" s="220"/>
    </row>
    <row r="9" spans="1:22" hidden="1">
      <c r="B9" s="2" t="s">
        <v>67</v>
      </c>
      <c r="K9" t="s">
        <v>25</v>
      </c>
    </row>
    <row r="10" spans="1:22" hidden="1">
      <c r="B10">
        <v>2020</v>
      </c>
    </row>
    <row r="11" spans="1:22" hidden="1">
      <c r="B11" t="s">
        <v>8</v>
      </c>
      <c r="C11" t="s">
        <v>10</v>
      </c>
      <c r="D11" t="s">
        <v>14</v>
      </c>
      <c r="E11" t="s">
        <v>15</v>
      </c>
      <c r="F11" t="s">
        <v>16</v>
      </c>
      <c r="G11" t="s">
        <v>115</v>
      </c>
      <c r="H11" t="s">
        <v>116</v>
      </c>
      <c r="I11" t="s">
        <v>47</v>
      </c>
      <c r="K11" s="2" t="s">
        <v>281</v>
      </c>
      <c r="S11" s="317" t="s">
        <v>127</v>
      </c>
    </row>
    <row r="12" spans="1:22" hidden="1">
      <c r="A12">
        <v>2020</v>
      </c>
      <c r="B12" s="3">
        <f>K13*$K17</f>
        <v>23.971540751705227</v>
      </c>
      <c r="C12" s="3">
        <f t="shared" ref="C12" si="1">L13*$K17</f>
        <v>2.7257153814272388</v>
      </c>
      <c r="D12" s="3">
        <f t="shared" ref="D12" si="2">M13*$K17</f>
        <v>4.8213955606372592</v>
      </c>
      <c r="E12" s="3">
        <f t="shared" ref="E12" si="3">N13*$K17</f>
        <v>0.40110620299137462</v>
      </c>
      <c r="F12" s="3">
        <f t="shared" ref="F12" si="4">O13*$K17</f>
        <v>59964.337502639319</v>
      </c>
      <c r="G12" s="3">
        <f t="shared" ref="G12" si="5">P13*$K17</f>
        <v>2.1261337207095665</v>
      </c>
      <c r="H12" s="3">
        <f t="shared" ref="H12" si="6">Q13*$K17</f>
        <v>6.0435886127952267</v>
      </c>
      <c r="I12" s="3">
        <f>F12+D12*K$21+E12*L$21</f>
        <v>60204.402040146677</v>
      </c>
      <c r="K12" t="s">
        <v>8</v>
      </c>
      <c r="L12" t="s">
        <v>10</v>
      </c>
      <c r="M12" t="s">
        <v>14</v>
      </c>
      <c r="N12" t="s">
        <v>15</v>
      </c>
      <c r="O12" t="s">
        <v>16</v>
      </c>
      <c r="P12" t="s">
        <v>115</v>
      </c>
      <c r="Q12" t="s">
        <v>116</v>
      </c>
      <c r="S12" s="317"/>
    </row>
    <row r="13" spans="1:22" hidden="1">
      <c r="A13">
        <v>2025</v>
      </c>
      <c r="B13" s="3">
        <f t="shared" ref="B13:H13" si="7">B12</f>
        <v>23.971540751705227</v>
      </c>
      <c r="C13" s="3">
        <f t="shared" si="7"/>
        <v>2.7257153814272388</v>
      </c>
      <c r="D13" s="3">
        <f t="shared" si="7"/>
        <v>4.8213955606372592</v>
      </c>
      <c r="E13" s="3">
        <f t="shared" si="7"/>
        <v>0.40110620299137462</v>
      </c>
      <c r="F13" s="3">
        <f t="shared" si="7"/>
        <v>59964.337502639319</v>
      </c>
      <c r="G13" s="3">
        <f t="shared" si="7"/>
        <v>2.1261337207095665</v>
      </c>
      <c r="H13" s="3">
        <f t="shared" si="7"/>
        <v>6.0435886127952267</v>
      </c>
      <c r="I13" s="3">
        <f t="shared" ref="I13:I28" si="8">F13+D13*K$21+E13*L$21</f>
        <v>60204.402040146677</v>
      </c>
      <c r="K13" s="3">
        <f>'Regional GREET factors'!A79</f>
        <v>52.225578979749955</v>
      </c>
      <c r="L13" s="3">
        <f>'Regional GREET factors'!B79</f>
        <v>5.9383777373142461</v>
      </c>
      <c r="M13" s="3">
        <f>'Regional GREET factors'!C79</f>
        <v>10.504129761736948</v>
      </c>
      <c r="N13" s="3">
        <f>'Regional GREET factors'!D79</f>
        <v>0.87386972329275525</v>
      </c>
      <c r="O13" s="3">
        <f>'Regional GREET factors'!E79</f>
        <v>130641.25817568479</v>
      </c>
      <c r="P13" s="3">
        <f>'Regional GREET factors'!F79</f>
        <v>4.6320996093890345</v>
      </c>
      <c r="Q13" s="3">
        <f>'Regional GREET factors'!G79</f>
        <v>13.166859722865418</v>
      </c>
      <c r="S13" s="317"/>
    </row>
    <row r="14" spans="1:22" hidden="1">
      <c r="A14">
        <v>2026</v>
      </c>
      <c r="B14" s="3">
        <f>B13+(B18-B13)/5</f>
        <v>23.0813721858406</v>
      </c>
      <c r="C14" s="3">
        <f t="shared" ref="C14:H14" si="9">C13+(C18-C13)/5</f>
        <v>2.624497600844335</v>
      </c>
      <c r="D14" s="3">
        <f t="shared" si="9"/>
        <v>4.6423559729806652</v>
      </c>
      <c r="E14" s="3">
        <f t="shared" si="9"/>
        <v>0.38621136843841253</v>
      </c>
      <c r="F14" s="3">
        <f t="shared" si="9"/>
        <v>57737.59835096632</v>
      </c>
      <c r="G14" s="3">
        <f t="shared" si="9"/>
        <v>2.0471810399201256</v>
      </c>
      <c r="H14" s="3">
        <f t="shared" si="9"/>
        <v>5.8191636305276591</v>
      </c>
      <c r="I14" s="3">
        <f t="shared" si="8"/>
        <v>57968.748238085485</v>
      </c>
    </row>
    <row r="15" spans="1:22" hidden="1">
      <c r="A15">
        <v>2027</v>
      </c>
      <c r="B15" s="3">
        <f>B13+(B18-B13)/5*2</f>
        <v>22.191203619975973</v>
      </c>
      <c r="C15" s="3">
        <f t="shared" ref="C15:H15" si="10">C13+(C18-C13)/5*2</f>
        <v>2.5232798202614308</v>
      </c>
      <c r="D15" s="3">
        <f t="shared" si="10"/>
        <v>4.4633163853240712</v>
      </c>
      <c r="E15" s="3">
        <f t="shared" si="10"/>
        <v>0.37131653388545044</v>
      </c>
      <c r="F15" s="3">
        <f t="shared" si="10"/>
        <v>55510.859199293314</v>
      </c>
      <c r="G15" s="3">
        <f t="shared" si="10"/>
        <v>1.9682283591306846</v>
      </c>
      <c r="H15" s="3">
        <f t="shared" si="10"/>
        <v>5.5947386482600914</v>
      </c>
      <c r="I15" s="3">
        <f t="shared" si="8"/>
        <v>55733.094436024279</v>
      </c>
      <c r="K15" s="2" t="s">
        <v>291</v>
      </c>
    </row>
    <row r="16" spans="1:22" hidden="1">
      <c r="A16">
        <v>2028</v>
      </c>
      <c r="B16" s="3">
        <f>B13+(B18-B13)/5*3</f>
        <v>21.301035054111345</v>
      </c>
      <c r="C16" s="3">
        <f t="shared" ref="C16:H16" si="11">C13+(C18-C13)/5*3</f>
        <v>2.4220620396785271</v>
      </c>
      <c r="D16" s="3">
        <f t="shared" si="11"/>
        <v>4.2842767976674772</v>
      </c>
      <c r="E16" s="3">
        <f t="shared" si="11"/>
        <v>0.35642169933248835</v>
      </c>
      <c r="F16" s="3">
        <f t="shared" si="11"/>
        <v>53284.120047620316</v>
      </c>
      <c r="G16" s="3">
        <f t="shared" si="11"/>
        <v>1.8892756783412437</v>
      </c>
      <c r="H16" s="3">
        <f t="shared" si="11"/>
        <v>5.3703136659925246</v>
      </c>
      <c r="I16" s="3">
        <f t="shared" si="8"/>
        <v>53497.440633963088</v>
      </c>
      <c r="K16">
        <v>2020</v>
      </c>
      <c r="L16">
        <v>2025</v>
      </c>
      <c r="M16">
        <v>2030</v>
      </c>
      <c r="N16">
        <v>2035</v>
      </c>
      <c r="O16">
        <v>2040</v>
      </c>
    </row>
    <row r="17" spans="1:19" hidden="1">
      <c r="A17">
        <v>2029</v>
      </c>
      <c r="B17" s="3">
        <f>B13+(B18-B13)/5*4</f>
        <v>20.410866488246722</v>
      </c>
      <c r="C17" s="3">
        <f t="shared" ref="C17:H17" si="12">C13+(C18-C13)/5*4</f>
        <v>2.3208442590956229</v>
      </c>
      <c r="D17" s="3">
        <f t="shared" si="12"/>
        <v>4.1052372100108823</v>
      </c>
      <c r="E17" s="3">
        <f t="shared" si="12"/>
        <v>0.34152686477952626</v>
      </c>
      <c r="F17" s="3">
        <f t="shared" si="12"/>
        <v>51057.38089594731</v>
      </c>
      <c r="G17" s="3">
        <f t="shared" si="12"/>
        <v>1.8103229975518029</v>
      </c>
      <c r="H17" s="3">
        <f t="shared" si="12"/>
        <v>5.1458886837249569</v>
      </c>
      <c r="I17" s="3">
        <f t="shared" si="8"/>
        <v>51261.786831901882</v>
      </c>
      <c r="K17" s="9">
        <f>1-'State grid data'!C9</f>
        <v>0.45899999999999996</v>
      </c>
      <c r="L17" s="9">
        <f>1-'State grid data'!D9</f>
        <v>0.37377657277770127</v>
      </c>
      <c r="M17" s="9">
        <f>1-'State grid data'!E9</f>
        <v>0.37377657277770127</v>
      </c>
      <c r="N17" s="9">
        <f>1-'State grid data'!F9</f>
        <v>0.37377657277770127</v>
      </c>
      <c r="O17" s="9">
        <f>1-'State grid data'!G9</f>
        <v>0.37377657277770127</v>
      </c>
      <c r="P17" s="9"/>
      <c r="Q17" s="9"/>
    </row>
    <row r="18" spans="1:19" hidden="1">
      <c r="A18">
        <v>2030</v>
      </c>
      <c r="B18" s="3">
        <f t="shared" ref="B18" si="13">K13*$M17</f>
        <v>19.520697922382094</v>
      </c>
      <c r="C18" s="3">
        <f t="shared" ref="C18" si="14">L13*$M17</f>
        <v>2.2196264785127191</v>
      </c>
      <c r="D18" s="3">
        <f t="shared" ref="D18" si="15">M13*$M17</f>
        <v>3.9261976223542883</v>
      </c>
      <c r="E18" s="3">
        <f t="shared" ref="E18" si="16">N13*$M17</f>
        <v>0.32663203022656417</v>
      </c>
      <c r="F18" s="3">
        <f t="shared" ref="F18" si="17">O13*$M17</f>
        <v>48830.641744274311</v>
      </c>
      <c r="G18" s="3">
        <f t="shared" ref="G18" si="18">P13*$M17</f>
        <v>1.731370316762362</v>
      </c>
      <c r="H18" s="3">
        <f t="shared" ref="H18" si="19">Q13*$M17</f>
        <v>4.9214637014573892</v>
      </c>
      <c r="I18" s="3">
        <f t="shared" si="8"/>
        <v>49026.13302984069</v>
      </c>
    </row>
    <row r="19" spans="1:19" hidden="1">
      <c r="A19">
        <v>2031</v>
      </c>
      <c r="B19" s="3">
        <f>B18+(B23-B18)/5</f>
        <v>19.520697922382094</v>
      </c>
      <c r="C19" s="3">
        <f t="shared" ref="C19:H19" si="20">C18+(C23-C18)/5</f>
        <v>2.2196264785127191</v>
      </c>
      <c r="D19" s="3">
        <f t="shared" si="20"/>
        <v>3.9261976223542883</v>
      </c>
      <c r="E19" s="3">
        <f t="shared" si="20"/>
        <v>0.32663203022656417</v>
      </c>
      <c r="F19" s="3">
        <f t="shared" si="20"/>
        <v>48830.641744274311</v>
      </c>
      <c r="G19" s="3">
        <f t="shared" si="20"/>
        <v>1.731370316762362</v>
      </c>
      <c r="H19" s="3">
        <f t="shared" si="20"/>
        <v>4.9214637014573892</v>
      </c>
      <c r="I19" s="3">
        <f t="shared" si="8"/>
        <v>49026.13302984069</v>
      </c>
      <c r="K19" s="320" t="s">
        <v>164</v>
      </c>
      <c r="L19" s="321"/>
    </row>
    <row r="20" spans="1:19" hidden="1">
      <c r="A20">
        <v>2032</v>
      </c>
      <c r="B20" s="3">
        <f>B18+(B23-B18)/5*2</f>
        <v>19.520697922382094</v>
      </c>
      <c r="C20" s="3">
        <f t="shared" ref="C20:H20" si="21">C18+(C23-C18)/5*2</f>
        <v>2.2196264785127191</v>
      </c>
      <c r="D20" s="3">
        <f t="shared" si="21"/>
        <v>3.9261976223542883</v>
      </c>
      <c r="E20" s="3">
        <f t="shared" si="21"/>
        <v>0.32663203022656417</v>
      </c>
      <c r="F20" s="3">
        <f t="shared" si="21"/>
        <v>48830.641744274311</v>
      </c>
      <c r="G20" s="3">
        <f t="shared" si="21"/>
        <v>1.731370316762362</v>
      </c>
      <c r="H20" s="3">
        <f t="shared" si="21"/>
        <v>4.9214637014573892</v>
      </c>
      <c r="I20" s="3">
        <f t="shared" si="8"/>
        <v>49026.13302984069</v>
      </c>
      <c r="K20" s="19" t="s">
        <v>14</v>
      </c>
      <c r="L20" s="82" t="s">
        <v>15</v>
      </c>
    </row>
    <row r="21" spans="1:19" hidden="1">
      <c r="A21">
        <v>2033</v>
      </c>
      <c r="B21" s="3">
        <f>B18+(B23-B18)/5*3</f>
        <v>19.520697922382094</v>
      </c>
      <c r="C21" s="3">
        <f t="shared" ref="C21:H21" si="22">C18+(C23-C18)/5*3</f>
        <v>2.2196264785127191</v>
      </c>
      <c r="D21" s="3">
        <f t="shared" si="22"/>
        <v>3.9261976223542883</v>
      </c>
      <c r="E21" s="3">
        <f t="shared" si="22"/>
        <v>0.32663203022656417</v>
      </c>
      <c r="F21" s="3">
        <f t="shared" si="22"/>
        <v>48830.641744274311</v>
      </c>
      <c r="G21" s="3">
        <f t="shared" si="22"/>
        <v>1.731370316762362</v>
      </c>
      <c r="H21" s="3">
        <f t="shared" si="22"/>
        <v>4.9214637014573892</v>
      </c>
      <c r="I21" s="3">
        <f t="shared" si="8"/>
        <v>49026.13302984069</v>
      </c>
      <c r="K21" s="131">
        <v>25</v>
      </c>
      <c r="L21" s="132">
        <v>298</v>
      </c>
    </row>
    <row r="22" spans="1:19" hidden="1">
      <c r="A22">
        <v>2034</v>
      </c>
      <c r="B22" s="3">
        <f>B18+(B23-B18)/5*4</f>
        <v>19.520697922382094</v>
      </c>
      <c r="C22" s="3">
        <f t="shared" ref="C22:H22" si="23">C18+(C23-C18)/5*4</f>
        <v>2.2196264785127191</v>
      </c>
      <c r="D22" s="3">
        <f t="shared" si="23"/>
        <v>3.9261976223542883</v>
      </c>
      <c r="E22" s="3">
        <f t="shared" si="23"/>
        <v>0.32663203022656417</v>
      </c>
      <c r="F22" s="3">
        <f t="shared" si="23"/>
        <v>48830.641744274311</v>
      </c>
      <c r="G22" s="3">
        <f t="shared" si="23"/>
        <v>1.731370316762362</v>
      </c>
      <c r="H22" s="3">
        <f t="shared" si="23"/>
        <v>4.9214637014573892</v>
      </c>
      <c r="I22" s="3">
        <f t="shared" si="8"/>
        <v>49026.13302984069</v>
      </c>
    </row>
    <row r="23" spans="1:19" hidden="1">
      <c r="A23">
        <v>2035</v>
      </c>
      <c r="B23" s="3">
        <f t="shared" ref="B23" si="24">K13*$N17</f>
        <v>19.520697922382094</v>
      </c>
      <c r="C23" s="3">
        <f t="shared" ref="C23" si="25">L13*$N17</f>
        <v>2.2196264785127191</v>
      </c>
      <c r="D23" s="3">
        <f t="shared" ref="D23" si="26">M13*$N17</f>
        <v>3.9261976223542883</v>
      </c>
      <c r="E23" s="3">
        <f t="shared" ref="E23" si="27">N13*$N17</f>
        <v>0.32663203022656417</v>
      </c>
      <c r="F23" s="3">
        <f t="shared" ref="F23" si="28">O13*$N17</f>
        <v>48830.641744274311</v>
      </c>
      <c r="G23" s="3">
        <f t="shared" ref="G23" si="29">P13*$N17</f>
        <v>1.731370316762362</v>
      </c>
      <c r="H23" s="3">
        <f t="shared" ref="H23" si="30">Q13*$N17</f>
        <v>4.9214637014573892</v>
      </c>
      <c r="I23" s="3">
        <f t="shared" si="8"/>
        <v>49026.13302984069</v>
      </c>
    </row>
    <row r="24" spans="1:19" hidden="1">
      <c r="A24">
        <v>2036</v>
      </c>
      <c r="B24" s="3">
        <f>B23+(B28-B23)/5</f>
        <v>19.520697922382094</v>
      </c>
      <c r="C24" s="3">
        <f t="shared" ref="C24:H24" si="31">C23+(C28-C23)/5</f>
        <v>2.2196264785127191</v>
      </c>
      <c r="D24" s="3">
        <f t="shared" si="31"/>
        <v>3.9261976223542883</v>
      </c>
      <c r="E24" s="3">
        <f t="shared" si="31"/>
        <v>0.32663203022656417</v>
      </c>
      <c r="F24" s="3">
        <f t="shared" si="31"/>
        <v>48830.641744274311</v>
      </c>
      <c r="G24" s="3">
        <f t="shared" si="31"/>
        <v>1.731370316762362</v>
      </c>
      <c r="H24" s="3">
        <f t="shared" si="31"/>
        <v>4.9214637014573892</v>
      </c>
      <c r="I24" s="3">
        <f t="shared" si="8"/>
        <v>49026.13302984069</v>
      </c>
    </row>
    <row r="25" spans="1:19" hidden="1">
      <c r="A25">
        <v>2037</v>
      </c>
      <c r="B25" s="3">
        <f>B23+(B28-B23)/5*2</f>
        <v>19.520697922382094</v>
      </c>
      <c r="C25" s="3">
        <f t="shared" ref="C25:H25" si="32">C23+(C28-C23)/5*2</f>
        <v>2.2196264785127191</v>
      </c>
      <c r="D25" s="3">
        <f t="shared" si="32"/>
        <v>3.9261976223542883</v>
      </c>
      <c r="E25" s="3">
        <f t="shared" si="32"/>
        <v>0.32663203022656417</v>
      </c>
      <c r="F25" s="3">
        <f t="shared" si="32"/>
        <v>48830.641744274311</v>
      </c>
      <c r="G25" s="3">
        <f t="shared" si="32"/>
        <v>1.731370316762362</v>
      </c>
      <c r="H25" s="3">
        <f t="shared" si="32"/>
        <v>4.9214637014573892</v>
      </c>
      <c r="I25" s="3">
        <f t="shared" si="8"/>
        <v>49026.13302984069</v>
      </c>
    </row>
    <row r="26" spans="1:19" hidden="1">
      <c r="A26">
        <v>2038</v>
      </c>
      <c r="B26" s="3">
        <f>B23+(B28-B23)/5*3</f>
        <v>19.520697922382094</v>
      </c>
      <c r="C26" s="3">
        <f t="shared" ref="C26:H26" si="33">C23+(C28-C23)/5*3</f>
        <v>2.2196264785127191</v>
      </c>
      <c r="D26" s="3">
        <f t="shared" si="33"/>
        <v>3.9261976223542883</v>
      </c>
      <c r="E26" s="3">
        <f t="shared" si="33"/>
        <v>0.32663203022656417</v>
      </c>
      <c r="F26" s="3">
        <f t="shared" si="33"/>
        <v>48830.641744274311</v>
      </c>
      <c r="G26" s="3">
        <f t="shared" si="33"/>
        <v>1.731370316762362</v>
      </c>
      <c r="H26" s="3">
        <f t="shared" si="33"/>
        <v>4.9214637014573892</v>
      </c>
      <c r="I26" s="3">
        <f t="shared" si="8"/>
        <v>49026.13302984069</v>
      </c>
    </row>
    <row r="27" spans="1:19" hidden="1">
      <c r="A27">
        <v>2039</v>
      </c>
      <c r="B27" s="3">
        <f>B23+(B28-B23)/5*4</f>
        <v>19.520697922382094</v>
      </c>
      <c r="C27" s="3">
        <f t="shared" ref="C27:H27" si="34">C23+(C28-C23)/5*4</f>
        <v>2.2196264785127191</v>
      </c>
      <c r="D27" s="3">
        <f t="shared" si="34"/>
        <v>3.9261976223542883</v>
      </c>
      <c r="E27" s="3">
        <f t="shared" si="34"/>
        <v>0.32663203022656417</v>
      </c>
      <c r="F27" s="3">
        <f t="shared" si="34"/>
        <v>48830.641744274311</v>
      </c>
      <c r="G27" s="3">
        <f t="shared" si="34"/>
        <v>1.731370316762362</v>
      </c>
      <c r="H27" s="3">
        <f t="shared" si="34"/>
        <v>4.9214637014573892</v>
      </c>
      <c r="I27" s="3">
        <f t="shared" si="8"/>
        <v>49026.13302984069</v>
      </c>
    </row>
    <row r="28" spans="1:19" hidden="1">
      <c r="A28">
        <v>2040</v>
      </c>
      <c r="B28" s="3">
        <f t="shared" ref="B28" si="35">K13*$O17</f>
        <v>19.520697922382094</v>
      </c>
      <c r="C28" s="3">
        <f t="shared" ref="C28" si="36">L13*$O17</f>
        <v>2.2196264785127191</v>
      </c>
      <c r="D28" s="3">
        <f t="shared" ref="D28" si="37">M13*$O17</f>
        <v>3.9261976223542883</v>
      </c>
      <c r="E28" s="3">
        <f t="shared" ref="E28" si="38">N13*$O17</f>
        <v>0.32663203022656417</v>
      </c>
      <c r="F28" s="3">
        <f t="shared" ref="F28" si="39">O13*$O17</f>
        <v>48830.641744274311</v>
      </c>
      <c r="G28" s="3">
        <f t="shared" ref="G28" si="40">P13*$O17</f>
        <v>1.731370316762362</v>
      </c>
      <c r="H28" s="3">
        <f t="shared" ref="H28" si="41">Q13*$O17</f>
        <v>4.9214637014573892</v>
      </c>
      <c r="I28" s="3">
        <f t="shared" si="8"/>
        <v>49026.13302984069</v>
      </c>
    </row>
    <row r="29" spans="1:19" hidden="1"/>
    <row r="30" spans="1:19" hidden="1">
      <c r="B30" s="2" t="s">
        <v>69</v>
      </c>
      <c r="K30" t="s">
        <v>25</v>
      </c>
    </row>
    <row r="31" spans="1:19" hidden="1">
      <c r="B31">
        <v>2020</v>
      </c>
    </row>
    <row r="32" spans="1:19" hidden="1">
      <c r="B32" t="s">
        <v>8</v>
      </c>
      <c r="C32" t="s">
        <v>10</v>
      </c>
      <c r="D32" t="s">
        <v>14</v>
      </c>
      <c r="E32" t="s">
        <v>15</v>
      </c>
      <c r="F32" t="s">
        <v>16</v>
      </c>
      <c r="G32" t="s">
        <v>115</v>
      </c>
      <c r="H32" t="s">
        <v>116</v>
      </c>
      <c r="I32" t="s">
        <v>47</v>
      </c>
      <c r="K32" s="2" t="s">
        <v>287</v>
      </c>
      <c r="S32" s="317" t="s">
        <v>127</v>
      </c>
    </row>
    <row r="33" spans="1:19" hidden="1">
      <c r="A33">
        <v>2020</v>
      </c>
      <c r="B33" s="3">
        <f>K34*$K38</f>
        <v>43.551197027063658</v>
      </c>
      <c r="C33" s="3">
        <f t="shared" ref="C33" si="42">L34*$K38</f>
        <v>4.3893258548578942</v>
      </c>
      <c r="D33" s="3">
        <f t="shared" ref="D33" si="43">M34*$K38</f>
        <v>7.6720540308604654</v>
      </c>
      <c r="E33" s="3">
        <f t="shared" ref="E33" si="44">N34*$K38</f>
        <v>1.1951003720549846</v>
      </c>
      <c r="F33" s="3">
        <f t="shared" ref="F33" si="45">O34*$K38</f>
        <v>82373.098059073556</v>
      </c>
      <c r="G33" s="3">
        <f t="shared" ref="G33" si="46">P34*$K38</f>
        <v>1.5444774929558243</v>
      </c>
      <c r="H33" s="3">
        <f t="shared" ref="H33" si="47">Q34*$K38</f>
        <v>39.038616465923248</v>
      </c>
      <c r="I33" s="3">
        <f t="shared" ref="I33:I49" si="48">F33+D33*K$105+E33*L$105</f>
        <v>82921.039320717449</v>
      </c>
      <c r="K33" t="s">
        <v>8</v>
      </c>
      <c r="L33" t="s">
        <v>10</v>
      </c>
      <c r="M33" t="s">
        <v>14</v>
      </c>
      <c r="N33" t="s">
        <v>15</v>
      </c>
      <c r="O33" t="s">
        <v>16</v>
      </c>
      <c r="P33" t="s">
        <v>115</v>
      </c>
      <c r="Q33" t="s">
        <v>116</v>
      </c>
      <c r="S33" s="317"/>
    </row>
    <row r="34" spans="1:19" hidden="1">
      <c r="A34">
        <v>2025</v>
      </c>
      <c r="B34" s="3">
        <f t="shared" ref="B34:H34" si="49">B33</f>
        <v>43.551197027063658</v>
      </c>
      <c r="C34" s="3">
        <f t="shared" si="49"/>
        <v>4.3893258548578942</v>
      </c>
      <c r="D34" s="3">
        <f t="shared" si="49"/>
        <v>7.6720540308604654</v>
      </c>
      <c r="E34" s="3">
        <f t="shared" si="49"/>
        <v>1.1951003720549846</v>
      </c>
      <c r="F34" s="3">
        <f t="shared" si="49"/>
        <v>82373.098059073556</v>
      </c>
      <c r="G34" s="3">
        <f t="shared" si="49"/>
        <v>1.5444774929558243</v>
      </c>
      <c r="H34" s="3">
        <f t="shared" si="49"/>
        <v>39.038616465923248</v>
      </c>
      <c r="I34" s="3">
        <f t="shared" si="48"/>
        <v>82921.039320717449</v>
      </c>
      <c r="K34" s="3">
        <f>'Regional GREET factors'!A99</f>
        <v>94.882782194038484</v>
      </c>
      <c r="L34" s="3">
        <f>'Regional GREET factors'!B99</f>
        <v>9.5628014267056525</v>
      </c>
      <c r="M34" s="3">
        <f>'Regional GREET factors'!C99</f>
        <v>16.714714664184022</v>
      </c>
      <c r="N34" s="3">
        <f>'Regional GREET factors'!D99</f>
        <v>2.6037045142810125</v>
      </c>
      <c r="O34" s="3">
        <f>'Regional GREET factors'!E99</f>
        <v>179462.08727467008</v>
      </c>
      <c r="P34" s="3">
        <f>'Regional GREET factors'!F99</f>
        <v>3.3648747123220577</v>
      </c>
      <c r="Q34" s="3">
        <f>'Regional GREET factors'!G99</f>
        <v>85.051451995475489</v>
      </c>
      <c r="S34" s="317"/>
    </row>
    <row r="35" spans="1:19" hidden="1">
      <c r="A35">
        <v>2026</v>
      </c>
      <c r="B35" s="3">
        <f>B34+(B39-B34)/5</f>
        <v>41.933949850471087</v>
      </c>
      <c r="C35" s="3">
        <f t="shared" ref="C35:H35" si="50">C34+(C39-C34)/5</f>
        <v>4.2263309125718651</v>
      </c>
      <c r="D35" s="3">
        <f t="shared" si="50"/>
        <v>7.3871569771155503</v>
      </c>
      <c r="E35" s="3">
        <f t="shared" si="50"/>
        <v>1.1507210476187451</v>
      </c>
      <c r="F35" s="3">
        <f t="shared" si="50"/>
        <v>79314.223232270626</v>
      </c>
      <c r="G35" s="3">
        <f t="shared" si="50"/>
        <v>1.4871242619242779</v>
      </c>
      <c r="H35" s="3">
        <f t="shared" si="50"/>
        <v>37.588941220065799</v>
      </c>
      <c r="I35" s="3">
        <f t="shared" si="48"/>
        <v>79841.817028888909</v>
      </c>
    </row>
    <row r="36" spans="1:19" hidden="1">
      <c r="A36">
        <v>2027</v>
      </c>
      <c r="B36" s="3">
        <f>B34+(B39-B34)/5*2</f>
        <v>40.316702673878517</v>
      </c>
      <c r="C36" s="3">
        <f t="shared" ref="C36:H36" si="51">C34+(C39-C34)/5*2</f>
        <v>4.0633359702858369</v>
      </c>
      <c r="D36" s="3">
        <f t="shared" si="51"/>
        <v>7.1022599233706352</v>
      </c>
      <c r="E36" s="3">
        <f t="shared" si="51"/>
        <v>1.1063417231825052</v>
      </c>
      <c r="F36" s="3">
        <f t="shared" si="51"/>
        <v>76255.348405467696</v>
      </c>
      <c r="G36" s="3">
        <f t="shared" si="51"/>
        <v>1.4297710308927314</v>
      </c>
      <c r="H36" s="3">
        <f t="shared" si="51"/>
        <v>36.13926597420835</v>
      </c>
      <c r="I36" s="3">
        <f t="shared" si="48"/>
        <v>76762.594737060339</v>
      </c>
      <c r="K36" s="2" t="s">
        <v>291</v>
      </c>
    </row>
    <row r="37" spans="1:19" hidden="1">
      <c r="A37">
        <v>2028</v>
      </c>
      <c r="B37" s="3">
        <f>B34+(B39-B34)/5*3</f>
        <v>38.699455497285946</v>
      </c>
      <c r="C37" s="3">
        <f t="shared" ref="C37:H37" si="52">C34+(C39-C34)/5*3</f>
        <v>3.9003410279998079</v>
      </c>
      <c r="D37" s="3">
        <f t="shared" si="52"/>
        <v>6.81736286962572</v>
      </c>
      <c r="E37" s="3">
        <f t="shared" si="52"/>
        <v>1.0619623987462656</v>
      </c>
      <c r="F37" s="3">
        <f t="shared" si="52"/>
        <v>73196.473578664765</v>
      </c>
      <c r="G37" s="3">
        <f t="shared" si="52"/>
        <v>1.3724177998611851</v>
      </c>
      <c r="H37" s="3">
        <f t="shared" si="52"/>
        <v>34.689590728350908</v>
      </c>
      <c r="I37" s="3">
        <f t="shared" si="48"/>
        <v>73683.372445231798</v>
      </c>
      <c r="K37">
        <v>2020</v>
      </c>
      <c r="L37">
        <v>2025</v>
      </c>
      <c r="M37">
        <v>2030</v>
      </c>
      <c r="N37">
        <v>2035</v>
      </c>
      <c r="O37">
        <v>2040</v>
      </c>
    </row>
    <row r="38" spans="1:19" hidden="1">
      <c r="A38">
        <v>2029</v>
      </c>
      <c r="B38" s="3">
        <f>B34+(B39-B34)/5*4</f>
        <v>37.082208320693375</v>
      </c>
      <c r="C38" s="3">
        <f t="shared" ref="C38:H38" si="53">C34+(C39-C34)/5*4</f>
        <v>3.7373460857137792</v>
      </c>
      <c r="D38" s="3">
        <f t="shared" si="53"/>
        <v>6.5324658158808049</v>
      </c>
      <c r="E38" s="3">
        <f t="shared" si="53"/>
        <v>1.0175830743100258</v>
      </c>
      <c r="F38" s="3">
        <f t="shared" si="53"/>
        <v>70137.59875186182</v>
      </c>
      <c r="G38" s="3">
        <f t="shared" si="53"/>
        <v>1.3150645688296385</v>
      </c>
      <c r="H38" s="3">
        <f t="shared" si="53"/>
        <v>33.239915482493458</v>
      </c>
      <c r="I38" s="3">
        <f t="shared" si="48"/>
        <v>70604.150153403229</v>
      </c>
      <c r="K38" s="9">
        <f>1-'State grid data'!C9</f>
        <v>0.45899999999999996</v>
      </c>
      <c r="L38" s="9">
        <f>1-'State grid data'!D9</f>
        <v>0.37377657277770127</v>
      </c>
      <c r="M38" s="9">
        <f>1-'State grid data'!E9</f>
        <v>0.37377657277770127</v>
      </c>
      <c r="N38" s="9">
        <f>1-'State grid data'!F9</f>
        <v>0.37377657277770127</v>
      </c>
      <c r="O38" s="9">
        <f>1-'State grid data'!G9</f>
        <v>0.37377657277770127</v>
      </c>
      <c r="P38" s="9"/>
      <c r="Q38" s="9"/>
    </row>
    <row r="39" spans="1:19" hidden="1">
      <c r="A39">
        <v>2030</v>
      </c>
      <c r="B39" s="3">
        <f t="shared" ref="B39" si="54">K34*$M38</f>
        <v>35.464961144100805</v>
      </c>
      <c r="C39" s="3">
        <f t="shared" ref="C39" si="55">L34*$M38</f>
        <v>3.5743511434277506</v>
      </c>
      <c r="D39" s="3">
        <f t="shared" ref="D39" si="56">M34*$M38</f>
        <v>6.2475687621358897</v>
      </c>
      <c r="E39" s="3">
        <f t="shared" ref="E39" si="57">N34*$M38</f>
        <v>0.97320374987378622</v>
      </c>
      <c r="F39" s="3">
        <f t="shared" ref="F39" si="58">O34*$M38</f>
        <v>67078.72392505889</v>
      </c>
      <c r="G39" s="3">
        <f t="shared" ref="G39" si="59">P34*$M38</f>
        <v>1.2577113377980922</v>
      </c>
      <c r="H39" s="3">
        <f t="shared" ref="H39" si="60">Q34*$M38</f>
        <v>31.790240236636009</v>
      </c>
      <c r="I39" s="3">
        <f t="shared" si="48"/>
        <v>67524.927861574673</v>
      </c>
    </row>
    <row r="40" spans="1:19" hidden="1">
      <c r="A40">
        <v>2031</v>
      </c>
      <c r="B40" s="3">
        <f>B39+(B44-B39)/5</f>
        <v>35.464961144100805</v>
      </c>
      <c r="C40" s="3">
        <f t="shared" ref="C40:H40" si="61">C39+(C44-C39)/5</f>
        <v>3.5743511434277506</v>
      </c>
      <c r="D40" s="3">
        <f t="shared" si="61"/>
        <v>6.2475687621358897</v>
      </c>
      <c r="E40" s="3">
        <f t="shared" si="61"/>
        <v>0.97320374987378622</v>
      </c>
      <c r="F40" s="3">
        <f t="shared" si="61"/>
        <v>67078.72392505889</v>
      </c>
      <c r="G40" s="3">
        <f t="shared" si="61"/>
        <v>1.2577113377980922</v>
      </c>
      <c r="H40" s="3">
        <f t="shared" si="61"/>
        <v>31.790240236636009</v>
      </c>
      <c r="I40" s="3">
        <f t="shared" si="48"/>
        <v>67524.927861574673</v>
      </c>
      <c r="K40" s="320" t="s">
        <v>164</v>
      </c>
      <c r="L40" s="321"/>
    </row>
    <row r="41" spans="1:19" hidden="1">
      <c r="A41">
        <v>2032</v>
      </c>
      <c r="B41" s="3">
        <f>B39+(B44-B39)/5*2</f>
        <v>35.464961144100805</v>
      </c>
      <c r="C41" s="3">
        <f t="shared" ref="C41:H41" si="62">C39+(C44-C39)/5*2</f>
        <v>3.5743511434277506</v>
      </c>
      <c r="D41" s="3">
        <f t="shared" si="62"/>
        <v>6.2475687621358897</v>
      </c>
      <c r="E41" s="3">
        <f t="shared" si="62"/>
        <v>0.97320374987378622</v>
      </c>
      <c r="F41" s="3">
        <f t="shared" si="62"/>
        <v>67078.72392505889</v>
      </c>
      <c r="G41" s="3">
        <f t="shared" si="62"/>
        <v>1.2577113377980922</v>
      </c>
      <c r="H41" s="3">
        <f t="shared" si="62"/>
        <v>31.790240236636009</v>
      </c>
      <c r="I41" s="3">
        <f t="shared" si="48"/>
        <v>67524.927861574673</v>
      </c>
      <c r="K41" s="19" t="s">
        <v>14</v>
      </c>
      <c r="L41" s="82" t="s">
        <v>15</v>
      </c>
    </row>
    <row r="42" spans="1:19" hidden="1">
      <c r="A42">
        <v>2033</v>
      </c>
      <c r="B42" s="3">
        <f>B39+(B44-B39)/5*3</f>
        <v>35.464961144100805</v>
      </c>
      <c r="C42" s="3">
        <f t="shared" ref="C42:H42" si="63">C39+(C44-C39)/5*3</f>
        <v>3.5743511434277506</v>
      </c>
      <c r="D42" s="3">
        <f t="shared" si="63"/>
        <v>6.2475687621358897</v>
      </c>
      <c r="E42" s="3">
        <f t="shared" si="63"/>
        <v>0.97320374987378622</v>
      </c>
      <c r="F42" s="3">
        <f t="shared" si="63"/>
        <v>67078.72392505889</v>
      </c>
      <c r="G42" s="3">
        <f t="shared" si="63"/>
        <v>1.2577113377980922</v>
      </c>
      <c r="H42" s="3">
        <f t="shared" si="63"/>
        <v>31.790240236636009</v>
      </c>
      <c r="I42" s="3">
        <f t="shared" si="48"/>
        <v>67524.927861574673</v>
      </c>
      <c r="K42" s="131">
        <v>25</v>
      </c>
      <c r="L42" s="132">
        <v>298</v>
      </c>
    </row>
    <row r="43" spans="1:19" hidden="1">
      <c r="A43">
        <v>2034</v>
      </c>
      <c r="B43" s="3">
        <f>B39+(B44-B39)/5*4</f>
        <v>35.464961144100805</v>
      </c>
      <c r="C43" s="3">
        <f t="shared" ref="C43:H43" si="64">C39+(C44-C39)/5*4</f>
        <v>3.5743511434277506</v>
      </c>
      <c r="D43" s="3">
        <f t="shared" si="64"/>
        <v>6.2475687621358897</v>
      </c>
      <c r="E43" s="3">
        <f t="shared" si="64"/>
        <v>0.97320374987378622</v>
      </c>
      <c r="F43" s="3">
        <f t="shared" si="64"/>
        <v>67078.72392505889</v>
      </c>
      <c r="G43" s="3">
        <f t="shared" si="64"/>
        <v>1.2577113377980922</v>
      </c>
      <c r="H43" s="3">
        <f t="shared" si="64"/>
        <v>31.790240236636009</v>
      </c>
      <c r="I43" s="3">
        <f t="shared" si="48"/>
        <v>67524.927861574673</v>
      </c>
    </row>
    <row r="44" spans="1:19" hidden="1">
      <c r="A44">
        <v>2035</v>
      </c>
      <c r="B44" s="3">
        <f t="shared" ref="B44" si="65">K34*$N38</f>
        <v>35.464961144100805</v>
      </c>
      <c r="C44" s="3">
        <f t="shared" ref="C44" si="66">L34*$N38</f>
        <v>3.5743511434277506</v>
      </c>
      <c r="D44" s="3">
        <f t="shared" ref="D44" si="67">M34*$N38</f>
        <v>6.2475687621358897</v>
      </c>
      <c r="E44" s="3">
        <f t="shared" ref="E44" si="68">N34*$N38</f>
        <v>0.97320374987378622</v>
      </c>
      <c r="F44" s="3">
        <f t="shared" ref="F44" si="69">O34*$N38</f>
        <v>67078.72392505889</v>
      </c>
      <c r="G44" s="3">
        <f t="shared" ref="G44" si="70">P34*$N38</f>
        <v>1.2577113377980922</v>
      </c>
      <c r="H44" s="3">
        <f t="shared" ref="H44" si="71">Q34*$N38</f>
        <v>31.790240236636009</v>
      </c>
      <c r="I44" s="3">
        <f t="shared" si="48"/>
        <v>67524.927861574673</v>
      </c>
    </row>
    <row r="45" spans="1:19" hidden="1">
      <c r="A45">
        <v>2036</v>
      </c>
      <c r="B45" s="3">
        <f>B44+(B49-B44)/5</f>
        <v>35.464961144100805</v>
      </c>
      <c r="C45" s="3">
        <f t="shared" ref="C45:H45" si="72">C44+(C49-C44)/5</f>
        <v>3.5743511434277506</v>
      </c>
      <c r="D45" s="3">
        <f t="shared" si="72"/>
        <v>6.2475687621358897</v>
      </c>
      <c r="E45" s="3">
        <f t="shared" si="72"/>
        <v>0.97320374987378622</v>
      </c>
      <c r="F45" s="3">
        <f t="shared" si="72"/>
        <v>67078.72392505889</v>
      </c>
      <c r="G45" s="3">
        <f t="shared" si="72"/>
        <v>1.2577113377980922</v>
      </c>
      <c r="H45" s="3">
        <f t="shared" si="72"/>
        <v>31.790240236636009</v>
      </c>
      <c r="I45" s="3">
        <f t="shared" si="48"/>
        <v>67524.927861574673</v>
      </c>
    </row>
    <row r="46" spans="1:19" hidden="1">
      <c r="A46">
        <v>2037</v>
      </c>
      <c r="B46" s="3">
        <f>B44+(B49-B44)/5*2</f>
        <v>35.464961144100805</v>
      </c>
      <c r="C46" s="3">
        <f t="shared" ref="C46:H46" si="73">C44+(C49-C44)/5*2</f>
        <v>3.5743511434277506</v>
      </c>
      <c r="D46" s="3">
        <f t="shared" si="73"/>
        <v>6.2475687621358897</v>
      </c>
      <c r="E46" s="3">
        <f t="shared" si="73"/>
        <v>0.97320374987378622</v>
      </c>
      <c r="F46" s="3">
        <f t="shared" si="73"/>
        <v>67078.72392505889</v>
      </c>
      <c r="G46" s="3">
        <f t="shared" si="73"/>
        <v>1.2577113377980922</v>
      </c>
      <c r="H46" s="3">
        <f t="shared" si="73"/>
        <v>31.790240236636009</v>
      </c>
      <c r="I46" s="3">
        <f t="shared" si="48"/>
        <v>67524.927861574673</v>
      </c>
    </row>
    <row r="47" spans="1:19" hidden="1">
      <c r="A47">
        <v>2038</v>
      </c>
      <c r="B47" s="3">
        <f>B44+(B49-B44)/5*3</f>
        <v>35.464961144100805</v>
      </c>
      <c r="C47" s="3">
        <f t="shared" ref="C47:H47" si="74">C44+(C49-C44)/5*3</f>
        <v>3.5743511434277506</v>
      </c>
      <c r="D47" s="3">
        <f t="shared" si="74"/>
        <v>6.2475687621358897</v>
      </c>
      <c r="E47" s="3">
        <f t="shared" si="74"/>
        <v>0.97320374987378622</v>
      </c>
      <c r="F47" s="3">
        <f t="shared" si="74"/>
        <v>67078.72392505889</v>
      </c>
      <c r="G47" s="3">
        <f t="shared" si="74"/>
        <v>1.2577113377980922</v>
      </c>
      <c r="H47" s="3">
        <f t="shared" si="74"/>
        <v>31.790240236636009</v>
      </c>
      <c r="I47" s="3">
        <f t="shared" si="48"/>
        <v>67524.927861574673</v>
      </c>
    </row>
    <row r="48" spans="1:19" hidden="1">
      <c r="A48">
        <v>2039</v>
      </c>
      <c r="B48" s="3">
        <f>B44+(B49-B44)/5*4</f>
        <v>35.464961144100805</v>
      </c>
      <c r="C48" s="3">
        <f t="shared" ref="C48:H48" si="75">C44+(C49-C44)/5*4</f>
        <v>3.5743511434277506</v>
      </c>
      <c r="D48" s="3">
        <f t="shared" si="75"/>
        <v>6.2475687621358897</v>
      </c>
      <c r="E48" s="3">
        <f t="shared" si="75"/>
        <v>0.97320374987378622</v>
      </c>
      <c r="F48" s="3">
        <f t="shared" si="75"/>
        <v>67078.72392505889</v>
      </c>
      <c r="G48" s="3">
        <f t="shared" si="75"/>
        <v>1.2577113377980922</v>
      </c>
      <c r="H48" s="3">
        <f t="shared" si="75"/>
        <v>31.790240236636009</v>
      </c>
      <c r="I48" s="3">
        <f t="shared" si="48"/>
        <v>67524.927861574673</v>
      </c>
    </row>
    <row r="49" spans="1:19" hidden="1">
      <c r="A49">
        <v>2040</v>
      </c>
      <c r="B49" s="3">
        <f t="shared" ref="B49" si="76">K34*$O38</f>
        <v>35.464961144100805</v>
      </c>
      <c r="C49" s="3">
        <f t="shared" ref="C49" si="77">L34*$O38</f>
        <v>3.5743511434277506</v>
      </c>
      <c r="D49" s="3">
        <f t="shared" ref="D49" si="78">M34*$O38</f>
        <v>6.2475687621358897</v>
      </c>
      <c r="E49" s="3">
        <f t="shared" ref="E49" si="79">N34*$O38</f>
        <v>0.97320374987378622</v>
      </c>
      <c r="F49" s="3">
        <f t="shared" ref="F49" si="80">O34*$O38</f>
        <v>67078.72392505889</v>
      </c>
      <c r="G49" s="3">
        <f t="shared" ref="G49" si="81">P34*$O38</f>
        <v>1.2577113377980922</v>
      </c>
      <c r="H49" s="3">
        <f t="shared" ref="H49" si="82">Q34*$O38</f>
        <v>31.790240236636009</v>
      </c>
      <c r="I49" s="3">
        <f t="shared" si="48"/>
        <v>67524.927861574673</v>
      </c>
    </row>
    <row r="50" spans="1:19" hidden="1"/>
    <row r="51" spans="1:19" hidden="1">
      <c r="B51" s="2" t="s">
        <v>68</v>
      </c>
      <c r="K51" t="s">
        <v>25</v>
      </c>
    </row>
    <row r="52" spans="1:19" hidden="1">
      <c r="B52">
        <v>2020</v>
      </c>
    </row>
    <row r="53" spans="1:19" hidden="1">
      <c r="B53" t="s">
        <v>8</v>
      </c>
      <c r="C53" t="s">
        <v>10</v>
      </c>
      <c r="D53" t="s">
        <v>14</v>
      </c>
      <c r="E53" t="s">
        <v>15</v>
      </c>
      <c r="F53" t="s">
        <v>16</v>
      </c>
      <c r="G53" t="s">
        <v>115</v>
      </c>
      <c r="H53" t="s">
        <v>116</v>
      </c>
      <c r="I53" t="s">
        <v>47</v>
      </c>
      <c r="K53" s="2" t="s">
        <v>284</v>
      </c>
      <c r="S53" s="317" t="s">
        <v>127</v>
      </c>
    </row>
    <row r="54" spans="1:19" hidden="1">
      <c r="A54">
        <v>2020</v>
      </c>
      <c r="B54" s="3">
        <f>K55*$K59</f>
        <v>19.17068225694263</v>
      </c>
      <c r="C54" s="3">
        <f t="shared" ref="C54" si="83">L55*$K59</f>
        <v>4.7953470793466471</v>
      </c>
      <c r="D54" s="3">
        <f t="shared" ref="D54" si="84">M55*$K59</f>
        <v>4.7173930161063025</v>
      </c>
      <c r="E54" s="3">
        <f t="shared" ref="E54" si="85">N55*$K59</f>
        <v>0.60222038503484709</v>
      </c>
      <c r="F54" s="3">
        <f t="shared" ref="F54" si="86">O55*$K59</f>
        <v>64461.670014130046</v>
      </c>
      <c r="G54" s="3">
        <f t="shared" ref="G54" si="87">P55*$K59</f>
        <v>1.0445402152137211</v>
      </c>
      <c r="H54" s="3">
        <f t="shared" ref="H54" si="88">Q55*$K59</f>
        <v>17.364021101838087</v>
      </c>
      <c r="I54" s="3">
        <f t="shared" ref="I54:I70" si="89">F54+D54*K$105+E54*L$105</f>
        <v>64759.066514273087</v>
      </c>
      <c r="K54" t="s">
        <v>8</v>
      </c>
      <c r="L54" t="s">
        <v>10</v>
      </c>
      <c r="M54" t="s">
        <v>14</v>
      </c>
      <c r="N54" t="s">
        <v>15</v>
      </c>
      <c r="O54" t="s">
        <v>16</v>
      </c>
      <c r="P54" t="s">
        <v>115</v>
      </c>
      <c r="Q54" t="s">
        <v>116</v>
      </c>
      <c r="S54" s="317"/>
    </row>
    <row r="55" spans="1:19" hidden="1">
      <c r="A55">
        <v>2025</v>
      </c>
      <c r="B55" s="3">
        <f t="shared" ref="B55:H55" si="90">B54</f>
        <v>19.17068225694263</v>
      </c>
      <c r="C55" s="3">
        <f t="shared" si="90"/>
        <v>4.7953470793466471</v>
      </c>
      <c r="D55" s="3">
        <f t="shared" si="90"/>
        <v>4.7173930161063025</v>
      </c>
      <c r="E55" s="3">
        <f t="shared" si="90"/>
        <v>0.60222038503484709</v>
      </c>
      <c r="F55" s="3">
        <f t="shared" si="90"/>
        <v>64461.670014130046</v>
      </c>
      <c r="G55" s="3">
        <f t="shared" si="90"/>
        <v>1.0445402152137211</v>
      </c>
      <c r="H55" s="3">
        <f t="shared" si="90"/>
        <v>17.364021101838087</v>
      </c>
      <c r="I55" s="3">
        <f t="shared" si="89"/>
        <v>64759.066514273087</v>
      </c>
      <c r="K55" s="3">
        <f>'Regional GREET factors'!A119</f>
        <v>41.76619228092077</v>
      </c>
      <c r="L55" s="3">
        <f>'Regional GREET factors'!B119</f>
        <v>10.447379257835832</v>
      </c>
      <c r="M55" s="3">
        <f>'Regional GREET factors'!C119</f>
        <v>10.277544697399353</v>
      </c>
      <c r="N55" s="3">
        <f>'Regional GREET factors'!D119</f>
        <v>1.3120269826467259</v>
      </c>
      <c r="O55" s="3">
        <f>'Regional GREET factors'!E119</f>
        <v>140439.36822250555</v>
      </c>
      <c r="P55" s="3">
        <f>'Regional GREET factors'!F119</f>
        <v>2.2756867433850134</v>
      </c>
      <c r="Q55" s="3">
        <f>'Regional GREET factors'!G119</f>
        <v>37.830111332980586</v>
      </c>
      <c r="S55" s="317"/>
    </row>
    <row r="56" spans="1:19" hidden="1">
      <c r="A56">
        <v>2026</v>
      </c>
      <c r="B56" s="3">
        <f>B55+(B60-B55)/5</f>
        <v>18.458790647301512</v>
      </c>
      <c r="C56" s="3">
        <f t="shared" ref="C56:H56" si="91">C55+(C60-C55)/5</f>
        <v>4.6172747861778616</v>
      </c>
      <c r="D56" s="3">
        <f t="shared" si="91"/>
        <v>4.5422154995977557</v>
      </c>
      <c r="E56" s="3">
        <f t="shared" si="91"/>
        <v>0.57985729782099005</v>
      </c>
      <c r="F56" s="3">
        <f t="shared" si="91"/>
        <v>62067.925158758786</v>
      </c>
      <c r="G56" s="3">
        <f t="shared" si="91"/>
        <v>1.0057518505025966</v>
      </c>
      <c r="H56" s="3">
        <f t="shared" si="91"/>
        <v>16.719218753838543</v>
      </c>
      <c r="I56" s="3">
        <f t="shared" si="89"/>
        <v>62354.27802099938</v>
      </c>
    </row>
    <row r="57" spans="1:19" hidden="1">
      <c r="A57">
        <v>2027</v>
      </c>
      <c r="B57" s="3">
        <f>B55+(B60-B55)/5*2</f>
        <v>17.746899037660398</v>
      </c>
      <c r="C57" s="3">
        <f t="shared" ref="C57:H57" si="92">C55+(C60-C55)/5*2</f>
        <v>4.439202493009077</v>
      </c>
      <c r="D57" s="3">
        <f t="shared" si="92"/>
        <v>4.3670379830892081</v>
      </c>
      <c r="E57" s="3">
        <f t="shared" si="92"/>
        <v>0.557494210607133</v>
      </c>
      <c r="F57" s="3">
        <f t="shared" si="92"/>
        <v>59674.180303387519</v>
      </c>
      <c r="G57" s="3">
        <f t="shared" si="92"/>
        <v>0.96696348579147207</v>
      </c>
      <c r="H57" s="3">
        <f t="shared" si="92"/>
        <v>16.074416405838996</v>
      </c>
      <c r="I57" s="3">
        <f t="shared" si="89"/>
        <v>59949.489527725673</v>
      </c>
      <c r="K57" s="2" t="s">
        <v>291</v>
      </c>
    </row>
    <row r="58" spans="1:19" hidden="1">
      <c r="A58">
        <v>2028</v>
      </c>
      <c r="B58" s="3">
        <f>B55+(B60-B55)/5*3</f>
        <v>17.035007428019281</v>
      </c>
      <c r="C58" s="3">
        <f t="shared" ref="C58:H58" si="93">C55+(C60-C55)/5*3</f>
        <v>4.2611301998402915</v>
      </c>
      <c r="D58" s="3">
        <f t="shared" si="93"/>
        <v>4.1918604665806614</v>
      </c>
      <c r="E58" s="3">
        <f t="shared" si="93"/>
        <v>0.53513112339327584</v>
      </c>
      <c r="F58" s="3">
        <f t="shared" si="93"/>
        <v>57280.435448016258</v>
      </c>
      <c r="G58" s="3">
        <f t="shared" si="93"/>
        <v>0.9281751210803475</v>
      </c>
      <c r="H58" s="3">
        <f t="shared" si="93"/>
        <v>15.429614057839451</v>
      </c>
      <c r="I58" s="3">
        <f t="shared" si="89"/>
        <v>57544.701034451966</v>
      </c>
      <c r="K58">
        <v>2020</v>
      </c>
      <c r="L58">
        <v>2025</v>
      </c>
      <c r="M58">
        <v>2030</v>
      </c>
      <c r="N58">
        <v>2035</v>
      </c>
      <c r="O58">
        <v>2040</v>
      </c>
    </row>
    <row r="59" spans="1:19" hidden="1">
      <c r="A59">
        <v>2029</v>
      </c>
      <c r="B59" s="3">
        <f>B55+(B60-B55)/5*4</f>
        <v>16.323115818378163</v>
      </c>
      <c r="C59" s="3">
        <f t="shared" ref="C59:H59" si="94">C55+(C60-C55)/5*4</f>
        <v>4.0830579066715069</v>
      </c>
      <c r="D59" s="3">
        <f t="shared" si="94"/>
        <v>4.0166829500721137</v>
      </c>
      <c r="E59" s="3">
        <f t="shared" si="94"/>
        <v>0.5127680361794188</v>
      </c>
      <c r="F59" s="3">
        <f t="shared" si="94"/>
        <v>54886.690592644998</v>
      </c>
      <c r="G59" s="3">
        <f t="shared" si="94"/>
        <v>0.88938675636922304</v>
      </c>
      <c r="H59" s="3">
        <f t="shared" si="94"/>
        <v>14.784811709839905</v>
      </c>
      <c r="I59" s="3">
        <f t="shared" si="89"/>
        <v>55139.912541178266</v>
      </c>
      <c r="K59" s="9">
        <f>1-'State grid data'!C9</f>
        <v>0.45899999999999996</v>
      </c>
      <c r="L59" s="9">
        <f>1-'State grid data'!D9</f>
        <v>0.37377657277770127</v>
      </c>
      <c r="M59" s="9">
        <f>1-'State grid data'!E9</f>
        <v>0.37377657277770127</v>
      </c>
      <c r="N59" s="9">
        <f>1-'State grid data'!F9</f>
        <v>0.37377657277770127</v>
      </c>
      <c r="O59" s="9">
        <f>1-'State grid data'!G9</f>
        <v>0.37377657277770127</v>
      </c>
      <c r="P59" s="9"/>
      <c r="Q59" s="9"/>
    </row>
    <row r="60" spans="1:19" hidden="1">
      <c r="A60">
        <v>2030</v>
      </c>
      <c r="B60" s="3">
        <f t="shared" ref="B60" si="95">K55*$M59</f>
        <v>15.611224208737047</v>
      </c>
      <c r="C60" s="3">
        <f t="shared" ref="C60" si="96">L55*$M59</f>
        <v>3.9049856135027214</v>
      </c>
      <c r="D60" s="3">
        <f t="shared" ref="D60" si="97">M55*$M59</f>
        <v>3.841505433563567</v>
      </c>
      <c r="E60" s="3">
        <f t="shared" ref="E60" si="98">N55*$M59</f>
        <v>0.49040494896556175</v>
      </c>
      <c r="F60" s="3">
        <f t="shared" ref="F60" si="99">O55*$M59</f>
        <v>52492.945737273731</v>
      </c>
      <c r="G60" s="3">
        <f t="shared" ref="G60" si="100">P55*$M59</f>
        <v>0.85059839165809847</v>
      </c>
      <c r="H60" s="3">
        <f t="shared" ref="H60" si="101">Q55*$M59</f>
        <v>14.14000936184036</v>
      </c>
      <c r="I60" s="3">
        <f t="shared" si="89"/>
        <v>52735.124047904552</v>
      </c>
    </row>
    <row r="61" spans="1:19" hidden="1">
      <c r="A61">
        <v>2031</v>
      </c>
      <c r="B61" s="3">
        <f>B60+(B65-B60)/5</f>
        <v>15.611224208737047</v>
      </c>
      <c r="C61" s="3">
        <f t="shared" ref="C61:H61" si="102">C60+(C65-C60)/5</f>
        <v>3.9049856135027214</v>
      </c>
      <c r="D61" s="3">
        <f t="shared" si="102"/>
        <v>3.841505433563567</v>
      </c>
      <c r="E61" s="3">
        <f t="shared" si="102"/>
        <v>0.49040494896556175</v>
      </c>
      <c r="F61" s="3">
        <f t="shared" si="102"/>
        <v>52492.945737273731</v>
      </c>
      <c r="G61" s="3">
        <f t="shared" si="102"/>
        <v>0.85059839165809847</v>
      </c>
      <c r="H61" s="3">
        <f t="shared" si="102"/>
        <v>14.14000936184036</v>
      </c>
      <c r="I61" s="3">
        <f t="shared" si="89"/>
        <v>52735.124047904552</v>
      </c>
      <c r="K61" s="320" t="s">
        <v>164</v>
      </c>
      <c r="L61" s="321"/>
    </row>
    <row r="62" spans="1:19" hidden="1">
      <c r="A62">
        <v>2032</v>
      </c>
      <c r="B62" s="3">
        <f>B60+(B65-B60)/5*2</f>
        <v>15.611224208737047</v>
      </c>
      <c r="C62" s="3">
        <f t="shared" ref="C62:H62" si="103">C60+(C65-C60)/5*2</f>
        <v>3.9049856135027214</v>
      </c>
      <c r="D62" s="3">
        <f t="shared" si="103"/>
        <v>3.841505433563567</v>
      </c>
      <c r="E62" s="3">
        <f t="shared" si="103"/>
        <v>0.49040494896556175</v>
      </c>
      <c r="F62" s="3">
        <f t="shared" si="103"/>
        <v>52492.945737273731</v>
      </c>
      <c r="G62" s="3">
        <f t="shared" si="103"/>
        <v>0.85059839165809847</v>
      </c>
      <c r="H62" s="3">
        <f t="shared" si="103"/>
        <v>14.14000936184036</v>
      </c>
      <c r="I62" s="3">
        <f t="shared" si="89"/>
        <v>52735.124047904552</v>
      </c>
      <c r="K62" s="19" t="s">
        <v>14</v>
      </c>
      <c r="L62" s="82" t="s">
        <v>15</v>
      </c>
    </row>
    <row r="63" spans="1:19" hidden="1">
      <c r="A63">
        <v>2033</v>
      </c>
      <c r="B63" s="3">
        <f>B60+(B65-B60)/5*3</f>
        <v>15.611224208737047</v>
      </c>
      <c r="C63" s="3">
        <f t="shared" ref="C63:H63" si="104">C60+(C65-C60)/5*3</f>
        <v>3.9049856135027214</v>
      </c>
      <c r="D63" s="3">
        <f t="shared" si="104"/>
        <v>3.841505433563567</v>
      </c>
      <c r="E63" s="3">
        <f t="shared" si="104"/>
        <v>0.49040494896556175</v>
      </c>
      <c r="F63" s="3">
        <f t="shared" si="104"/>
        <v>52492.945737273731</v>
      </c>
      <c r="G63" s="3">
        <f t="shared" si="104"/>
        <v>0.85059839165809847</v>
      </c>
      <c r="H63" s="3">
        <f t="shared" si="104"/>
        <v>14.14000936184036</v>
      </c>
      <c r="I63" s="3">
        <f t="shared" si="89"/>
        <v>52735.124047904552</v>
      </c>
      <c r="K63" s="131">
        <v>25</v>
      </c>
      <c r="L63" s="132">
        <v>298</v>
      </c>
    </row>
    <row r="64" spans="1:19" hidden="1">
      <c r="A64">
        <v>2034</v>
      </c>
      <c r="B64" s="3">
        <f>B60+(B65-B60)/5*4</f>
        <v>15.611224208737047</v>
      </c>
      <c r="C64" s="3">
        <f t="shared" ref="C64:H64" si="105">C60+(C65-C60)/5*4</f>
        <v>3.9049856135027214</v>
      </c>
      <c r="D64" s="3">
        <f t="shared" si="105"/>
        <v>3.841505433563567</v>
      </c>
      <c r="E64" s="3">
        <f t="shared" si="105"/>
        <v>0.49040494896556175</v>
      </c>
      <c r="F64" s="3">
        <f t="shared" si="105"/>
        <v>52492.945737273731</v>
      </c>
      <c r="G64" s="3">
        <f t="shared" si="105"/>
        <v>0.85059839165809847</v>
      </c>
      <c r="H64" s="3">
        <f t="shared" si="105"/>
        <v>14.14000936184036</v>
      </c>
      <c r="I64" s="3">
        <f t="shared" si="89"/>
        <v>52735.124047904552</v>
      </c>
    </row>
    <row r="65" spans="1:19" hidden="1">
      <c r="A65">
        <v>2035</v>
      </c>
      <c r="B65" s="3">
        <f t="shared" ref="B65" si="106">K55*$N59</f>
        <v>15.611224208737047</v>
      </c>
      <c r="C65" s="3">
        <f t="shared" ref="C65" si="107">L55*$N59</f>
        <v>3.9049856135027214</v>
      </c>
      <c r="D65" s="3">
        <f t="shared" ref="D65" si="108">M55*$N59</f>
        <v>3.841505433563567</v>
      </c>
      <c r="E65" s="3">
        <f t="shared" ref="E65" si="109">N55*$N59</f>
        <v>0.49040494896556175</v>
      </c>
      <c r="F65" s="3">
        <f t="shared" ref="F65" si="110">O55*$N59</f>
        <v>52492.945737273731</v>
      </c>
      <c r="G65" s="3">
        <f t="shared" ref="G65" si="111">P55*$N59</f>
        <v>0.85059839165809847</v>
      </c>
      <c r="H65" s="3">
        <f t="shared" ref="H65" si="112">Q55*$N59</f>
        <v>14.14000936184036</v>
      </c>
      <c r="I65" s="3">
        <f t="shared" si="89"/>
        <v>52735.124047904552</v>
      </c>
    </row>
    <row r="66" spans="1:19" hidden="1">
      <c r="A66">
        <v>2036</v>
      </c>
      <c r="B66" s="3">
        <f>B65+(B70-B65)/5</f>
        <v>15.611224208737047</v>
      </c>
      <c r="C66" s="3">
        <f t="shared" ref="C66:H66" si="113">C65+(C70-C65)/5</f>
        <v>3.9049856135027214</v>
      </c>
      <c r="D66" s="3">
        <f t="shared" si="113"/>
        <v>3.841505433563567</v>
      </c>
      <c r="E66" s="3">
        <f t="shared" si="113"/>
        <v>0.49040494896556175</v>
      </c>
      <c r="F66" s="3">
        <f t="shared" si="113"/>
        <v>52492.945737273731</v>
      </c>
      <c r="G66" s="3">
        <f t="shared" si="113"/>
        <v>0.85059839165809847</v>
      </c>
      <c r="H66" s="3">
        <f t="shared" si="113"/>
        <v>14.14000936184036</v>
      </c>
      <c r="I66" s="3">
        <f t="shared" si="89"/>
        <v>52735.124047904552</v>
      </c>
    </row>
    <row r="67" spans="1:19" hidden="1">
      <c r="A67">
        <v>2037</v>
      </c>
      <c r="B67" s="3">
        <f>B65+(B70-B65)/5*2</f>
        <v>15.611224208737047</v>
      </c>
      <c r="C67" s="3">
        <f t="shared" ref="C67:H67" si="114">C65+(C70-C65)/5*2</f>
        <v>3.9049856135027214</v>
      </c>
      <c r="D67" s="3">
        <f t="shared" si="114"/>
        <v>3.841505433563567</v>
      </c>
      <c r="E67" s="3">
        <f t="shared" si="114"/>
        <v>0.49040494896556175</v>
      </c>
      <c r="F67" s="3">
        <f t="shared" si="114"/>
        <v>52492.945737273731</v>
      </c>
      <c r="G67" s="3">
        <f t="shared" si="114"/>
        <v>0.85059839165809847</v>
      </c>
      <c r="H67" s="3">
        <f t="shared" si="114"/>
        <v>14.14000936184036</v>
      </c>
      <c r="I67" s="3">
        <f t="shared" si="89"/>
        <v>52735.124047904552</v>
      </c>
    </row>
    <row r="68" spans="1:19" hidden="1">
      <c r="A68">
        <v>2038</v>
      </c>
      <c r="B68" s="3">
        <f>B65+(B70-B65)/5*3</f>
        <v>15.611224208737047</v>
      </c>
      <c r="C68" s="3">
        <f t="shared" ref="C68:H68" si="115">C65+(C70-C65)/5*3</f>
        <v>3.9049856135027214</v>
      </c>
      <c r="D68" s="3">
        <f t="shared" si="115"/>
        <v>3.841505433563567</v>
      </c>
      <c r="E68" s="3">
        <f t="shared" si="115"/>
        <v>0.49040494896556175</v>
      </c>
      <c r="F68" s="3">
        <f t="shared" si="115"/>
        <v>52492.945737273731</v>
      </c>
      <c r="G68" s="3">
        <f t="shared" si="115"/>
        <v>0.85059839165809847</v>
      </c>
      <c r="H68" s="3">
        <f t="shared" si="115"/>
        <v>14.14000936184036</v>
      </c>
      <c r="I68" s="3">
        <f t="shared" si="89"/>
        <v>52735.124047904552</v>
      </c>
    </row>
    <row r="69" spans="1:19" hidden="1">
      <c r="A69">
        <v>2039</v>
      </c>
      <c r="B69" s="3">
        <f>B65+(B70-B65)/5*4</f>
        <v>15.611224208737047</v>
      </c>
      <c r="C69" s="3">
        <f t="shared" ref="C69:H69" si="116">C65+(C70-C65)/5*4</f>
        <v>3.9049856135027214</v>
      </c>
      <c r="D69" s="3">
        <f t="shared" si="116"/>
        <v>3.841505433563567</v>
      </c>
      <c r="E69" s="3">
        <f t="shared" si="116"/>
        <v>0.49040494896556175</v>
      </c>
      <c r="F69" s="3">
        <f t="shared" si="116"/>
        <v>52492.945737273731</v>
      </c>
      <c r="G69" s="3">
        <f t="shared" si="116"/>
        <v>0.85059839165809847</v>
      </c>
      <c r="H69" s="3">
        <f t="shared" si="116"/>
        <v>14.14000936184036</v>
      </c>
      <c r="I69" s="3">
        <f t="shared" si="89"/>
        <v>52735.124047904552</v>
      </c>
    </row>
    <row r="70" spans="1:19" hidden="1">
      <c r="A70">
        <v>2040</v>
      </c>
      <c r="B70" s="3">
        <f t="shared" ref="B70" si="117">K55*$O59</f>
        <v>15.611224208737047</v>
      </c>
      <c r="C70" s="3">
        <f t="shared" ref="C70" si="118">L55*$O59</f>
        <v>3.9049856135027214</v>
      </c>
      <c r="D70" s="3">
        <f t="shared" ref="D70" si="119">M55*$O59</f>
        <v>3.841505433563567</v>
      </c>
      <c r="E70" s="3">
        <f t="shared" ref="E70" si="120">N55*$O59</f>
        <v>0.49040494896556175</v>
      </c>
      <c r="F70" s="3">
        <f t="shared" ref="F70" si="121">O55*$O59</f>
        <v>52492.945737273731</v>
      </c>
      <c r="G70" s="3">
        <f t="shared" ref="G70" si="122">P55*$O59</f>
        <v>0.85059839165809847</v>
      </c>
      <c r="H70" s="3">
        <f t="shared" ref="H70" si="123">Q55*$O59</f>
        <v>14.14000936184036</v>
      </c>
      <c r="I70" s="3">
        <f t="shared" si="89"/>
        <v>52735.124047904552</v>
      </c>
    </row>
    <row r="71" spans="1:19" hidden="1"/>
    <row r="72" spans="1:19" hidden="1">
      <c r="B72" s="2" t="s">
        <v>447</v>
      </c>
      <c r="K72" t="s">
        <v>25</v>
      </c>
    </row>
    <row r="73" spans="1:19" hidden="1">
      <c r="B73">
        <v>2020</v>
      </c>
    </row>
    <row r="74" spans="1:19" hidden="1">
      <c r="B74" t="s">
        <v>8</v>
      </c>
      <c r="C74" t="s">
        <v>10</v>
      </c>
      <c r="D74" t="s">
        <v>14</v>
      </c>
      <c r="E74" t="s">
        <v>15</v>
      </c>
      <c r="F74" t="s">
        <v>16</v>
      </c>
      <c r="G74" t="s">
        <v>115</v>
      </c>
      <c r="H74" t="s">
        <v>116</v>
      </c>
      <c r="I74" t="s">
        <v>47</v>
      </c>
      <c r="K74" s="2" t="s">
        <v>108</v>
      </c>
      <c r="S74" s="317" t="s">
        <v>127</v>
      </c>
    </row>
    <row r="75" spans="1:19" hidden="1">
      <c r="A75">
        <v>2020</v>
      </c>
      <c r="B75" s="3">
        <f>K76*$K80</f>
        <v>70.798930032151446</v>
      </c>
      <c r="C75" s="3">
        <f t="shared" ref="C75" si="124">L76*$K80</f>
        <v>6.6821106718331782</v>
      </c>
      <c r="D75" s="3">
        <f t="shared" ref="D75" si="125">M76*$K80</f>
        <v>11.252392868866028</v>
      </c>
      <c r="E75" s="3">
        <f t="shared" ref="E75" si="126">N76*$K80</f>
        <v>1.6617730356271443</v>
      </c>
      <c r="F75" s="3">
        <f t="shared" ref="F75" si="127">O76*$K80</f>
        <v>111906.9472448554</v>
      </c>
      <c r="G75" s="3">
        <f t="shared" ref="G75" si="128">P76*$K80</f>
        <v>1.8597846092458894</v>
      </c>
      <c r="H75" s="3">
        <f t="shared" ref="H75" si="129">Q76*$K80</f>
        <v>37.330626555097005</v>
      </c>
      <c r="I75" s="3">
        <f t="shared" ref="I75:I91" si="130">F75+D75*K$105+E75*L$105</f>
        <v>112683.46543119394</v>
      </c>
      <c r="K75" t="s">
        <v>8</v>
      </c>
      <c r="L75" t="s">
        <v>10</v>
      </c>
      <c r="M75" t="s">
        <v>14</v>
      </c>
      <c r="N75" t="s">
        <v>15</v>
      </c>
      <c r="O75" t="s">
        <v>16</v>
      </c>
      <c r="P75" t="s">
        <v>115</v>
      </c>
      <c r="Q75" t="s">
        <v>116</v>
      </c>
      <c r="S75" s="317"/>
    </row>
    <row r="76" spans="1:19" hidden="1">
      <c r="A76">
        <v>2025</v>
      </c>
      <c r="B76" s="3">
        <f>K76*$L80</f>
        <v>57.653554300099863</v>
      </c>
      <c r="C76" s="3">
        <f t="shared" ref="C76:H76" si="131">L76*$L80</f>
        <v>5.4414301216538314</v>
      </c>
      <c r="D76" s="3">
        <f t="shared" si="131"/>
        <v>9.1631390894836375</v>
      </c>
      <c r="E76" s="3">
        <f t="shared" si="131"/>
        <v>1.353228387780198</v>
      </c>
      <c r="F76" s="3">
        <f t="shared" si="131"/>
        <v>91128.965601736549</v>
      </c>
      <c r="G76" s="3">
        <f t="shared" si="131"/>
        <v>1.5144747654654576</v>
      </c>
      <c r="H76" s="3">
        <f t="shared" si="131"/>
        <v>30.399376151216568</v>
      </c>
      <c r="I76" s="3">
        <f t="shared" si="130"/>
        <v>91761.306138532149</v>
      </c>
      <c r="K76" s="3">
        <f>'Regional GREET factors'!A59</f>
        <v>154.24603492843454</v>
      </c>
      <c r="L76" s="3">
        <f>'Regional GREET factors'!B59</f>
        <v>14.557975319897993</v>
      </c>
      <c r="M76" s="3">
        <f>'Regional GREET factors'!C59</f>
        <v>24.515017143498973</v>
      </c>
      <c r="N76" s="3">
        <f>'Regional GREET factors'!D59</f>
        <v>3.6204205569218835</v>
      </c>
      <c r="O76" s="3">
        <f>'Regional GREET factors'!E59</f>
        <v>243805.98528290939</v>
      </c>
      <c r="P76" s="3">
        <f>'Regional GREET factors'!F59</f>
        <v>4.0518183207971452</v>
      </c>
      <c r="Q76" s="3">
        <f>'Regional GREET factors'!G59</f>
        <v>81.330341078642718</v>
      </c>
      <c r="S76" s="317"/>
    </row>
    <row r="77" spans="1:19" hidden="1">
      <c r="A77">
        <v>2026</v>
      </c>
      <c r="B77" s="3">
        <f>B76+(B81-B76)/5</f>
        <v>57.653554300099863</v>
      </c>
      <c r="C77" s="3">
        <f t="shared" ref="C77:H77" si="132">C76+(C81-C76)/5</f>
        <v>5.4414301216538314</v>
      </c>
      <c r="D77" s="3">
        <f t="shared" si="132"/>
        <v>9.1631390894836375</v>
      </c>
      <c r="E77" s="3">
        <f t="shared" si="132"/>
        <v>1.353228387780198</v>
      </c>
      <c r="F77" s="3">
        <f t="shared" si="132"/>
        <v>91128.965601736549</v>
      </c>
      <c r="G77" s="3">
        <f t="shared" si="132"/>
        <v>1.5144747654654576</v>
      </c>
      <c r="H77" s="3">
        <f t="shared" si="132"/>
        <v>30.399376151216568</v>
      </c>
      <c r="I77" s="3">
        <f t="shared" si="130"/>
        <v>91761.306138532149</v>
      </c>
    </row>
    <row r="78" spans="1:19" hidden="1">
      <c r="A78">
        <v>2027</v>
      </c>
      <c r="B78" s="3">
        <f>B76+(B81-B76)/5*2</f>
        <v>57.653554300099863</v>
      </c>
      <c r="C78" s="3">
        <f t="shared" ref="C78:H78" si="133">C76+(C81-C76)/5*2</f>
        <v>5.4414301216538314</v>
      </c>
      <c r="D78" s="3">
        <f t="shared" si="133"/>
        <v>9.1631390894836375</v>
      </c>
      <c r="E78" s="3">
        <f t="shared" si="133"/>
        <v>1.353228387780198</v>
      </c>
      <c r="F78" s="3">
        <f t="shared" si="133"/>
        <v>91128.965601736549</v>
      </c>
      <c r="G78" s="3">
        <f t="shared" si="133"/>
        <v>1.5144747654654576</v>
      </c>
      <c r="H78" s="3">
        <f t="shared" si="133"/>
        <v>30.399376151216568</v>
      </c>
      <c r="I78" s="3">
        <f t="shared" si="130"/>
        <v>91761.306138532149</v>
      </c>
      <c r="K78" s="2" t="s">
        <v>291</v>
      </c>
    </row>
    <row r="79" spans="1:19" hidden="1">
      <c r="A79">
        <v>2028</v>
      </c>
      <c r="B79" s="3">
        <f>B76+(B81-B76)/5*3</f>
        <v>57.653554300099863</v>
      </c>
      <c r="C79" s="3">
        <f t="shared" ref="C79:H79" si="134">C76+(C81-C76)/5*3</f>
        <v>5.4414301216538314</v>
      </c>
      <c r="D79" s="3">
        <f t="shared" si="134"/>
        <v>9.1631390894836375</v>
      </c>
      <c r="E79" s="3">
        <f t="shared" si="134"/>
        <v>1.353228387780198</v>
      </c>
      <c r="F79" s="3">
        <f t="shared" si="134"/>
        <v>91128.965601736549</v>
      </c>
      <c r="G79" s="3">
        <f t="shared" si="134"/>
        <v>1.5144747654654576</v>
      </c>
      <c r="H79" s="3">
        <f t="shared" si="134"/>
        <v>30.399376151216568</v>
      </c>
      <c r="I79" s="3">
        <f t="shared" si="130"/>
        <v>91761.306138532149</v>
      </c>
      <c r="K79">
        <v>2020</v>
      </c>
      <c r="L79">
        <v>2025</v>
      </c>
      <c r="M79">
        <v>2030</v>
      </c>
      <c r="N79">
        <v>2035</v>
      </c>
      <c r="O79">
        <v>2040</v>
      </c>
    </row>
    <row r="80" spans="1:19" hidden="1">
      <c r="A80">
        <v>2029</v>
      </c>
      <c r="B80" s="3">
        <f>B76+(B81-B76)/5*4</f>
        <v>57.653554300099863</v>
      </c>
      <c r="C80" s="3">
        <f t="shared" ref="C80:H80" si="135">C76+(C81-C76)/5*4</f>
        <v>5.4414301216538314</v>
      </c>
      <c r="D80" s="3">
        <f t="shared" si="135"/>
        <v>9.1631390894836375</v>
      </c>
      <c r="E80" s="3">
        <f t="shared" si="135"/>
        <v>1.353228387780198</v>
      </c>
      <c r="F80" s="3">
        <f t="shared" si="135"/>
        <v>91128.965601736549</v>
      </c>
      <c r="G80" s="3">
        <f t="shared" si="135"/>
        <v>1.5144747654654576</v>
      </c>
      <c r="H80" s="3">
        <f t="shared" si="135"/>
        <v>30.399376151216568</v>
      </c>
      <c r="I80" s="3">
        <f t="shared" si="130"/>
        <v>91761.306138532149</v>
      </c>
      <c r="K80" s="9">
        <f>1-'State grid data'!C9</f>
        <v>0.45899999999999996</v>
      </c>
      <c r="L80" s="9">
        <f>1-'State grid data'!D9</f>
        <v>0.37377657277770127</v>
      </c>
      <c r="M80" s="9">
        <f>1-'State grid data'!E9</f>
        <v>0.37377657277770127</v>
      </c>
      <c r="N80" s="9">
        <f>1-'State grid data'!F9</f>
        <v>0.37377657277770127</v>
      </c>
      <c r="O80" s="9">
        <f>1-'State grid data'!G9</f>
        <v>0.37377657277770127</v>
      </c>
      <c r="P80" s="9"/>
      <c r="Q80" s="9"/>
    </row>
    <row r="81" spans="1:19" hidden="1">
      <c r="A81">
        <v>2030</v>
      </c>
      <c r="B81" s="3">
        <f t="shared" ref="B81" si="136">K76*$M80</f>
        <v>57.653554300099863</v>
      </c>
      <c r="C81" s="3">
        <f t="shared" ref="C81" si="137">L76*$M80</f>
        <v>5.4414301216538314</v>
      </c>
      <c r="D81" s="3">
        <f t="shared" ref="D81" si="138">M76*$M80</f>
        <v>9.1631390894836375</v>
      </c>
      <c r="E81" s="3">
        <f t="shared" ref="E81" si="139">N76*$M80</f>
        <v>1.353228387780198</v>
      </c>
      <c r="F81" s="3">
        <f t="shared" ref="F81" si="140">O76*$M80</f>
        <v>91128.965601736549</v>
      </c>
      <c r="G81" s="3">
        <f t="shared" ref="G81" si="141">P76*$M80</f>
        <v>1.5144747654654576</v>
      </c>
      <c r="H81" s="3">
        <f t="shared" ref="H81" si="142">Q76*$M80</f>
        <v>30.399376151216568</v>
      </c>
      <c r="I81" s="3">
        <f t="shared" si="130"/>
        <v>91761.306138532149</v>
      </c>
    </row>
    <row r="82" spans="1:19" hidden="1">
      <c r="A82">
        <v>2031</v>
      </c>
      <c r="B82" s="3">
        <f>B81+(B86-B81)/5</f>
        <v>57.653554300099863</v>
      </c>
      <c r="C82" s="3">
        <f t="shared" ref="C82:H82" si="143">C81+(C86-C81)/5</f>
        <v>5.4414301216538314</v>
      </c>
      <c r="D82" s="3">
        <f t="shared" si="143"/>
        <v>9.1631390894836375</v>
      </c>
      <c r="E82" s="3">
        <f t="shared" si="143"/>
        <v>1.353228387780198</v>
      </c>
      <c r="F82" s="3">
        <f t="shared" si="143"/>
        <v>91128.965601736549</v>
      </c>
      <c r="G82" s="3">
        <f t="shared" si="143"/>
        <v>1.5144747654654576</v>
      </c>
      <c r="H82" s="3">
        <f t="shared" si="143"/>
        <v>30.399376151216568</v>
      </c>
      <c r="I82" s="3">
        <f t="shared" si="130"/>
        <v>91761.306138532149</v>
      </c>
      <c r="K82" s="320" t="s">
        <v>164</v>
      </c>
      <c r="L82" s="321"/>
    </row>
    <row r="83" spans="1:19" hidden="1">
      <c r="A83">
        <v>2032</v>
      </c>
      <c r="B83" s="3">
        <f>B81+(B86-B81)/5*2</f>
        <v>57.653554300099863</v>
      </c>
      <c r="C83" s="3">
        <f t="shared" ref="C83:H83" si="144">C81+(C86-C81)/5*2</f>
        <v>5.4414301216538314</v>
      </c>
      <c r="D83" s="3">
        <f t="shared" si="144"/>
        <v>9.1631390894836375</v>
      </c>
      <c r="E83" s="3">
        <f t="shared" si="144"/>
        <v>1.353228387780198</v>
      </c>
      <c r="F83" s="3">
        <f t="shared" si="144"/>
        <v>91128.965601736549</v>
      </c>
      <c r="G83" s="3">
        <f t="shared" si="144"/>
        <v>1.5144747654654576</v>
      </c>
      <c r="H83" s="3">
        <f t="shared" si="144"/>
        <v>30.399376151216568</v>
      </c>
      <c r="I83" s="3">
        <f t="shared" si="130"/>
        <v>91761.306138532149</v>
      </c>
      <c r="K83" s="19" t="s">
        <v>14</v>
      </c>
      <c r="L83" s="82" t="s">
        <v>15</v>
      </c>
    </row>
    <row r="84" spans="1:19" hidden="1">
      <c r="A84">
        <v>2033</v>
      </c>
      <c r="B84" s="3">
        <f>B81+(B86-B81)/5*3</f>
        <v>57.653554300099863</v>
      </c>
      <c r="C84" s="3">
        <f t="shared" ref="C84:H84" si="145">C81+(C86-C81)/5*3</f>
        <v>5.4414301216538314</v>
      </c>
      <c r="D84" s="3">
        <f t="shared" si="145"/>
        <v>9.1631390894836375</v>
      </c>
      <c r="E84" s="3">
        <f t="shared" si="145"/>
        <v>1.353228387780198</v>
      </c>
      <c r="F84" s="3">
        <f t="shared" si="145"/>
        <v>91128.965601736549</v>
      </c>
      <c r="G84" s="3">
        <f t="shared" si="145"/>
        <v>1.5144747654654576</v>
      </c>
      <c r="H84" s="3">
        <f t="shared" si="145"/>
        <v>30.399376151216568</v>
      </c>
      <c r="I84" s="3">
        <f t="shared" si="130"/>
        <v>91761.306138532149</v>
      </c>
      <c r="K84" s="131">
        <v>25</v>
      </c>
      <c r="L84" s="132">
        <v>298</v>
      </c>
    </row>
    <row r="85" spans="1:19" hidden="1">
      <c r="A85">
        <v>2034</v>
      </c>
      <c r="B85" s="3">
        <f>B81+(B86-B81)/5*4</f>
        <v>57.653554300099863</v>
      </c>
      <c r="C85" s="3">
        <f t="shared" ref="C85:H85" si="146">C81+(C86-C81)/5*4</f>
        <v>5.4414301216538314</v>
      </c>
      <c r="D85" s="3">
        <f t="shared" si="146"/>
        <v>9.1631390894836375</v>
      </c>
      <c r="E85" s="3">
        <f t="shared" si="146"/>
        <v>1.353228387780198</v>
      </c>
      <c r="F85" s="3">
        <f t="shared" si="146"/>
        <v>91128.965601736549</v>
      </c>
      <c r="G85" s="3">
        <f t="shared" si="146"/>
        <v>1.5144747654654576</v>
      </c>
      <c r="H85" s="3">
        <f t="shared" si="146"/>
        <v>30.399376151216568</v>
      </c>
      <c r="I85" s="3">
        <f t="shared" si="130"/>
        <v>91761.306138532149</v>
      </c>
    </row>
    <row r="86" spans="1:19" hidden="1">
      <c r="A86">
        <v>2035</v>
      </c>
      <c r="B86" s="3">
        <f t="shared" ref="B86" si="147">K76*$N80</f>
        <v>57.653554300099863</v>
      </c>
      <c r="C86" s="3">
        <f t="shared" ref="C86" si="148">L76*$N80</f>
        <v>5.4414301216538314</v>
      </c>
      <c r="D86" s="3">
        <f t="shared" ref="D86" si="149">M76*$N80</f>
        <v>9.1631390894836375</v>
      </c>
      <c r="E86" s="3">
        <f t="shared" ref="E86" si="150">N76*$N80</f>
        <v>1.353228387780198</v>
      </c>
      <c r="F86" s="3">
        <f t="shared" ref="F86" si="151">O76*$N80</f>
        <v>91128.965601736549</v>
      </c>
      <c r="G86" s="3">
        <f t="shared" ref="G86" si="152">P76*$N80</f>
        <v>1.5144747654654576</v>
      </c>
      <c r="H86" s="3">
        <f t="shared" ref="H86" si="153">Q76*$N80</f>
        <v>30.399376151216568</v>
      </c>
      <c r="I86" s="3">
        <f t="shared" si="130"/>
        <v>91761.306138532149</v>
      </c>
    </row>
    <row r="87" spans="1:19" hidden="1">
      <c r="A87">
        <v>2036</v>
      </c>
      <c r="B87" s="3">
        <f>B86+(B91-B86)/5</f>
        <v>57.653554300099863</v>
      </c>
      <c r="C87" s="3">
        <f t="shared" ref="C87:H87" si="154">C86+(C91-C86)/5</f>
        <v>5.4414301216538314</v>
      </c>
      <c r="D87" s="3">
        <f t="shared" si="154"/>
        <v>9.1631390894836375</v>
      </c>
      <c r="E87" s="3">
        <f t="shared" si="154"/>
        <v>1.353228387780198</v>
      </c>
      <c r="F87" s="3">
        <f t="shared" si="154"/>
        <v>91128.965601736549</v>
      </c>
      <c r="G87" s="3">
        <f t="shared" si="154"/>
        <v>1.5144747654654576</v>
      </c>
      <c r="H87" s="3">
        <f t="shared" si="154"/>
        <v>30.399376151216568</v>
      </c>
      <c r="I87" s="3">
        <f t="shared" si="130"/>
        <v>91761.306138532149</v>
      </c>
    </row>
    <row r="88" spans="1:19" hidden="1">
      <c r="A88">
        <v>2037</v>
      </c>
      <c r="B88" s="3">
        <f>B86+(B91-B86)/5*2</f>
        <v>57.653554300099863</v>
      </c>
      <c r="C88" s="3">
        <f t="shared" ref="C88:H88" si="155">C86+(C91-C86)/5*2</f>
        <v>5.4414301216538314</v>
      </c>
      <c r="D88" s="3">
        <f t="shared" si="155"/>
        <v>9.1631390894836375</v>
      </c>
      <c r="E88" s="3">
        <f t="shared" si="155"/>
        <v>1.353228387780198</v>
      </c>
      <c r="F88" s="3">
        <f t="shared" si="155"/>
        <v>91128.965601736549</v>
      </c>
      <c r="G88" s="3">
        <f t="shared" si="155"/>
        <v>1.5144747654654576</v>
      </c>
      <c r="H88" s="3">
        <f t="shared" si="155"/>
        <v>30.399376151216568</v>
      </c>
      <c r="I88" s="3">
        <f t="shared" si="130"/>
        <v>91761.306138532149</v>
      </c>
    </row>
    <row r="89" spans="1:19" hidden="1">
      <c r="A89">
        <v>2038</v>
      </c>
      <c r="B89" s="3">
        <f>B86+(B91-B86)/5*3</f>
        <v>57.653554300099863</v>
      </c>
      <c r="C89" s="3">
        <f t="shared" ref="C89:H89" si="156">C86+(C91-C86)/5*3</f>
        <v>5.4414301216538314</v>
      </c>
      <c r="D89" s="3">
        <f t="shared" si="156"/>
        <v>9.1631390894836375</v>
      </c>
      <c r="E89" s="3">
        <f t="shared" si="156"/>
        <v>1.353228387780198</v>
      </c>
      <c r="F89" s="3">
        <f t="shared" si="156"/>
        <v>91128.965601736549</v>
      </c>
      <c r="G89" s="3">
        <f t="shared" si="156"/>
        <v>1.5144747654654576</v>
      </c>
      <c r="H89" s="3">
        <f t="shared" si="156"/>
        <v>30.399376151216568</v>
      </c>
      <c r="I89" s="3">
        <f t="shared" si="130"/>
        <v>91761.306138532149</v>
      </c>
    </row>
    <row r="90" spans="1:19" hidden="1">
      <c r="A90">
        <v>2039</v>
      </c>
      <c r="B90" s="3">
        <f>B86+(B91-B86)/5*4</f>
        <v>57.653554300099863</v>
      </c>
      <c r="C90" s="3">
        <f t="shared" ref="C90:H90" si="157">C86+(C91-C86)/5*4</f>
        <v>5.4414301216538314</v>
      </c>
      <c r="D90" s="3">
        <f t="shared" si="157"/>
        <v>9.1631390894836375</v>
      </c>
      <c r="E90" s="3">
        <f t="shared" si="157"/>
        <v>1.353228387780198</v>
      </c>
      <c r="F90" s="3">
        <f t="shared" si="157"/>
        <v>91128.965601736549</v>
      </c>
      <c r="G90" s="3">
        <f t="shared" si="157"/>
        <v>1.5144747654654576</v>
      </c>
      <c r="H90" s="3">
        <f t="shared" si="157"/>
        <v>30.399376151216568</v>
      </c>
      <c r="I90" s="3">
        <f t="shared" si="130"/>
        <v>91761.306138532149</v>
      </c>
    </row>
    <row r="91" spans="1:19" hidden="1">
      <c r="A91">
        <v>2040</v>
      </c>
      <c r="B91" s="3">
        <f t="shared" ref="B91" si="158">K76*$O80</f>
        <v>57.653554300099863</v>
      </c>
      <c r="C91" s="3">
        <f t="shared" ref="C91" si="159">L76*$O80</f>
        <v>5.4414301216538314</v>
      </c>
      <c r="D91" s="3">
        <f t="shared" ref="D91" si="160">M76*$O80</f>
        <v>9.1631390894836375</v>
      </c>
      <c r="E91" s="3">
        <f t="shared" ref="E91" si="161">N76*$O80</f>
        <v>1.353228387780198</v>
      </c>
      <c r="F91" s="3">
        <f t="shared" ref="F91" si="162">O76*$O80</f>
        <v>91128.965601736549</v>
      </c>
      <c r="G91" s="3">
        <f t="shared" ref="G91" si="163">P76*$O80</f>
        <v>1.5144747654654576</v>
      </c>
      <c r="H91" s="3">
        <f t="shared" ref="H91" si="164">Q76*$O80</f>
        <v>30.399376151216568</v>
      </c>
      <c r="I91" s="3">
        <f t="shared" si="130"/>
        <v>91761.306138532149</v>
      </c>
    </row>
    <row r="93" spans="1:19">
      <c r="B93" s="2" t="s">
        <v>446</v>
      </c>
      <c r="K93" t="s">
        <v>25</v>
      </c>
    </row>
    <row r="94" spans="1:19">
      <c r="B94">
        <v>2020</v>
      </c>
    </row>
    <row r="95" spans="1:19">
      <c r="B95" t="s">
        <v>8</v>
      </c>
      <c r="C95" t="s">
        <v>10</v>
      </c>
      <c r="D95" t="s">
        <v>14</v>
      </c>
      <c r="E95" t="s">
        <v>15</v>
      </c>
      <c r="F95" t="s">
        <v>16</v>
      </c>
      <c r="G95" t="s">
        <v>115</v>
      </c>
      <c r="H95" t="s">
        <v>116</v>
      </c>
      <c r="I95" t="s">
        <v>47</v>
      </c>
      <c r="K95" s="70" t="s">
        <v>550</v>
      </c>
      <c r="L95" s="29"/>
      <c r="M95" s="29"/>
      <c r="N95" s="29"/>
      <c r="O95" s="29"/>
      <c r="P95" s="29"/>
      <c r="Q95" s="29"/>
      <c r="S95" s="317"/>
    </row>
    <row r="96" spans="1:19">
      <c r="A96">
        <v>2020</v>
      </c>
      <c r="B96" s="3">
        <f>K97*$K101</f>
        <v>63.98997170305676</v>
      </c>
      <c r="C96" s="3">
        <f t="shared" ref="C96" si="165">L97*$K101</f>
        <v>7.1012589938993163</v>
      </c>
      <c r="D96" s="3">
        <f t="shared" ref="D96" si="166">M97*$K101</f>
        <v>10.398370401746723</v>
      </c>
      <c r="E96" s="3">
        <f t="shared" ref="E96" si="167">N97*$K101</f>
        <v>1.4664368515283843</v>
      </c>
      <c r="F96" s="3">
        <f t="shared" ref="F96" si="168">O97*$K101</f>
        <v>101990.54971135806</v>
      </c>
      <c r="G96" s="3">
        <f t="shared" ref="G96" si="169">P97*$K101</f>
        <v>2.3911462027154866</v>
      </c>
      <c r="H96" s="3">
        <f t="shared" ref="H96" si="170">Q97*$K101</f>
        <v>32.261610733624451</v>
      </c>
      <c r="I96" s="3">
        <f t="shared" ref="I96:I112" si="171">F96+D96*K$105+E96*L$105</f>
        <v>102687.5071531572</v>
      </c>
      <c r="K96" s="29" t="s">
        <v>8</v>
      </c>
      <c r="L96" s="29" t="s">
        <v>10</v>
      </c>
      <c r="M96" s="29" t="s">
        <v>14</v>
      </c>
      <c r="N96" s="29" t="s">
        <v>15</v>
      </c>
      <c r="O96" s="29" t="s">
        <v>16</v>
      </c>
      <c r="P96" s="29" t="s">
        <v>115</v>
      </c>
      <c r="Q96" s="29" t="s">
        <v>116</v>
      </c>
      <c r="S96" s="317"/>
    </row>
    <row r="97" spans="1:19">
      <c r="A97">
        <v>2025</v>
      </c>
      <c r="B97" s="3">
        <f>K97*$L101</f>
        <v>52.108828573661526</v>
      </c>
      <c r="C97" s="3">
        <f t="shared" ref="C97" si="172">L97*$L101</f>
        <v>5.7827543554390273</v>
      </c>
      <c r="D97" s="3">
        <f t="shared" ref="D97" si="173">M97*$L101</f>
        <v>8.4676846432199984</v>
      </c>
      <c r="E97" s="3">
        <f t="shared" ref="E97" si="174">N97*$L101</f>
        <v>1.1941606548130768</v>
      </c>
      <c r="F97" s="3">
        <f t="shared" ref="F97" si="175">O97*$L101</f>
        <v>83053.764982189954</v>
      </c>
      <c r="G97" s="3">
        <f t="shared" ref="G97" si="176">P97*$L101</f>
        <v>1.9471774132056843</v>
      </c>
      <c r="H97" s="3">
        <f t="shared" ref="H97" si="177">Q97*$L101</f>
        <v>26.271534405887685</v>
      </c>
      <c r="I97" s="3">
        <f t="shared" si="171"/>
        <v>83621.316973404755</v>
      </c>
      <c r="K97" s="102">
        <f>'Regional GREET factors'!A139</f>
        <v>139.41170305676854</v>
      </c>
      <c r="L97" s="102">
        <f>'Regional GREET factors'!B139</f>
        <v>15.471152492155374</v>
      </c>
      <c r="M97" s="102">
        <f>'Regional GREET factors'!C139</f>
        <v>22.65440174672489</v>
      </c>
      <c r="N97" s="102">
        <f>'Regional GREET factors'!D139</f>
        <v>3.1948515283842798</v>
      </c>
      <c r="O97" s="102">
        <f>'Regional GREET factors'!E139</f>
        <v>222201.6333580786</v>
      </c>
      <c r="P97" s="102">
        <f>'Regional GREET factors'!F139</f>
        <v>5.2094688512319971</v>
      </c>
      <c r="Q97" s="102">
        <f>'Regional GREET factors'!G139</f>
        <v>70.286733624454143</v>
      </c>
      <c r="S97" s="317"/>
    </row>
    <row r="98" spans="1:19">
      <c r="A98">
        <v>2026</v>
      </c>
      <c r="B98" s="3">
        <f>B97+(B102-B97)/5</f>
        <v>52.108828573661526</v>
      </c>
      <c r="C98" s="3">
        <f t="shared" ref="C98:H98" si="178">C97+(C102-C97)/5</f>
        <v>5.7827543554390273</v>
      </c>
      <c r="D98" s="3">
        <f t="shared" si="178"/>
        <v>8.4676846432199984</v>
      </c>
      <c r="E98" s="3">
        <f t="shared" si="178"/>
        <v>1.1941606548130768</v>
      </c>
      <c r="F98" s="3">
        <f t="shared" si="178"/>
        <v>83053.764982189954</v>
      </c>
      <c r="G98" s="3">
        <f t="shared" si="178"/>
        <v>1.9471774132056843</v>
      </c>
      <c r="H98" s="3">
        <f t="shared" si="178"/>
        <v>26.271534405887685</v>
      </c>
      <c r="I98" s="3">
        <f t="shared" si="171"/>
        <v>83621.316973404755</v>
      </c>
      <c r="K98" s="29"/>
      <c r="L98" s="29"/>
      <c r="M98" s="29"/>
      <c r="N98" s="29"/>
      <c r="O98" s="29"/>
      <c r="P98" s="29"/>
      <c r="Q98" s="29"/>
    </row>
    <row r="99" spans="1:19">
      <c r="A99">
        <v>2027</v>
      </c>
      <c r="B99" s="3">
        <f>B97+(B102-B97)/5*2</f>
        <v>52.108828573661526</v>
      </c>
      <c r="C99" s="3">
        <f t="shared" ref="C99:H99" si="179">C97+(C102-C97)/5*2</f>
        <v>5.7827543554390273</v>
      </c>
      <c r="D99" s="3">
        <f t="shared" si="179"/>
        <v>8.4676846432199984</v>
      </c>
      <c r="E99" s="3">
        <f t="shared" si="179"/>
        <v>1.1941606548130768</v>
      </c>
      <c r="F99" s="3">
        <f t="shared" si="179"/>
        <v>83053.764982189954</v>
      </c>
      <c r="G99" s="3">
        <f t="shared" si="179"/>
        <v>1.9471774132056843</v>
      </c>
      <c r="H99" s="3">
        <f t="shared" si="179"/>
        <v>26.271534405887685</v>
      </c>
      <c r="I99" s="3">
        <f t="shared" si="171"/>
        <v>83621.316973404755</v>
      </c>
      <c r="K99" s="70" t="s">
        <v>291</v>
      </c>
      <c r="L99" s="29"/>
      <c r="M99" s="29"/>
      <c r="N99" s="29"/>
      <c r="O99" s="29"/>
      <c r="P99" s="29"/>
      <c r="Q99" s="29"/>
    </row>
    <row r="100" spans="1:19">
      <c r="A100">
        <v>2028</v>
      </c>
      <c r="B100" s="3">
        <f>B97+(B102-B97)/5*3</f>
        <v>52.108828573661526</v>
      </c>
      <c r="C100" s="3">
        <f t="shared" ref="C100:H100" si="180">C97+(C102-C97)/5*3</f>
        <v>5.7827543554390273</v>
      </c>
      <c r="D100" s="3">
        <f t="shared" si="180"/>
        <v>8.4676846432199984</v>
      </c>
      <c r="E100" s="3">
        <f t="shared" si="180"/>
        <v>1.1941606548130768</v>
      </c>
      <c r="F100" s="3">
        <f t="shared" si="180"/>
        <v>83053.764982189954</v>
      </c>
      <c r="G100" s="3">
        <f t="shared" si="180"/>
        <v>1.9471774132056843</v>
      </c>
      <c r="H100" s="3">
        <f t="shared" si="180"/>
        <v>26.271534405887685</v>
      </c>
      <c r="I100" s="3">
        <f t="shared" si="171"/>
        <v>83621.316973404755</v>
      </c>
      <c r="K100" s="29">
        <v>2020</v>
      </c>
      <c r="L100" s="29">
        <v>2025</v>
      </c>
      <c r="M100" s="29">
        <v>2030</v>
      </c>
      <c r="N100" s="29">
        <v>2035</v>
      </c>
      <c r="O100" s="29">
        <v>2040</v>
      </c>
      <c r="P100" s="29"/>
      <c r="Q100" s="29"/>
    </row>
    <row r="101" spans="1:19">
      <c r="A101">
        <v>2029</v>
      </c>
      <c r="B101" s="3">
        <f>B97+(B102-B97)/5*4</f>
        <v>52.108828573661526</v>
      </c>
      <c r="C101" s="3">
        <f t="shared" ref="C101:H101" si="181">C97+(C102-C97)/5*4</f>
        <v>5.7827543554390273</v>
      </c>
      <c r="D101" s="3">
        <f t="shared" si="181"/>
        <v>8.4676846432199984</v>
      </c>
      <c r="E101" s="3">
        <f t="shared" si="181"/>
        <v>1.1941606548130768</v>
      </c>
      <c r="F101" s="3">
        <f t="shared" si="181"/>
        <v>83053.764982189954</v>
      </c>
      <c r="G101" s="3">
        <f t="shared" si="181"/>
        <v>1.9471774132056843</v>
      </c>
      <c r="H101" s="3">
        <f t="shared" si="181"/>
        <v>26.271534405887685</v>
      </c>
      <c r="I101" s="3">
        <f t="shared" si="171"/>
        <v>83621.316973404755</v>
      </c>
      <c r="K101" s="268">
        <f>1-'State grid data'!C9</f>
        <v>0.45899999999999996</v>
      </c>
      <c r="L101" s="268">
        <f>1-'State grid data'!D9</f>
        <v>0.37377657277770127</v>
      </c>
      <c r="M101" s="268">
        <f>1-'State grid data'!E9</f>
        <v>0.37377657277770127</v>
      </c>
      <c r="N101" s="268">
        <f>1-'State grid data'!F9</f>
        <v>0.37377657277770127</v>
      </c>
      <c r="O101" s="268">
        <f>1-'State grid data'!G9</f>
        <v>0.37377657277770127</v>
      </c>
      <c r="P101" s="268"/>
      <c r="Q101" s="268"/>
    </row>
    <row r="102" spans="1:19">
      <c r="A102">
        <v>2030</v>
      </c>
      <c r="B102" s="3">
        <f t="shared" ref="B102" si="182">K97*$M101</f>
        <v>52.108828573661526</v>
      </c>
      <c r="C102" s="3">
        <f t="shared" ref="C102" si="183">L97*$M101</f>
        <v>5.7827543554390273</v>
      </c>
      <c r="D102" s="3">
        <f t="shared" ref="D102" si="184">M97*$M101</f>
        <v>8.4676846432199984</v>
      </c>
      <c r="E102" s="3">
        <f t="shared" ref="E102" si="185">N97*$M101</f>
        <v>1.1941606548130768</v>
      </c>
      <c r="F102" s="3">
        <f t="shared" ref="F102" si="186">O97*$M101</f>
        <v>83053.764982189954</v>
      </c>
      <c r="G102" s="3">
        <f t="shared" ref="G102" si="187">P97*$M101</f>
        <v>1.9471774132056843</v>
      </c>
      <c r="H102" s="3">
        <f t="shared" ref="H102" si="188">Q97*$M101</f>
        <v>26.271534405887685</v>
      </c>
      <c r="I102" s="3">
        <f t="shared" si="171"/>
        <v>83621.316973404755</v>
      </c>
      <c r="K102" s="198"/>
      <c r="L102" s="198"/>
      <c r="M102" s="198"/>
      <c r="N102" s="198"/>
      <c r="O102" s="198"/>
      <c r="P102" s="198"/>
      <c r="Q102" s="198"/>
    </row>
    <row r="103" spans="1:19">
      <c r="A103">
        <v>2031</v>
      </c>
      <c r="B103" s="3">
        <f>B102+(B107-B102)/5</f>
        <v>52.108828573661526</v>
      </c>
      <c r="C103" s="3">
        <f t="shared" ref="C103:H103" si="189">C102+(C107-C102)/5</f>
        <v>5.7827543554390273</v>
      </c>
      <c r="D103" s="3">
        <f t="shared" si="189"/>
        <v>8.4676846432199984</v>
      </c>
      <c r="E103" s="3">
        <f t="shared" si="189"/>
        <v>1.1941606548130768</v>
      </c>
      <c r="F103" s="3">
        <f t="shared" si="189"/>
        <v>83053.764982189954</v>
      </c>
      <c r="G103" s="3">
        <f t="shared" si="189"/>
        <v>1.9471774132056843</v>
      </c>
      <c r="H103" s="3">
        <f t="shared" si="189"/>
        <v>26.271534405887685</v>
      </c>
      <c r="I103" s="3">
        <f t="shared" si="171"/>
        <v>83621.316973404755</v>
      </c>
      <c r="K103" s="318" t="s">
        <v>164</v>
      </c>
      <c r="L103" s="319"/>
      <c r="M103" s="198"/>
      <c r="N103" s="198"/>
      <c r="O103" s="198"/>
      <c r="P103" s="198"/>
      <c r="Q103" s="198"/>
    </row>
    <row r="104" spans="1:19">
      <c r="A104">
        <v>2032</v>
      </c>
      <c r="B104" s="3">
        <f>B102+(B107-B102)/5*2</f>
        <v>52.108828573661526</v>
      </c>
      <c r="C104" s="3">
        <f t="shared" ref="C104:H104" si="190">C102+(C107-C102)/5*2</f>
        <v>5.7827543554390273</v>
      </c>
      <c r="D104" s="3">
        <f t="shared" si="190"/>
        <v>8.4676846432199984</v>
      </c>
      <c r="E104" s="3">
        <f t="shared" si="190"/>
        <v>1.1941606548130768</v>
      </c>
      <c r="F104" s="3">
        <f t="shared" si="190"/>
        <v>83053.764982189954</v>
      </c>
      <c r="G104" s="3">
        <f t="shared" si="190"/>
        <v>1.9471774132056843</v>
      </c>
      <c r="H104" s="3">
        <f t="shared" si="190"/>
        <v>26.271534405887685</v>
      </c>
      <c r="I104" s="3">
        <f t="shared" si="171"/>
        <v>83621.316973404755</v>
      </c>
      <c r="K104" s="199" t="s">
        <v>14</v>
      </c>
      <c r="L104" s="200" t="s">
        <v>15</v>
      </c>
      <c r="M104" s="198"/>
      <c r="N104" s="198"/>
      <c r="O104" s="198"/>
      <c r="P104" s="198"/>
      <c r="Q104" s="198"/>
    </row>
    <row r="105" spans="1:19">
      <c r="A105">
        <v>2033</v>
      </c>
      <c r="B105" s="3">
        <f>B102+(B107-B102)/5*3</f>
        <v>52.108828573661526</v>
      </c>
      <c r="C105" s="3">
        <f t="shared" ref="C105:H105" si="191">C102+(C107-C102)/5*3</f>
        <v>5.7827543554390273</v>
      </c>
      <c r="D105" s="3">
        <f t="shared" si="191"/>
        <v>8.4676846432199984</v>
      </c>
      <c r="E105" s="3">
        <f t="shared" si="191"/>
        <v>1.1941606548130768</v>
      </c>
      <c r="F105" s="3">
        <f t="shared" si="191"/>
        <v>83053.764982189954</v>
      </c>
      <c r="G105" s="3">
        <f t="shared" si="191"/>
        <v>1.9471774132056843</v>
      </c>
      <c r="H105" s="3">
        <f t="shared" si="191"/>
        <v>26.271534405887685</v>
      </c>
      <c r="I105" s="3">
        <f t="shared" si="171"/>
        <v>83621.316973404755</v>
      </c>
      <c r="K105" s="201">
        <v>25</v>
      </c>
      <c r="L105" s="202">
        <v>298</v>
      </c>
      <c r="M105" s="198"/>
      <c r="N105" s="198"/>
      <c r="O105" s="198"/>
      <c r="P105" s="198"/>
      <c r="Q105" s="198"/>
    </row>
    <row r="106" spans="1:19">
      <c r="A106">
        <v>2034</v>
      </c>
      <c r="B106" s="3">
        <f>B102+(B107-B102)/5*4</f>
        <v>52.108828573661526</v>
      </c>
      <c r="C106" s="3">
        <f t="shared" ref="C106:H106" si="192">C102+(C107-C102)/5*4</f>
        <v>5.7827543554390273</v>
      </c>
      <c r="D106" s="3">
        <f t="shared" si="192"/>
        <v>8.4676846432199984</v>
      </c>
      <c r="E106" s="3">
        <f t="shared" si="192"/>
        <v>1.1941606548130768</v>
      </c>
      <c r="F106" s="3">
        <f t="shared" si="192"/>
        <v>83053.764982189954</v>
      </c>
      <c r="G106" s="3">
        <f t="shared" si="192"/>
        <v>1.9471774132056843</v>
      </c>
      <c r="H106" s="3">
        <f t="shared" si="192"/>
        <v>26.271534405887685</v>
      </c>
      <c r="I106" s="3">
        <f t="shared" si="171"/>
        <v>83621.316973404755</v>
      </c>
    </row>
    <row r="107" spans="1:19">
      <c r="A107">
        <v>2035</v>
      </c>
      <c r="B107" s="3">
        <f t="shared" ref="B107" si="193">K97*$N101</f>
        <v>52.108828573661526</v>
      </c>
      <c r="C107" s="3">
        <f t="shared" ref="C107" si="194">L97*$N101</f>
        <v>5.7827543554390273</v>
      </c>
      <c r="D107" s="3">
        <f t="shared" ref="D107" si="195">M97*$N101</f>
        <v>8.4676846432199984</v>
      </c>
      <c r="E107" s="3">
        <f t="shared" ref="E107" si="196">N97*$N101</f>
        <v>1.1941606548130768</v>
      </c>
      <c r="F107" s="3">
        <f t="shared" ref="F107" si="197">O97*$N101</f>
        <v>83053.764982189954</v>
      </c>
      <c r="G107" s="3">
        <f t="shared" ref="G107" si="198">P97*$N101</f>
        <v>1.9471774132056843</v>
      </c>
      <c r="H107" s="3">
        <f t="shared" ref="H107" si="199">Q97*$N101</f>
        <v>26.271534405887685</v>
      </c>
      <c r="I107" s="3">
        <f t="shared" si="171"/>
        <v>83621.316973404755</v>
      </c>
    </row>
    <row r="108" spans="1:19">
      <c r="A108">
        <v>2036</v>
      </c>
      <c r="B108" s="3">
        <f>B107+(B112-B107)/5</f>
        <v>52.108828573661526</v>
      </c>
      <c r="C108" s="3">
        <f t="shared" ref="C108:H108" si="200">C107+(C112-C107)/5</f>
        <v>5.7827543554390273</v>
      </c>
      <c r="D108" s="3">
        <f t="shared" si="200"/>
        <v>8.4676846432199984</v>
      </c>
      <c r="E108" s="3">
        <f t="shared" si="200"/>
        <v>1.1941606548130768</v>
      </c>
      <c r="F108" s="3">
        <f t="shared" si="200"/>
        <v>83053.764982189954</v>
      </c>
      <c r="G108" s="3">
        <f t="shared" si="200"/>
        <v>1.9471774132056843</v>
      </c>
      <c r="H108" s="3">
        <f t="shared" si="200"/>
        <v>26.271534405887685</v>
      </c>
      <c r="I108" s="3">
        <f t="shared" si="171"/>
        <v>83621.316973404755</v>
      </c>
    </row>
    <row r="109" spans="1:19">
      <c r="A109">
        <v>2037</v>
      </c>
      <c r="B109" s="3">
        <f>B107+(B112-B107)/5*2</f>
        <v>52.108828573661526</v>
      </c>
      <c r="C109" s="3">
        <f t="shared" ref="C109:H109" si="201">C107+(C112-C107)/5*2</f>
        <v>5.7827543554390273</v>
      </c>
      <c r="D109" s="3">
        <f t="shared" si="201"/>
        <v>8.4676846432199984</v>
      </c>
      <c r="E109" s="3">
        <f t="shared" si="201"/>
        <v>1.1941606548130768</v>
      </c>
      <c r="F109" s="3">
        <f t="shared" si="201"/>
        <v>83053.764982189954</v>
      </c>
      <c r="G109" s="3">
        <f t="shared" si="201"/>
        <v>1.9471774132056843</v>
      </c>
      <c r="H109" s="3">
        <f t="shared" si="201"/>
        <v>26.271534405887685</v>
      </c>
      <c r="I109" s="3">
        <f t="shared" si="171"/>
        <v>83621.316973404755</v>
      </c>
    </row>
    <row r="110" spans="1:19">
      <c r="A110">
        <v>2038</v>
      </c>
      <c r="B110" s="3">
        <f>B107+(B112-B107)/5*3</f>
        <v>52.108828573661526</v>
      </c>
      <c r="C110" s="3">
        <f t="shared" ref="C110:H110" si="202">C107+(C112-C107)/5*3</f>
        <v>5.7827543554390273</v>
      </c>
      <c r="D110" s="3">
        <f t="shared" si="202"/>
        <v>8.4676846432199984</v>
      </c>
      <c r="E110" s="3">
        <f t="shared" si="202"/>
        <v>1.1941606548130768</v>
      </c>
      <c r="F110" s="3">
        <f t="shared" si="202"/>
        <v>83053.764982189954</v>
      </c>
      <c r="G110" s="3">
        <f t="shared" si="202"/>
        <v>1.9471774132056843</v>
      </c>
      <c r="H110" s="3">
        <f t="shared" si="202"/>
        <v>26.271534405887685</v>
      </c>
      <c r="I110" s="3">
        <f t="shared" si="171"/>
        <v>83621.316973404755</v>
      </c>
    </row>
    <row r="111" spans="1:19">
      <c r="A111">
        <v>2039</v>
      </c>
      <c r="B111" s="3">
        <f>B107+(B112-B107)/5*4</f>
        <v>52.108828573661526</v>
      </c>
      <c r="C111" s="3">
        <f t="shared" ref="C111:H111" si="203">C107+(C112-C107)/5*4</f>
        <v>5.7827543554390273</v>
      </c>
      <c r="D111" s="3">
        <f t="shared" si="203"/>
        <v>8.4676846432199984</v>
      </c>
      <c r="E111" s="3">
        <f t="shared" si="203"/>
        <v>1.1941606548130768</v>
      </c>
      <c r="F111" s="3">
        <f t="shared" si="203"/>
        <v>83053.764982189954</v>
      </c>
      <c r="G111" s="3">
        <f t="shared" si="203"/>
        <v>1.9471774132056843</v>
      </c>
      <c r="H111" s="3">
        <f t="shared" si="203"/>
        <v>26.271534405887685</v>
      </c>
      <c r="I111" s="3">
        <f t="shared" si="171"/>
        <v>83621.316973404755</v>
      </c>
    </row>
    <row r="112" spans="1:19">
      <c r="A112">
        <v>2040</v>
      </c>
      <c r="B112" s="3">
        <f t="shared" ref="B112" si="204">K97*$O101</f>
        <v>52.108828573661526</v>
      </c>
      <c r="C112" s="3">
        <f t="shared" ref="C112" si="205">L97*$O101</f>
        <v>5.7827543554390273</v>
      </c>
      <c r="D112" s="3">
        <f t="shared" ref="D112" si="206">M97*$O101</f>
        <v>8.4676846432199984</v>
      </c>
      <c r="E112" s="3">
        <f t="shared" ref="E112" si="207">N97*$O101</f>
        <v>1.1941606548130768</v>
      </c>
      <c r="F112" s="3">
        <f t="shared" ref="F112" si="208">O97*$O101</f>
        <v>83053.764982189954</v>
      </c>
      <c r="G112" s="3">
        <f t="shared" ref="G112" si="209">P97*$O101</f>
        <v>1.9471774132056843</v>
      </c>
      <c r="H112" s="3">
        <f t="shared" ref="H112" si="210">Q97*$O101</f>
        <v>26.271534405887685</v>
      </c>
      <c r="I112" s="3">
        <f t="shared" si="171"/>
        <v>83621.316973404755</v>
      </c>
    </row>
    <row r="116" spans="1:11">
      <c r="B116" t="s">
        <v>479</v>
      </c>
    </row>
    <row r="117" spans="1:11" ht="144">
      <c r="A117" t="s">
        <v>480</v>
      </c>
      <c r="B117" s="265" t="s">
        <v>481</v>
      </c>
      <c r="C117" s="265" t="s">
        <v>482</v>
      </c>
      <c r="D117" s="265" t="s">
        <v>490</v>
      </c>
      <c r="E117" s="265" t="s">
        <v>491</v>
      </c>
      <c r="F117" s="265"/>
      <c r="G117" s="265" t="s">
        <v>483</v>
      </c>
      <c r="H117" s="265" t="s">
        <v>484</v>
      </c>
      <c r="I117" s="265" t="s">
        <v>485</v>
      </c>
      <c r="J117" s="265" t="s">
        <v>492</v>
      </c>
      <c r="K117" s="265" t="s">
        <v>493</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211">B119+C119</f>
        <v>9.0219143240665005</v>
      </c>
      <c r="E119">
        <v>0.39707327111225321</v>
      </c>
      <c r="G119">
        <v>1.3371825856423363</v>
      </c>
      <c r="H119">
        <v>0.13532561703651533</v>
      </c>
      <c r="I119">
        <v>0.14084814286092234</v>
      </c>
      <c r="J119">
        <f t="shared" ref="J119:J124" si="212">G119+H119+I119</f>
        <v>1.6133563455397739</v>
      </c>
    </row>
    <row r="120" spans="1:11">
      <c r="A120" t="s">
        <v>10</v>
      </c>
      <c r="B120">
        <v>0.287728981896688</v>
      </c>
      <c r="C120">
        <v>0.65409520776187935</v>
      </c>
      <c r="D120">
        <f t="shared" si="211"/>
        <v>0.94182418965856729</v>
      </c>
      <c r="E120">
        <v>0.18735969036007524</v>
      </c>
      <c r="G120">
        <v>6.5201701231150364E-2</v>
      </c>
      <c r="H120">
        <v>2.2096940256035712E-3</v>
      </c>
      <c r="I120">
        <v>2.2998698000627469E-3</v>
      </c>
      <c r="J120">
        <f t="shared" si="212"/>
        <v>6.9711265056816685E-2</v>
      </c>
    </row>
    <row r="121" spans="1:11">
      <c r="A121" t="s">
        <v>11</v>
      </c>
      <c r="B121">
        <v>2.0145232331484935</v>
      </c>
      <c r="C121">
        <v>0.91092892372459533</v>
      </c>
      <c r="D121">
        <f t="shared" si="211"/>
        <v>2.9254521568730887</v>
      </c>
      <c r="E121">
        <v>0.31434940557875063</v>
      </c>
      <c r="G121">
        <v>0.33292719867133003</v>
      </c>
      <c r="H121">
        <v>5.4697804759960425E-3</v>
      </c>
      <c r="I121">
        <v>5.6929976657198074E-3</v>
      </c>
      <c r="J121">
        <f t="shared" si="212"/>
        <v>0.34408997681304587</v>
      </c>
    </row>
    <row r="122" spans="1:11">
      <c r="A122" t="s">
        <v>486</v>
      </c>
      <c r="B122">
        <v>35.627348399181514</v>
      </c>
      <c r="C122">
        <v>0.36746484731323875</v>
      </c>
      <c r="D122">
        <f t="shared" si="211"/>
        <v>35.994813246494751</v>
      </c>
      <c r="G122">
        <v>0.41108381068773114</v>
      </c>
      <c r="H122">
        <v>0.1139677031727117</v>
      </c>
      <c r="I122">
        <v>0.11861863030463693</v>
      </c>
      <c r="J122">
        <f t="shared" si="212"/>
        <v>0.64367014416507973</v>
      </c>
    </row>
    <row r="123" spans="1:11">
      <c r="A123" t="s">
        <v>15</v>
      </c>
      <c r="B123">
        <v>0.13798401974396313</v>
      </c>
      <c r="C123">
        <v>7.142595780932022E-2</v>
      </c>
      <c r="D123">
        <f t="shared" si="211"/>
        <v>0.20940997755328333</v>
      </c>
      <c r="G123">
        <v>5.5127063701488621E-3</v>
      </c>
      <c r="H123">
        <v>3.5235778665835231E-4</v>
      </c>
      <c r="I123">
        <v>3.6673721472869745E-4</v>
      </c>
      <c r="J123">
        <f t="shared" si="212"/>
        <v>6.2318013715359118E-3</v>
      </c>
    </row>
    <row r="124" spans="1:11">
      <c r="A124" t="s">
        <v>487</v>
      </c>
      <c r="B124">
        <v>3560.7607336488581</v>
      </c>
      <c r="C124">
        <v>8042.897545986837</v>
      </c>
      <c r="D124">
        <f t="shared" si="211"/>
        <v>11603.658279635696</v>
      </c>
      <c r="E124">
        <v>461</v>
      </c>
      <c r="G124">
        <v>247.3391824708375</v>
      </c>
      <c r="H124">
        <v>93.782587986220733</v>
      </c>
      <c r="I124">
        <v>97.609777363778676</v>
      </c>
      <c r="J124">
        <f t="shared" si="212"/>
        <v>438.73154782083691</v>
      </c>
    </row>
    <row r="125" spans="1:11">
      <c r="A125" t="s">
        <v>488</v>
      </c>
      <c r="G125">
        <v>6.6669999999999998</v>
      </c>
      <c r="K125">
        <f>G125+G126</f>
        <v>19.749000000000002</v>
      </c>
    </row>
    <row r="126" spans="1:11">
      <c r="A126" t="s">
        <v>489</v>
      </c>
      <c r="G126">
        <v>13.082000000000001</v>
      </c>
    </row>
    <row r="128" spans="1:11">
      <c r="A128" t="s">
        <v>508</v>
      </c>
      <c r="B128">
        <f>B124+C124+E124+G124+H124+I124</f>
        <v>12503.389827456534</v>
      </c>
    </row>
  </sheetData>
  <sheetProtection algorithmName="SHA-512" hashValue="5no4JeViPGAqEJ+6q2P0HyZdg6Ga12tNAMSINN+xyz4/wzFd34SwG1ASpo3mZmth1piVgHunm5TahQLq3+KGWg==" saltValue="xNIybJu91p4aDK8XA+pv7Q=="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AK27"/>
  <sheetViews>
    <sheetView workbookViewId="0">
      <selection activeCell="M32" sqref="M32"/>
    </sheetView>
  </sheetViews>
  <sheetFormatPr baseColWidth="10" defaultColWidth="8.83203125" defaultRowHeight="15"/>
  <cols>
    <col min="2" max="2" width="41.1640625" customWidth="1"/>
    <col min="3" max="3" width="15.6640625" customWidth="1"/>
  </cols>
  <sheetData>
    <row r="1" spans="1:12">
      <c r="A1" t="s">
        <v>526</v>
      </c>
    </row>
    <row r="2" spans="1:12">
      <c r="A2" t="s">
        <v>533</v>
      </c>
    </row>
    <row r="5" spans="1:12">
      <c r="A5" s="2" t="s">
        <v>443</v>
      </c>
    </row>
    <row r="6" spans="1:12" s="244" customFormat="1">
      <c r="A6" s="243" t="s">
        <v>444</v>
      </c>
    </row>
    <row r="8" spans="1:12">
      <c r="B8" s="245" t="s">
        <v>19</v>
      </c>
      <c r="C8" s="246">
        <v>2020</v>
      </c>
      <c r="D8" s="246">
        <v>2025</v>
      </c>
      <c r="E8" s="246">
        <v>2030</v>
      </c>
      <c r="F8" s="246">
        <v>2035</v>
      </c>
      <c r="G8" s="246">
        <v>2040</v>
      </c>
    </row>
    <row r="9" spans="1:12">
      <c r="B9" s="247" t="s">
        <v>445</v>
      </c>
      <c r="C9" s="247">
        <f>C13</f>
        <v>0.54100000000000004</v>
      </c>
      <c r="D9" s="247">
        <f>C13/(1-L16)</f>
        <v>0.62622342722229873</v>
      </c>
      <c r="E9" s="247">
        <f>D9</f>
        <v>0.62622342722229873</v>
      </c>
      <c r="F9" s="247">
        <f t="shared" ref="F9:G9" si="0">E9</f>
        <v>0.62622342722229873</v>
      </c>
      <c r="G9" s="247">
        <f t="shared" si="0"/>
        <v>0.62622342722229873</v>
      </c>
    </row>
    <row r="13" spans="1:12">
      <c r="A13" t="s">
        <v>534</v>
      </c>
      <c r="C13" s="210">
        <f>1-O27</f>
        <v>0.54100000000000004</v>
      </c>
    </row>
    <row r="15" spans="1:12">
      <c r="A15" t="s">
        <v>532</v>
      </c>
    </row>
    <row r="16" spans="1:12">
      <c r="A16" s="269">
        <v>43396</v>
      </c>
      <c r="B16" s="2"/>
      <c r="L16">
        <f>(G18-L18)/G18</f>
        <v>0.13609108748984219</v>
      </c>
    </row>
    <row r="17" spans="1:37">
      <c r="B17" s="270" t="s">
        <v>528</v>
      </c>
      <c r="C17" s="270">
        <v>2016</v>
      </c>
      <c r="D17" s="270">
        <v>2017</v>
      </c>
      <c r="E17" s="270">
        <v>2018</v>
      </c>
      <c r="F17" s="270">
        <v>2019</v>
      </c>
      <c r="G17" s="270">
        <v>2020</v>
      </c>
      <c r="H17" s="270">
        <v>2021</v>
      </c>
      <c r="I17" s="270">
        <v>2022</v>
      </c>
      <c r="J17" s="270">
        <v>2023</v>
      </c>
      <c r="K17" s="270">
        <v>2024</v>
      </c>
      <c r="L17" s="270">
        <v>2025</v>
      </c>
      <c r="M17" s="270">
        <v>2026</v>
      </c>
      <c r="N17" s="270">
        <v>2027</v>
      </c>
      <c r="O17" s="270">
        <v>2028</v>
      </c>
      <c r="P17" s="270">
        <v>2029</v>
      </c>
      <c r="Q17" s="270">
        <v>2030</v>
      </c>
      <c r="R17" s="270">
        <v>2031</v>
      </c>
      <c r="S17" s="270">
        <v>2032</v>
      </c>
      <c r="T17" s="270">
        <v>2033</v>
      </c>
      <c r="U17" s="270">
        <v>2034</v>
      </c>
      <c r="V17" s="270">
        <v>2035</v>
      </c>
      <c r="W17" s="270">
        <v>2036</v>
      </c>
      <c r="X17" s="270">
        <v>2037</v>
      </c>
      <c r="Y17" s="270">
        <v>2038</v>
      </c>
      <c r="Z17" s="270">
        <v>2039</v>
      </c>
      <c r="AA17" s="270">
        <v>2040</v>
      </c>
      <c r="AB17" s="270">
        <v>2041</v>
      </c>
      <c r="AC17" s="270">
        <v>2042</v>
      </c>
      <c r="AD17" s="270">
        <v>2043</v>
      </c>
      <c r="AE17" s="270">
        <v>2044</v>
      </c>
      <c r="AF17" s="270">
        <v>2045</v>
      </c>
      <c r="AG17" s="270">
        <v>2046</v>
      </c>
      <c r="AH17" s="270">
        <v>2047</v>
      </c>
      <c r="AI17" s="270">
        <v>2048</v>
      </c>
      <c r="AJ17" s="270">
        <v>2049</v>
      </c>
      <c r="AK17" s="270">
        <v>2050</v>
      </c>
    </row>
    <row r="18" spans="1:37">
      <c r="B18" s="270" t="s">
        <v>529</v>
      </c>
      <c r="C18" s="60">
        <v>0.16115023358733879</v>
      </c>
      <c r="D18" s="60">
        <v>0.15719466552689851</v>
      </c>
      <c r="E18" s="60">
        <v>0.15323909746645831</v>
      </c>
      <c r="F18" s="60">
        <v>0.149283529406018</v>
      </c>
      <c r="G18" s="60">
        <v>0.14532796134557771</v>
      </c>
      <c r="H18" s="60">
        <v>0.1413723932851374</v>
      </c>
      <c r="I18" s="60">
        <v>0.13741682522469709</v>
      </c>
      <c r="J18" s="60">
        <v>0.13346125716425691</v>
      </c>
      <c r="K18" s="60">
        <v>0.1295056891038166</v>
      </c>
      <c r="L18" s="60">
        <v>0.12555012104337629</v>
      </c>
      <c r="M18" s="60">
        <v>0.12555012104337629</v>
      </c>
      <c r="N18" s="60">
        <v>0.12555012104337629</v>
      </c>
      <c r="O18" s="60">
        <v>0.12555012104337629</v>
      </c>
      <c r="P18" s="60">
        <v>0.12555012104337629</v>
      </c>
      <c r="Q18" s="60">
        <v>0.12555012104337629</v>
      </c>
      <c r="R18" s="60">
        <v>0.12555012104337629</v>
      </c>
      <c r="S18" s="60">
        <v>0.12555012104337629</v>
      </c>
      <c r="T18" s="60">
        <v>0.12555012104337629</v>
      </c>
      <c r="U18" s="60">
        <v>0.12555012104337629</v>
      </c>
      <c r="V18" s="60">
        <v>0.12555012104337629</v>
      </c>
      <c r="W18" s="60">
        <v>0.12555012104337629</v>
      </c>
      <c r="X18" s="60">
        <v>0.12555012104337629</v>
      </c>
      <c r="Y18" s="60">
        <v>0.12555012104337629</v>
      </c>
      <c r="Z18" s="60">
        <v>0.12555012104337629</v>
      </c>
      <c r="AA18" s="60">
        <v>0.12555012104337629</v>
      </c>
      <c r="AB18" s="60">
        <v>0.12555012104337629</v>
      </c>
      <c r="AC18" s="60">
        <v>0.12555012104337629</v>
      </c>
      <c r="AD18" s="60">
        <v>0.12555012104337629</v>
      </c>
      <c r="AE18" s="60">
        <v>0.12555012104337629</v>
      </c>
      <c r="AF18" s="60">
        <v>0.12555012104337629</v>
      </c>
      <c r="AG18" s="60">
        <v>0.12555012104337629</v>
      </c>
      <c r="AH18" s="60">
        <v>0.12555012104337629</v>
      </c>
      <c r="AI18" s="60">
        <v>0.12555012104337629</v>
      </c>
      <c r="AJ18" s="60">
        <v>0.12555012104337629</v>
      </c>
      <c r="AK18" s="60">
        <v>0.12555012104337629</v>
      </c>
    </row>
    <row r="19" spans="1:37">
      <c r="B19" s="270" t="s">
        <v>530</v>
      </c>
      <c r="C19" s="60">
        <v>0.16115023358733879</v>
      </c>
      <c r="D19" s="60">
        <v>0.15719466552689851</v>
      </c>
      <c r="E19" s="60">
        <v>0.15323909746645831</v>
      </c>
      <c r="F19" s="60">
        <v>0.149283529406018</v>
      </c>
      <c r="G19" s="60">
        <v>0.14532796134557771</v>
      </c>
      <c r="H19" s="60">
        <v>0.1413723932851374</v>
      </c>
      <c r="I19" s="60">
        <v>0.13741682522469709</v>
      </c>
      <c r="J19" s="60">
        <v>0.13346125716425691</v>
      </c>
      <c r="K19" s="60">
        <v>0.1295056891038166</v>
      </c>
      <c r="L19" s="60">
        <v>0.12555012104337629</v>
      </c>
      <c r="M19" s="60">
        <v>0.1211176824384525</v>
      </c>
      <c r="N19" s="60">
        <v>0.1166852438335287</v>
      </c>
      <c r="O19" s="60">
        <v>0.1122528052286049</v>
      </c>
      <c r="P19" s="60">
        <v>0.10782036662368109</v>
      </c>
      <c r="Q19" s="60">
        <v>0.10338792801875731</v>
      </c>
      <c r="R19" s="60">
        <v>9.8955489413833531E-2</v>
      </c>
      <c r="S19" s="60">
        <v>9.4523050808909728E-2</v>
      </c>
      <c r="T19" s="60">
        <v>9.0090612203985926E-2</v>
      </c>
      <c r="U19" s="60">
        <v>8.5658173599062123E-2</v>
      </c>
      <c r="V19" s="60">
        <v>8.1225734994138321E-2</v>
      </c>
      <c r="W19" s="60">
        <v>7.6793296389214533E-2</v>
      </c>
      <c r="X19" s="60">
        <v>7.236085778429073E-2</v>
      </c>
      <c r="Y19" s="60">
        <v>6.7928419179366928E-2</v>
      </c>
      <c r="Z19" s="60">
        <v>6.3495980574443139E-2</v>
      </c>
      <c r="AA19" s="60">
        <v>5.9063541969519337E-2</v>
      </c>
      <c r="AB19" s="60">
        <v>5.4631103364595528E-2</v>
      </c>
      <c r="AC19" s="60">
        <v>5.0198664759671732E-2</v>
      </c>
      <c r="AD19" s="60">
        <v>4.576622615474793E-2</v>
      </c>
      <c r="AE19" s="60">
        <v>4.1333787549824141E-2</v>
      </c>
      <c r="AF19" s="60">
        <v>3.6901348944900339E-2</v>
      </c>
      <c r="AG19" s="60">
        <v>3.2468910339976537E-2</v>
      </c>
      <c r="AH19" s="60">
        <v>2.8036471735052752E-2</v>
      </c>
      <c r="AI19" s="60">
        <v>2.3604033130128949E-2</v>
      </c>
      <c r="AJ19" s="60">
        <v>1.917159452520514E-2</v>
      </c>
      <c r="AK19" s="60">
        <v>1.473915592028136E-2</v>
      </c>
    </row>
    <row r="20" spans="1:37">
      <c r="B20" s="270" t="s">
        <v>531</v>
      </c>
      <c r="C20" s="60">
        <v>0.16115023358733879</v>
      </c>
      <c r="D20" s="60">
        <v>0.15719466552689851</v>
      </c>
      <c r="E20" s="60">
        <v>0.15323909746645831</v>
      </c>
      <c r="F20" s="60">
        <v>0.149283529406018</v>
      </c>
      <c r="G20" s="60">
        <v>0.14532796134557771</v>
      </c>
      <c r="H20" s="60">
        <v>0.1413723932851374</v>
      </c>
      <c r="I20" s="60">
        <v>0.13741682522469709</v>
      </c>
      <c r="J20" s="60">
        <v>0.13346125716425691</v>
      </c>
      <c r="K20" s="60">
        <v>0.1295056891038166</v>
      </c>
      <c r="L20" s="60">
        <v>0.12555012104337629</v>
      </c>
      <c r="M20" s="60">
        <v>0.12052811620164131</v>
      </c>
      <c r="N20" s="60">
        <v>0.1155061113599062</v>
      </c>
      <c r="O20" s="60">
        <v>0.1104841065181712</v>
      </c>
      <c r="P20" s="60">
        <v>0.1054621016764361</v>
      </c>
      <c r="Q20" s="60">
        <v>0.10044009683470111</v>
      </c>
      <c r="R20" s="60">
        <v>9.5418091992965998E-2</v>
      </c>
      <c r="S20" s="60">
        <v>9.0396087151230958E-2</v>
      </c>
      <c r="T20" s="60">
        <v>8.5374082309495891E-2</v>
      </c>
      <c r="U20" s="60">
        <v>8.0352077467760852E-2</v>
      </c>
      <c r="V20" s="60">
        <v>7.5330072626025785E-2</v>
      </c>
      <c r="W20" s="60">
        <v>7.0308067784290745E-2</v>
      </c>
      <c r="X20" s="60">
        <v>6.5286062942555692E-2</v>
      </c>
      <c r="Y20" s="60">
        <v>6.0264058100820639E-2</v>
      </c>
      <c r="Z20" s="60">
        <v>5.5242053259085593E-2</v>
      </c>
      <c r="AA20" s="60">
        <v>5.0220048417350532E-2</v>
      </c>
      <c r="AB20" s="60">
        <v>4.5198043575615479E-2</v>
      </c>
      <c r="AC20" s="60">
        <v>4.0176038733880433E-2</v>
      </c>
      <c r="AD20" s="60">
        <v>3.5154033892145373E-2</v>
      </c>
      <c r="AE20" s="60">
        <v>3.0132029050410319E-2</v>
      </c>
      <c r="AF20" s="60">
        <v>2.511002420867527E-2</v>
      </c>
      <c r="AG20" s="60">
        <v>2.0088019366940209E-2</v>
      </c>
      <c r="AH20" s="60">
        <v>1.506601452520516E-2</v>
      </c>
      <c r="AI20" s="60">
        <v>1.004400968347011E-2</v>
      </c>
      <c r="AJ20" s="60">
        <v>5.0220048417350671E-3</v>
      </c>
      <c r="AK20" s="60">
        <v>0</v>
      </c>
    </row>
    <row r="22" spans="1:37">
      <c r="A22" t="s">
        <v>527</v>
      </c>
    </row>
    <row r="24" spans="1:37">
      <c r="A24" t="s">
        <v>535</v>
      </c>
    </row>
    <row r="25" spans="1:37">
      <c r="A25" t="s">
        <v>313</v>
      </c>
      <c r="B25" t="s">
        <v>536</v>
      </c>
      <c r="C25" t="s">
        <v>537</v>
      </c>
      <c r="D25" t="s">
        <v>538</v>
      </c>
      <c r="O25" t="s">
        <v>539</v>
      </c>
    </row>
    <row r="26" spans="1:37">
      <c r="D26" t="s">
        <v>94</v>
      </c>
      <c r="E26" t="s">
        <v>540</v>
      </c>
      <c r="F26" t="s">
        <v>541</v>
      </c>
      <c r="G26" t="s">
        <v>542</v>
      </c>
      <c r="H26" t="s">
        <v>543</v>
      </c>
      <c r="I26" t="s">
        <v>544</v>
      </c>
      <c r="J26" t="s">
        <v>95</v>
      </c>
      <c r="K26" t="s">
        <v>545</v>
      </c>
      <c r="L26" t="s">
        <v>546</v>
      </c>
      <c r="M26" t="s">
        <v>547</v>
      </c>
      <c r="N26" t="s">
        <v>549</v>
      </c>
    </row>
    <row r="27" spans="1:37">
      <c r="A27" t="s">
        <v>548</v>
      </c>
      <c r="B27">
        <v>23774.2</v>
      </c>
      <c r="C27">
        <v>56500626.796999998</v>
      </c>
      <c r="D27">
        <v>0.248</v>
      </c>
      <c r="E27">
        <v>1E-3</v>
      </c>
      <c r="F27">
        <v>0.20899999999999999</v>
      </c>
      <c r="G27">
        <v>0</v>
      </c>
      <c r="H27">
        <v>0.26</v>
      </c>
      <c r="I27">
        <v>1.7999999999999999E-2</v>
      </c>
      <c r="J27">
        <v>2.5000000000000001E-2</v>
      </c>
      <c r="K27">
        <v>0.20899999999999999</v>
      </c>
      <c r="L27">
        <v>2.9000000000000001E-2</v>
      </c>
      <c r="M27">
        <v>0</v>
      </c>
      <c r="N27">
        <v>1E-3</v>
      </c>
      <c r="O27">
        <f>D27+E27+F27+G27+N27</f>
        <v>0.45899999999999996</v>
      </c>
    </row>
  </sheetData>
  <sheetProtection algorithmName="SHA-512" hashValue="8CtT7ZFAlZ6Zi5TeVM7Eaj+d+pNHbarOy+Zvb6iIYVt5wP+t9r0XWAox6GSDMcAZUaKZcZexA+CtCjAqY3HZvw==" saltValue="/U2glrpefpc7MU7YgvCW4g==" spinCount="100000" sheet="1" objects="1" scenarios="1"/>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W146"/>
  <sheetViews>
    <sheetView workbookViewId="0">
      <selection activeCell="G16" sqref="G16"/>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440</v>
      </c>
    </row>
    <row r="7" spans="1:5">
      <c r="E7" t="s">
        <v>441</v>
      </c>
    </row>
    <row r="8" spans="1:5">
      <c r="E8" t="s">
        <v>442</v>
      </c>
    </row>
    <row r="9" spans="1:5">
      <c r="E9" t="s">
        <v>574</v>
      </c>
    </row>
    <row r="25" spans="1:7">
      <c r="A25" s="17" t="s">
        <v>66</v>
      </c>
    </row>
    <row r="26" spans="1:7" ht="27.75" customHeight="1">
      <c r="A26" s="18"/>
      <c r="B26" s="22" t="s">
        <v>60</v>
      </c>
      <c r="C26" s="23" t="s">
        <v>62</v>
      </c>
      <c r="D26" s="23" t="s">
        <v>63</v>
      </c>
      <c r="E26" s="23" t="s">
        <v>64</v>
      </c>
      <c r="F26" s="271" t="s">
        <v>520</v>
      </c>
      <c r="G26" s="317" t="s">
        <v>127</v>
      </c>
    </row>
    <row r="27" spans="1:7" ht="15" customHeight="1">
      <c r="A27" s="21" t="s">
        <v>61</v>
      </c>
      <c r="B27" s="24"/>
      <c r="C27" s="25"/>
      <c r="D27" s="25"/>
      <c r="E27" s="25"/>
      <c r="F27" s="25"/>
      <c r="G27" s="317"/>
    </row>
    <row r="28" spans="1:7" ht="15" customHeight="1">
      <c r="A28" s="19" t="s">
        <v>6</v>
      </c>
      <c r="B28" s="26">
        <v>2.1866754878548966</v>
      </c>
      <c r="C28" s="27">
        <v>1.3843453190325286</v>
      </c>
      <c r="D28" s="27">
        <v>1.9930696207146734</v>
      </c>
      <c r="E28" s="27">
        <v>1.5311545483181301</v>
      </c>
      <c r="F28" s="27">
        <v>3.625671758713839</v>
      </c>
      <c r="G28" s="317"/>
    </row>
    <row r="29" spans="1:7" ht="15" customHeight="1">
      <c r="A29" s="19" t="s">
        <v>7</v>
      </c>
      <c r="B29" s="26">
        <v>21.034901086818003</v>
      </c>
      <c r="C29" s="27">
        <v>14.203449605047195</v>
      </c>
      <c r="D29" s="27">
        <v>18.364111552904628</v>
      </c>
      <c r="E29" s="27">
        <v>21.226645608020657</v>
      </c>
      <c r="F29" s="27">
        <v>59.64144427640295</v>
      </c>
    </row>
    <row r="30" spans="1:7" ht="15" customHeight="1">
      <c r="A30" s="19" t="s">
        <v>8</v>
      </c>
      <c r="B30" s="26">
        <v>24.654131608605883</v>
      </c>
      <c r="C30" s="27">
        <v>48.640785186047147</v>
      </c>
      <c r="D30" s="27">
        <v>56.200603852297426</v>
      </c>
      <c r="E30" s="27">
        <v>58.288526099128077</v>
      </c>
      <c r="F30" s="27">
        <v>136.15575458731411</v>
      </c>
    </row>
    <row r="31" spans="1:7" ht="15" customHeight="1">
      <c r="A31" s="19" t="s">
        <v>9</v>
      </c>
      <c r="B31" s="26">
        <v>2.9107747501684194</v>
      </c>
      <c r="C31" s="27">
        <v>7.1768326048667737</v>
      </c>
      <c r="D31" s="27">
        <v>6.5982328387855436</v>
      </c>
      <c r="E31" s="27">
        <v>6.9379361953170244</v>
      </c>
      <c r="F31" s="27">
        <v>12.678524358910048</v>
      </c>
    </row>
    <row r="32" spans="1:7" ht="15" customHeight="1">
      <c r="A32" s="19" t="s">
        <v>10</v>
      </c>
      <c r="B32" s="26">
        <v>2.803330267226491</v>
      </c>
      <c r="C32" s="27">
        <v>6.35534772691501</v>
      </c>
      <c r="D32" s="27">
        <v>5.6642016841516725</v>
      </c>
      <c r="E32" s="27">
        <v>5.5013597255711888</v>
      </c>
      <c r="F32" s="27">
        <v>10.767570028237591</v>
      </c>
    </row>
    <row r="33" spans="1:10" ht="15" customHeight="1">
      <c r="A33" s="19" t="s">
        <v>11</v>
      </c>
      <c r="B33" s="26">
        <v>6.2156801096536203</v>
      </c>
      <c r="C33" s="27">
        <v>50.440916232668343</v>
      </c>
      <c r="D33" s="27">
        <v>50.377348240961837</v>
      </c>
      <c r="E33" s="27">
        <v>30.734181989267732</v>
      </c>
      <c r="F33" s="27">
        <v>157.23910882002471</v>
      </c>
    </row>
    <row r="34" spans="1:10" ht="15" customHeight="1">
      <c r="A34" s="19" t="s">
        <v>12</v>
      </c>
      <c r="B34" s="26">
        <v>0.20032587098650509</v>
      </c>
      <c r="C34" s="27">
        <v>0.3320061591165549</v>
      </c>
      <c r="D34" s="27">
        <v>0.30753809631714757</v>
      </c>
      <c r="E34" s="27">
        <v>0.25350489611781912</v>
      </c>
      <c r="F34" s="27">
        <v>0.59193193423245483</v>
      </c>
    </row>
    <row r="35" spans="1:10" ht="15" customHeight="1">
      <c r="A35" s="19" t="s">
        <v>13</v>
      </c>
      <c r="B35" s="26">
        <v>1.5615704354972839</v>
      </c>
      <c r="C35" s="27">
        <v>1.9641917514564646</v>
      </c>
      <c r="D35" s="27">
        <v>2.2005331127113683</v>
      </c>
      <c r="E35" s="27">
        <v>1.6319693052305919</v>
      </c>
      <c r="F35" s="27">
        <v>1.6876173382041488</v>
      </c>
    </row>
    <row r="36" spans="1:10" ht="15" customHeight="1">
      <c r="A36" s="19" t="s">
        <v>14</v>
      </c>
      <c r="B36" s="26">
        <v>4.9586850474199684</v>
      </c>
      <c r="C36" s="27">
        <v>10.382627952963064</v>
      </c>
      <c r="D36" s="27">
        <v>9.9003953680967651</v>
      </c>
      <c r="E36" s="27">
        <v>9.2640580177791847</v>
      </c>
      <c r="F36" s="27">
        <v>20.119736098329273</v>
      </c>
    </row>
    <row r="37" spans="1:10" ht="15" customHeight="1">
      <c r="A37" s="19" t="s">
        <v>15</v>
      </c>
      <c r="B37" s="26">
        <v>0.41252772276951299</v>
      </c>
      <c r="C37" s="27">
        <v>1.6478794436111424</v>
      </c>
      <c r="D37" s="27">
        <v>1.5422162227104217</v>
      </c>
      <c r="E37" s="27">
        <v>1.3681322714056932</v>
      </c>
      <c r="F37" s="27">
        <v>2.9075164764566157</v>
      </c>
    </row>
    <row r="38" spans="1:10" ht="15" customHeight="1">
      <c r="A38" s="20" t="s">
        <v>16</v>
      </c>
      <c r="B38" s="28">
        <v>61671.825099843307</v>
      </c>
      <c r="C38" s="28">
        <v>111833.86399449916</v>
      </c>
      <c r="D38" s="28">
        <v>106298.29185240586</v>
      </c>
      <c r="E38" s="28">
        <v>92132.621385567632</v>
      </c>
      <c r="F38" s="28">
        <v>165782.99833573744</v>
      </c>
    </row>
    <row r="39" spans="1:10">
      <c r="A39" s="19" t="s">
        <v>65</v>
      </c>
    </row>
    <row r="41" spans="1:10" hidden="1">
      <c r="A41" t="s">
        <v>107</v>
      </c>
    </row>
    <row r="42" spans="1:10" hidden="1">
      <c r="A42" t="s">
        <v>8</v>
      </c>
      <c r="B42" t="s">
        <v>10</v>
      </c>
      <c r="C42" t="s">
        <v>14</v>
      </c>
      <c r="D42" t="s">
        <v>15</v>
      </c>
      <c r="E42" t="s">
        <v>16</v>
      </c>
      <c r="F42" t="s">
        <v>115</v>
      </c>
      <c r="G42" t="s">
        <v>116</v>
      </c>
    </row>
    <row r="43" spans="1:10" hidden="1">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4" spans="1:10" hidden="1"/>
    <row r="45" spans="1:10" hidden="1">
      <c r="A45" t="s">
        <v>96</v>
      </c>
    </row>
    <row r="46" spans="1:10" hidden="1">
      <c r="A46" s="173" t="s">
        <v>97</v>
      </c>
      <c r="B46" s="51"/>
      <c r="C46" s="52"/>
      <c r="D46" s="52"/>
      <c r="E46" s="52"/>
      <c r="F46" s="52"/>
      <c r="I46" s="52"/>
      <c r="J46" s="52"/>
    </row>
    <row r="47" spans="1:10" hidden="1">
      <c r="A47" s="51"/>
      <c r="B47" s="51"/>
      <c r="C47" s="53"/>
      <c r="D47" s="328" t="s">
        <v>98</v>
      </c>
      <c r="E47" s="329"/>
    </row>
    <row r="48" spans="1:10" hidden="1">
      <c r="A48" s="51"/>
      <c r="B48" s="51"/>
      <c r="C48" s="54"/>
      <c r="D48" s="55" t="s">
        <v>99</v>
      </c>
      <c r="E48" s="56" t="s">
        <v>100</v>
      </c>
    </row>
    <row r="49" spans="1:7" hidden="1">
      <c r="A49" s="51"/>
      <c r="B49" s="51"/>
      <c r="C49" s="57" t="s">
        <v>101</v>
      </c>
      <c r="D49" s="58">
        <v>1.05756129080821E-3</v>
      </c>
      <c r="E49" s="59">
        <v>1.05756129080821E-3</v>
      </c>
    </row>
    <row r="50" spans="1:7" hidden="1">
      <c r="A50" s="51"/>
      <c r="B50" s="51"/>
      <c r="C50" s="57" t="s">
        <v>102</v>
      </c>
      <c r="D50" s="58">
        <v>0.27114327614777284</v>
      </c>
      <c r="E50" s="59">
        <v>0.27114327614777284</v>
      </c>
    </row>
    <row r="51" spans="1:7" hidden="1">
      <c r="A51" s="51"/>
      <c r="B51" s="51"/>
      <c r="C51" s="57" t="s">
        <v>94</v>
      </c>
      <c r="D51" s="58">
        <v>0.10134545090354258</v>
      </c>
      <c r="E51" s="59">
        <v>0.10134545090354258</v>
      </c>
    </row>
    <row r="52" spans="1:7" hidden="1">
      <c r="A52" s="51"/>
      <c r="B52" s="51"/>
      <c r="C52" s="57" t="s">
        <v>103</v>
      </c>
      <c r="D52" s="58">
        <v>6.7999855379005616E-2</v>
      </c>
      <c r="E52" s="59">
        <v>6.7999855379005616E-2</v>
      </c>
    </row>
    <row r="53" spans="1:7" hidden="1">
      <c r="A53" s="51"/>
      <c r="B53" s="51"/>
      <c r="C53" s="57" t="s">
        <v>95</v>
      </c>
      <c r="D53" s="58">
        <v>4.3469011079143261E-3</v>
      </c>
      <c r="E53" s="59">
        <v>4.3469011079143261E-3</v>
      </c>
    </row>
    <row r="54" spans="1:7" hidden="1">
      <c r="A54" s="51"/>
      <c r="B54" s="51"/>
      <c r="C54" s="55" t="s">
        <v>104</v>
      </c>
      <c r="D54" s="58">
        <v>0.55410695517095654</v>
      </c>
      <c r="E54" s="59">
        <v>0.55410695517095654</v>
      </c>
    </row>
    <row r="55" spans="1:7" hidden="1">
      <c r="C55" s="2" t="s">
        <v>106</v>
      </c>
      <c r="D55" s="61">
        <f>D49+D50+D51+D53</f>
        <v>0.37789318945003791</v>
      </c>
    </row>
    <row r="56" spans="1:7" hidden="1"/>
    <row r="57" spans="1:7" hidden="1">
      <c r="A57" s="2" t="s">
        <v>108</v>
      </c>
    </row>
    <row r="58" spans="1:7" hidden="1">
      <c r="A58" t="s">
        <v>8</v>
      </c>
      <c r="B58" t="s">
        <v>10</v>
      </c>
      <c r="C58" t="s">
        <v>14</v>
      </c>
      <c r="D58" t="s">
        <v>15</v>
      </c>
      <c r="E58" t="s">
        <v>16</v>
      </c>
      <c r="F58" t="s">
        <v>115</v>
      </c>
      <c r="G58" t="s">
        <v>116</v>
      </c>
    </row>
    <row r="59" spans="1:7" hidden="1">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0" spans="1:7" hidden="1"/>
    <row r="61" spans="1:7" hidden="1">
      <c r="A61" t="s">
        <v>279</v>
      </c>
    </row>
    <row r="62" spans="1:7" hidden="1">
      <c r="A62" t="s">
        <v>8</v>
      </c>
      <c r="B62" t="s">
        <v>10</v>
      </c>
      <c r="C62" t="s">
        <v>14</v>
      </c>
      <c r="D62" t="s">
        <v>15</v>
      </c>
      <c r="E62" t="s">
        <v>16</v>
      </c>
      <c r="F62" t="s">
        <v>115</v>
      </c>
      <c r="G62" t="s">
        <v>116</v>
      </c>
    </row>
    <row r="63" spans="1:7" hidden="1">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4" spans="1:7" hidden="1"/>
    <row r="65" spans="1:7" hidden="1">
      <c r="A65" t="s">
        <v>280</v>
      </c>
    </row>
    <row r="66" spans="1:7" hidden="1">
      <c r="A66" s="173" t="s">
        <v>97</v>
      </c>
      <c r="B66" s="51"/>
      <c r="C66" s="52"/>
      <c r="D66" s="52"/>
      <c r="E66" s="52"/>
      <c r="F66" s="52"/>
    </row>
    <row r="67" spans="1:7" hidden="1">
      <c r="A67" s="51"/>
      <c r="B67" s="51"/>
      <c r="C67" s="53"/>
      <c r="D67" s="328" t="s">
        <v>288</v>
      </c>
      <c r="E67" s="329"/>
    </row>
    <row r="68" spans="1:7" hidden="1">
      <c r="A68" s="51"/>
      <c r="B68" s="51"/>
      <c r="C68" s="54"/>
      <c r="D68" s="55" t="s">
        <v>99</v>
      </c>
      <c r="E68" s="56" t="s">
        <v>100</v>
      </c>
    </row>
    <row r="69" spans="1:7" hidden="1">
      <c r="A69" s="51"/>
      <c r="B69" s="51"/>
      <c r="C69" s="57" t="s">
        <v>101</v>
      </c>
      <c r="D69" s="174">
        <f>[3]Fuel_Prod_TS!$CF$875</f>
        <v>1.5976147714583499E-3</v>
      </c>
      <c r="E69" s="174">
        <f>[3]Fuel_Prod_TS!$CN$875</f>
        <v>1.5976147714583499E-3</v>
      </c>
    </row>
    <row r="70" spans="1:7" hidden="1">
      <c r="A70" s="51"/>
      <c r="B70" s="51"/>
      <c r="C70" s="57" t="s">
        <v>102</v>
      </c>
      <c r="D70" s="174">
        <f>[3]Fuel_Prod_TS!$CG$875</f>
        <v>0.4568836038497196</v>
      </c>
      <c r="E70" s="174">
        <f>[3]Fuel_Prod_TS!$CO$875</f>
        <v>0.4568836038497196</v>
      </c>
    </row>
    <row r="71" spans="1:7" hidden="1">
      <c r="A71" s="51"/>
      <c r="B71" s="51"/>
      <c r="C71" s="57" t="s">
        <v>94</v>
      </c>
      <c r="D71" s="174">
        <f>[3]Fuel_Prod_TS!$CH$875</f>
        <v>7.2640851718008294E-4</v>
      </c>
      <c r="E71" s="174">
        <f>[3]Fuel_Prod_TS!$CP$875</f>
        <v>7.2640851718008294E-4</v>
      </c>
    </row>
    <row r="72" spans="1:7" hidden="1">
      <c r="A72" s="51"/>
      <c r="B72" s="51"/>
      <c r="C72" s="57" t="s">
        <v>103</v>
      </c>
      <c r="D72" s="174">
        <f>[3]Fuel_Prod_TS!$CI$875</f>
        <v>0.29721983353590098</v>
      </c>
      <c r="E72" s="174">
        <f>[3]Fuel_Prod_TS!$CQ$875</f>
        <v>0.29721983353590098</v>
      </c>
    </row>
    <row r="73" spans="1:7" hidden="1">
      <c r="A73" s="51"/>
      <c r="B73" s="51"/>
      <c r="C73" s="57" t="s">
        <v>95</v>
      </c>
      <c r="D73" s="174">
        <f>[3]Fuel_Prod_TS!$CJ$875</f>
        <v>1.2862421489830919E-2</v>
      </c>
      <c r="E73" s="174">
        <f>[3]Fuel_Prod_TS!$CR$875</f>
        <v>1.2862421489830919E-2</v>
      </c>
    </row>
    <row r="74" spans="1:7" hidden="1">
      <c r="A74" s="51"/>
      <c r="B74" s="51"/>
      <c r="C74" s="55" t="s">
        <v>104</v>
      </c>
      <c r="D74" s="174">
        <f>[3]Fuel_Prod_TS!$CK$875</f>
        <v>0.23071011783591</v>
      </c>
      <c r="E74" s="174">
        <f>[3]Fuel_Prod_TS!$CS$875</f>
        <v>0.23071011783591</v>
      </c>
    </row>
    <row r="75" spans="1:7" hidden="1">
      <c r="C75" s="2" t="s">
        <v>106</v>
      </c>
      <c r="D75" s="61">
        <f>D69+D70+D71+D73</f>
        <v>0.47207004862818897</v>
      </c>
    </row>
    <row r="76" spans="1:7" hidden="1"/>
    <row r="77" spans="1:7" hidden="1">
      <c r="A77" s="2" t="s">
        <v>281</v>
      </c>
    </row>
    <row r="78" spans="1:7" hidden="1">
      <c r="A78" t="s">
        <v>8</v>
      </c>
      <c r="B78" t="s">
        <v>10</v>
      </c>
      <c r="C78" t="s">
        <v>14</v>
      </c>
      <c r="D78" t="s">
        <v>15</v>
      </c>
      <c r="E78" t="s">
        <v>16</v>
      </c>
      <c r="F78" t="s">
        <v>115</v>
      </c>
      <c r="G78" t="s">
        <v>116</v>
      </c>
    </row>
    <row r="79" spans="1:7" hidden="1">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0" spans="1:7" hidden="1"/>
    <row r="81" spans="1:7" hidden="1">
      <c r="A81" t="s">
        <v>285</v>
      </c>
    </row>
    <row r="82" spans="1:7" hidden="1">
      <c r="A82" t="s">
        <v>8</v>
      </c>
      <c r="B82" t="s">
        <v>10</v>
      </c>
      <c r="C82" t="s">
        <v>14</v>
      </c>
      <c r="D82" t="s">
        <v>15</v>
      </c>
      <c r="E82" t="s">
        <v>16</v>
      </c>
      <c r="F82" t="s">
        <v>115</v>
      </c>
      <c r="G82" t="s">
        <v>116</v>
      </c>
    </row>
    <row r="83" spans="1:7" hidden="1">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4" spans="1:7" hidden="1"/>
    <row r="85" spans="1:7" hidden="1">
      <c r="A85" t="s">
        <v>286</v>
      </c>
    </row>
    <row r="86" spans="1:7" hidden="1">
      <c r="A86" s="173" t="s">
        <v>97</v>
      </c>
      <c r="B86" s="51"/>
      <c r="C86" s="52"/>
      <c r="D86" s="52"/>
      <c r="E86" s="52"/>
      <c r="F86" s="52"/>
    </row>
    <row r="87" spans="1:7" hidden="1">
      <c r="A87" s="51"/>
      <c r="B87" s="51"/>
      <c r="C87" s="53"/>
      <c r="D87" s="328" t="s">
        <v>289</v>
      </c>
      <c r="E87" s="329"/>
    </row>
    <row r="88" spans="1:7" hidden="1">
      <c r="A88" s="51"/>
      <c r="B88" s="51"/>
      <c r="C88" s="54"/>
      <c r="D88" s="55" t="s">
        <v>99</v>
      </c>
      <c r="E88" s="56" t="s">
        <v>100</v>
      </c>
    </row>
    <row r="89" spans="1:7" hidden="1">
      <c r="A89" s="51"/>
      <c r="B89" s="51"/>
      <c r="C89" s="57" t="s">
        <v>101</v>
      </c>
      <c r="D89" s="174">
        <f>[3]Fuel_Prod_TS!$D$900</f>
        <v>1.94096776665011E-3</v>
      </c>
      <c r="E89" s="174">
        <f>[3]Fuel_Prod_TS!$L$900</f>
        <v>1.94096776665011E-3</v>
      </c>
    </row>
    <row r="90" spans="1:7" hidden="1">
      <c r="A90" s="51"/>
      <c r="B90" s="51"/>
      <c r="C90" s="57" t="s">
        <v>102</v>
      </c>
      <c r="D90" s="174">
        <f>[3]Fuel_Prod_TS!$E$900</f>
        <v>0.41502767356791553</v>
      </c>
      <c r="E90" s="174">
        <f>[3]Fuel_Prod_TS!$M$900</f>
        <v>0.41502767356791553</v>
      </c>
    </row>
    <row r="91" spans="1:7" hidden="1">
      <c r="A91" s="51"/>
      <c r="B91" s="51"/>
      <c r="C91" s="57" t="s">
        <v>94</v>
      </c>
      <c r="D91" s="174">
        <f>[3]Fuel_Prod_TS!$F$900</f>
        <v>0.16953420629385921</v>
      </c>
      <c r="E91" s="174">
        <f>[3]Fuel_Prod_TS!$N$900</f>
        <v>0.16953420629385921</v>
      </c>
    </row>
    <row r="92" spans="1:7" hidden="1">
      <c r="A92" s="51"/>
      <c r="B92" s="51"/>
      <c r="C92" s="57" t="s">
        <v>103</v>
      </c>
      <c r="D92" s="174">
        <f>[3]Fuel_Prod_TS!$G$900</f>
        <v>0.33917126787407992</v>
      </c>
      <c r="E92" s="174">
        <f>[3]Fuel_Prod_TS!$O$900</f>
        <v>0.33917126787407992</v>
      </c>
    </row>
    <row r="93" spans="1:7" hidden="1">
      <c r="A93" s="51"/>
      <c r="B93" s="51"/>
      <c r="C93" s="57" t="s">
        <v>95</v>
      </c>
      <c r="D93" s="174">
        <f>[3]Fuel_Prod_TS!$H$900</f>
        <v>5.8132981751973381E-3</v>
      </c>
      <c r="E93" s="174">
        <f>[3]Fuel_Prod_TS!$P$900</f>
        <v>5.8132981751973381E-3</v>
      </c>
    </row>
    <row r="94" spans="1:7" hidden="1">
      <c r="A94" s="51"/>
      <c r="B94" s="51"/>
      <c r="C94" s="55" t="s">
        <v>104</v>
      </c>
      <c r="D94" s="174">
        <f>[3]Fuel_Prod_TS!$I$900</f>
        <v>6.8512586322297842E-2</v>
      </c>
      <c r="E94" s="174">
        <f>[3]Fuel_Prod_TS!$Q$900</f>
        <v>6.8512586322297842E-2</v>
      </c>
    </row>
    <row r="95" spans="1:7" hidden="1">
      <c r="C95" s="2" t="s">
        <v>106</v>
      </c>
      <c r="D95" s="61">
        <f>D89+D90+D91+D93</f>
        <v>0.59231614580362224</v>
      </c>
    </row>
    <row r="96" spans="1:7" hidden="1"/>
    <row r="97" spans="1:13" hidden="1">
      <c r="A97" s="2" t="s">
        <v>287</v>
      </c>
    </row>
    <row r="98" spans="1:13" hidden="1">
      <c r="A98" t="s">
        <v>8</v>
      </c>
      <c r="B98" t="s">
        <v>10</v>
      </c>
      <c r="C98" t="s">
        <v>14</v>
      </c>
      <c r="D98" t="s">
        <v>15</v>
      </c>
      <c r="E98" t="s">
        <v>16</v>
      </c>
      <c r="F98" t="s">
        <v>115</v>
      </c>
      <c r="G98" t="s">
        <v>116</v>
      </c>
    </row>
    <row r="99" spans="1:13" hidden="1">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0" spans="1:13" hidden="1"/>
    <row r="101" spans="1:13" hidden="1">
      <c r="A101" t="s">
        <v>282</v>
      </c>
      <c r="I101" t="s">
        <v>472</v>
      </c>
    </row>
    <row r="102" spans="1:13" hidden="1">
      <c r="A102" t="s">
        <v>473</v>
      </c>
      <c r="B102" t="s">
        <v>10</v>
      </c>
      <c r="C102" t="s">
        <v>474</v>
      </c>
      <c r="D102" t="s">
        <v>475</v>
      </c>
      <c r="E102" t="s">
        <v>476</v>
      </c>
      <c r="F102" t="s">
        <v>115</v>
      </c>
      <c r="G102" t="s">
        <v>477</v>
      </c>
      <c r="I102" t="s">
        <v>8</v>
      </c>
      <c r="J102" t="s">
        <v>116</v>
      </c>
      <c r="K102" t="s">
        <v>16</v>
      </c>
      <c r="L102" t="s">
        <v>26</v>
      </c>
      <c r="M102" t="s">
        <v>21</v>
      </c>
    </row>
    <row r="103" spans="1:13" hidden="1">
      <c r="A103" s="263">
        <f>I103</f>
        <v>25.407201999999998</v>
      </c>
      <c r="B103" s="60">
        <f>C32</f>
        <v>6.35534772691501</v>
      </c>
      <c r="C103" s="263">
        <f>L103</f>
        <v>6.2520340000000001</v>
      </c>
      <c r="D103" s="263">
        <f>M103</f>
        <v>0.79813200000000006</v>
      </c>
      <c r="E103" s="264">
        <f>K103</f>
        <v>85432.049280000007</v>
      </c>
      <c r="F103" s="60">
        <f>C28</f>
        <v>1.3843453190325286</v>
      </c>
      <c r="G103" s="263">
        <f>J103</f>
        <v>23.012805999999994</v>
      </c>
      <c r="I103">
        <v>25.407201999999998</v>
      </c>
      <c r="J103">
        <v>23.012805999999994</v>
      </c>
      <c r="K103">
        <v>85432.049280000007</v>
      </c>
      <c r="L103">
        <v>6.2520340000000001</v>
      </c>
      <c r="M103">
        <v>0.79813200000000006</v>
      </c>
    </row>
    <row r="104" spans="1:13" hidden="1"/>
    <row r="105" spans="1:13" hidden="1">
      <c r="A105" t="s">
        <v>283</v>
      </c>
    </row>
    <row r="106" spans="1:13" hidden="1">
      <c r="A106" s="173" t="s">
        <v>97</v>
      </c>
      <c r="B106" s="51"/>
      <c r="C106" s="52"/>
      <c r="D106" s="52"/>
      <c r="E106" s="52"/>
      <c r="F106" s="52"/>
    </row>
    <row r="107" spans="1:13" hidden="1">
      <c r="A107" s="51"/>
      <c r="B107" s="51"/>
      <c r="C107" s="53"/>
      <c r="D107" s="328" t="s">
        <v>290</v>
      </c>
      <c r="E107" s="329"/>
    </row>
    <row r="108" spans="1:13" hidden="1">
      <c r="A108" s="51"/>
      <c r="B108" s="51"/>
      <c r="C108" s="54"/>
      <c r="D108" s="55" t="s">
        <v>99</v>
      </c>
      <c r="E108" s="56" t="s">
        <v>100</v>
      </c>
    </row>
    <row r="109" spans="1:13" hidden="1">
      <c r="A109" s="51"/>
      <c r="B109" s="51"/>
      <c r="C109" s="57" t="s">
        <v>101</v>
      </c>
      <c r="D109" s="58">
        <f>[3]Fuel_Prod_TS!$CV$875</f>
        <v>1.1525216005103397E-3</v>
      </c>
      <c r="E109" s="59">
        <f>[3]Fuel_Prod_TS!$DD$875</f>
        <v>1.1525216005103397E-3</v>
      </c>
    </row>
    <row r="110" spans="1:13" hidden="1">
      <c r="A110" s="51"/>
      <c r="B110" s="51"/>
      <c r="C110" s="57" t="s">
        <v>102</v>
      </c>
      <c r="D110" s="58">
        <f>[3]Fuel_Prod_TS!$CW$875</f>
        <v>0.42338739877550041</v>
      </c>
      <c r="E110" s="59">
        <f>[3]Fuel_Prod_TS!$DE$875</f>
        <v>0.42338739877550041</v>
      </c>
    </row>
    <row r="111" spans="1:13" hidden="1">
      <c r="A111" s="51"/>
      <c r="B111" s="51"/>
      <c r="C111" s="57" t="s">
        <v>94</v>
      </c>
      <c r="D111" s="58">
        <f>[3]Fuel_Prod_TS!$CX$875</f>
        <v>0.18220635648586389</v>
      </c>
      <c r="E111" s="59">
        <f>[3]Fuel_Prod_TS!$DF$875</f>
        <v>0.18220635648586389</v>
      </c>
    </row>
    <row r="112" spans="1:13" hidden="1">
      <c r="A112" s="51"/>
      <c r="B112" s="51"/>
      <c r="C112" s="57" t="s">
        <v>103</v>
      </c>
      <c r="D112" s="58">
        <f>[3]Fuel_Prod_TS!$CY$875</f>
        <v>0.33250596730454346</v>
      </c>
      <c r="E112" s="59">
        <f>[3]Fuel_Prod_TS!$DG$875</f>
        <v>0.33250596730454346</v>
      </c>
    </row>
    <row r="113" spans="1:23" hidden="1">
      <c r="A113" s="51"/>
      <c r="B113" s="51"/>
      <c r="C113" s="57" t="s">
        <v>95</v>
      </c>
      <c r="D113" s="58">
        <f>[3]Fuel_Prod_TS!$CZ$875</f>
        <v>1.5735294807847386E-3</v>
      </c>
      <c r="E113" s="59">
        <f>[3]Fuel_Prod_TS!$DH$875</f>
        <v>1.5735294807847386E-3</v>
      </c>
    </row>
    <row r="114" spans="1:23" hidden="1">
      <c r="A114" s="51"/>
      <c r="B114" s="51"/>
      <c r="C114" s="55" t="s">
        <v>104</v>
      </c>
      <c r="D114" s="58">
        <f>[3]Fuel_Prod_TS!$DA$875</f>
        <v>5.9174226352797121E-2</v>
      </c>
      <c r="E114" s="59">
        <f>[3]Fuel_Prod_TS!$DI$875</f>
        <v>5.9174226352797121E-2</v>
      </c>
    </row>
    <row r="115" spans="1:23" hidden="1">
      <c r="C115" s="2" t="s">
        <v>106</v>
      </c>
      <c r="D115" s="61">
        <f>D109+D110+D111+D113</f>
        <v>0.60831980634265936</v>
      </c>
    </row>
    <row r="116" spans="1:23" hidden="1"/>
    <row r="117" spans="1:23" hidden="1">
      <c r="A117" s="2" t="s">
        <v>284</v>
      </c>
    </row>
    <row r="118" spans="1:23" hidden="1">
      <c r="A118" t="s">
        <v>8</v>
      </c>
      <c r="B118" t="s">
        <v>10</v>
      </c>
      <c r="C118" t="s">
        <v>14</v>
      </c>
      <c r="D118" t="s">
        <v>15</v>
      </c>
      <c r="E118" t="s">
        <v>16</v>
      </c>
      <c r="F118" t="s">
        <v>115</v>
      </c>
      <c r="G118" t="s">
        <v>116</v>
      </c>
    </row>
    <row r="119" spans="1:23" hidden="1">
      <c r="A119" s="60">
        <f>A103/$D$115</f>
        <v>41.76619228092077</v>
      </c>
      <c r="B119" s="60">
        <f t="shared" ref="B119:G119" si="3">B103/$D$115</f>
        <v>10.447379257835832</v>
      </c>
      <c r="C119" s="60">
        <f t="shared" si="3"/>
        <v>10.277544697399353</v>
      </c>
      <c r="D119" s="60">
        <f t="shared" si="3"/>
        <v>1.3120269826467259</v>
      </c>
      <c r="E119" s="60">
        <f t="shared" si="3"/>
        <v>140439.36822250555</v>
      </c>
      <c r="F119" s="60">
        <f t="shared" si="3"/>
        <v>2.2756867433850134</v>
      </c>
      <c r="G119" s="60">
        <f t="shared" si="3"/>
        <v>37.830111332980586</v>
      </c>
    </row>
    <row r="121" spans="1:23" ht="16" thickBot="1">
      <c r="A121" t="s">
        <v>521</v>
      </c>
    </row>
    <row r="122" spans="1:23" ht="17" thickTop="1">
      <c r="A122" t="s">
        <v>473</v>
      </c>
      <c r="B122" t="s">
        <v>10</v>
      </c>
      <c r="C122" t="s">
        <v>474</v>
      </c>
      <c r="D122" t="s">
        <v>475</v>
      </c>
      <c r="E122" t="s">
        <v>476</v>
      </c>
      <c r="F122" t="s">
        <v>115</v>
      </c>
      <c r="G122" t="s">
        <v>477</v>
      </c>
      <c r="H122" s="6"/>
      <c r="J122" s="322" t="s">
        <v>554</v>
      </c>
      <c r="K122" s="323"/>
      <c r="L122" s="323"/>
      <c r="M122" s="323"/>
      <c r="N122" s="323"/>
      <c r="O122" s="324"/>
      <c r="P122" s="272"/>
      <c r="Q122" s="272"/>
      <c r="R122" s="272"/>
      <c r="S122" s="272"/>
      <c r="T122" s="272"/>
      <c r="U122" s="272"/>
      <c r="V122" s="272"/>
      <c r="W122" s="272"/>
    </row>
    <row r="123" spans="1:23">
      <c r="A123" s="60">
        <v>63.850559999999994</v>
      </c>
      <c r="B123" s="60">
        <f>F32</f>
        <v>10.767570028237591</v>
      </c>
      <c r="C123" s="60">
        <v>10.375715999999999</v>
      </c>
      <c r="D123" s="60">
        <v>1.4632419999999999</v>
      </c>
      <c r="E123" s="3">
        <v>101768.348078</v>
      </c>
      <c r="F123" s="60">
        <f>F28</f>
        <v>3.625671758713839</v>
      </c>
      <c r="G123" s="60">
        <v>32.191323999999994</v>
      </c>
      <c r="J123" s="325" t="s">
        <v>313</v>
      </c>
      <c r="K123" s="326" t="s">
        <v>555</v>
      </c>
      <c r="L123" s="326"/>
      <c r="M123" s="326"/>
      <c r="N123" s="326"/>
      <c r="O123" s="327"/>
      <c r="P123" s="272"/>
      <c r="Q123" s="272"/>
      <c r="R123" s="272"/>
      <c r="S123" s="272"/>
      <c r="T123" s="272"/>
      <c r="U123" s="272"/>
      <c r="V123" s="272"/>
      <c r="W123" s="272"/>
    </row>
    <row r="124" spans="1:23">
      <c r="A124" s="60"/>
      <c r="B124" s="60"/>
      <c r="C124" s="60"/>
      <c r="D124" s="60"/>
      <c r="E124" s="3"/>
      <c r="F124" s="60"/>
      <c r="G124" s="60"/>
      <c r="J124" s="325"/>
      <c r="K124" s="326" t="s">
        <v>556</v>
      </c>
      <c r="L124" s="326"/>
      <c r="M124" s="326"/>
      <c r="N124" s="326"/>
      <c r="O124" s="327"/>
      <c r="P124" s="272"/>
      <c r="Q124" s="272"/>
      <c r="R124" s="272"/>
      <c r="S124" s="272"/>
      <c r="T124" s="272"/>
      <c r="U124" s="272"/>
      <c r="V124" s="272"/>
      <c r="W124" s="272"/>
    </row>
    <row r="125" spans="1:23" ht="26">
      <c r="A125" t="s">
        <v>524</v>
      </c>
      <c r="J125" s="325"/>
      <c r="K125" s="273" t="s">
        <v>557</v>
      </c>
      <c r="L125" s="274" t="s">
        <v>558</v>
      </c>
      <c r="M125" s="274" t="s">
        <v>559</v>
      </c>
      <c r="N125" s="273" t="s">
        <v>560</v>
      </c>
      <c r="O125" s="275" t="s">
        <v>561</v>
      </c>
      <c r="P125" s="272"/>
      <c r="Q125" s="272"/>
      <c r="R125" s="272"/>
      <c r="S125" s="272"/>
      <c r="T125" s="272"/>
      <c r="U125" s="272"/>
      <c r="V125" s="272"/>
      <c r="W125" s="272"/>
    </row>
    <row r="126" spans="1:23">
      <c r="A126" t="s">
        <v>97</v>
      </c>
      <c r="J126" s="276" t="s">
        <v>562</v>
      </c>
      <c r="K126" s="277">
        <v>1212.2080000000001</v>
      </c>
      <c r="L126" s="278">
        <v>0.104</v>
      </c>
      <c r="M126" s="278">
        <v>1.4999999999999999E-2</v>
      </c>
      <c r="N126" s="277">
        <v>0.65300000000000002</v>
      </c>
      <c r="O126" s="279">
        <v>0.33900000000000002</v>
      </c>
      <c r="P126" s="272"/>
      <c r="Q126" s="272"/>
      <c r="R126" s="272"/>
      <c r="S126" s="272"/>
      <c r="T126" s="272"/>
      <c r="U126" s="272"/>
      <c r="V126" s="272"/>
      <c r="W126" s="272"/>
    </row>
    <row r="127" spans="1:23">
      <c r="D127" t="s">
        <v>525</v>
      </c>
      <c r="J127" s="276" t="s">
        <v>563</v>
      </c>
      <c r="K127" s="277">
        <v>219.39699999999999</v>
      </c>
      <c r="L127" s="278">
        <v>0.128</v>
      </c>
      <c r="M127" s="278">
        <v>1.9E-2</v>
      </c>
      <c r="N127" s="277">
        <v>0.439</v>
      </c>
      <c r="O127" s="279">
        <v>0.25800000000000001</v>
      </c>
      <c r="P127" s="272"/>
      <c r="Q127" s="272"/>
      <c r="R127" s="272"/>
      <c r="S127" s="272"/>
      <c r="T127" s="272"/>
      <c r="U127" s="272"/>
      <c r="V127" s="272"/>
      <c r="W127" s="272"/>
    </row>
    <row r="128" spans="1:23">
      <c r="D128" t="s">
        <v>99</v>
      </c>
      <c r="E128" t="s">
        <v>523</v>
      </c>
      <c r="J128" s="276" t="s">
        <v>548</v>
      </c>
      <c r="K128" s="277">
        <v>765.04899999999998</v>
      </c>
      <c r="L128" s="278">
        <v>7.8E-2</v>
      </c>
      <c r="M128" s="278">
        <v>1.0999999999999999E-2</v>
      </c>
      <c r="N128" s="277">
        <v>0.48</v>
      </c>
      <c r="O128" s="279">
        <v>0.24199999999999999</v>
      </c>
      <c r="P128" s="272"/>
      <c r="Q128" s="272"/>
      <c r="R128" s="272"/>
      <c r="S128" s="272"/>
      <c r="T128" s="272"/>
      <c r="U128" s="272"/>
      <c r="V128" s="272"/>
      <c r="W128" s="272"/>
    </row>
    <row r="129" spans="1:23">
      <c r="C129" t="s">
        <v>101</v>
      </c>
      <c r="D129">
        <v>8.2138618934736157E-3</v>
      </c>
      <c r="E129">
        <v>1E-3</v>
      </c>
      <c r="J129" s="276" t="s">
        <v>564</v>
      </c>
      <c r="K129" s="277">
        <v>490.089</v>
      </c>
      <c r="L129" s="278">
        <v>3.5000000000000003E-2</v>
      </c>
      <c r="M129" s="278">
        <v>4.0000000000000001E-3</v>
      </c>
      <c r="N129" s="277">
        <v>0.25600000000000001</v>
      </c>
      <c r="O129" s="279">
        <v>6.0999999999999999E-2</v>
      </c>
      <c r="P129" s="272"/>
      <c r="Q129" s="272"/>
      <c r="R129" s="272"/>
      <c r="S129" s="272"/>
      <c r="T129" s="272"/>
      <c r="U129" s="272"/>
      <c r="V129" s="272"/>
      <c r="W129" s="272"/>
    </row>
    <row r="130" spans="1:23">
      <c r="C130" t="s">
        <v>102</v>
      </c>
      <c r="D130">
        <v>0.29559454451195727</v>
      </c>
      <c r="E130">
        <v>0.20899999999999999</v>
      </c>
      <c r="J130" s="276" t="s">
        <v>565</v>
      </c>
      <c r="K130" s="277">
        <v>1252.806</v>
      </c>
      <c r="L130" s="278">
        <v>0.105</v>
      </c>
      <c r="M130" s="278">
        <v>1.4999999999999999E-2</v>
      </c>
      <c r="N130" s="277">
        <v>0.78700000000000003</v>
      </c>
      <c r="O130" s="279">
        <v>0.185</v>
      </c>
      <c r="P130" s="272"/>
      <c r="Q130" s="272"/>
      <c r="R130" s="272"/>
      <c r="S130" s="272"/>
      <c r="T130" s="272"/>
      <c r="U130" s="272"/>
      <c r="V130" s="272"/>
      <c r="W130" s="272"/>
    </row>
    <row r="131" spans="1:23">
      <c r="C131" t="s">
        <v>94</v>
      </c>
      <c r="D131">
        <v>0.39216883470167291</v>
      </c>
      <c r="E131">
        <v>0.248</v>
      </c>
      <c r="J131" s="276" t="s">
        <v>566</v>
      </c>
      <c r="K131" s="277">
        <v>826.70699999999999</v>
      </c>
      <c r="L131" s="278">
        <v>1.6E-2</v>
      </c>
      <c r="M131" s="278">
        <v>2E-3</v>
      </c>
      <c r="N131" s="277">
        <v>0.66900000000000004</v>
      </c>
      <c r="O131" s="279">
        <v>1.2999999999999999E-2</v>
      </c>
      <c r="P131" s="272"/>
      <c r="Q131" s="272"/>
      <c r="R131" s="272"/>
      <c r="S131" s="272"/>
      <c r="T131" s="272"/>
      <c r="U131" s="272"/>
      <c r="V131" s="272"/>
      <c r="W131" s="272"/>
    </row>
    <row r="132" spans="1:23" ht="16" thickBot="1">
      <c r="C132" t="s">
        <v>103</v>
      </c>
      <c r="D132">
        <v>0.158544732283524</v>
      </c>
      <c r="E132">
        <v>0.26</v>
      </c>
      <c r="J132" s="276" t="s">
        <v>567</v>
      </c>
      <c r="K132" s="277">
        <v>642.48699999999997</v>
      </c>
      <c r="L132" s="278">
        <v>4.3999999999999997E-2</v>
      </c>
      <c r="M132" s="278">
        <v>6.0000000000000001E-3</v>
      </c>
      <c r="N132" s="277">
        <v>0.252</v>
      </c>
      <c r="O132" s="279">
        <v>8.6999999999999994E-2</v>
      </c>
      <c r="P132" s="272"/>
      <c r="Q132" s="272"/>
      <c r="R132" s="272"/>
      <c r="S132" s="272"/>
      <c r="T132" s="272"/>
      <c r="U132" s="272"/>
      <c r="V132" s="272"/>
      <c r="W132" s="272"/>
    </row>
    <row r="133" spans="1:23" ht="17" thickTop="1" thickBot="1">
      <c r="C133" t="s">
        <v>95</v>
      </c>
      <c r="D133">
        <v>1.3572438627574733E-3</v>
      </c>
      <c r="E133">
        <v>2.5000000000000001E-2</v>
      </c>
      <c r="J133" s="280" t="s">
        <v>568</v>
      </c>
      <c r="K133" s="281">
        <v>818.28899999999999</v>
      </c>
      <c r="L133" s="282">
        <v>6.5000000000000002E-2</v>
      </c>
      <c r="M133" s="282">
        <v>8.9999999999999993E-3</v>
      </c>
      <c r="N133" s="281">
        <v>0.50900000000000001</v>
      </c>
      <c r="O133" s="283">
        <v>0.47499999999999998</v>
      </c>
      <c r="P133" s="284"/>
      <c r="Q133" s="284"/>
      <c r="R133" s="284"/>
      <c r="S133" s="284"/>
      <c r="T133" s="284"/>
      <c r="U133" s="284"/>
      <c r="V133" s="284"/>
      <c r="W133" s="284"/>
    </row>
    <row r="134" spans="1:23" ht="16" thickTop="1">
      <c r="C134" t="s">
        <v>104</v>
      </c>
      <c r="D134">
        <v>0.14412078274661477</v>
      </c>
      <c r="E134">
        <f>1-(E129+E130+E131+E132+E133)</f>
        <v>0.25700000000000001</v>
      </c>
      <c r="J134" s="272"/>
      <c r="K134" s="285"/>
      <c r="L134" s="286"/>
      <c r="M134" s="286"/>
      <c r="N134" s="285"/>
      <c r="O134" s="287">
        <v>44588</v>
      </c>
      <c r="P134" s="272"/>
      <c r="Q134" s="272"/>
      <c r="R134" s="272"/>
      <c r="S134" s="272"/>
      <c r="T134" s="272"/>
      <c r="U134" s="272"/>
      <c r="V134" s="272"/>
      <c r="W134" s="272"/>
    </row>
    <row r="135" spans="1:23">
      <c r="C135" t="s">
        <v>522</v>
      </c>
      <c r="D135">
        <f>D129+D130+D131</f>
        <v>0.69597724110710379</v>
      </c>
      <c r="E135">
        <f>E129+E130+E131</f>
        <v>0.45799999999999996</v>
      </c>
      <c r="J135" s="272"/>
      <c r="K135" s="285"/>
      <c r="L135" s="286"/>
      <c r="M135" s="286"/>
      <c r="N135" s="285"/>
      <c r="O135" s="285"/>
      <c r="P135" s="272"/>
      <c r="Q135" s="272"/>
      <c r="R135" s="272"/>
      <c r="S135" s="272"/>
      <c r="T135" s="272"/>
      <c r="U135" s="272"/>
      <c r="V135" s="272"/>
      <c r="W135" s="272"/>
    </row>
    <row r="136" spans="1:23">
      <c r="J136" s="272" t="s">
        <v>569</v>
      </c>
      <c r="K136" s="285"/>
      <c r="L136" s="286"/>
      <c r="M136" s="286"/>
      <c r="N136" s="285"/>
      <c r="O136" s="285"/>
      <c r="P136" s="272"/>
      <c r="Q136" s="272"/>
      <c r="R136" s="272"/>
      <c r="S136" s="272"/>
      <c r="T136" s="272"/>
      <c r="U136" s="272"/>
      <c r="V136" s="272"/>
      <c r="W136" s="272"/>
    </row>
    <row r="137" spans="1:23">
      <c r="A137" t="s">
        <v>550</v>
      </c>
      <c r="J137" s="325" t="s">
        <v>313</v>
      </c>
      <c r="K137" s="326" t="s">
        <v>555</v>
      </c>
      <c r="L137" s="326"/>
      <c r="M137" s="326"/>
      <c r="N137" s="326"/>
      <c r="O137" s="327"/>
      <c r="P137" s="272"/>
      <c r="Q137" s="272"/>
      <c r="R137" s="272" t="s">
        <v>570</v>
      </c>
      <c r="S137" s="272">
        <v>0.29299999999999998</v>
      </c>
      <c r="T137" s="272" t="s">
        <v>571</v>
      </c>
      <c r="U137" s="272"/>
      <c r="V137" s="272"/>
      <c r="W137" s="272"/>
    </row>
    <row r="138" spans="1:23">
      <c r="A138" t="s">
        <v>473</v>
      </c>
      <c r="B138" t="s">
        <v>10</v>
      </c>
      <c r="C138" t="s">
        <v>474</v>
      </c>
      <c r="D138" t="s">
        <v>475</v>
      </c>
      <c r="E138" t="s">
        <v>476</v>
      </c>
      <c r="F138" t="s">
        <v>115</v>
      </c>
      <c r="G138" t="s">
        <v>477</v>
      </c>
      <c r="J138" s="325"/>
      <c r="K138" s="326" t="s">
        <v>572</v>
      </c>
      <c r="L138" s="326"/>
      <c r="M138" s="326"/>
      <c r="N138" s="326"/>
      <c r="O138" s="327"/>
      <c r="P138" s="272"/>
      <c r="Q138" s="272"/>
      <c r="R138" s="272" t="s">
        <v>573</v>
      </c>
      <c r="S138" s="272">
        <v>454</v>
      </c>
      <c r="T138" s="272" t="s">
        <v>55</v>
      </c>
      <c r="U138" s="272"/>
      <c r="V138" s="272"/>
      <c r="W138" s="272"/>
    </row>
    <row r="139" spans="1:23" ht="26">
      <c r="A139">
        <f>A123/$E135</f>
        <v>139.41170305676854</v>
      </c>
      <c r="B139">
        <f>B123/$D135</f>
        <v>15.471152492155374</v>
      </c>
      <c r="C139">
        <f>C123/$E135</f>
        <v>22.65440174672489</v>
      </c>
      <c r="D139">
        <f>D123/$E135</f>
        <v>3.1948515283842798</v>
      </c>
      <c r="E139">
        <f>E123/$E135</f>
        <v>222201.6333580786</v>
      </c>
      <c r="F139">
        <f>F123/$D135</f>
        <v>5.2094688512319971</v>
      </c>
      <c r="G139">
        <f>G123/$E135</f>
        <v>70.286733624454143</v>
      </c>
      <c r="J139" s="325"/>
      <c r="K139" s="273" t="s">
        <v>557</v>
      </c>
      <c r="L139" s="274" t="s">
        <v>558</v>
      </c>
      <c r="M139" s="274" t="s">
        <v>559</v>
      </c>
      <c r="N139" s="273" t="s">
        <v>560</v>
      </c>
      <c r="O139" s="275" t="s">
        <v>561</v>
      </c>
      <c r="P139" s="272"/>
      <c r="Q139" s="272"/>
      <c r="R139" s="272"/>
      <c r="S139" s="272"/>
      <c r="T139" s="272"/>
      <c r="U139" s="272"/>
      <c r="V139" s="272"/>
      <c r="W139" s="272"/>
    </row>
    <row r="140" spans="1:23">
      <c r="J140" s="276" t="s">
        <v>562</v>
      </c>
      <c r="K140" s="277">
        <f t="shared" ref="K140:O146" si="4">K126*$K$17*$K$16</f>
        <v>0</v>
      </c>
      <c r="L140" s="277">
        <f t="shared" si="4"/>
        <v>0</v>
      </c>
      <c r="M140" s="277">
        <f t="shared" si="4"/>
        <v>0</v>
      </c>
      <c r="N140" s="277">
        <f t="shared" si="4"/>
        <v>0</v>
      </c>
      <c r="O140" s="277">
        <f t="shared" si="4"/>
        <v>0</v>
      </c>
      <c r="P140" s="272"/>
      <c r="Q140" s="272"/>
      <c r="R140" s="272"/>
      <c r="S140" s="272"/>
      <c r="T140" s="272"/>
      <c r="U140" s="272"/>
      <c r="V140" s="272"/>
      <c r="W140" s="272"/>
    </row>
    <row r="141" spans="1:23">
      <c r="J141" s="276" t="s">
        <v>563</v>
      </c>
      <c r="K141" s="277">
        <f t="shared" si="4"/>
        <v>0</v>
      </c>
      <c r="L141" s="277">
        <f t="shared" si="4"/>
        <v>0</v>
      </c>
      <c r="M141" s="277">
        <f t="shared" si="4"/>
        <v>0</v>
      </c>
      <c r="N141" s="277">
        <f t="shared" si="4"/>
        <v>0</v>
      </c>
      <c r="O141" s="277">
        <f t="shared" si="4"/>
        <v>0</v>
      </c>
      <c r="P141" s="272"/>
      <c r="Q141" s="272"/>
      <c r="R141" s="272"/>
      <c r="S141" s="272"/>
      <c r="T141" s="272"/>
      <c r="U141" s="272"/>
      <c r="V141" s="272"/>
      <c r="W141" s="272"/>
    </row>
    <row r="142" spans="1:23">
      <c r="J142" s="276" t="s">
        <v>548</v>
      </c>
      <c r="K142" s="277">
        <f t="shared" si="4"/>
        <v>0</v>
      </c>
      <c r="L142" s="277">
        <f t="shared" si="4"/>
        <v>0</v>
      </c>
      <c r="M142" s="277">
        <f t="shared" si="4"/>
        <v>0</v>
      </c>
      <c r="N142" s="277">
        <f t="shared" si="4"/>
        <v>0</v>
      </c>
      <c r="O142" s="277">
        <f t="shared" si="4"/>
        <v>0</v>
      </c>
      <c r="P142" s="272"/>
      <c r="Q142" s="272"/>
      <c r="R142" s="272"/>
      <c r="S142" s="272"/>
      <c r="T142" s="272"/>
      <c r="U142" s="272"/>
      <c r="V142" s="272"/>
      <c r="W142" s="272"/>
    </row>
    <row r="143" spans="1:23">
      <c r="J143" s="276" t="s">
        <v>564</v>
      </c>
      <c r="K143" s="277">
        <f t="shared" si="4"/>
        <v>0</v>
      </c>
      <c r="L143" s="277">
        <f t="shared" si="4"/>
        <v>0</v>
      </c>
      <c r="M143" s="277">
        <f t="shared" si="4"/>
        <v>0</v>
      </c>
      <c r="N143" s="277">
        <f t="shared" si="4"/>
        <v>0</v>
      </c>
      <c r="O143" s="277">
        <f t="shared" si="4"/>
        <v>0</v>
      </c>
      <c r="P143" s="272"/>
      <c r="Q143" s="272"/>
      <c r="R143" s="272"/>
      <c r="S143" s="272"/>
      <c r="T143" s="272"/>
      <c r="U143" s="272"/>
      <c r="V143" s="272"/>
      <c r="W143" s="272"/>
    </row>
    <row r="144" spans="1:23">
      <c r="J144" s="276" t="s">
        <v>565</v>
      </c>
      <c r="K144" s="277">
        <f t="shared" si="4"/>
        <v>0</v>
      </c>
      <c r="L144" s="277">
        <f t="shared" si="4"/>
        <v>0</v>
      </c>
      <c r="M144" s="277">
        <f t="shared" si="4"/>
        <v>0</v>
      </c>
      <c r="N144" s="277">
        <f t="shared" si="4"/>
        <v>0</v>
      </c>
      <c r="O144" s="277">
        <f t="shared" si="4"/>
        <v>0</v>
      </c>
      <c r="P144" s="272"/>
      <c r="Q144" s="272"/>
      <c r="R144" s="272"/>
      <c r="S144" s="272"/>
      <c r="T144" s="272"/>
      <c r="U144" s="272"/>
      <c r="V144" s="272"/>
      <c r="W144" s="272"/>
    </row>
    <row r="145" spans="10:23">
      <c r="J145" s="276" t="s">
        <v>566</v>
      </c>
      <c r="K145" s="277">
        <f t="shared" si="4"/>
        <v>0</v>
      </c>
      <c r="L145" s="277">
        <f t="shared" si="4"/>
        <v>0</v>
      </c>
      <c r="M145" s="277">
        <f t="shared" si="4"/>
        <v>0</v>
      </c>
      <c r="N145" s="277">
        <f t="shared" si="4"/>
        <v>0</v>
      </c>
      <c r="O145" s="277">
        <f t="shared" si="4"/>
        <v>0</v>
      </c>
      <c r="P145" s="272"/>
      <c r="Q145" s="272"/>
      <c r="R145" s="272"/>
      <c r="S145" s="272"/>
      <c r="T145" s="272"/>
      <c r="U145" s="272"/>
      <c r="V145" s="272"/>
      <c r="W145" s="272"/>
    </row>
    <row r="146" spans="10:23">
      <c r="J146" s="276" t="s">
        <v>567</v>
      </c>
      <c r="K146" s="277">
        <f t="shared" si="4"/>
        <v>0</v>
      </c>
      <c r="L146" s="277">
        <f t="shared" si="4"/>
        <v>0</v>
      </c>
      <c r="M146" s="277">
        <f t="shared" si="4"/>
        <v>0</v>
      </c>
      <c r="N146" s="277">
        <f t="shared" si="4"/>
        <v>0</v>
      </c>
      <c r="O146" s="277">
        <f t="shared" si="4"/>
        <v>0</v>
      </c>
      <c r="P146" s="272"/>
      <c r="Q146" s="272"/>
      <c r="R146" s="272"/>
      <c r="S146" s="272"/>
      <c r="T146" s="272"/>
      <c r="U146" s="272"/>
      <c r="V146" s="272"/>
      <c r="W146" s="272"/>
    </row>
  </sheetData>
  <sheetProtection algorithmName="SHA-512" hashValue="vc9gL4AD70aLstl1XQ/gbwUSkpcI8OnMLr3Ld+/8iYcaG5a2+U7u/IYobclEPLpvKD2VMN9BQjOJWresP4AH0Q==" saltValue="us+m1LZdJx0KymmmIZiXDg==" spinCount="100000" sheet="1" objects="1" scenarios="1"/>
  <mergeCells count="12">
    <mergeCell ref="D47:E47"/>
    <mergeCell ref="G26:G28"/>
    <mergeCell ref="D67:E67"/>
    <mergeCell ref="D87:E87"/>
    <mergeCell ref="D107:E107"/>
    <mergeCell ref="J122:O122"/>
    <mergeCell ref="J123:J125"/>
    <mergeCell ref="K123:O123"/>
    <mergeCell ref="K124:O124"/>
    <mergeCell ref="J137:J139"/>
    <mergeCell ref="K137:O137"/>
    <mergeCell ref="K138:O13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A31" workbookViewId="0">
      <selection activeCell="AN47" sqref="AN47"/>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519</v>
      </c>
      <c r="H2" s="2" t="s">
        <v>518</v>
      </c>
      <c r="O2" s="70" t="s">
        <v>169</v>
      </c>
      <c r="V2" s="2" t="s">
        <v>158</v>
      </c>
      <c r="AB2" s="2" t="s">
        <v>161</v>
      </c>
      <c r="AH2" s="2" t="s">
        <v>170</v>
      </c>
      <c r="AN2" s="2" t="s">
        <v>278</v>
      </c>
    </row>
    <row r="3" spans="1:49">
      <c r="B3" s="2"/>
      <c r="C3" s="33" t="s">
        <v>48</v>
      </c>
      <c r="D3" s="33" t="s">
        <v>155</v>
      </c>
      <c r="E3" s="33" t="s">
        <v>156</v>
      </c>
      <c r="F3" s="33"/>
      <c r="H3" s="2"/>
      <c r="I3" t="s">
        <v>48</v>
      </c>
      <c r="J3" s="33" t="s">
        <v>155</v>
      </c>
      <c r="K3" s="33" t="s">
        <v>156</v>
      </c>
      <c r="L3" s="33"/>
      <c r="O3" s="2"/>
      <c r="P3" t="s">
        <v>48</v>
      </c>
      <c r="Q3" s="33" t="s">
        <v>155</v>
      </c>
      <c r="R3" s="33" t="s">
        <v>156</v>
      </c>
      <c r="S3" s="33"/>
      <c r="T3" s="135" t="s">
        <v>168</v>
      </c>
      <c r="W3" t="s">
        <v>159</v>
      </c>
      <c r="X3" t="s">
        <v>160</v>
      </c>
      <c r="Y3" t="s">
        <v>51</v>
      </c>
      <c r="Z3" t="s">
        <v>49</v>
      </c>
      <c r="AC3" t="s">
        <v>159</v>
      </c>
      <c r="AD3" t="s">
        <v>160</v>
      </c>
      <c r="AE3" t="s">
        <v>51</v>
      </c>
      <c r="AF3" t="s">
        <v>49</v>
      </c>
      <c r="AI3" t="s">
        <v>48</v>
      </c>
      <c r="AJ3" s="33" t="s">
        <v>155</v>
      </c>
      <c r="AK3" s="33" t="s">
        <v>156</v>
      </c>
      <c r="AL3" s="33"/>
      <c r="AO3" t="s">
        <v>48</v>
      </c>
      <c r="AP3" s="33" t="s">
        <v>155</v>
      </c>
      <c r="AQ3" s="33" t="s">
        <v>156</v>
      </c>
      <c r="AR3" s="33"/>
    </row>
    <row r="4" spans="1:49">
      <c r="B4">
        <f>'Emissions Summary'!$A$15</f>
        <v>2025</v>
      </c>
      <c r="C4" s="127">
        <f>'Emissions Summary'!$C15</f>
        <v>18219.222126253469</v>
      </c>
      <c r="D4" s="127">
        <f>'Emissions Summary'!$C35</f>
        <v>18219.222126253469</v>
      </c>
      <c r="E4" s="127">
        <f>'Emissions Summary'!$C55</f>
        <v>18219.222126253469</v>
      </c>
      <c r="F4" s="44"/>
      <c r="H4">
        <f>B4</f>
        <v>2025</v>
      </c>
      <c r="I4" s="127">
        <f>'Emissions Summary'!$F15</f>
        <v>817.11480867686566</v>
      </c>
      <c r="J4" s="127">
        <f>'Emissions Summary'!$F35</f>
        <v>817.11480867686566</v>
      </c>
      <c r="K4" s="127">
        <f>'Emissions Summary'!$F55</f>
        <v>817.11480867686566</v>
      </c>
      <c r="L4" s="44"/>
      <c r="O4">
        <f>H4</f>
        <v>2025</v>
      </c>
      <c r="P4" s="15">
        <f>'Emissions Summary'!J15*Tables!T4</f>
        <v>20.711606253516468</v>
      </c>
      <c r="Q4" s="15">
        <f>'Emissions Summary'!J35*Tables!T4</f>
        <v>20.711606253516468</v>
      </c>
      <c r="R4" s="15">
        <f>'Emissions Summary'!J55*T4</f>
        <v>20.711606253516468</v>
      </c>
      <c r="S4" s="44"/>
      <c r="T4" s="135">
        <f>B46/B47</f>
        <v>9.0718499999999998E-7</v>
      </c>
      <c r="V4">
        <v>2025</v>
      </c>
      <c r="W4" s="45">
        <f>'Combined MOVES output'!AF18</f>
        <v>23810124819.5</v>
      </c>
      <c r="X4" s="45">
        <f>'Combined MOVES output'!AF19</f>
        <v>31778692267.27877</v>
      </c>
      <c r="Y4" s="45">
        <f>'Combined MOVES output'!AF20</f>
        <v>2402351507.6923075</v>
      </c>
      <c r="Z4" s="45">
        <f t="shared" ref="Z4:Z19" si="0">SUM(W4:Y4)</f>
        <v>57991168594.471077</v>
      </c>
      <c r="AB4">
        <f>V4</f>
        <v>2025</v>
      </c>
      <c r="AC4" s="11">
        <f>'Combined MOVES output'!AE18</f>
        <v>2632260.010244769</v>
      </c>
      <c r="AD4" s="11">
        <f>'Combined MOVES output'!AE19</f>
        <v>3265327.6940010153</v>
      </c>
      <c r="AE4" s="11">
        <f>'Combined MOVES output'!AE20</f>
        <v>281150.70312307694</v>
      </c>
      <c r="AF4" s="13">
        <f t="shared" ref="AF4:AF19" si="1">SUM(AC4:AE4)</f>
        <v>6178738.4073688611</v>
      </c>
      <c r="AH4">
        <f t="shared" ref="AH4:AH19" si="2">AB4</f>
        <v>2025</v>
      </c>
      <c r="AI4" s="11">
        <f>'Fleet ZEV fractions'!Z17</f>
        <v>142376.9162941633</v>
      </c>
      <c r="AJ4" s="11">
        <f>'Fleet ZEV fractions'!AL17</f>
        <v>142376.9162941633</v>
      </c>
      <c r="AK4" s="11">
        <f>'Fleet ZEV fractions'!AR17</f>
        <v>142376.9162941633</v>
      </c>
      <c r="AL4" s="44"/>
      <c r="AN4">
        <f t="shared" ref="AN4:AN19" si="3">AH4</f>
        <v>2025</v>
      </c>
      <c r="AO4" s="11">
        <f>AI4/AF4*Z4</f>
        <v>1336292817.7908883</v>
      </c>
      <c r="AP4" s="11">
        <f>AJ4/AF4*Z4</f>
        <v>1336292817.7908883</v>
      </c>
      <c r="AQ4" s="11">
        <f>AK4/AF4*Z4</f>
        <v>1336292817.7908883</v>
      </c>
      <c r="AR4" s="44"/>
    </row>
    <row r="5" spans="1:49">
      <c r="B5">
        <f t="shared" ref="B5:B19" si="4">B4+1</f>
        <v>2026</v>
      </c>
      <c r="C5" s="127">
        <f>'Emissions Summary'!$C16</f>
        <v>16395.038854062437</v>
      </c>
      <c r="D5" s="127">
        <f>'Emissions Summary'!$C36</f>
        <v>16276.044523066308</v>
      </c>
      <c r="E5" s="127">
        <f>'Emissions Summary'!$C56</f>
        <v>16395.038854062437</v>
      </c>
      <c r="F5" s="10"/>
      <c r="H5">
        <f t="shared" ref="H5:H19" si="5">H4+1</f>
        <v>2026</v>
      </c>
      <c r="I5" s="127">
        <f>'Emissions Summary'!$F16</f>
        <v>800.90703245743418</v>
      </c>
      <c r="J5" s="127">
        <f>'Emissions Summary'!$F36</f>
        <v>796.72842618835352</v>
      </c>
      <c r="K5" s="127">
        <f>'Emissions Summary'!$F56</f>
        <v>800.90703245743418</v>
      </c>
      <c r="L5" s="10"/>
      <c r="O5">
        <f t="shared" ref="O5:O19" si="6">O4+1</f>
        <v>2026</v>
      </c>
      <c r="P5" s="15">
        <f>'Emissions Summary'!J16*Tables!T5</f>
        <v>20.342154782641217</v>
      </c>
      <c r="Q5" s="15">
        <f>'Emissions Summary'!J36*Tables!T5</f>
        <v>19.950271026515843</v>
      </c>
      <c r="R5" s="15">
        <f>'Emissions Summary'!J56*T5</f>
        <v>20.342154782641217</v>
      </c>
      <c r="S5" s="10"/>
      <c r="T5" s="135">
        <f>T4</f>
        <v>9.0718499999999998E-7</v>
      </c>
      <c r="V5">
        <v>2026</v>
      </c>
      <c r="W5" s="3">
        <f>W4+0.2*(W9-W4)</f>
        <v>23924284890</v>
      </c>
      <c r="X5" s="3">
        <f t="shared" ref="X5" si="7">X4+0.2*(X9-X4)</f>
        <v>31954800151.063618</v>
      </c>
      <c r="Y5" s="3">
        <f t="shared" ref="Y5" si="8">Y4+0.2*(Y9-Y4)</f>
        <v>2386081622.1538458</v>
      </c>
      <c r="Z5" s="45">
        <f t="shared" si="0"/>
        <v>58265166663.217461</v>
      </c>
      <c r="AB5">
        <f t="shared" ref="AB5:AB19" si="9">AB4+1</f>
        <v>2026</v>
      </c>
      <c r="AC5" s="10">
        <f>ROUND(AC$4+1/5*(AC$9-AC$4),-1)</f>
        <v>2695890</v>
      </c>
      <c r="AD5" s="10">
        <f t="shared" ref="AD5:AE5" si="10">ROUND(AD$4+1/5*(AD$9-AD$4),-1)</f>
        <v>3350460</v>
      </c>
      <c r="AE5" s="10">
        <f t="shared" si="10"/>
        <v>280900</v>
      </c>
      <c r="AF5" s="13">
        <f t="shared" si="1"/>
        <v>6327250</v>
      </c>
      <c r="AH5">
        <f t="shared" si="2"/>
        <v>2026</v>
      </c>
      <c r="AI5" s="11">
        <f>'Fleet ZEV fractions'!Z18</f>
        <v>201135.22235831677</v>
      </c>
      <c r="AJ5" s="11">
        <f>'Fleet ZEV fractions'!AL18</f>
        <v>238029.97267766893</v>
      </c>
      <c r="AK5" s="11">
        <f>'Fleet ZEV fractions'!AR18</f>
        <v>201135.22235831677</v>
      </c>
      <c r="AL5" s="10"/>
      <c r="AN5">
        <f t="shared" si="3"/>
        <v>2026</v>
      </c>
      <c r="AO5" s="11">
        <f t="shared" ref="AO5:AO19" si="11">AI5/AF5*Z5</f>
        <v>1852175471.5793796</v>
      </c>
      <c r="AP5" s="11">
        <f t="shared" ref="AP5:AP19" si="12">AJ5/AF5*Z5</f>
        <v>2191924774.4131303</v>
      </c>
      <c r="AQ5" s="11">
        <f t="shared" ref="AQ5:AQ19" si="13">AK5/AF5*Z5</f>
        <v>1852175471.5793796</v>
      </c>
      <c r="AR5" s="10"/>
      <c r="AT5" s="2" t="s">
        <v>370</v>
      </c>
    </row>
    <row r="6" spans="1:49">
      <c r="B6">
        <f t="shared" si="4"/>
        <v>2027</v>
      </c>
      <c r="C6" s="127">
        <f>'Emissions Summary'!$C17</f>
        <v>14577.122534382108</v>
      </c>
      <c r="D6" s="127">
        <f>'Emissions Summary'!$C37</f>
        <v>14305.37664535488</v>
      </c>
      <c r="E6" s="127">
        <f>'Emissions Summary'!$C57</f>
        <v>14325.067817775855</v>
      </c>
      <c r="F6" s="10"/>
      <c r="H6">
        <f t="shared" si="5"/>
        <v>2027</v>
      </c>
      <c r="I6" s="127">
        <f>'Emissions Summary'!$F17</f>
        <v>784.66573395793182</v>
      </c>
      <c r="J6" s="127">
        <f>'Emissions Summary'!$F37</f>
        <v>774.42993011917895</v>
      </c>
      <c r="K6" s="127">
        <f>'Emissions Summary'!$F57</f>
        <v>775.17163399178446</v>
      </c>
      <c r="L6" s="10"/>
      <c r="O6">
        <f t="shared" si="6"/>
        <v>2027</v>
      </c>
      <c r="P6" s="15">
        <f>'Emissions Summary'!J17*Tables!T6</f>
        <v>19.837422737256386</v>
      </c>
      <c r="Q6" s="15">
        <f>'Emissions Summary'!J37*Tables!T6</f>
        <v>18.850813434722241</v>
      </c>
      <c r="R6" s="15">
        <f>'Emissions Summary'!J57*T6</f>
        <v>18.899524643093567</v>
      </c>
      <c r="S6" s="10"/>
      <c r="T6" s="135">
        <f t="shared" ref="T6:T19" si="14">T5</f>
        <v>9.0718499999999998E-7</v>
      </c>
      <c r="V6">
        <v>2027</v>
      </c>
      <c r="W6" s="3">
        <f>W4+0.4*(W9-W4)</f>
        <v>24038444960.5</v>
      </c>
      <c r="X6" s="3">
        <f t="shared" ref="X6:Y6" si="15">X4+0.4*(X9-X4)</f>
        <v>32130908034.848461</v>
      </c>
      <c r="Y6" s="3">
        <f t="shared" si="15"/>
        <v>2369811736.6153846</v>
      </c>
      <c r="Z6" s="45">
        <f t="shared" si="0"/>
        <v>58539164731.963852</v>
      </c>
      <c r="AB6">
        <f t="shared" si="9"/>
        <v>2027</v>
      </c>
      <c r="AC6" s="10">
        <f>ROUND(AC$4+2/5*(AC$9-AC$4),-1)</f>
        <v>2759510</v>
      </c>
      <c r="AD6" s="10">
        <f t="shared" ref="AD6:AE6" si="16">ROUND(AD$4+2/5*(AD$9-AD$4),-1)</f>
        <v>3435580</v>
      </c>
      <c r="AE6" s="10">
        <f t="shared" si="16"/>
        <v>280650</v>
      </c>
      <c r="AF6" s="13">
        <f t="shared" si="1"/>
        <v>6475740</v>
      </c>
      <c r="AH6">
        <f t="shared" si="2"/>
        <v>2027</v>
      </c>
      <c r="AI6" s="11">
        <f>'Fleet ZEV fractions'!Z19</f>
        <v>261163.94770369228</v>
      </c>
      <c r="AJ6" s="11">
        <f>'Fleet ZEV fractions'!AL19</f>
        <v>358087.42336841999</v>
      </c>
      <c r="AK6" s="11">
        <f>'Fleet ZEV fractions'!AR19</f>
        <v>321192.67304906779</v>
      </c>
      <c r="AL6" s="10"/>
      <c r="AN6">
        <f t="shared" si="3"/>
        <v>2027</v>
      </c>
      <c r="AO6" s="11">
        <f t="shared" si="11"/>
        <v>2360860589.9366612</v>
      </c>
      <c r="AP6" s="11">
        <f t="shared" si="12"/>
        <v>3237025986.9927483</v>
      </c>
      <c r="AQ6" s="11">
        <f t="shared" si="13"/>
        <v>2903506131.8581638</v>
      </c>
      <c r="AR6" s="10"/>
    </row>
    <row r="7" spans="1:49">
      <c r="B7">
        <f t="shared" si="4"/>
        <v>2028</v>
      </c>
      <c r="C7" s="127">
        <f>'Emissions Summary'!$C18</f>
        <v>12756.064515293354</v>
      </c>
      <c r="D7" s="127">
        <f>'Emissions Summary'!$C38</f>
        <v>12332.746354524948</v>
      </c>
      <c r="E7" s="127">
        <f>'Emissions Summary'!$C58</f>
        <v>12362.517298791421</v>
      </c>
      <c r="F7" s="10"/>
      <c r="H7">
        <f t="shared" si="5"/>
        <v>2028</v>
      </c>
      <c r="I7" s="127">
        <f>'Emissions Summary'!$F18</f>
        <v>767.6770652097656</v>
      </c>
      <c r="J7" s="127">
        <f>'Emissions Summary'!$F38</f>
        <v>750.28230418797409</v>
      </c>
      <c r="K7" s="127">
        <f>'Emissions Summary'!$F58</f>
        <v>751.50563573597185</v>
      </c>
      <c r="L7" s="10"/>
      <c r="O7">
        <f t="shared" si="6"/>
        <v>2028</v>
      </c>
      <c r="P7" s="15">
        <f>'Emissions Summary'!J18*Tables!T7</f>
        <v>19.206250708125062</v>
      </c>
      <c r="Q7" s="15">
        <f>'Emissions Summary'!J38*Tables!T7</f>
        <v>17.51383275129006</v>
      </c>
      <c r="R7" s="15">
        <f>'Emissions Summary'!J58*T7</f>
        <v>17.614617621332062</v>
      </c>
      <c r="S7" s="10"/>
      <c r="T7" s="135">
        <f t="shared" si="14"/>
        <v>9.0718499999999998E-7</v>
      </c>
      <c r="V7">
        <v>2028</v>
      </c>
      <c r="W7" s="3">
        <f>W4+0.6*(W9-W4)</f>
        <v>24152605031</v>
      </c>
      <c r="X7" s="3">
        <f t="shared" ref="X7:Y7" si="17">X4+0.6*(X9-X4)</f>
        <v>32307015918.633308</v>
      </c>
      <c r="Y7" s="3">
        <f t="shared" si="17"/>
        <v>2353541851.0769229</v>
      </c>
      <c r="Z7" s="45">
        <f t="shared" si="0"/>
        <v>58813162800.710228</v>
      </c>
      <c r="AB7">
        <f t="shared" si="9"/>
        <v>2028</v>
      </c>
      <c r="AC7" s="10">
        <f>ROUND(AC$4+3/5*(AC$9-AC$4),-1)</f>
        <v>2823140</v>
      </c>
      <c r="AD7" s="10">
        <f t="shared" ref="AD7:AE7" si="18">ROUND(AD$4+3/5*(AD$9-AD$4),-1)</f>
        <v>3520710</v>
      </c>
      <c r="AE7" s="10">
        <f t="shared" si="18"/>
        <v>280400</v>
      </c>
      <c r="AF7" s="13">
        <f t="shared" si="1"/>
        <v>6624250</v>
      </c>
      <c r="AH7">
        <f t="shared" si="2"/>
        <v>2028</v>
      </c>
      <c r="AI7" s="11">
        <f>'Fleet ZEV fractions'!Z20</f>
        <v>322453.69032723206</v>
      </c>
      <c r="AJ7" s="11">
        <f>'Fleet ZEV fractions'!AL20</f>
        <v>503472.39424286317</v>
      </c>
      <c r="AK7" s="11">
        <f>'Fleet ZEV fractions'!AR20</f>
        <v>466577.64392351097</v>
      </c>
      <c r="AL7" s="10"/>
      <c r="AN7">
        <f t="shared" si="3"/>
        <v>2028</v>
      </c>
      <c r="AO7" s="11">
        <f t="shared" si="11"/>
        <v>2862893366.7819452</v>
      </c>
      <c r="AP7" s="11">
        <f t="shared" si="12"/>
        <v>4470061348.570612</v>
      </c>
      <c r="AQ7" s="11">
        <f t="shared" si="13"/>
        <v>4142492649.1671147</v>
      </c>
      <c r="AR7" s="10"/>
      <c r="AU7" t="s">
        <v>56</v>
      </c>
      <c r="AV7" t="s">
        <v>57</v>
      </c>
      <c r="AW7" t="s">
        <v>53</v>
      </c>
    </row>
    <row r="8" spans="1:49">
      <c r="B8">
        <f t="shared" si="4"/>
        <v>2029</v>
      </c>
      <c r="C8" s="127">
        <f>'Emissions Summary'!$C19</f>
        <v>10930.2163289702</v>
      </c>
      <c r="D8" s="127">
        <f>'Emissions Summary'!$C39</f>
        <v>10351.153244306599</v>
      </c>
      <c r="E8" s="127">
        <f>'Emissions Summary'!$C59</f>
        <v>10390.622775423681</v>
      </c>
      <c r="F8" s="10"/>
      <c r="H8">
        <f t="shared" si="5"/>
        <v>2029</v>
      </c>
      <c r="I8" s="127">
        <f>'Emissions Summary'!$F19</f>
        <v>749.9136659316589</v>
      </c>
      <c r="J8" s="127">
        <f>'Emissions Summary'!$F39</f>
        <v>724.2165337096244</v>
      </c>
      <c r="K8" s="127">
        <f>'Emissions Summary'!$F59</f>
        <v>725.96807648055858</v>
      </c>
      <c r="L8" s="10"/>
      <c r="O8">
        <f t="shared" si="6"/>
        <v>2029</v>
      </c>
      <c r="P8" s="15">
        <f>'Emissions Summary'!J19*Tables!T8</f>
        <v>18.497053827539691</v>
      </c>
      <c r="Q8" s="15">
        <f>'Emissions Summary'!J39*Tables!T8</f>
        <v>16.018301367764391</v>
      </c>
      <c r="R8" s="15">
        <f>'Emissions Summary'!J59*T8</f>
        <v>16.174458856433738</v>
      </c>
      <c r="S8" s="10"/>
      <c r="T8" s="135">
        <f t="shared" si="14"/>
        <v>9.0718499999999998E-7</v>
      </c>
      <c r="V8">
        <v>2029</v>
      </c>
      <c r="W8" s="3">
        <f>W4+0.8*(W9-W4)</f>
        <v>24266765101.5</v>
      </c>
      <c r="X8" s="3">
        <f t="shared" ref="X8" si="19">X4+0.8*(X9-X4)</f>
        <v>32483123802.418152</v>
      </c>
      <c r="Y8" s="3">
        <f t="shared" ref="Y8" si="20">Y4+0.8*(Y9-Y4)</f>
        <v>2337271965.5384617</v>
      </c>
      <c r="Z8" s="45">
        <f t="shared" si="0"/>
        <v>59087160869.456612</v>
      </c>
      <c r="AB8">
        <f t="shared" si="9"/>
        <v>2029</v>
      </c>
      <c r="AC8" s="10">
        <f>ROUND(AC$4+4/5*(AC$9-AC$4),-1)</f>
        <v>2886770</v>
      </c>
      <c r="AD8" s="10">
        <f t="shared" ref="AD8:AE8" si="21">ROUND(AD$4+4/5*(AD$9-AD$4),-1)</f>
        <v>3605840</v>
      </c>
      <c r="AE8" s="10">
        <f t="shared" si="21"/>
        <v>280150</v>
      </c>
      <c r="AF8" s="13">
        <f t="shared" si="1"/>
        <v>6772760</v>
      </c>
      <c r="AH8">
        <f t="shared" si="2"/>
        <v>2029</v>
      </c>
      <c r="AI8" s="11">
        <f>'Fleet ZEV fractions'!Z21</f>
        <v>384995.04822587827</v>
      </c>
      <c r="AJ8" s="11">
        <f>'Fleet ZEV fractions'!AL21</f>
        <v>675097.51591821783</v>
      </c>
      <c r="AK8" s="11">
        <f>'Fleet ZEV fractions'!AR21</f>
        <v>638202.76559886569</v>
      </c>
      <c r="AL8" s="10"/>
      <c r="AN8">
        <f t="shared" si="3"/>
        <v>2029</v>
      </c>
      <c r="AO8" s="11">
        <f t="shared" si="11"/>
        <v>3358787901.6038771</v>
      </c>
      <c r="AP8" s="11">
        <f t="shared" si="12"/>
        <v>5889710476.324317</v>
      </c>
      <c r="AQ8" s="11">
        <f t="shared" si="13"/>
        <v>5567831944.1811447</v>
      </c>
      <c r="AR8" s="10"/>
      <c r="AT8" s="8" t="s">
        <v>162</v>
      </c>
      <c r="AU8" s="10">
        <f>SUM(D4:D19)-SUM(C4:C19)</f>
        <v>-19119.91087005692</v>
      </c>
      <c r="AV8" s="12">
        <f>SUM(J4:J19)-SUM(I4:I19)</f>
        <v>-1130.2287660587153</v>
      </c>
      <c r="AW8" s="16">
        <f>SUM(Q4:Q19)-SUM(P4:P19)</f>
        <v>-91.9109227496335</v>
      </c>
    </row>
    <row r="9" spans="1:49">
      <c r="B9">
        <f t="shared" si="4"/>
        <v>2030</v>
      </c>
      <c r="C9" s="127">
        <f>'Emissions Summary'!$C20</f>
        <v>9095.8824310909549</v>
      </c>
      <c r="D9" s="127">
        <f>'Emissions Summary'!$C40</f>
        <v>8392.3139891651081</v>
      </c>
      <c r="E9" s="127">
        <f>'Emissions Summary'!$C60</f>
        <v>8438.5344698519602</v>
      </c>
      <c r="F9" s="44"/>
      <c r="G9" s="12"/>
      <c r="H9">
        <f t="shared" si="5"/>
        <v>2030</v>
      </c>
      <c r="I9" s="127">
        <f>'Emissions Summary'!$F20</f>
        <v>728.03391654376264</v>
      </c>
      <c r="J9" s="127">
        <f>'Emissions Summary'!$F40</f>
        <v>693.27818450328084</v>
      </c>
      <c r="K9" s="127">
        <f>'Emissions Summary'!$F60</f>
        <v>695.56144018361988</v>
      </c>
      <c r="L9" s="44"/>
      <c r="O9">
        <f t="shared" si="6"/>
        <v>2030</v>
      </c>
      <c r="P9" s="15">
        <f>'Emissions Summary'!J20*Tables!T9</f>
        <v>17.803306173702417</v>
      </c>
      <c r="Q9" s="15">
        <f>'Emissions Summary'!J40*Tables!T9</f>
        <v>14.462357568251806</v>
      </c>
      <c r="R9" s="15">
        <f>'Emissions Summary'!J60*T9</f>
        <v>14.675345773035927</v>
      </c>
      <c r="S9" s="44"/>
      <c r="T9" s="135">
        <f t="shared" si="14"/>
        <v>9.0718499999999998E-7</v>
      </c>
      <c r="V9">
        <v>2030</v>
      </c>
      <c r="W9" s="45">
        <f>'Combined MOVES output'!AF23</f>
        <v>24380925172</v>
      </c>
      <c r="X9" s="45">
        <f>'Combined MOVES output'!AF24</f>
        <v>32659231686.202999</v>
      </c>
      <c r="Y9" s="45">
        <f>'Combined MOVES output'!AF25</f>
        <v>2321002080</v>
      </c>
      <c r="Z9" s="45">
        <f t="shared" si="0"/>
        <v>59361158938.203003</v>
      </c>
      <c r="AB9">
        <f t="shared" si="9"/>
        <v>2030</v>
      </c>
      <c r="AC9" s="11">
        <f>'Combined MOVES output'!AE23</f>
        <v>2950394.0523040001</v>
      </c>
      <c r="AD9" s="11">
        <f>'Combined MOVES output'!AE24</f>
        <v>3690967.9544268996</v>
      </c>
      <c r="AE9" s="11">
        <f>'Combined MOVES output'!AE25</f>
        <v>279898.70120000001</v>
      </c>
      <c r="AF9" s="13">
        <f t="shared" si="1"/>
        <v>6921260.7079308992</v>
      </c>
      <c r="AH9">
        <f t="shared" si="2"/>
        <v>2030</v>
      </c>
      <c r="AI9" s="11">
        <f>'Fleet ZEV fractions'!Z22</f>
        <v>448778.61939657311</v>
      </c>
      <c r="AJ9" s="11">
        <f>'Fleet ZEV fractions'!AL22</f>
        <v>876831.60148134572</v>
      </c>
      <c r="AK9" s="11">
        <f>'Fleet ZEV fractions'!AR22</f>
        <v>839936.85116199357</v>
      </c>
      <c r="AL9" s="44"/>
      <c r="AN9">
        <f t="shared" si="3"/>
        <v>2030</v>
      </c>
      <c r="AO9" s="11">
        <f t="shared" si="11"/>
        <v>3849012496.1686759</v>
      </c>
      <c r="AP9" s="11">
        <f t="shared" si="12"/>
        <v>7520268669.8292904</v>
      </c>
      <c r="AQ9" s="11">
        <f t="shared" si="13"/>
        <v>7203835691.776206</v>
      </c>
      <c r="AR9" s="44"/>
      <c r="AT9" s="8" t="s">
        <v>163</v>
      </c>
      <c r="AU9" s="12">
        <f>SUM(E4:E19)-SUM(C4:C19)</f>
        <v>-18114.135952532146</v>
      </c>
      <c r="AV9" s="12">
        <f>SUM(K4:K19)-SUM(I4:I19)</f>
        <v>-1074.6233243858405</v>
      </c>
      <c r="AW9" s="16">
        <f>SUM(R4:R19)-SUM(P4:P19)</f>
        <v>-86.979468565405142</v>
      </c>
    </row>
    <row r="10" spans="1:49">
      <c r="B10">
        <f t="shared" si="4"/>
        <v>2031</v>
      </c>
      <c r="C10" s="127">
        <f>'Emissions Summary'!$C21</f>
        <v>8393.6522458960007</v>
      </c>
      <c r="D10" s="127">
        <f>'Emissions Summary'!$C41</f>
        <v>7490.3601537215727</v>
      </c>
      <c r="E10" s="127">
        <f>'Emissions Summary'!$C61</f>
        <v>7547.1669712840358</v>
      </c>
      <c r="F10" s="10"/>
      <c r="G10" s="12"/>
      <c r="H10">
        <f t="shared" si="5"/>
        <v>2031</v>
      </c>
      <c r="I10" s="127">
        <f>'Emissions Summary'!$F21</f>
        <v>732.82916589452441</v>
      </c>
      <c r="J10" s="127">
        <f>'Emissions Summary'!$F41</f>
        <v>686.38513066854978</v>
      </c>
      <c r="K10" s="127">
        <f>'Emissions Summary'!$F61</f>
        <v>689.30593320717878</v>
      </c>
      <c r="L10" s="10"/>
      <c r="O10">
        <f t="shared" si="6"/>
        <v>2031</v>
      </c>
      <c r="P10" s="15">
        <f>'Emissions Summary'!J21*Tables!T10</f>
        <v>17.18080990619416</v>
      </c>
      <c r="Q10" s="15">
        <f>'Emissions Summary'!J41*Tables!T10</f>
        <v>12.873230095739492</v>
      </c>
      <c r="R10" s="15">
        <f>'Emissions Summary'!J61*T10</f>
        <v>13.147148361412208</v>
      </c>
      <c r="S10" s="10"/>
      <c r="T10" s="135">
        <f t="shared" si="14"/>
        <v>9.0718499999999998E-7</v>
      </c>
      <c r="V10">
        <v>2031</v>
      </c>
      <c r="W10" s="3">
        <f>W9+0.2*(W14-W9)</f>
        <v>24450139140.66077</v>
      </c>
      <c r="X10" s="3">
        <f t="shared" ref="X10" si="22">X9+0.2*(X14-X9)</f>
        <v>32808139653.019821</v>
      </c>
      <c r="Y10" s="3">
        <f t="shared" ref="Y10" si="23">Y9+0.2*(Y14-Y9)</f>
        <v>2338905649.3523326</v>
      </c>
      <c r="Z10" s="45">
        <f t="shared" si="0"/>
        <v>59597184443.032921</v>
      </c>
      <c r="AB10">
        <f t="shared" si="9"/>
        <v>2031</v>
      </c>
      <c r="AC10" s="10">
        <f>ROUND(AC$9+1/5*(AC$14-AC$9),-1)</f>
        <v>3031210</v>
      </c>
      <c r="AD10" s="10">
        <f t="shared" ref="AD10:AE10" si="24">ROUND(AD$9+1/5*(AD$14-AD$9),-1)</f>
        <v>3802600</v>
      </c>
      <c r="AE10" s="10">
        <f t="shared" si="24"/>
        <v>286310</v>
      </c>
      <c r="AF10" s="13">
        <f t="shared" si="1"/>
        <v>7120120</v>
      </c>
      <c r="AH10">
        <f t="shared" si="2"/>
        <v>2031</v>
      </c>
      <c r="AI10" s="11">
        <f>'Fleet ZEV fractions'!Z23</f>
        <v>514595.20670057944</v>
      </c>
      <c r="AJ10" s="11">
        <f>'Fleet ZEV fractions'!AL23</f>
        <v>1167649.0802664899</v>
      </c>
      <c r="AK10" s="11">
        <f>'Fleet ZEV fractions'!AR23</f>
        <v>1130754.3299471377</v>
      </c>
      <c r="AL10" s="10"/>
      <c r="AN10">
        <f t="shared" si="3"/>
        <v>2031</v>
      </c>
      <c r="AO10" s="11">
        <f t="shared" si="11"/>
        <v>4307290529.8274584</v>
      </c>
      <c r="AP10" s="11">
        <f t="shared" si="12"/>
        <v>9773514716.2378941</v>
      </c>
      <c r="AQ10" s="11">
        <f t="shared" si="13"/>
        <v>9464696432.309803</v>
      </c>
      <c r="AR10" s="10"/>
      <c r="AT10" s="8"/>
      <c r="AU10" s="12"/>
      <c r="AV10" s="12"/>
      <c r="AW10" s="16"/>
    </row>
    <row r="11" spans="1:49">
      <c r="B11">
        <f t="shared" si="4"/>
        <v>2032</v>
      </c>
      <c r="C11" s="127">
        <f>'Emissions Summary'!$C22</f>
        <v>7688.3418756006067</v>
      </c>
      <c r="D11" s="127">
        <f>'Emissions Summary'!$C42</f>
        <v>6589.8317030876824</v>
      </c>
      <c r="E11" s="127">
        <f>'Emissions Summary'!$C62</f>
        <v>6655.6084398245575</v>
      </c>
      <c r="F11" s="10"/>
      <c r="G11" s="12"/>
      <c r="H11">
        <f t="shared" si="5"/>
        <v>2032</v>
      </c>
      <c r="I11" s="127">
        <f>'Emissions Summary'!$F22</f>
        <v>733.66670178575362</v>
      </c>
      <c r="J11" s="127">
        <f>'Emissions Summary'!$F42</f>
        <v>674.75579018760811</v>
      </c>
      <c r="K11" s="127">
        <f>'Emissions Summary'!$F62</f>
        <v>678.28326550834754</v>
      </c>
      <c r="L11" s="10"/>
      <c r="O11">
        <f t="shared" si="6"/>
        <v>2032</v>
      </c>
      <c r="P11" s="15">
        <f>'Emissions Summary'!J22*Tables!T11</f>
        <v>16.567696491265245</v>
      </c>
      <c r="Q11" s="15">
        <f>'Emissions Summary'!J42*Tables!T11</f>
        <v>11.266474728569341</v>
      </c>
      <c r="R11" s="15">
        <f>'Emissions Summary'!J62*T11</f>
        <v>11.596171084959799</v>
      </c>
      <c r="S11" s="10"/>
      <c r="T11" s="135">
        <f t="shared" si="14"/>
        <v>9.0718499999999998E-7</v>
      </c>
      <c r="V11">
        <v>2032</v>
      </c>
      <c r="W11" s="3">
        <f>W9+0.4*(W14-W9)</f>
        <v>24519353109.321541</v>
      </c>
      <c r="X11" s="3">
        <f t="shared" ref="X11:Y11" si="25">X9+0.4*(X14-X9)</f>
        <v>32957047619.836647</v>
      </c>
      <c r="Y11" s="3">
        <f t="shared" si="25"/>
        <v>2356809218.7046652</v>
      </c>
      <c r="Z11" s="45">
        <f t="shared" si="0"/>
        <v>59833209947.862854</v>
      </c>
      <c r="AB11">
        <f t="shared" si="9"/>
        <v>2032</v>
      </c>
      <c r="AC11" s="10">
        <f>ROUND(AC$9+2/5*(AC$14-AC$9),-1)</f>
        <v>3112030</v>
      </c>
      <c r="AD11" s="10">
        <f t="shared" ref="AD11:AE11" si="26">ROUND(AD$9+2/5*(AD$14-AD$9),-1)</f>
        <v>3914230</v>
      </c>
      <c r="AE11" s="10">
        <f t="shared" si="26"/>
        <v>292720</v>
      </c>
      <c r="AF11" s="13">
        <f t="shared" si="1"/>
        <v>7318980</v>
      </c>
      <c r="AH11">
        <f t="shared" si="2"/>
        <v>2032</v>
      </c>
      <c r="AI11" s="11">
        <f>'Fleet ZEV fractions'!Z24</f>
        <v>582454.71759755316</v>
      </c>
      <c r="AJ11" s="11">
        <f>'Fleet ZEV fractions'!AL24</f>
        <v>1491165.353147411</v>
      </c>
      <c r="AK11" s="11">
        <f>'Fleet ZEV fractions'!AR24</f>
        <v>1454270.6028280589</v>
      </c>
      <c r="AL11" s="10"/>
      <c r="AN11">
        <f t="shared" si="3"/>
        <v>2032</v>
      </c>
      <c r="AO11" s="11">
        <f t="shared" si="11"/>
        <v>4761610962.6119442</v>
      </c>
      <c r="AP11" s="11">
        <f t="shared" si="12"/>
        <v>12190388502.475494</v>
      </c>
      <c r="AQ11" s="11">
        <f t="shared" si="13"/>
        <v>11888771153.906189</v>
      </c>
      <c r="AR11" s="10"/>
      <c r="AT11" s="8"/>
      <c r="AU11" s="12"/>
      <c r="AV11" s="12"/>
      <c r="AW11" s="16"/>
    </row>
    <row r="12" spans="1:49">
      <c r="B12">
        <f t="shared" si="4"/>
        <v>2033</v>
      </c>
      <c r="C12" s="127">
        <f>'Emissions Summary'!$C23</f>
        <v>6981.2505726105983</v>
      </c>
      <c r="D12" s="127">
        <f>'Emissions Summary'!$C43</f>
        <v>5707.8828929209076</v>
      </c>
      <c r="E12" s="127">
        <f>'Emissions Summary'!$C63</f>
        <v>5779.990569324741</v>
      </c>
      <c r="F12" s="10"/>
      <c r="G12" s="12"/>
      <c r="H12">
        <f t="shared" si="5"/>
        <v>2033</v>
      </c>
      <c r="I12" s="127">
        <f>'Emissions Summary'!$F23</f>
        <v>733.79467512876681</v>
      </c>
      <c r="J12" s="127">
        <f>'Emissions Summary'!$F43</f>
        <v>661.79556924388532</v>
      </c>
      <c r="K12" s="127">
        <f>'Emissions Summary'!$F63</f>
        <v>665.87270133332038</v>
      </c>
      <c r="L12" s="10"/>
      <c r="O12">
        <f t="shared" si="6"/>
        <v>2033</v>
      </c>
      <c r="P12" s="15">
        <f>'Emissions Summary'!J23*Tables!T12</f>
        <v>15.980811139227473</v>
      </c>
      <c r="Q12" s="15">
        <f>'Emissions Summary'!J43*Tables!T12</f>
        <v>9.7107964906304591</v>
      </c>
      <c r="R12" s="15">
        <f>'Emissions Summary'!J63*T12</f>
        <v>10.086855456804429</v>
      </c>
      <c r="S12" s="10"/>
      <c r="T12" s="135">
        <f t="shared" si="14"/>
        <v>9.0718499999999998E-7</v>
      </c>
      <c r="V12">
        <v>2033</v>
      </c>
      <c r="W12" s="3">
        <f>W9+0.6*(W14-W9)</f>
        <v>24588567077.982315</v>
      </c>
      <c r="X12" s="3">
        <f t="shared" ref="X12:Y12" si="27">X9+0.6*(X14-X9)</f>
        <v>33105955586.653469</v>
      </c>
      <c r="Y12" s="3">
        <f t="shared" si="27"/>
        <v>2374712788.0569978</v>
      </c>
      <c r="Z12" s="45">
        <f t="shared" si="0"/>
        <v>60069235452.692787</v>
      </c>
      <c r="AB12">
        <f t="shared" si="9"/>
        <v>2033</v>
      </c>
      <c r="AC12" s="10">
        <f>ROUND(AC$9+3/5*(AC$14-AC$9),-1)</f>
        <v>3192850</v>
      </c>
      <c r="AD12" s="10">
        <f t="shared" ref="AD12:AE12" si="28">ROUND(AD$9+3/5*(AD$14-AD$9),-1)</f>
        <v>4025860</v>
      </c>
      <c r="AE12" s="10">
        <f t="shared" si="28"/>
        <v>299130</v>
      </c>
      <c r="AF12" s="13">
        <f t="shared" si="1"/>
        <v>7517840</v>
      </c>
      <c r="AH12">
        <f t="shared" si="2"/>
        <v>2033</v>
      </c>
      <c r="AI12" s="11">
        <f>'Fleet ZEV fractions'!Z25</f>
        <v>652367.05954715004</v>
      </c>
      <c r="AJ12" s="11">
        <f>'Fleet ZEV fractions'!AL25</f>
        <v>1848856.404982558</v>
      </c>
      <c r="AK12" s="11">
        <f>'Fleet ZEV fractions'!AR25</f>
        <v>1811961.6546632058</v>
      </c>
      <c r="AL12" s="10"/>
      <c r="AN12">
        <f t="shared" si="3"/>
        <v>2033</v>
      </c>
      <c r="AO12" s="11">
        <f t="shared" si="11"/>
        <v>5212559791.3122139</v>
      </c>
      <c r="AP12" s="11">
        <f t="shared" si="12"/>
        <v>14772779243.654613</v>
      </c>
      <c r="AQ12" s="11">
        <f t="shared" si="13"/>
        <v>14477981875.806738</v>
      </c>
      <c r="AR12" s="10"/>
      <c r="AT12" s="165" t="s">
        <v>371</v>
      </c>
      <c r="AU12" s="12"/>
      <c r="AV12" s="12"/>
      <c r="AW12" s="16"/>
    </row>
    <row r="13" spans="1:49">
      <c r="B13">
        <f t="shared" si="4"/>
        <v>2034</v>
      </c>
      <c r="C13" s="127">
        <f>'Emissions Summary'!$C24</f>
        <v>6272.5293961510506</v>
      </c>
      <c r="D13" s="127">
        <f>'Emissions Summary'!$C44</f>
        <v>4852.3261606985643</v>
      </c>
      <c r="E13" s="127">
        <f>'Emissions Summary'!$C64</f>
        <v>4927.8510777432712</v>
      </c>
      <c r="F13" s="10"/>
      <c r="G13" s="12"/>
      <c r="H13">
        <f t="shared" si="5"/>
        <v>2034</v>
      </c>
      <c r="I13" s="127">
        <f>'Emissions Summary'!$F24</f>
        <v>733.29424685363699</v>
      </c>
      <c r="J13" s="127">
        <f>'Emissions Summary'!$F44</f>
        <v>647.78443035108739</v>
      </c>
      <c r="K13" s="127">
        <f>'Emissions Summary'!$F64</f>
        <v>652.33175261923122</v>
      </c>
      <c r="L13" s="10"/>
      <c r="O13">
        <f t="shared" si="6"/>
        <v>2034</v>
      </c>
      <c r="P13" s="15">
        <f>'Emissions Summary'!J24*Tables!T13</f>
        <v>15.421738174832328</v>
      </c>
      <c r="Q13" s="15">
        <f>'Emissions Summary'!J44*Tables!T13</f>
        <v>8.1481417848837285</v>
      </c>
      <c r="R13" s="15">
        <f>'Emissions Summary'!J64*T13</f>
        <v>8.5639716256677545</v>
      </c>
      <c r="S13" s="10"/>
      <c r="T13" s="135">
        <f t="shared" si="14"/>
        <v>9.0718499999999998E-7</v>
      </c>
      <c r="V13">
        <v>2034</v>
      </c>
      <c r="W13" s="3">
        <f>W9+0.8*(W14-W9)</f>
        <v>24657781046.643085</v>
      </c>
      <c r="X13" s="3">
        <f t="shared" ref="X13" si="29">X9+0.8*(X14-X9)</f>
        <v>33254863553.470295</v>
      </c>
      <c r="Y13" s="3">
        <f t="shared" ref="Y13" si="30">Y9+0.8*(Y14-Y9)</f>
        <v>2392616357.4093304</v>
      </c>
      <c r="Z13" s="45">
        <f t="shared" si="0"/>
        <v>60305260957.522713</v>
      </c>
      <c r="AB13">
        <f t="shared" si="9"/>
        <v>2034</v>
      </c>
      <c r="AC13" s="10">
        <f>ROUND(AC$9+4/5*(AC$14-AC$9),-1)</f>
        <v>3273660</v>
      </c>
      <c r="AD13" s="10">
        <f t="shared" ref="AD13:AE13" si="31">ROUND(AD$9+4/5*(AD$14-AD$9),-1)</f>
        <v>4137490</v>
      </c>
      <c r="AE13" s="10">
        <f t="shared" si="31"/>
        <v>305540</v>
      </c>
      <c r="AF13" s="13">
        <f t="shared" si="1"/>
        <v>7716690</v>
      </c>
      <c r="AH13">
        <f t="shared" si="2"/>
        <v>2034</v>
      </c>
      <c r="AI13" s="11">
        <f>'Fleet ZEV fractions'!Z26</f>
        <v>724342.14000902604</v>
      </c>
      <c r="AJ13" s="11">
        <f>'Fleet ZEV fractions'!AL26</f>
        <v>2242208.588902113</v>
      </c>
      <c r="AK13" s="11">
        <f>'Fleet ZEV fractions'!AR26</f>
        <v>2205313.8385827607</v>
      </c>
      <c r="AL13" s="10"/>
      <c r="AN13">
        <f t="shared" si="3"/>
        <v>2034</v>
      </c>
      <c r="AO13" s="11">
        <f t="shared" si="11"/>
        <v>5660670802.6076946</v>
      </c>
      <c r="AP13" s="11">
        <f t="shared" si="12"/>
        <v>17522665038.370167</v>
      </c>
      <c r="AQ13" s="11">
        <f t="shared" si="13"/>
        <v>17234335774.661095</v>
      </c>
      <c r="AR13" s="10"/>
    </row>
    <row r="14" spans="1:49">
      <c r="B14">
        <f t="shared" si="4"/>
        <v>2035</v>
      </c>
      <c r="C14" s="127">
        <f>'Emissions Summary'!$C25</f>
        <v>5541.0029064606415</v>
      </c>
      <c r="D14" s="127">
        <f>'Emissions Summary'!$C45</f>
        <v>4019.0133943304149</v>
      </c>
      <c r="E14" s="127">
        <f>'Emissions Summary'!$C65</f>
        <v>4094.4890033545698</v>
      </c>
      <c r="F14" s="44"/>
      <c r="G14" s="9"/>
      <c r="H14">
        <f t="shared" si="5"/>
        <v>2035</v>
      </c>
      <c r="I14" s="127">
        <f>'Emissions Summary'!$F25</f>
        <v>726.81078914974137</v>
      </c>
      <c r="J14" s="127">
        <f>'Emissions Summary'!$F45</f>
        <v>628.16658294905426</v>
      </c>
      <c r="K14" s="127">
        <f>'Emissions Summary'!$F65</f>
        <v>633.05835879925746</v>
      </c>
      <c r="L14" s="44"/>
      <c r="N14" s="9"/>
      <c r="O14">
        <f t="shared" si="6"/>
        <v>2035</v>
      </c>
      <c r="P14" s="15">
        <f>'Emissions Summary'!J25*Tables!T14</f>
        <v>14.90113303054078</v>
      </c>
      <c r="Q14" s="15">
        <f>'Emissions Summary'!J45*Tables!T14</f>
        <v>6.6602062677533675</v>
      </c>
      <c r="R14" s="15">
        <f>'Emissions Summary'!J65*T14</f>
        <v>7.1051254573581186</v>
      </c>
      <c r="S14" s="44"/>
      <c r="T14" s="135">
        <f t="shared" si="14"/>
        <v>9.0718499999999998E-7</v>
      </c>
      <c r="V14">
        <v>2035</v>
      </c>
      <c r="W14" s="45">
        <f>'Combined MOVES output'!AF28</f>
        <v>24726995015.303856</v>
      </c>
      <c r="X14" s="45">
        <f>'Combined MOVES output'!AF29</f>
        <v>33403771520.287117</v>
      </c>
      <c r="Y14" s="45">
        <f>'Combined MOVES output'!AF30</f>
        <v>2410519926.761663</v>
      </c>
      <c r="Z14" s="45">
        <f t="shared" si="0"/>
        <v>60541286462.352638</v>
      </c>
      <c r="AB14">
        <f t="shared" si="9"/>
        <v>2035</v>
      </c>
      <c r="AC14" s="11">
        <f>'Combined MOVES output'!AE28</f>
        <v>3354481.4506417136</v>
      </c>
      <c r="AD14" s="11">
        <f>'Combined MOVES output'!AE29</f>
        <v>4249122.4570329217</v>
      </c>
      <c r="AE14" s="11">
        <f>'Combined MOVES output'!AE30</f>
        <v>311950.33595999039</v>
      </c>
      <c r="AF14" s="13">
        <f t="shared" si="1"/>
        <v>7915554.2436346253</v>
      </c>
      <c r="AH14">
        <f t="shared" si="2"/>
        <v>2035</v>
      </c>
      <c r="AI14" s="11">
        <f>'Fleet ZEV fractions'!Z27</f>
        <v>798389.86644283705</v>
      </c>
      <c r="AJ14" s="11">
        <f>'Fleet ZEV fractions'!AL27</f>
        <v>2672718.6263079909</v>
      </c>
      <c r="AK14" s="11">
        <f>'Fleet ZEV fractions'!AR27</f>
        <v>2635823.8759886385</v>
      </c>
      <c r="AL14" s="44"/>
      <c r="AN14">
        <f t="shared" si="3"/>
        <v>2035</v>
      </c>
      <c r="AO14" s="11">
        <f t="shared" si="11"/>
        <v>6106401159.6945076</v>
      </c>
      <c r="AP14" s="11">
        <f t="shared" si="12"/>
        <v>20442008103.058449</v>
      </c>
      <c r="AQ14" s="11">
        <f t="shared" si="13"/>
        <v>20159822474.700573</v>
      </c>
      <c r="AR14" s="44"/>
      <c r="AT14" s="2"/>
      <c r="AU14" t="s">
        <v>56</v>
      </c>
      <c r="AV14" t="s">
        <v>57</v>
      </c>
      <c r="AW14" t="s">
        <v>53</v>
      </c>
    </row>
    <row r="15" spans="1:49">
      <c r="B15">
        <f t="shared" si="4"/>
        <v>2036</v>
      </c>
      <c r="C15" s="127">
        <f>'Emissions Summary'!$C26</f>
        <v>5398.133807608383</v>
      </c>
      <c r="D15" s="127">
        <f>'Emissions Summary'!$C46</f>
        <v>3640.2658865807198</v>
      </c>
      <c r="E15" s="127">
        <f>'Emissions Summary'!$C66</f>
        <v>3720.9785966565964</v>
      </c>
      <c r="F15" s="10"/>
      <c r="H15">
        <f t="shared" si="5"/>
        <v>2036</v>
      </c>
      <c r="I15" s="127">
        <f>'Emissions Summary'!$F26</f>
        <v>731.10693310976683</v>
      </c>
      <c r="J15" s="127">
        <f>'Emissions Summary'!$F46</f>
        <v>618.50322654148158</v>
      </c>
      <c r="K15" s="127">
        <f>'Emissions Summary'!$F66</f>
        <v>623.67343882705643</v>
      </c>
      <c r="L15" s="10"/>
      <c r="O15">
        <f t="shared" si="6"/>
        <v>2036</v>
      </c>
      <c r="P15" s="15">
        <f>'Emissions Summary'!J26*Tables!T15</f>
        <v>14.524745693487795</v>
      </c>
      <c r="Q15" s="15">
        <f>'Emissions Summary'!J46*Tables!T15</f>
        <v>5.37188236070382</v>
      </c>
      <c r="R15" s="15">
        <f>'Emissions Summary'!J66*T15</f>
        <v>5.8337353369087799</v>
      </c>
      <c r="S15" s="10"/>
      <c r="T15" s="135">
        <f t="shared" si="14"/>
        <v>9.0718499999999998E-7</v>
      </c>
      <c r="V15">
        <v>2036</v>
      </c>
      <c r="W15" s="3">
        <f>W14+0.2*(W19-W14)</f>
        <v>24899136760.280685</v>
      </c>
      <c r="X15" s="3">
        <f t="shared" ref="X15" si="32">X14+0.2*(X19-X14)</f>
        <v>33563757319.578133</v>
      </c>
      <c r="Y15" s="3">
        <f t="shared" ref="Y15" si="33">Y14+0.2*(Y19-Y14)</f>
        <v>2428727167.0093303</v>
      </c>
      <c r="Z15" s="45">
        <f t="shared" si="0"/>
        <v>60891621246.868149</v>
      </c>
      <c r="AB15">
        <f t="shared" si="9"/>
        <v>2036</v>
      </c>
      <c r="AC15" s="10">
        <f>ROUND(AC$14+1/5*(AC$19-AC$14),-1)</f>
        <v>3443590</v>
      </c>
      <c r="AD15" s="10">
        <f t="shared" ref="AD15:AE15" si="34">ROUND(AD$14+1/5*(AD$19-AD$14),-1)</f>
        <v>4351490</v>
      </c>
      <c r="AE15" s="10">
        <f t="shared" si="34"/>
        <v>318280</v>
      </c>
      <c r="AF15" s="13">
        <f t="shared" si="1"/>
        <v>8113360</v>
      </c>
      <c r="AH15">
        <f t="shared" si="2"/>
        <v>2036</v>
      </c>
      <c r="AI15" s="11">
        <f>'Fleet ZEV fractions'!Z28</f>
        <v>874260.23516367516</v>
      </c>
      <c r="AJ15" s="11">
        <f>'Fleet ZEV fractions'!AL28</f>
        <v>3113825.4211965846</v>
      </c>
      <c r="AK15" s="11">
        <f>'Fleet ZEV fractions'!AR28</f>
        <v>3076930.6708772322</v>
      </c>
      <c r="AL15" s="10"/>
      <c r="AN15">
        <f t="shared" si="3"/>
        <v>2036</v>
      </c>
      <c r="AO15" s="11">
        <f t="shared" si="11"/>
        <v>6561415136.3657455</v>
      </c>
      <c r="AP15" s="11">
        <f t="shared" si="12"/>
        <v>23369587714.137188</v>
      </c>
      <c r="AQ15" s="11">
        <f t="shared" si="13"/>
        <v>23092688727.472755</v>
      </c>
      <c r="AR15" s="10"/>
      <c r="AT15" t="s">
        <v>162</v>
      </c>
      <c r="AU15" s="12">
        <f>SUM(D4:D9)-SUM(C4:C9)</f>
        <v>-2096.6899073812092</v>
      </c>
      <c r="AV15" s="12">
        <f>SUM(J4:J9)-SUM(I4:I9)</f>
        <v>-92.262035392142025</v>
      </c>
      <c r="AW15" s="16">
        <f>SUM(Q4:Q9)-SUM(P4:P9)</f>
        <v>-8.8906120807204161</v>
      </c>
    </row>
    <row r="16" spans="1:49">
      <c r="B16">
        <f t="shared" si="4"/>
        <v>2037</v>
      </c>
      <c r="C16" s="127">
        <f>'Emissions Summary'!$C27</f>
        <v>5251.6746038883039</v>
      </c>
      <c r="D16" s="127">
        <f>'Emissions Summary'!$C47</f>
        <v>3273.4731277894684</v>
      </c>
      <c r="E16" s="127">
        <f>'Emissions Summary'!$C67</f>
        <v>3356.9869929875326</v>
      </c>
      <c r="F16" s="10"/>
      <c r="H16">
        <f t="shared" si="5"/>
        <v>2037</v>
      </c>
      <c r="I16" s="127">
        <f>'Emissions Summary'!$F27</f>
        <v>735.05686661666289</v>
      </c>
      <c r="J16" s="127">
        <f>'Emissions Summary'!$F47</f>
        <v>609.9850254601912</v>
      </c>
      <c r="K16" s="127">
        <f>'Emissions Summary'!$F67</f>
        <v>615.26519181767173</v>
      </c>
      <c r="L16" s="10"/>
      <c r="O16">
        <f t="shared" si="6"/>
        <v>2037</v>
      </c>
      <c r="P16" s="15">
        <f>'Emissions Summary'!J27*Tables!T16</f>
        <v>14.186521658841118</v>
      </c>
      <c r="Q16" s="15">
        <f>'Emissions Summary'!J47*Tables!T16</f>
        <v>4.3046001817789188</v>
      </c>
      <c r="R16" s="15">
        <f>'Emissions Summary'!J67*T16</f>
        <v>4.7670041855826684</v>
      </c>
      <c r="S16" s="10"/>
      <c r="T16" s="135">
        <f t="shared" si="14"/>
        <v>9.0718499999999998E-7</v>
      </c>
      <c r="V16">
        <v>2037</v>
      </c>
      <c r="W16" s="3">
        <f>W14+0.4*(W19-W14)</f>
        <v>25071278505.257515</v>
      </c>
      <c r="X16" s="3">
        <f t="shared" ref="X16:Y16" si="35">X14+0.4*(X19-X14)</f>
        <v>33723743118.869148</v>
      </c>
      <c r="Y16" s="3">
        <f t="shared" si="35"/>
        <v>2446934407.2569976</v>
      </c>
      <c r="Z16" s="45">
        <f t="shared" si="0"/>
        <v>61241956031.383659</v>
      </c>
      <c r="AB16">
        <f t="shared" si="9"/>
        <v>2037</v>
      </c>
      <c r="AC16" s="10">
        <f>ROUND(AC$14+2/5*(AC$19-AC$14),-1)</f>
        <v>3532700</v>
      </c>
      <c r="AD16" s="10">
        <f t="shared" ref="AD16:AE16" si="36">ROUND(AD$14+2/5*(AD$19-AD$14),-1)</f>
        <v>4453850</v>
      </c>
      <c r="AE16" s="10">
        <f t="shared" si="36"/>
        <v>324610</v>
      </c>
      <c r="AF16" s="13">
        <f t="shared" si="1"/>
        <v>8311160</v>
      </c>
      <c r="AH16">
        <f t="shared" si="2"/>
        <v>2037</v>
      </c>
      <c r="AI16" s="11">
        <f>'Fleet ZEV fractions'!Z29</f>
        <v>951953.24617154046</v>
      </c>
      <c r="AJ16" s="11">
        <f>'Fleet ZEV fractions'!AL29</f>
        <v>3565528.9735678942</v>
      </c>
      <c r="AK16" s="11">
        <f>'Fleet ZEV fractions'!AR29</f>
        <v>3528634.2232485418</v>
      </c>
      <c r="AL16" s="10"/>
      <c r="AN16">
        <f t="shared" si="3"/>
        <v>2037</v>
      </c>
      <c r="AO16" s="11">
        <f t="shared" si="11"/>
        <v>7014601914.2899942</v>
      </c>
      <c r="AP16" s="11">
        <f t="shared" si="12"/>
        <v>26273103709.695095</v>
      </c>
      <c r="AQ16" s="11">
        <f t="shared" si="13"/>
        <v>26001239532.270203</v>
      </c>
      <c r="AR16" s="10"/>
      <c r="AT16" s="8" t="s">
        <v>163</v>
      </c>
      <c r="AU16" s="10">
        <f>SUM(E4:E9)-SUM(C4:C9)</f>
        <v>-1842.5434478937095</v>
      </c>
      <c r="AV16" s="12">
        <f>SUM(K4:K9)-SUM(I4:I9)</f>
        <v>-82.083595251185216</v>
      </c>
      <c r="AW16" s="16">
        <f>SUM(R4:R9)-SUM(P4:P9)</f>
        <v>-7.9800865527282383</v>
      </c>
    </row>
    <row r="17" spans="1:50">
      <c r="B17">
        <f t="shared" si="4"/>
        <v>2038</v>
      </c>
      <c r="C17" s="127">
        <f>'Emissions Summary'!$C28</f>
        <v>5101.1838983661701</v>
      </c>
      <c r="D17" s="127">
        <f>'Emissions Summary'!$C48</f>
        <v>2919.8534169412965</v>
      </c>
      <c r="E17" s="127">
        <f>'Emissions Summary'!$C68</f>
        <v>3003.9444755240761</v>
      </c>
      <c r="F17" s="10"/>
      <c r="H17">
        <f t="shared" si="5"/>
        <v>2038</v>
      </c>
      <c r="I17" s="127">
        <f>'Emissions Summary'!$F28</f>
        <v>738.21716247111522</v>
      </c>
      <c r="J17" s="127">
        <f>'Emissions Summary'!$F48</f>
        <v>601.51541196211178</v>
      </c>
      <c r="K17" s="127">
        <f>'Emissions Summary'!$F68</f>
        <v>606.78531260683769</v>
      </c>
      <c r="L17" s="10"/>
      <c r="O17">
        <f t="shared" si="6"/>
        <v>2038</v>
      </c>
      <c r="P17" s="15">
        <f>'Emissions Summary'!J28*Tables!T17</f>
        <v>13.883731598258024</v>
      </c>
      <c r="Q17" s="15">
        <f>'Emissions Summary'!J48*Tables!T17</f>
        <v>3.4206330507183464</v>
      </c>
      <c r="R17" s="15">
        <f>'Emissions Summary'!J68*T17</f>
        <v>3.871245609953391</v>
      </c>
      <c r="S17" s="10"/>
      <c r="T17" s="135">
        <f t="shared" si="14"/>
        <v>9.0718499999999998E-7</v>
      </c>
      <c r="V17">
        <v>2038</v>
      </c>
      <c r="W17" s="3">
        <f>W14+0.6*(W19-W14)</f>
        <v>25243420250.234341</v>
      </c>
      <c r="X17" s="3">
        <f t="shared" ref="X17:Y17" si="37">X14+0.6*(X19-X14)</f>
        <v>33883728918.160168</v>
      </c>
      <c r="Y17" s="3">
        <f t="shared" si="37"/>
        <v>2465141647.5046654</v>
      </c>
      <c r="Z17" s="45">
        <f t="shared" si="0"/>
        <v>61592290815.89917</v>
      </c>
      <c r="AB17">
        <f t="shared" si="9"/>
        <v>2038</v>
      </c>
      <c r="AC17" s="10">
        <f>ROUND(AC$14+3/5*(AC$19-AC$14),-1)</f>
        <v>3621810</v>
      </c>
      <c r="AD17" s="10">
        <f t="shared" ref="AD17:AE17" si="38">ROUND(AD$14+3/5*(AD$19-AD$14),-1)</f>
        <v>4556220</v>
      </c>
      <c r="AE17" s="10">
        <f t="shared" si="38"/>
        <v>330940</v>
      </c>
      <c r="AF17" s="13">
        <f t="shared" si="1"/>
        <v>8508970</v>
      </c>
      <c r="AH17">
        <f t="shared" si="2"/>
        <v>2038</v>
      </c>
      <c r="AI17" s="11">
        <f>'Fleet ZEV fractions'!Z30</f>
        <v>1031468.8994664329</v>
      </c>
      <c r="AJ17" s="11">
        <f>'Fleet ZEV fractions'!AL30</f>
        <v>4027829.2834219197</v>
      </c>
      <c r="AK17" s="11">
        <f>'Fleet ZEV fractions'!AR30</f>
        <v>3990934.5331025673</v>
      </c>
      <c r="AL17" s="10"/>
      <c r="AN17">
        <f t="shared" si="3"/>
        <v>2038</v>
      </c>
      <c r="AO17" s="11">
        <f t="shared" si="11"/>
        <v>7466301141.4415607</v>
      </c>
      <c r="AP17" s="11">
        <f t="shared" si="12"/>
        <v>29155495034.218906</v>
      </c>
      <c r="AQ17" s="11">
        <f t="shared" si="13"/>
        <v>28888431900.696335</v>
      </c>
      <c r="AR17" s="10"/>
      <c r="AT17" s="8"/>
      <c r="AU17" s="12"/>
      <c r="AV17" s="12"/>
      <c r="AW17" s="16"/>
      <c r="AX17" s="16"/>
    </row>
    <row r="18" spans="1:50">
      <c r="B18">
        <f t="shared" si="4"/>
        <v>2039</v>
      </c>
      <c r="C18" s="127">
        <f>'Emissions Summary'!$C29</f>
        <v>4947.8825574993352</v>
      </c>
      <c r="D18" s="127">
        <f>'Emissions Summary'!$C49</f>
        <v>2581.6129438609678</v>
      </c>
      <c r="E18" s="127">
        <f>'Emissions Summary'!$C69</f>
        <v>2663.252538136021</v>
      </c>
      <c r="F18" s="10"/>
      <c r="H18">
        <f t="shared" si="5"/>
        <v>2039</v>
      </c>
      <c r="I18" s="127">
        <f>'Emissions Summary'!$F29</f>
        <v>741.24777317759947</v>
      </c>
      <c r="J18" s="127">
        <f>'Emissions Summary'!$F49</f>
        <v>594.5279313533448</v>
      </c>
      <c r="K18" s="127">
        <f>'Emissions Summary'!$F69</f>
        <v>599.58997005324363</v>
      </c>
      <c r="L18" s="10"/>
      <c r="O18">
        <f t="shared" si="6"/>
        <v>2039</v>
      </c>
      <c r="P18" s="15">
        <f>'Emissions Summary'!J29*Tables!T18</f>
        <v>13.613655956435698</v>
      </c>
      <c r="Q18" s="15">
        <f>'Emissions Summary'!J49*Tables!T18</f>
        <v>2.7078943572664582</v>
      </c>
      <c r="R18" s="15">
        <f>'Emissions Summary'!J69*T18</f>
        <v>3.131125326502862</v>
      </c>
      <c r="S18" s="10"/>
      <c r="T18" s="135">
        <f t="shared" si="14"/>
        <v>9.0718499999999998E-7</v>
      </c>
      <c r="V18">
        <v>2039</v>
      </c>
      <c r="W18" s="3">
        <f>W14+0.8*(W19-W14)</f>
        <v>25415561995.21117</v>
      </c>
      <c r="X18" s="3">
        <f t="shared" ref="X18" si="39">X14+0.8*(X19-X14)</f>
        <v>34043714717.451183</v>
      </c>
      <c r="Y18" s="3">
        <f t="shared" ref="Y18" si="40">Y14+0.8*(Y19-Y14)</f>
        <v>2483348887.7523327</v>
      </c>
      <c r="Z18" s="45">
        <f t="shared" si="0"/>
        <v>61942625600.414688</v>
      </c>
      <c r="AB18">
        <f t="shared" si="9"/>
        <v>2039</v>
      </c>
      <c r="AC18" s="10">
        <f>ROUND(AC$14+4/5*(AC$19-AC$14),-1)</f>
        <v>3710920</v>
      </c>
      <c r="AD18" s="10">
        <f t="shared" ref="AD18:AE18" si="41">ROUND(AD$14+4/5*(AD$19-AD$14),-1)</f>
        <v>4658580</v>
      </c>
      <c r="AE18" s="10">
        <f t="shared" si="41"/>
        <v>337270</v>
      </c>
      <c r="AF18" s="13">
        <f t="shared" si="1"/>
        <v>8706770</v>
      </c>
      <c r="AH18">
        <f t="shared" si="2"/>
        <v>2039</v>
      </c>
      <c r="AI18" s="11">
        <f>'Fleet ZEV fractions'!Z31</f>
        <v>1112807.1950483525</v>
      </c>
      <c r="AJ18" s="11">
        <f>'Fleet ZEV fractions'!AL31</f>
        <v>4500726.3507586606</v>
      </c>
      <c r="AK18" s="11">
        <f>'Fleet ZEV fractions'!AR31</f>
        <v>4463831.6004393082</v>
      </c>
      <c r="AL18" s="10"/>
      <c r="AN18">
        <f t="shared" si="3"/>
        <v>2039</v>
      </c>
      <c r="AO18" s="11">
        <f t="shared" si="11"/>
        <v>7916850846.9073763</v>
      </c>
      <c r="AP18" s="11">
        <f t="shared" si="12"/>
        <v>32019544248.322212</v>
      </c>
      <c r="AQ18" s="11">
        <f t="shared" si="13"/>
        <v>31757063706.668716</v>
      </c>
      <c r="AR18" s="10"/>
      <c r="AT18" s="8"/>
      <c r="AU18" s="12"/>
      <c r="AV18" s="12"/>
      <c r="AW18" s="16"/>
    </row>
    <row r="19" spans="1:50">
      <c r="A19" s="9"/>
      <c r="B19">
        <f t="shared" si="4"/>
        <v>2040</v>
      </c>
      <c r="C19" s="127">
        <f>'Emissions Summary'!$C30</f>
        <v>4789.6216184227351</v>
      </c>
      <c r="D19" s="127">
        <f>'Emissions Summary'!$C50</f>
        <v>2267.4328398965076</v>
      </c>
      <c r="E19" s="127">
        <f>'Emissions Summary'!$C70</f>
        <v>2343.4123130299909</v>
      </c>
      <c r="F19" s="44"/>
      <c r="G19" s="261"/>
      <c r="H19">
        <f t="shared" si="5"/>
        <v>2040</v>
      </c>
      <c r="I19" s="127">
        <f>'Emissions Summary'!$F30</f>
        <v>743.49869322216921</v>
      </c>
      <c r="J19" s="127">
        <f>'Emissions Summary'!$F50</f>
        <v>588.13717802585029</v>
      </c>
      <c r="K19" s="127">
        <f>'Emissions Summary'!$F70</f>
        <v>592.81735350293468</v>
      </c>
      <c r="L19" s="44"/>
      <c r="M19" s="261"/>
      <c r="N19" s="9"/>
      <c r="O19">
        <f t="shared" si="6"/>
        <v>2040</v>
      </c>
      <c r="P19" s="15">
        <f>'Emissions Summary'!J30*Tables!T19</f>
        <v>13.378689839087299</v>
      </c>
      <c r="Q19" s="15">
        <f>'Emissions Summary'!J50*Tables!T19</f>
        <v>2.1553635012129444</v>
      </c>
      <c r="R19" s="15">
        <f>'Emissions Summary'!J70*T19</f>
        <v>2.5377690303430649</v>
      </c>
      <c r="S19" s="44"/>
      <c r="T19" s="135">
        <f t="shared" si="14"/>
        <v>9.0718499999999998E-7</v>
      </c>
      <c r="U19" s="16"/>
      <c r="V19" s="3">
        <v>2040</v>
      </c>
      <c r="W19" s="45">
        <f>'Combined MOVES output'!AF33</f>
        <v>25587703740.188</v>
      </c>
      <c r="X19" s="45">
        <f>'Combined MOVES output'!AF34</f>
        <v>34203700516.742199</v>
      </c>
      <c r="Y19" s="45">
        <f>'Combined MOVES output'!AF35</f>
        <v>2501556128</v>
      </c>
      <c r="Z19" s="45">
        <f t="shared" si="0"/>
        <v>62292960384.930199</v>
      </c>
      <c r="AA19" s="16"/>
      <c r="AB19">
        <f t="shared" si="9"/>
        <v>2040</v>
      </c>
      <c r="AC19" s="11">
        <f>'Combined MOVES output'!AE33</f>
        <v>3800035.474618</v>
      </c>
      <c r="AD19" s="11">
        <f>'Combined MOVES output'!AE34</f>
        <v>4760943.8020371003</v>
      </c>
      <c r="AE19" s="11">
        <f>'Combined MOVES output'!AE35</f>
        <v>343601.99219999998</v>
      </c>
      <c r="AF19" s="13">
        <f t="shared" si="1"/>
        <v>8904581.2688551005</v>
      </c>
      <c r="AH19">
        <f t="shared" si="2"/>
        <v>2040</v>
      </c>
      <c r="AI19" s="11">
        <f>'Fleet ZEV fractions'!Z32</f>
        <v>1195968.1329172992</v>
      </c>
      <c r="AJ19" s="11">
        <f>'Fleet ZEV fractions'!AL32</f>
        <v>4984220.1755781174</v>
      </c>
      <c r="AK19" s="11">
        <f>'Fleet ZEV fractions'!AR32</f>
        <v>4947325.425258765</v>
      </c>
      <c r="AL19" s="44"/>
      <c r="AN19">
        <f t="shared" si="3"/>
        <v>2040</v>
      </c>
      <c r="AO19" s="11">
        <f t="shared" si="11"/>
        <v>8366524295.3119879</v>
      </c>
      <c r="AP19" s="11">
        <f t="shared" si="12"/>
        <v>34867650771.295326</v>
      </c>
      <c r="AQ19" s="11">
        <f t="shared" si="13"/>
        <v>34609549559.046997</v>
      </c>
      <c r="AR19" s="44"/>
      <c r="AT19" s="165" t="s">
        <v>372</v>
      </c>
      <c r="AU19" s="12"/>
      <c r="AV19" s="12"/>
      <c r="AW19" s="16"/>
    </row>
    <row r="20" spans="1:50">
      <c r="B20" s="8" t="s">
        <v>49</v>
      </c>
      <c r="C20" s="128">
        <f>SUM(C4:C19)</f>
        <v>142338.82027255633</v>
      </c>
      <c r="D20" s="128">
        <f>SUM(D4:D19)</f>
        <v>123218.90940249941</v>
      </c>
      <c r="E20" s="128">
        <f>SUM(E4:E19)</f>
        <v>124224.68432002419</v>
      </c>
      <c r="F20" s="10"/>
      <c r="G20" s="12"/>
      <c r="H20" s="8" t="s">
        <v>49</v>
      </c>
      <c r="I20" s="130">
        <f>SUM(I4:I19)</f>
        <v>11997.835230187156</v>
      </c>
      <c r="J20" s="130">
        <f>SUM(J4:J19)</f>
        <v>10867.606464128441</v>
      </c>
      <c r="K20" s="130">
        <f>SUM(K4:K19)</f>
        <v>10923.211905801316</v>
      </c>
      <c r="L20" s="10"/>
      <c r="M20" s="12"/>
      <c r="O20" s="8" t="s">
        <v>49</v>
      </c>
      <c r="P20" s="14">
        <f>SUM(P4:P19)</f>
        <v>266.0373279709512</v>
      </c>
      <c r="Q20" s="14">
        <f>SUM(Q4:Q19)</f>
        <v>174.1264052213177</v>
      </c>
      <c r="R20" s="14">
        <f>SUM(R4:R19)</f>
        <v>179.05785940554605</v>
      </c>
      <c r="S20" s="14"/>
      <c r="T20" s="16"/>
      <c r="V20" t="s">
        <v>157</v>
      </c>
      <c r="W20" s="9">
        <f>(W19/W4)-1</f>
        <v>7.4656430160004783E-2</v>
      </c>
      <c r="X20" s="9">
        <f t="shared" ref="X20:Z20" si="42">(X19/X4)-1</f>
        <v>7.63092524093687E-2</v>
      </c>
      <c r="Y20" s="9">
        <f t="shared" si="42"/>
        <v>4.1294798030196755E-2</v>
      </c>
      <c r="Z20" s="9">
        <f t="shared" si="42"/>
        <v>7.4180119054701343E-2</v>
      </c>
      <c r="AB20" t="s">
        <v>157</v>
      </c>
      <c r="AC20" s="9">
        <f>(AC19/AC4)-1</f>
        <v>0.44363986073877326</v>
      </c>
      <c r="AD20" s="9">
        <f t="shared" ref="AD20" si="43">(AD19/AD4)-1</f>
        <v>0.45802940721196106</v>
      </c>
      <c r="AE20" s="9">
        <f t="shared" ref="AE20" si="44">(AE19/AE4)-1</f>
        <v>0.22212745116125232</v>
      </c>
      <c r="AF20" s="9">
        <f t="shared" ref="AF20" si="45">(AF19/AF4)-1</f>
        <v>0.44116495662534549</v>
      </c>
      <c r="AH20" t="s">
        <v>157</v>
      </c>
      <c r="AI20" s="9">
        <f>(AI19/AI4)-1</f>
        <v>7.4000143003963039</v>
      </c>
      <c r="AJ20" s="9">
        <f t="shared" ref="AJ20" si="46">(AJ19/AJ4)-1</f>
        <v>34.007221011025955</v>
      </c>
      <c r="AK20" s="9">
        <f t="shared" ref="AK20" si="47">(AK19/AK4)-1</f>
        <v>33.748086656387144</v>
      </c>
      <c r="AL20" s="9"/>
      <c r="AN20" t="s">
        <v>157</v>
      </c>
      <c r="AO20" s="9">
        <f>(AO19/AO4)-1</f>
        <v>5.2609962307087965</v>
      </c>
      <c r="AP20" s="9">
        <f t="shared" ref="AP20:AQ20" si="48">(AP19/AP4)-1</f>
        <v>25.092822102372207</v>
      </c>
      <c r="AQ20" s="9">
        <f t="shared" si="48"/>
        <v>24.899674905281817</v>
      </c>
      <c r="AR20" s="9"/>
    </row>
    <row r="21" spans="1:50">
      <c r="B21" t="s">
        <v>157</v>
      </c>
      <c r="C21" s="129">
        <f>C19-C4</f>
        <v>-13429.600507830735</v>
      </c>
      <c r="D21" s="129">
        <f t="shared" ref="D21:E21" si="49">D19-D4</f>
        <v>-15951.789286356961</v>
      </c>
      <c r="E21" s="129">
        <f t="shared" si="49"/>
        <v>-15875.809813223479</v>
      </c>
      <c r="F21" s="9"/>
      <c r="G21" s="12"/>
      <c r="H21" t="s">
        <v>157</v>
      </c>
      <c r="I21" s="129">
        <f>I19-I4</f>
        <v>-73.616115454696455</v>
      </c>
      <c r="J21" s="129">
        <f t="shared" ref="J21:K21" si="50">J19-J4</f>
        <v>-228.97763065101537</v>
      </c>
      <c r="K21" s="129">
        <f t="shared" si="50"/>
        <v>-224.29745517393098</v>
      </c>
      <c r="L21" s="9"/>
      <c r="O21" t="s">
        <v>157</v>
      </c>
      <c r="P21" s="129">
        <f>P19-P4</f>
        <v>-7.3329164144291692</v>
      </c>
      <c r="Q21" s="129">
        <f t="shared" ref="Q21:R21" si="51">Q19-Q4</f>
        <v>-18.556242752303525</v>
      </c>
      <c r="R21" s="129">
        <f t="shared" si="51"/>
        <v>-18.173837223173404</v>
      </c>
      <c r="S21" s="9"/>
      <c r="AU21" t="s">
        <v>56</v>
      </c>
      <c r="AV21" t="s">
        <v>57</v>
      </c>
      <c r="AW21" t="s">
        <v>53</v>
      </c>
    </row>
    <row r="22" spans="1:50">
      <c r="AT22" t="s">
        <v>162</v>
      </c>
      <c r="AU22" s="12">
        <f>SUM(D4:D14)-SUM(C4:C14)</f>
        <v>-8314.0525993409537</v>
      </c>
      <c r="AV22" s="12">
        <f>SUM(J4:J14)-SUM(I4:I14)</f>
        <v>-453.77011080438024</v>
      </c>
      <c r="AW22" s="16">
        <f>SUM(Q4:Q14)-SUM(P4:P14)</f>
        <v>-40.283951455204004</v>
      </c>
    </row>
    <row r="23" spans="1:50">
      <c r="B23" s="2"/>
      <c r="AT23" t="s">
        <v>163</v>
      </c>
      <c r="AU23" s="12">
        <f>SUM(E4:E14)-SUM(C4:C14)</f>
        <v>-7714.2143830814166</v>
      </c>
      <c r="AV23" s="12">
        <f>SUM(K4:K14)-SUM(I4:I14)</f>
        <v>-423.62716259627268</v>
      </c>
      <c r="AW23" s="16">
        <f>SUM(R4:R14)-SUM(P4:P14)</f>
        <v>-37.533003308585904</v>
      </c>
    </row>
    <row r="24" spans="1:50">
      <c r="A24" s="9"/>
      <c r="B24" s="2"/>
      <c r="AU24" s="12"/>
      <c r="AV24" s="12"/>
      <c r="AW24" s="16"/>
    </row>
    <row r="45" spans="2:33">
      <c r="AE45" t="s">
        <v>640</v>
      </c>
    </row>
    <row r="46" spans="2:33" ht="31" thickBot="1">
      <c r="B46">
        <v>0.90718500000000002</v>
      </c>
      <c r="C46" t="s">
        <v>54</v>
      </c>
      <c r="AB46" s="288"/>
      <c r="AC46" s="289" t="s">
        <v>641</v>
      </c>
      <c r="AD46" s="289" t="s">
        <v>642</v>
      </c>
      <c r="AE46" s="289" t="s">
        <v>643</v>
      </c>
      <c r="AF46" s="289" t="s">
        <v>644</v>
      </c>
      <c r="AG46" s="289" t="s">
        <v>645</v>
      </c>
    </row>
    <row r="47" spans="2:33" ht="17" thickTop="1" thickBot="1">
      <c r="B47">
        <v>1000000</v>
      </c>
      <c r="C47" t="s">
        <v>55</v>
      </c>
      <c r="AB47" s="290">
        <v>2020</v>
      </c>
      <c r="AC47" s="291">
        <f>'Combined MOVES output'!AE13+'Combined MOVES output'!AE14</f>
        <v>5153813.4017606694</v>
      </c>
      <c r="AD47" s="291">
        <f>'Fleet ZEV fractions'!Z12</f>
        <v>18868</v>
      </c>
      <c r="AE47" s="292" t="s">
        <v>646</v>
      </c>
      <c r="AF47" s="293" t="s">
        <v>646</v>
      </c>
      <c r="AG47" s="293" t="s">
        <v>646</v>
      </c>
    </row>
    <row r="48" spans="2:33" ht="17" thickTop="1" thickBot="1">
      <c r="AB48" s="288">
        <v>2025</v>
      </c>
      <c r="AC48" s="294">
        <f>AC4+AD4</f>
        <v>5897587.7042457843</v>
      </c>
      <c r="AD48" s="294">
        <f>AI4</f>
        <v>142376.9162941633</v>
      </c>
      <c r="AE48" s="292" t="s">
        <v>646</v>
      </c>
      <c r="AF48" s="295">
        <f>'ZEV Sales'!I7</f>
        <v>45448.104244551214</v>
      </c>
      <c r="AG48" s="292" t="s">
        <v>646</v>
      </c>
    </row>
    <row r="49" spans="1:33" ht="17" thickTop="1" thickBot="1">
      <c r="A49" t="s">
        <v>369</v>
      </c>
      <c r="AB49" s="290">
        <v>2030</v>
      </c>
      <c r="AC49" s="294">
        <f>AC9+AD9</f>
        <v>6641362.0067308992</v>
      </c>
      <c r="AD49" s="294">
        <f>AI9</f>
        <v>448778.61939657311</v>
      </c>
      <c r="AE49" s="294">
        <f>AK9</f>
        <v>839936.85116199357</v>
      </c>
      <c r="AF49" s="295">
        <f>'ZEV Sales'!I27</f>
        <v>63783.57117069485</v>
      </c>
      <c r="AG49" s="291">
        <f>'ZEV Sales'!Q27</f>
        <v>201734.08556312788</v>
      </c>
    </row>
    <row r="50" spans="1:33" ht="17" thickTop="1" thickBot="1">
      <c r="AB50" s="288">
        <v>2035</v>
      </c>
      <c r="AC50" s="294">
        <f>AC14+AD14</f>
        <v>7603603.9076746348</v>
      </c>
      <c r="AD50" s="294">
        <f>AI14</f>
        <v>798389.86644283705</v>
      </c>
      <c r="AE50" s="294">
        <f>AK14</f>
        <v>2635823.8759886385</v>
      </c>
      <c r="AF50" s="295">
        <f>'ZEV Sales'!I47</f>
        <v>74047.726433811025</v>
      </c>
      <c r="AG50" s="291">
        <f>'ZEV Sales'!Q47</f>
        <v>430510.03740587801</v>
      </c>
    </row>
    <row r="51" spans="1:33" ht="17" thickTop="1" thickBot="1">
      <c r="AB51" s="290">
        <v>2040</v>
      </c>
      <c r="AC51" s="294">
        <f>AC19+AD19</f>
        <v>8560979.2766551003</v>
      </c>
      <c r="AD51" s="294">
        <f>AI19</f>
        <v>1195968.1329172992</v>
      </c>
      <c r="AE51" s="294">
        <f>AK19</f>
        <v>4947325.425258765</v>
      </c>
      <c r="AF51" s="295">
        <f>'ZEV Sales'!I51</f>
        <v>83160.937868946639</v>
      </c>
      <c r="AG51" s="291">
        <f>'ZEV Sales'!Q51</f>
        <v>483493.82481945714</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FTRae4koEiL883/z33uprKRVYREv4rQT3onC4Lz/qfWxLMDXLumo1iDCwqU42yZQU/S3AUokYABZjljB2PfOkg==" saltValue="zwc4yP+F9Y5u97ukL/xrMg=="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Z38"/>
  <sheetViews>
    <sheetView workbookViewId="0">
      <selection activeCell="C35" sqref="C35"/>
    </sheetView>
  </sheetViews>
  <sheetFormatPr baseColWidth="10" defaultColWidth="8.83203125" defaultRowHeight="15"/>
  <cols>
    <col min="1" max="2" width="20" customWidth="1"/>
    <col min="3" max="3" width="29.33203125" customWidth="1"/>
    <col min="4" max="24" width="19.83203125" customWidth="1"/>
    <col min="25" max="25" width="11.6640625" bestFit="1" customWidth="1"/>
  </cols>
  <sheetData>
    <row r="1" spans="3:23">
      <c r="C1" s="2" t="s">
        <v>575</v>
      </c>
      <c r="D1" t="s">
        <v>594</v>
      </c>
      <c r="E1" t="s">
        <v>595</v>
      </c>
      <c r="F1" t="s">
        <v>596</v>
      </c>
      <c r="G1" t="s">
        <v>597</v>
      </c>
      <c r="H1" t="s">
        <v>598</v>
      </c>
      <c r="I1" t="s">
        <v>599</v>
      </c>
      <c r="J1" t="s">
        <v>600</v>
      </c>
      <c r="K1" t="s">
        <v>601</v>
      </c>
      <c r="L1" t="s">
        <v>602</v>
      </c>
      <c r="M1" t="s">
        <v>603</v>
      </c>
      <c r="N1" t="s">
        <v>604</v>
      </c>
      <c r="O1" t="s">
        <v>605</v>
      </c>
      <c r="P1" t="s">
        <v>606</v>
      </c>
      <c r="Q1" t="s">
        <v>607</v>
      </c>
      <c r="R1" t="s">
        <v>608</v>
      </c>
      <c r="S1" t="s">
        <v>609</v>
      </c>
      <c r="T1" t="s">
        <v>610</v>
      </c>
      <c r="U1" t="s">
        <v>611</v>
      </c>
      <c r="V1" t="s">
        <v>612</v>
      </c>
      <c r="W1" t="s">
        <v>613</v>
      </c>
    </row>
    <row r="2" spans="3:23">
      <c r="C2" t="s">
        <v>576</v>
      </c>
      <c r="D2">
        <v>23.5128192075423</v>
      </c>
      <c r="E2">
        <v>23.5128192075423</v>
      </c>
      <c r="F2">
        <v>-1.9439015970386999</v>
      </c>
      <c r="G2">
        <v>-1.9439015970386999</v>
      </c>
      <c r="H2">
        <v>1.93781550808046</v>
      </c>
      <c r="I2">
        <v>1.93781550808046</v>
      </c>
      <c r="J2">
        <v>0.51954291721525003</v>
      </c>
      <c r="K2">
        <v>0.51954291721525003</v>
      </c>
      <c r="L2">
        <v>0.30573110099181</v>
      </c>
      <c r="M2">
        <v>0.30573110099181</v>
      </c>
      <c r="N2">
        <v>4.0378607864001097</v>
      </c>
      <c r="O2">
        <v>4.0378607864001097</v>
      </c>
      <c r="P2">
        <v>-2.81549990623316</v>
      </c>
      <c r="Q2">
        <v>-2.81549990623316</v>
      </c>
      <c r="R2">
        <v>1.9805104320079601</v>
      </c>
      <c r="S2">
        <v>1.9805104320079601</v>
      </c>
      <c r="T2">
        <v>0.13848126736455901</v>
      </c>
      <c r="U2">
        <v>0.13848126736455901</v>
      </c>
      <c r="V2">
        <v>0.15356837523422501</v>
      </c>
      <c r="W2">
        <v>0.15356837523422501</v>
      </c>
    </row>
    <row r="3" spans="3:23">
      <c r="C3" t="s">
        <v>577</v>
      </c>
      <c r="D3">
        <v>12.9583835437983</v>
      </c>
      <c r="E3">
        <v>12.9583835437983</v>
      </c>
      <c r="F3">
        <v>-1.2160732442116799</v>
      </c>
      <c r="G3">
        <v>-1.2160732442116799</v>
      </c>
      <c r="H3">
        <v>1.2387899806799001</v>
      </c>
      <c r="I3">
        <v>1.2387899806799001</v>
      </c>
      <c r="J3">
        <v>0.32109749546021099</v>
      </c>
      <c r="K3">
        <v>0.32109749546021099</v>
      </c>
      <c r="L3">
        <v>0.189525855644055</v>
      </c>
      <c r="M3">
        <v>0.189525855644055</v>
      </c>
      <c r="N3">
        <v>3.30965240130134</v>
      </c>
      <c r="O3">
        <v>3.30965240130134</v>
      </c>
      <c r="P3">
        <v>-2.3776039071855499</v>
      </c>
      <c r="Q3">
        <v>-2.3776039071855499</v>
      </c>
      <c r="R3">
        <v>1.66604432256327</v>
      </c>
      <c r="S3">
        <v>1.66604432256327</v>
      </c>
      <c r="T3">
        <v>0.115332457803037</v>
      </c>
      <c r="U3">
        <v>0.115332457803037</v>
      </c>
      <c r="V3">
        <v>0.129477282096427</v>
      </c>
      <c r="W3">
        <v>0.129477282096427</v>
      </c>
    </row>
    <row r="4" spans="3:23">
      <c r="C4" t="s">
        <v>578</v>
      </c>
      <c r="D4">
        <v>1.39603185900507</v>
      </c>
      <c r="E4">
        <v>1.39603185900507</v>
      </c>
      <c r="F4">
        <v>-0.130856873843571</v>
      </c>
      <c r="G4">
        <v>-0.130856873843571</v>
      </c>
      <c r="H4">
        <v>0.13332854490870599</v>
      </c>
      <c r="I4">
        <v>0.13332854490870599</v>
      </c>
      <c r="J4">
        <v>3.4555541281199503E-2</v>
      </c>
      <c r="K4">
        <v>3.4555541281199503E-2</v>
      </c>
      <c r="L4">
        <v>2.0396041349697001E-2</v>
      </c>
      <c r="M4">
        <v>2.0396041349697001E-2</v>
      </c>
      <c r="N4">
        <v>0.35617916640170499</v>
      </c>
      <c r="O4">
        <v>0.35617916640170499</v>
      </c>
      <c r="P4">
        <v>-0.25586577946019401</v>
      </c>
      <c r="Q4">
        <v>-0.25586577946019401</v>
      </c>
      <c r="R4">
        <v>0.17929259610861101</v>
      </c>
      <c r="S4">
        <v>0.17929259610861101</v>
      </c>
      <c r="T4">
        <v>1.24115436706492E-2</v>
      </c>
      <c r="U4">
        <v>1.24115436706492E-2</v>
      </c>
      <c r="V4">
        <v>1.3933744362329E-2</v>
      </c>
      <c r="W4">
        <v>1.3933744362329E-2</v>
      </c>
    </row>
    <row r="5" spans="3:23">
      <c r="C5" t="s">
        <v>579</v>
      </c>
      <c r="D5">
        <v>97.062742559513794</v>
      </c>
      <c r="E5">
        <v>97.062742559513794</v>
      </c>
      <c r="F5">
        <v>-8.0011618075183204</v>
      </c>
      <c r="G5">
        <v>-8.0011618075183204</v>
      </c>
      <c r="H5">
        <v>7.9955322753178502</v>
      </c>
      <c r="I5">
        <v>7.9955322753178502</v>
      </c>
      <c r="J5">
        <v>2.1376382667721998</v>
      </c>
      <c r="K5">
        <v>2.1376382667721998</v>
      </c>
      <c r="L5">
        <v>1.25719828595517</v>
      </c>
      <c r="M5">
        <v>1.25719828595517</v>
      </c>
      <c r="N5">
        <v>16.870800323809501</v>
      </c>
      <c r="O5">
        <v>16.870800323809501</v>
      </c>
      <c r="P5">
        <v>-11.769417352209301</v>
      </c>
      <c r="Q5">
        <v>-11.769417352209301</v>
      </c>
      <c r="R5">
        <v>8.2795815957761203</v>
      </c>
      <c r="S5">
        <v>8.2795815957761203</v>
      </c>
      <c r="T5">
        <v>0.57884400970415195</v>
      </c>
      <c r="U5">
        <v>0.57884400970415195</v>
      </c>
      <c r="V5">
        <v>0.641768363787528</v>
      </c>
      <c r="W5">
        <v>0.641768363787528</v>
      </c>
    </row>
    <row r="6" spans="3:23">
      <c r="C6" t="s">
        <v>580</v>
      </c>
      <c r="D6">
        <v>130.705400589666</v>
      </c>
      <c r="E6">
        <v>130.705400589666</v>
      </c>
      <c r="F6">
        <v>-10.7747624472113</v>
      </c>
      <c r="G6">
        <v>-10.7747624472113</v>
      </c>
      <c r="H6">
        <v>10.767125675466399</v>
      </c>
      <c r="I6">
        <v>10.767125675466399</v>
      </c>
      <c r="J6">
        <v>2.8786425450748401</v>
      </c>
      <c r="K6">
        <v>2.8786425450748401</v>
      </c>
      <c r="L6">
        <v>1.69300169396792</v>
      </c>
      <c r="M6">
        <v>1.69300169396792</v>
      </c>
      <c r="N6">
        <v>22.7189908397709</v>
      </c>
      <c r="O6">
        <v>22.7189908397709</v>
      </c>
      <c r="P6">
        <v>-15.849250647146899</v>
      </c>
      <c r="Q6">
        <v>-15.849250647146899</v>
      </c>
      <c r="R6">
        <v>11.149671605674699</v>
      </c>
      <c r="S6">
        <v>11.149671605674699</v>
      </c>
      <c r="T6">
        <v>0.77949848700267499</v>
      </c>
      <c r="U6">
        <v>0.77949848700267499</v>
      </c>
      <c r="V6">
        <v>0.86423537703313402</v>
      </c>
      <c r="W6">
        <v>0.86423537703313402</v>
      </c>
    </row>
    <row r="7" spans="3:23">
      <c r="C7" t="s">
        <v>581</v>
      </c>
      <c r="D7">
        <v>199.70877423323699</v>
      </c>
      <c r="E7">
        <v>199.70877423323699</v>
      </c>
      <c r="F7">
        <v>-16.461878725598499</v>
      </c>
      <c r="G7">
        <v>-16.461878725598499</v>
      </c>
      <c r="H7">
        <v>16.450410035733299</v>
      </c>
      <c r="I7">
        <v>16.450410035733299</v>
      </c>
      <c r="J7">
        <v>4.39806925287151</v>
      </c>
      <c r="K7">
        <v>4.39806925287151</v>
      </c>
      <c r="L7">
        <v>2.58661332797316</v>
      </c>
      <c r="M7">
        <v>2.58661332797316</v>
      </c>
      <c r="N7">
        <v>34.710731415757898</v>
      </c>
      <c r="O7">
        <v>34.710731415757898</v>
      </c>
      <c r="P7">
        <v>-24.214889067315699</v>
      </c>
      <c r="Q7">
        <v>-24.214889067315699</v>
      </c>
      <c r="R7">
        <v>17.034760192177401</v>
      </c>
      <c r="S7">
        <v>17.034760192177401</v>
      </c>
      <c r="T7">
        <v>1.19093791570054</v>
      </c>
      <c r="U7">
        <v>1.19093791570054</v>
      </c>
      <c r="V7">
        <v>1.32040110398294</v>
      </c>
      <c r="W7">
        <v>1.32040110398294</v>
      </c>
    </row>
    <row r="8" spans="3:23">
      <c r="C8" t="s">
        <v>582</v>
      </c>
      <c r="D8">
        <v>4.5122120153962397</v>
      </c>
      <c r="E8">
        <v>4.5122120153962397</v>
      </c>
      <c r="F8">
        <v>-0.40097079229971699</v>
      </c>
      <c r="G8">
        <v>-0.40097079229971699</v>
      </c>
      <c r="H8">
        <v>0.38936126626996298</v>
      </c>
      <c r="I8">
        <v>0.38936126626996298</v>
      </c>
      <c r="J8">
        <v>0.10861863716213201</v>
      </c>
      <c r="K8">
        <v>0.10861863716213201</v>
      </c>
      <c r="L8">
        <v>6.4369249652361002E-2</v>
      </c>
      <c r="M8">
        <v>6.4369249652361002E-2</v>
      </c>
      <c r="N8">
        <v>1.4028284346734501</v>
      </c>
      <c r="O8">
        <v>1.4028284346734501</v>
      </c>
      <c r="P8">
        <v>-1.0402973134433999</v>
      </c>
      <c r="Q8">
        <v>-1.0402973134433999</v>
      </c>
      <c r="R8">
        <v>0.70636498474410403</v>
      </c>
      <c r="S8">
        <v>0.70636498474410403</v>
      </c>
      <c r="T8">
        <v>4.8871354538311103E-2</v>
      </c>
      <c r="U8">
        <v>4.8871354538311103E-2</v>
      </c>
      <c r="V8">
        <v>5.5795333861005297E-2</v>
      </c>
      <c r="W8">
        <v>5.5795333861005297E-2</v>
      </c>
    </row>
    <row r="9" spans="3:23">
      <c r="C9" t="s">
        <v>583</v>
      </c>
      <c r="D9">
        <v>2.7064633689660802</v>
      </c>
      <c r="E9">
        <v>2.7064633689660802</v>
      </c>
      <c r="F9">
        <v>-0.27186350774430701</v>
      </c>
      <c r="G9">
        <v>-0.27186350774430701</v>
      </c>
      <c r="H9">
        <v>0.28805805193857598</v>
      </c>
      <c r="I9">
        <v>0.28805805193857598</v>
      </c>
      <c r="J9">
        <v>6.6288161322628894E-2</v>
      </c>
      <c r="K9">
        <v>6.6288161322628894E-2</v>
      </c>
      <c r="L9">
        <v>3.7603203795824498E-2</v>
      </c>
      <c r="M9">
        <v>3.7603203795824498E-2</v>
      </c>
      <c r="N9">
        <v>0.79300641857674703</v>
      </c>
      <c r="O9">
        <v>0.79300641857674703</v>
      </c>
      <c r="P9">
        <v>-0.57364790098255103</v>
      </c>
      <c r="Q9">
        <v>-0.57364790098255103</v>
      </c>
      <c r="R9">
        <v>0.40002658898951499</v>
      </c>
      <c r="S9">
        <v>0.40002658898951499</v>
      </c>
      <c r="T9">
        <v>2.7532570974627999E-2</v>
      </c>
      <c r="U9">
        <v>2.7532570974627999E-2</v>
      </c>
      <c r="V9">
        <v>3.1162977091776799E-2</v>
      </c>
      <c r="W9">
        <v>3.1162977091776799E-2</v>
      </c>
    </row>
    <row r="10" spans="3:23">
      <c r="C10" t="s">
        <v>584</v>
      </c>
      <c r="D10">
        <v>2.2119530266007201</v>
      </c>
      <c r="E10">
        <v>2.2119530266007201</v>
      </c>
      <c r="F10">
        <v>-0.21350714590628</v>
      </c>
      <c r="G10">
        <v>-0.21350714590628</v>
      </c>
      <c r="H10">
        <v>0.21516724318449701</v>
      </c>
      <c r="I10">
        <v>0.21516724318449701</v>
      </c>
      <c r="J10">
        <v>5.2158201156745299E-2</v>
      </c>
      <c r="K10">
        <v>5.2158201156745299E-2</v>
      </c>
      <c r="L10">
        <v>2.9773572610498001E-2</v>
      </c>
      <c r="M10">
        <v>2.9773572610498001E-2</v>
      </c>
      <c r="N10">
        <v>0.61468239728846696</v>
      </c>
      <c r="O10">
        <v>0.61468239728846696</v>
      </c>
      <c r="P10">
        <v>-0.435510144077705</v>
      </c>
      <c r="Q10">
        <v>-0.435510144077705</v>
      </c>
      <c r="R10">
        <v>0.309407358964636</v>
      </c>
      <c r="S10">
        <v>0.309407358964636</v>
      </c>
      <c r="T10">
        <v>2.1372630188411301E-2</v>
      </c>
      <c r="U10">
        <v>2.1372630188411301E-2</v>
      </c>
      <c r="V10">
        <v>2.3855998970305398E-2</v>
      </c>
      <c r="W10">
        <v>2.3855998970305398E-2</v>
      </c>
    </row>
    <row r="11" spans="3:23">
      <c r="C11" t="s">
        <v>585</v>
      </c>
      <c r="D11">
        <v>0.140713362346677</v>
      </c>
      <c r="E11">
        <v>0.140713362346677</v>
      </c>
      <c r="F11">
        <v>-1.2006010549441301E-2</v>
      </c>
      <c r="G11">
        <v>-1.2006010549441301E-2</v>
      </c>
      <c r="H11">
        <v>1.19111829243623E-2</v>
      </c>
      <c r="I11">
        <v>1.19111829243623E-2</v>
      </c>
      <c r="J11">
        <v>3.1164424434318998E-3</v>
      </c>
      <c r="K11">
        <v>3.1164424434318998E-3</v>
      </c>
      <c r="L11">
        <v>1.8426325676703E-3</v>
      </c>
      <c r="M11">
        <v>1.8426325676703E-3</v>
      </c>
      <c r="N11">
        <v>5.7666773591256597E-2</v>
      </c>
      <c r="O11">
        <v>5.7666773591256597E-2</v>
      </c>
      <c r="P11">
        <v>-4.3979466339116799E-2</v>
      </c>
      <c r="Q11">
        <v>-4.3979466339116799E-2</v>
      </c>
      <c r="R11">
        <v>3.03919546389727E-2</v>
      </c>
      <c r="S11">
        <v>3.03919546389727E-2</v>
      </c>
      <c r="T11">
        <v>2.0483848196058002E-3</v>
      </c>
      <c r="U11">
        <v>2.0483848196058002E-3</v>
      </c>
      <c r="V11">
        <v>2.3788591842592698E-3</v>
      </c>
      <c r="W11">
        <v>2.3788591842592698E-3</v>
      </c>
    </row>
    <row r="12" spans="3:23">
      <c r="C12" t="s">
        <v>586</v>
      </c>
      <c r="D12">
        <v>0.34497529868884402</v>
      </c>
      <c r="E12">
        <v>0.34497529868884402</v>
      </c>
      <c r="F12">
        <v>-2.9933650481068701E-2</v>
      </c>
      <c r="G12">
        <v>-2.9933650481068701E-2</v>
      </c>
      <c r="H12">
        <v>3.0111755154329199E-2</v>
      </c>
      <c r="I12">
        <v>3.0111755154329199E-2</v>
      </c>
      <c r="J12">
        <v>7.8843378892586996E-3</v>
      </c>
      <c r="K12">
        <v>7.8843378892586996E-3</v>
      </c>
      <c r="L12">
        <v>4.6768597159752004E-3</v>
      </c>
      <c r="M12">
        <v>4.6768597159752004E-3</v>
      </c>
      <c r="N12">
        <v>0.142407927220637</v>
      </c>
      <c r="O12">
        <v>0.142407927220637</v>
      </c>
      <c r="P12">
        <v>-0.10924258891675</v>
      </c>
      <c r="Q12">
        <v>-0.10924258891675</v>
      </c>
      <c r="R12">
        <v>7.5246048219503994E-2</v>
      </c>
      <c r="S12">
        <v>7.5246048219503994E-2</v>
      </c>
      <c r="T12">
        <v>5.0553417349037399E-3</v>
      </c>
      <c r="U12">
        <v>5.0553417349037399E-3</v>
      </c>
      <c r="V12">
        <v>5.8956147376390796E-3</v>
      </c>
      <c r="W12">
        <v>5.8956147376390796E-3</v>
      </c>
    </row>
    <row r="13" spans="3:23">
      <c r="C13" t="s">
        <v>587</v>
      </c>
      <c r="D13">
        <v>299.13908344604999</v>
      </c>
      <c r="E13">
        <v>299.13908344604999</v>
      </c>
      <c r="F13">
        <v>-24.727858634158402</v>
      </c>
      <c r="G13">
        <v>-24.727858634158402</v>
      </c>
      <c r="H13">
        <v>24.653322031511699</v>
      </c>
      <c r="I13">
        <v>24.653322031511699</v>
      </c>
      <c r="J13">
        <v>6.6082783153928704</v>
      </c>
      <c r="K13">
        <v>6.6082783153928704</v>
      </c>
      <c r="L13">
        <v>3.8886325815082601</v>
      </c>
      <c r="M13">
        <v>3.8886325815082601</v>
      </c>
      <c r="N13">
        <v>51.383568863026703</v>
      </c>
      <c r="O13">
        <v>51.383568863026703</v>
      </c>
      <c r="P13">
        <v>-35.831062631765001</v>
      </c>
      <c r="Q13">
        <v>-35.831062631765001</v>
      </c>
      <c r="R13">
        <v>25.2032611322919</v>
      </c>
      <c r="S13">
        <v>25.2032611322919</v>
      </c>
      <c r="T13">
        <v>1.7622979205846101</v>
      </c>
      <c r="U13">
        <v>1.7622979205846101</v>
      </c>
      <c r="V13">
        <v>1.95431600857274</v>
      </c>
      <c r="W13">
        <v>1.95431600857274</v>
      </c>
    </row>
    <row r="14" spans="3:23">
      <c r="C14" t="s">
        <v>588</v>
      </c>
      <c r="D14">
        <v>11635.040513322099</v>
      </c>
      <c r="E14">
        <v>11635.040513322099</v>
      </c>
      <c r="F14">
        <v>-934.69807713702096</v>
      </c>
      <c r="G14">
        <v>-934.69807713702096</v>
      </c>
      <c r="H14">
        <v>933.12178385054494</v>
      </c>
      <c r="I14">
        <v>933.12178385054494</v>
      </c>
      <c r="J14">
        <v>252.39263018642001</v>
      </c>
      <c r="K14">
        <v>252.39263018642001</v>
      </c>
      <c r="L14">
        <v>148.61548486514101</v>
      </c>
      <c r="M14">
        <v>148.61548486514101</v>
      </c>
      <c r="N14">
        <v>2002.85608890716</v>
      </c>
      <c r="O14">
        <v>2002.85608890716</v>
      </c>
      <c r="P14">
        <v>-1406.94487816642</v>
      </c>
      <c r="Q14">
        <v>-1406.94487816642</v>
      </c>
      <c r="R14">
        <v>982.14421171952597</v>
      </c>
      <c r="S14">
        <v>982.14421171952597</v>
      </c>
      <c r="T14">
        <v>68.646028744467998</v>
      </c>
      <c r="U14">
        <v>68.646028744467998</v>
      </c>
      <c r="V14">
        <v>76.405759273376901</v>
      </c>
      <c r="W14">
        <v>76.405759273376901</v>
      </c>
    </row>
    <row r="15" spans="3:23">
      <c r="C15" t="s">
        <v>589</v>
      </c>
      <c r="D15">
        <v>14.2063633809384</v>
      </c>
      <c r="E15">
        <v>14.2063633809384</v>
      </c>
      <c r="F15">
        <v>-1.2633059434612799</v>
      </c>
      <c r="G15">
        <v>-1.2633059434612799</v>
      </c>
      <c r="H15">
        <v>1.2687865679347801</v>
      </c>
      <c r="I15">
        <v>1.2687865679347801</v>
      </c>
      <c r="J15">
        <v>0.318116109287225</v>
      </c>
      <c r="K15">
        <v>0.318116109287225</v>
      </c>
      <c r="L15">
        <v>0.185322612751423</v>
      </c>
      <c r="M15">
        <v>0.185322612751423</v>
      </c>
      <c r="N15">
        <v>3.2074781576795401</v>
      </c>
      <c r="O15">
        <v>3.2074781576795401</v>
      </c>
      <c r="P15">
        <v>-2.2748162357839199</v>
      </c>
      <c r="Q15">
        <v>-2.2748162357839199</v>
      </c>
      <c r="R15">
        <v>1.58031965536643</v>
      </c>
      <c r="S15">
        <v>1.58031965536643</v>
      </c>
      <c r="T15">
        <v>0.11045796833516899</v>
      </c>
      <c r="U15">
        <v>0.11045796833516899</v>
      </c>
      <c r="V15">
        <v>0.12257358164255699</v>
      </c>
      <c r="W15">
        <v>0.12257358164255699</v>
      </c>
    </row>
    <row r="16" spans="3:23">
      <c r="C16" t="s">
        <v>590</v>
      </c>
      <c r="D16">
        <v>32.086221433420398</v>
      </c>
      <c r="E16">
        <v>32.086221433420398</v>
      </c>
      <c r="F16">
        <v>-2.85342595730976</v>
      </c>
      <c r="G16">
        <v>-2.85342595730976</v>
      </c>
      <c r="H16">
        <v>2.8645108181536099</v>
      </c>
      <c r="I16">
        <v>2.8645108181536099</v>
      </c>
      <c r="J16">
        <v>0.71853505656491501</v>
      </c>
      <c r="K16">
        <v>0.71853505656491501</v>
      </c>
      <c r="L16">
        <v>0.418618570551194</v>
      </c>
      <c r="M16">
        <v>0.418618570551194</v>
      </c>
      <c r="N16">
        <v>7.2511589610305798</v>
      </c>
      <c r="O16">
        <v>7.2511589610305798</v>
      </c>
      <c r="P16">
        <v>-5.1427205733039401</v>
      </c>
      <c r="Q16">
        <v>-5.1427205733039401</v>
      </c>
      <c r="R16">
        <v>3.5726985083568401</v>
      </c>
      <c r="S16">
        <v>3.5726985083568401</v>
      </c>
      <c r="T16">
        <v>0.24970405041163701</v>
      </c>
      <c r="U16">
        <v>0.24970405041163701</v>
      </c>
      <c r="V16">
        <v>0.27711620096296802</v>
      </c>
      <c r="W16">
        <v>0.27711620096296802</v>
      </c>
    </row>
    <row r="17" spans="1:26">
      <c r="C17" t="s">
        <v>591</v>
      </c>
      <c r="D17">
        <v>7.7606494133884596E-2</v>
      </c>
      <c r="E17">
        <v>7.7606494133884596E-2</v>
      </c>
      <c r="F17">
        <v>-6.0631759263166003E-3</v>
      </c>
      <c r="G17">
        <v>-6.0631759263166003E-3</v>
      </c>
      <c r="H17">
        <v>5.9490396271650002E-3</v>
      </c>
      <c r="I17">
        <v>5.9490396271650002E-3</v>
      </c>
      <c r="J17">
        <v>1.6718921643501001E-3</v>
      </c>
      <c r="K17">
        <v>1.6718921643501001E-3</v>
      </c>
      <c r="L17">
        <v>9.777696592273E-4</v>
      </c>
      <c r="M17">
        <v>9.777696592273E-4</v>
      </c>
      <c r="N17">
        <v>1.44301534098174E-2</v>
      </c>
      <c r="O17">
        <v>1.44301534098174E-2</v>
      </c>
      <c r="P17">
        <v>-1.03329194959704E-2</v>
      </c>
      <c r="Q17">
        <v>-1.03329194959704E-2</v>
      </c>
      <c r="R17">
        <v>7.2282528550585796E-3</v>
      </c>
      <c r="S17">
        <v>7.2282528550585796E-3</v>
      </c>
      <c r="T17">
        <v>4.9886278500620997E-4</v>
      </c>
      <c r="U17">
        <v>4.9886278500620997E-4</v>
      </c>
      <c r="V17">
        <v>5.6292914161052701E-4</v>
      </c>
      <c r="W17">
        <v>5.6292914161052701E-4</v>
      </c>
    </row>
    <row r="18" spans="1:26">
      <c r="C18" t="s">
        <v>592</v>
      </c>
      <c r="D18">
        <v>426.14295134941801</v>
      </c>
      <c r="E18">
        <v>426.14295134941801</v>
      </c>
      <c r="F18">
        <v>-35.203124676231603</v>
      </c>
      <c r="G18">
        <v>-35.203124676231603</v>
      </c>
      <c r="H18">
        <v>35.106459763564203</v>
      </c>
      <c r="I18">
        <v>35.106459763564203</v>
      </c>
      <c r="J18">
        <v>9.4063962210714003</v>
      </c>
      <c r="K18">
        <v>9.4063962210714003</v>
      </c>
      <c r="L18">
        <v>5.5349607499723401</v>
      </c>
      <c r="M18">
        <v>5.5349607499723401</v>
      </c>
      <c r="N18">
        <v>73.186468898653402</v>
      </c>
      <c r="O18">
        <v>73.186468898653402</v>
      </c>
      <c r="P18">
        <v>-51.036076621015397</v>
      </c>
      <c r="Q18">
        <v>-51.036076621015397</v>
      </c>
      <c r="R18">
        <v>35.896221626557001</v>
      </c>
      <c r="S18">
        <v>35.896221626557001</v>
      </c>
      <c r="T18">
        <v>2.5100871144382402</v>
      </c>
      <c r="U18">
        <v>2.5100871144382402</v>
      </c>
      <c r="V18">
        <v>2.7835341617687601</v>
      </c>
      <c r="W18">
        <v>2.7835341617687601</v>
      </c>
    </row>
    <row r="19" spans="1:26">
      <c r="C19" t="s">
        <v>593</v>
      </c>
      <c r="D19">
        <v>1987.41613361585</v>
      </c>
      <c r="E19">
        <v>1987.41613361585</v>
      </c>
      <c r="F19">
        <v>-158.67940475095</v>
      </c>
      <c r="G19">
        <v>-158.67940475095</v>
      </c>
      <c r="H19">
        <v>158.384526853647</v>
      </c>
      <c r="I19">
        <v>158.384526853647</v>
      </c>
      <c r="J19">
        <v>43.004571659433097</v>
      </c>
      <c r="K19">
        <v>43.004571659433097</v>
      </c>
      <c r="L19">
        <v>25.319856417132801</v>
      </c>
      <c r="M19">
        <v>25.319856417132801</v>
      </c>
      <c r="N19">
        <v>338.86753620016998</v>
      </c>
      <c r="O19">
        <v>338.86753620016998</v>
      </c>
      <c r="P19">
        <v>-238.29368835601201</v>
      </c>
      <c r="Q19">
        <v>-238.29368835601201</v>
      </c>
      <c r="R19">
        <v>166.301171137137</v>
      </c>
      <c r="S19">
        <v>166.301171137137</v>
      </c>
      <c r="T19">
        <v>11.6191302104949</v>
      </c>
      <c r="U19">
        <v>11.6191302104949</v>
      </c>
      <c r="V19">
        <v>12.9407362058827</v>
      </c>
      <c r="W19">
        <v>12.9407362058827</v>
      </c>
    </row>
    <row r="21" spans="1:26">
      <c r="A21" s="2" t="s">
        <v>632</v>
      </c>
      <c r="C21" s="2" t="s">
        <v>614</v>
      </c>
      <c r="D21" t="s">
        <v>594</v>
      </c>
      <c r="E21" t="s">
        <v>595</v>
      </c>
      <c r="F21" t="s">
        <v>596</v>
      </c>
      <c r="G21" t="s">
        <v>597</v>
      </c>
      <c r="H21" t="s">
        <v>598</v>
      </c>
      <c r="I21" t="s">
        <v>599</v>
      </c>
      <c r="J21" t="s">
        <v>600</v>
      </c>
      <c r="K21" t="s">
        <v>601</v>
      </c>
      <c r="L21" t="s">
        <v>602</v>
      </c>
      <c r="M21" t="s">
        <v>603</v>
      </c>
      <c r="N21" t="s">
        <v>604</v>
      </c>
      <c r="O21" t="s">
        <v>605</v>
      </c>
      <c r="P21" t="s">
        <v>606</v>
      </c>
      <c r="Q21" t="s">
        <v>607</v>
      </c>
      <c r="R21" t="s">
        <v>608</v>
      </c>
      <c r="S21" t="s">
        <v>609</v>
      </c>
      <c r="T21" t="s">
        <v>610</v>
      </c>
      <c r="U21" t="s">
        <v>611</v>
      </c>
      <c r="V21" t="s">
        <v>612</v>
      </c>
      <c r="W21" t="s">
        <v>613</v>
      </c>
    </row>
    <row r="22" spans="1:26">
      <c r="A22" t="s">
        <v>633</v>
      </c>
      <c r="B22" s="143">
        <f>(D24+H24+J24+L24)/1000000</f>
        <v>297.70607728851917</v>
      </c>
      <c r="C22" t="s">
        <v>615</v>
      </c>
      <c r="D22">
        <v>163050180.92085001</v>
      </c>
      <c r="E22">
        <v>163050180.92085001</v>
      </c>
      <c r="F22">
        <v>-14479087.9433647</v>
      </c>
      <c r="G22">
        <v>-14479087.9433647</v>
      </c>
      <c r="H22">
        <v>14540408.377551701</v>
      </c>
      <c r="I22">
        <v>14540408.377551701</v>
      </c>
      <c r="J22">
        <v>3650140.5487134899</v>
      </c>
      <c r="K22">
        <v>3650140.5487134899</v>
      </c>
      <c r="L22">
        <v>2126660.5209420999</v>
      </c>
      <c r="M22">
        <v>2126660.5209420999</v>
      </c>
      <c r="N22">
        <v>36716241.648110203</v>
      </c>
      <c r="O22">
        <v>36716241.648110203</v>
      </c>
      <c r="P22">
        <v>-26040870.4552022</v>
      </c>
      <c r="Q22">
        <v>-26040870.4552022</v>
      </c>
      <c r="R22">
        <v>18092509.9371957</v>
      </c>
      <c r="S22">
        <v>18092509.9371957</v>
      </c>
      <c r="T22">
        <v>1264452.8788972001</v>
      </c>
      <c r="U22">
        <v>1264452.8788972001</v>
      </c>
      <c r="V22">
        <v>1403366.7767463999</v>
      </c>
      <c r="W22">
        <v>1403366.7767463999</v>
      </c>
    </row>
    <row r="23" spans="1:26">
      <c r="A23" t="s">
        <v>634</v>
      </c>
      <c r="B23" s="143">
        <f>(N24+R24+T24+V24)/1000000</f>
        <v>93.512577712638631</v>
      </c>
      <c r="C23" t="s">
        <v>616</v>
      </c>
      <c r="D23">
        <v>366358713.71397001</v>
      </c>
      <c r="E23">
        <v>366358713.71397001</v>
      </c>
      <c r="F23">
        <v>-32569037.230402101</v>
      </c>
      <c r="G23">
        <v>-32569037.230402101</v>
      </c>
      <c r="H23">
        <v>32696191.977077499</v>
      </c>
      <c r="I23">
        <v>32696191.977077499</v>
      </c>
      <c r="J23">
        <v>8207546.1756707802</v>
      </c>
      <c r="K23">
        <v>8207546.1756707802</v>
      </c>
      <c r="L23">
        <v>4782312.34226273</v>
      </c>
      <c r="M23">
        <v>4782312.34226273</v>
      </c>
      <c r="N23">
        <v>82754006.954878196</v>
      </c>
      <c r="O23">
        <v>82754006.954878196</v>
      </c>
      <c r="P23">
        <v>-58696866.047402598</v>
      </c>
      <c r="Q23">
        <v>-58696866.047402598</v>
      </c>
      <c r="R23">
        <v>40781284.3915089</v>
      </c>
      <c r="S23">
        <v>40781284.3915089</v>
      </c>
      <c r="T23">
        <v>2849986.2802242199</v>
      </c>
      <c r="U23">
        <v>2849986.2802242199</v>
      </c>
      <c r="V23">
        <v>3163306.5577166402</v>
      </c>
      <c r="W23">
        <v>3163306.5577166402</v>
      </c>
    </row>
    <row r="24" spans="1:26">
      <c r="A24" t="s">
        <v>635</v>
      </c>
      <c r="B24" s="143">
        <f>F24/1000000</f>
        <v>-23.524062586883399</v>
      </c>
      <c r="C24" t="s">
        <v>617</v>
      </c>
      <c r="D24">
        <v>264704447.31740999</v>
      </c>
      <c r="E24">
        <v>264704447.31740999</v>
      </c>
      <c r="F24">
        <v>-23524062.5868834</v>
      </c>
      <c r="G24">
        <v>-23524062.5868834</v>
      </c>
      <c r="H24">
        <v>23618300.177314602</v>
      </c>
      <c r="I24">
        <v>23618300.177314602</v>
      </c>
      <c r="J24">
        <v>5928843.36219214</v>
      </c>
      <c r="K24">
        <v>5928843.36219214</v>
      </c>
      <c r="L24">
        <v>3454486.4316024198</v>
      </c>
      <c r="M24">
        <v>3454486.4316024198</v>
      </c>
      <c r="N24">
        <v>59735124.301494099</v>
      </c>
      <c r="O24">
        <v>59735124.301494099</v>
      </c>
      <c r="P24">
        <v>-42368868.251302399</v>
      </c>
      <c r="Q24">
        <v>-42368868.251302399</v>
      </c>
      <c r="R24">
        <v>29436897.164352302</v>
      </c>
      <c r="S24">
        <v>29436897.164352302</v>
      </c>
      <c r="T24">
        <v>2057219.5795607099</v>
      </c>
      <c r="U24">
        <v>2057219.5795607099</v>
      </c>
      <c r="V24">
        <v>2283336.6672315202</v>
      </c>
      <c r="W24">
        <v>2283336.6672315202</v>
      </c>
    </row>
    <row r="25" spans="1:26">
      <c r="A25" t="s">
        <v>636</v>
      </c>
      <c r="B25" s="143">
        <f>P24/1000000</f>
        <v>-42.368868251302402</v>
      </c>
      <c r="C25" t="s">
        <v>618</v>
      </c>
      <c r="D25">
        <v>14684.528659332</v>
      </c>
      <c r="E25">
        <v>14684.528659332</v>
      </c>
      <c r="F25">
        <v>-1214.0304597536101</v>
      </c>
      <c r="G25">
        <v>-1214.0304597536101</v>
      </c>
      <c r="H25">
        <v>1210.22949709823</v>
      </c>
      <c r="I25">
        <v>1210.22949709823</v>
      </c>
      <c r="J25">
        <v>324.47163354843798</v>
      </c>
      <c r="K25">
        <v>324.47163354843798</v>
      </c>
      <c r="L25">
        <v>190.939124523327</v>
      </c>
      <c r="M25">
        <v>190.939124523327</v>
      </c>
      <c r="N25">
        <v>2521.7768195685599</v>
      </c>
      <c r="O25">
        <v>2521.7768195685599</v>
      </c>
      <c r="P25">
        <v>-1758.3722606163101</v>
      </c>
      <c r="Q25">
        <v>-1758.3722606163101</v>
      </c>
      <c r="R25">
        <v>1236.8938808324301</v>
      </c>
      <c r="S25">
        <v>1236.8938808324301</v>
      </c>
      <c r="T25">
        <v>86.486104513721102</v>
      </c>
      <c r="U25">
        <v>86.486104513721102</v>
      </c>
      <c r="V25">
        <v>95.908499418518304</v>
      </c>
      <c r="W25">
        <v>95.908499418518304</v>
      </c>
    </row>
    <row r="26" spans="1:26">
      <c r="A26" t="s">
        <v>637</v>
      </c>
      <c r="B26" s="143">
        <f>SUM(B22:B25)</f>
        <v>325.32572416297199</v>
      </c>
      <c r="C26" t="s">
        <v>619</v>
      </c>
      <c r="D26">
        <v>2005590.81144708</v>
      </c>
      <c r="E26">
        <v>2005590.81144708</v>
      </c>
      <c r="F26">
        <v>-188414.49259553099</v>
      </c>
      <c r="G26">
        <v>-188414.49259553099</v>
      </c>
      <c r="H26">
        <v>191411.72090335301</v>
      </c>
      <c r="I26">
        <v>191411.72090335301</v>
      </c>
      <c r="J26">
        <v>49746.359950042803</v>
      </c>
      <c r="K26">
        <v>49746.359950042803</v>
      </c>
      <c r="L26">
        <v>29400.653169983401</v>
      </c>
      <c r="M26">
        <v>29400.653169983401</v>
      </c>
      <c r="N26">
        <v>518322.10116971302</v>
      </c>
      <c r="O26">
        <v>518322.10116971302</v>
      </c>
      <c r="P26">
        <v>-372739.93129543698</v>
      </c>
      <c r="Q26">
        <v>-372739.93129543698</v>
      </c>
      <c r="R26">
        <v>261339.76593455201</v>
      </c>
      <c r="S26">
        <v>261339.76593455201</v>
      </c>
      <c r="T26">
        <v>18073.7821530236</v>
      </c>
      <c r="U26">
        <v>18073.7821530236</v>
      </c>
      <c r="V26">
        <v>20318.6428135561</v>
      </c>
      <c r="W26">
        <v>20318.6428135561</v>
      </c>
      <c r="X26" s="3"/>
    </row>
    <row r="27" spans="1:26">
      <c r="A27" t="s">
        <v>638</v>
      </c>
      <c r="C27" t="s">
        <v>620</v>
      </c>
      <c r="D27">
        <v>216075.826060886</v>
      </c>
      <c r="E27">
        <v>216075.826060886</v>
      </c>
      <c r="F27">
        <v>-20275.4596771365</v>
      </c>
      <c r="G27">
        <v>-20275.4596771365</v>
      </c>
      <c r="H27">
        <v>20602.199594145401</v>
      </c>
      <c r="I27">
        <v>20602.199594145401</v>
      </c>
      <c r="J27">
        <v>5353.7966398467897</v>
      </c>
      <c r="K27">
        <v>5353.7966398467897</v>
      </c>
      <c r="L27">
        <v>3164.1290137628498</v>
      </c>
      <c r="M27">
        <v>3164.1290137628498</v>
      </c>
      <c r="N27">
        <v>55783.478383808397</v>
      </c>
      <c r="O27">
        <v>55783.478383808397</v>
      </c>
      <c r="P27">
        <v>-40114.220845797303</v>
      </c>
      <c r="Q27">
        <v>-40114.220845797303</v>
      </c>
      <c r="R27">
        <v>28125.550243772199</v>
      </c>
      <c r="S27">
        <v>28125.550243772199</v>
      </c>
      <c r="T27">
        <v>1945.10491623143</v>
      </c>
      <c r="U27">
        <v>1945.10491623143</v>
      </c>
      <c r="V27">
        <v>2186.6974242240099</v>
      </c>
      <c r="W27">
        <v>2186.6974242240099</v>
      </c>
    </row>
    <row r="28" spans="1:26">
      <c r="A28" t="s">
        <v>639</v>
      </c>
      <c r="C28" t="s">
        <v>621</v>
      </c>
      <c r="D28">
        <v>32105.209416545698</v>
      </c>
      <c r="E28">
        <v>32105.209416545698</v>
      </c>
      <c r="F28">
        <v>-2646.4985547987999</v>
      </c>
      <c r="G28">
        <v>-2646.4985547987999</v>
      </c>
      <c r="H28">
        <v>2644.6408588065401</v>
      </c>
      <c r="I28">
        <v>2644.6408588065401</v>
      </c>
      <c r="J28">
        <v>707.05497316494905</v>
      </c>
      <c r="K28">
        <v>707.05497316494905</v>
      </c>
      <c r="L28">
        <v>415.83660666127503</v>
      </c>
      <c r="M28">
        <v>415.83660666127503</v>
      </c>
      <c r="N28">
        <v>5580.2634953373599</v>
      </c>
      <c r="O28">
        <v>5580.2634953373599</v>
      </c>
      <c r="P28">
        <v>-3892.9054102382602</v>
      </c>
      <c r="Q28">
        <v>-3892.9054102382602</v>
      </c>
      <c r="R28">
        <v>2738.5918129536999</v>
      </c>
      <c r="S28">
        <v>2738.5918129536999</v>
      </c>
      <c r="T28">
        <v>191.46105479333801</v>
      </c>
      <c r="U28">
        <v>191.46105479333801</v>
      </c>
      <c r="V28">
        <v>212.27419715200099</v>
      </c>
      <c r="W28">
        <v>212.27419715200099</v>
      </c>
      <c r="Y28" s="3"/>
    </row>
    <row r="29" spans="1:26">
      <c r="C29" t="s">
        <v>622</v>
      </c>
      <c r="D29">
        <v>2542.1581143568101</v>
      </c>
      <c r="E29">
        <v>2542.1581143568101</v>
      </c>
      <c r="F29">
        <v>-225.904977089433</v>
      </c>
      <c r="G29">
        <v>-225.904977089433</v>
      </c>
      <c r="H29">
        <v>219.36422712986101</v>
      </c>
      <c r="I29">
        <v>219.36422712986101</v>
      </c>
      <c r="J29">
        <v>61.1952072656062</v>
      </c>
      <c r="K29">
        <v>61.1952072656062</v>
      </c>
      <c r="L29">
        <v>36.265319441398702</v>
      </c>
      <c r="M29">
        <v>36.265319441398702</v>
      </c>
      <c r="N29">
        <v>790.34665744520601</v>
      </c>
      <c r="O29">
        <v>790.34665744520601</v>
      </c>
      <c r="P29">
        <v>-586.09840240198503</v>
      </c>
      <c r="Q29">
        <v>-586.09840240198503</v>
      </c>
      <c r="R29">
        <v>397.96256678187899</v>
      </c>
      <c r="S29">
        <v>397.96256678187899</v>
      </c>
      <c r="T29">
        <v>27.533881370365499</v>
      </c>
      <c r="U29">
        <v>27.533881370365499</v>
      </c>
      <c r="V29">
        <v>31.434817349765598</v>
      </c>
      <c r="W29">
        <v>31.434817349765598</v>
      </c>
      <c r="Y29" s="3"/>
      <c r="Z29" s="3"/>
    </row>
    <row r="30" spans="1:26">
      <c r="A30" s="2" t="s">
        <v>649</v>
      </c>
      <c r="C30" t="s">
        <v>623</v>
      </c>
      <c r="D30">
        <v>135591.955913821</v>
      </c>
      <c r="E30">
        <v>135591.955913821</v>
      </c>
      <c r="F30">
        <v>-13610.9257746722</v>
      </c>
      <c r="G30">
        <v>-13610.9257746722</v>
      </c>
      <c r="H30">
        <v>14414.885342596899</v>
      </c>
      <c r="I30">
        <v>14414.885342596899</v>
      </c>
      <c r="J30">
        <v>3319.6560586646001</v>
      </c>
      <c r="K30">
        <v>3319.6560586646001</v>
      </c>
      <c r="L30">
        <v>1884.16941131932</v>
      </c>
      <c r="M30">
        <v>1884.16941131932</v>
      </c>
      <c r="N30">
        <v>39847.618701477601</v>
      </c>
      <c r="O30">
        <v>39847.618701477601</v>
      </c>
      <c r="P30">
        <v>-28830.8758229704</v>
      </c>
      <c r="Q30">
        <v>-28830.8758229704</v>
      </c>
      <c r="R30">
        <v>20105.712676790801</v>
      </c>
      <c r="S30">
        <v>20105.712676790801</v>
      </c>
      <c r="T30">
        <v>1383.5994908351299</v>
      </c>
      <c r="U30">
        <v>1383.5994908351299</v>
      </c>
      <c r="V30">
        <v>1566.4102628396199</v>
      </c>
      <c r="W30">
        <v>1566.4102628396199</v>
      </c>
      <c r="Y30" s="3"/>
    </row>
    <row r="31" spans="1:26">
      <c r="A31" t="s">
        <v>650</v>
      </c>
      <c r="B31" s="143">
        <f>D24/1000000</f>
        <v>264.70444731740997</v>
      </c>
      <c r="C31" t="s">
        <v>624</v>
      </c>
      <c r="D31">
        <v>101431.989593374</v>
      </c>
      <c r="E31">
        <v>101431.989593374</v>
      </c>
      <c r="F31">
        <v>-9675.4163204997694</v>
      </c>
      <c r="G31">
        <v>-9675.4163204997694</v>
      </c>
      <c r="H31">
        <v>9745.6622373999508</v>
      </c>
      <c r="I31">
        <v>9745.6622373999508</v>
      </c>
      <c r="J31">
        <v>2381.5972578911201</v>
      </c>
      <c r="K31">
        <v>2381.5972578911201</v>
      </c>
      <c r="L31">
        <v>1365.16551881031</v>
      </c>
      <c r="M31">
        <v>1365.16551881031</v>
      </c>
      <c r="N31">
        <v>29718.940139679598</v>
      </c>
      <c r="O31">
        <v>29718.940139679598</v>
      </c>
      <c r="P31">
        <v>-21326.942869459901</v>
      </c>
      <c r="Q31">
        <v>-21326.942869459901</v>
      </c>
      <c r="R31">
        <v>15075.567391980099</v>
      </c>
      <c r="S31">
        <v>15075.567391980099</v>
      </c>
      <c r="T31">
        <v>1036.78602139657</v>
      </c>
      <c r="U31">
        <v>1036.78602139657</v>
      </c>
      <c r="V31">
        <v>1165.41644473472</v>
      </c>
      <c r="W31">
        <v>1165.41644473472</v>
      </c>
      <c r="Y31" s="3"/>
    </row>
    <row r="32" spans="1:26">
      <c r="A32" t="s">
        <v>651</v>
      </c>
      <c r="B32" s="143">
        <f>N24/1000000</f>
        <v>59.735124301494096</v>
      </c>
      <c r="C32" t="s">
        <v>625</v>
      </c>
      <c r="D32">
        <v>8175.9356962121301</v>
      </c>
      <c r="E32">
        <v>8175.9356962121301</v>
      </c>
      <c r="F32">
        <v>-675.85077740055704</v>
      </c>
      <c r="G32">
        <v>-675.85077740055704</v>
      </c>
      <c r="H32">
        <v>673.81357629920399</v>
      </c>
      <c r="I32">
        <v>673.81357629920399</v>
      </c>
      <c r="J32">
        <v>180.61450863229999</v>
      </c>
      <c r="K32">
        <v>180.61450863229999</v>
      </c>
      <c r="L32">
        <v>106.282367273284</v>
      </c>
      <c r="M32">
        <v>106.282367273284</v>
      </c>
      <c r="N32">
        <v>1404.3927327261499</v>
      </c>
      <c r="O32">
        <v>1404.3927327261499</v>
      </c>
      <c r="P32">
        <v>-979.31858528641601</v>
      </c>
      <c r="Q32">
        <v>-979.31858528641601</v>
      </c>
      <c r="R32">
        <v>688.84426594702995</v>
      </c>
      <c r="S32">
        <v>688.84426594702995</v>
      </c>
      <c r="T32">
        <v>48.166338915949098</v>
      </c>
      <c r="U32">
        <v>48.166338915949098</v>
      </c>
      <c r="V32">
        <v>53.414491453608697</v>
      </c>
      <c r="W32">
        <v>53.414491453608697</v>
      </c>
      <c r="Y32" s="3"/>
    </row>
    <row r="33" spans="1:23">
      <c r="A33" t="s">
        <v>652</v>
      </c>
      <c r="B33" s="143">
        <f>(F24+H24+J24+L24)/1000000</f>
        <v>9.4775673842257611</v>
      </c>
      <c r="C33" t="s">
        <v>626</v>
      </c>
      <c r="D33">
        <v>1032301.43358755</v>
      </c>
      <c r="E33">
        <v>1032301.43358755</v>
      </c>
      <c r="F33">
        <v>-82929.678147254395</v>
      </c>
      <c r="G33">
        <v>-82929.678147254395</v>
      </c>
      <c r="H33">
        <v>82789.823901150099</v>
      </c>
      <c r="I33">
        <v>82789.823901150099</v>
      </c>
      <c r="J33">
        <v>22393.155715276502</v>
      </c>
      <c r="K33">
        <v>22393.155715276502</v>
      </c>
      <c r="L33">
        <v>13185.6849062048</v>
      </c>
      <c r="M33">
        <v>13185.6849062048</v>
      </c>
      <c r="N33">
        <v>177700.38784833299</v>
      </c>
      <c r="O33">
        <v>177700.38784833299</v>
      </c>
      <c r="P33">
        <v>-124829.063813474</v>
      </c>
      <c r="Q33">
        <v>-124829.063813474</v>
      </c>
      <c r="R33">
        <v>87139.264928806806</v>
      </c>
      <c r="S33">
        <v>87139.264928806806</v>
      </c>
      <c r="T33">
        <v>6090.5154392773902</v>
      </c>
      <c r="U33">
        <v>6090.5154392773902</v>
      </c>
      <c r="V33">
        <v>6778.9858352398196</v>
      </c>
      <c r="W33">
        <v>6778.9858352398196</v>
      </c>
    </row>
    <row r="34" spans="1:23">
      <c r="A34" t="s">
        <v>653</v>
      </c>
      <c r="B34" s="143">
        <f>(P24+R24+T24+V24)/1000000</f>
        <v>-8.5914148401578672</v>
      </c>
      <c r="C34" t="s">
        <v>627</v>
      </c>
      <c r="D34">
        <v>160116058.345835</v>
      </c>
      <c r="E34">
        <v>160116058.345835</v>
      </c>
      <c r="F34">
        <v>-14238377.741575601</v>
      </c>
      <c r="G34">
        <v>-14238377.741575601</v>
      </c>
      <c r="H34">
        <v>14300148.369599</v>
      </c>
      <c r="I34">
        <v>14300148.369599</v>
      </c>
      <c r="J34">
        <v>3585400.1583351898</v>
      </c>
      <c r="K34">
        <v>3585400.1583351898</v>
      </c>
      <c r="L34">
        <v>2088720.7711386699</v>
      </c>
      <c r="M34">
        <v>2088720.7711386699</v>
      </c>
      <c r="N34">
        <v>36150614.064054802</v>
      </c>
      <c r="O34">
        <v>36150614.064054802</v>
      </c>
      <c r="P34">
        <v>-25638835.1732269</v>
      </c>
      <c r="Q34">
        <v>-25638835.1732269</v>
      </c>
      <c r="R34">
        <v>17811353.0788076</v>
      </c>
      <c r="S34">
        <v>17811353.0788076</v>
      </c>
      <c r="T34">
        <v>1244941.7228373301</v>
      </c>
      <c r="U34">
        <v>1244941.7228373301</v>
      </c>
      <c r="V34">
        <v>1381493.5056689901</v>
      </c>
      <c r="W34">
        <v>1381493.5056689901</v>
      </c>
    </row>
    <row r="35" spans="1:23">
      <c r="A35" t="s">
        <v>654</v>
      </c>
      <c r="B35" s="143">
        <f>SUM(B31:B34)</f>
        <v>325.32572416297199</v>
      </c>
      <c r="C35" t="s">
        <v>628</v>
      </c>
      <c r="D35">
        <v>361635076.15356898</v>
      </c>
      <c r="E35">
        <v>361635076.15356898</v>
      </c>
      <c r="F35">
        <v>-32160187.9956946</v>
      </c>
      <c r="G35">
        <v>-32160187.9956946</v>
      </c>
      <c r="H35">
        <v>32285122.4478155</v>
      </c>
      <c r="I35">
        <v>32285122.4478155</v>
      </c>
      <c r="J35">
        <v>8098413.22198229</v>
      </c>
      <c r="K35">
        <v>8098413.22198229</v>
      </c>
      <c r="L35">
        <v>4718136.0683030803</v>
      </c>
      <c r="M35">
        <v>4718136.0683030803</v>
      </c>
      <c r="N35">
        <v>81725840.748036802</v>
      </c>
      <c r="O35">
        <v>81725840.748036802</v>
      </c>
      <c r="P35">
        <v>-57962205.0549777</v>
      </c>
      <c r="Q35">
        <v>-57962205.0549777</v>
      </c>
      <c r="R35">
        <v>40266913.317429997</v>
      </c>
      <c r="S35">
        <v>40266913.317429997</v>
      </c>
      <c r="T35">
        <v>2814346.44692756</v>
      </c>
      <c r="U35">
        <v>2814346.44692756</v>
      </c>
      <c r="V35">
        <v>3123301.3412498999</v>
      </c>
      <c r="W35">
        <v>3123301.3412498999</v>
      </c>
    </row>
    <row r="36" spans="1:23">
      <c r="C36" t="s">
        <v>629</v>
      </c>
      <c r="D36">
        <v>974931.96425865695</v>
      </c>
      <c r="E36">
        <v>974931.96425865695</v>
      </c>
      <c r="F36">
        <v>-76168.6773956369</v>
      </c>
      <c r="G36">
        <v>-76168.6773956369</v>
      </c>
      <c r="H36">
        <v>74734.839576172104</v>
      </c>
      <c r="I36">
        <v>74734.839576172104</v>
      </c>
      <c r="J36">
        <v>21003.153537726401</v>
      </c>
      <c r="K36">
        <v>21003.153537726401</v>
      </c>
      <c r="L36">
        <v>12283.236153132901</v>
      </c>
      <c r="M36">
        <v>12283.236153132901</v>
      </c>
      <c r="N36">
        <v>181278.873184486</v>
      </c>
      <c r="O36">
        <v>181278.873184486</v>
      </c>
      <c r="P36">
        <v>-129807.351989836</v>
      </c>
      <c r="Q36">
        <v>-129807.351989836</v>
      </c>
      <c r="R36">
        <v>90804.962043305699</v>
      </c>
      <c r="S36">
        <v>90804.962043305699</v>
      </c>
      <c r="T36">
        <v>6266.9661902597099</v>
      </c>
      <c r="U36">
        <v>6266.9661902597099</v>
      </c>
      <c r="V36">
        <v>7071.8001102070102</v>
      </c>
      <c r="W36">
        <v>7071.8001102070102</v>
      </c>
    </row>
    <row r="37" spans="1:23">
      <c r="C37" t="s">
        <v>630</v>
      </c>
      <c r="D37">
        <v>18426.5377751819</v>
      </c>
      <c r="E37">
        <v>18426.5377751819</v>
      </c>
      <c r="F37">
        <v>-1522.1927397765201</v>
      </c>
      <c r="G37">
        <v>-1522.1927397765201</v>
      </c>
      <c r="H37">
        <v>1518.0129225129399</v>
      </c>
      <c r="I37">
        <v>1518.0129225129399</v>
      </c>
      <c r="J37">
        <v>406.73514544132502</v>
      </c>
      <c r="K37">
        <v>406.73514544132502</v>
      </c>
      <c r="L37">
        <v>239.33321675403599</v>
      </c>
      <c r="M37">
        <v>239.33321675403599</v>
      </c>
      <c r="N37">
        <v>3164.6029331773402</v>
      </c>
      <c r="O37">
        <v>3164.6029331773402</v>
      </c>
      <c r="P37">
        <v>-2206.8139125059001</v>
      </c>
      <c r="Q37">
        <v>-2206.8139125059001</v>
      </c>
      <c r="R37">
        <v>1552.16244148481</v>
      </c>
      <c r="S37">
        <v>1552.16244148481</v>
      </c>
      <c r="T37">
        <v>108.536853388596</v>
      </c>
      <c r="U37">
        <v>108.536853388596</v>
      </c>
      <c r="V37">
        <v>120.360778508541</v>
      </c>
      <c r="W37">
        <v>120.360778508541</v>
      </c>
    </row>
    <row r="38" spans="1:23">
      <c r="C38" t="s">
        <v>631</v>
      </c>
      <c r="D38">
        <v>397855.035938885</v>
      </c>
      <c r="E38">
        <v>397855.035938885</v>
      </c>
      <c r="F38">
        <v>-31765.566965128099</v>
      </c>
      <c r="G38">
        <v>-31765.566965128099</v>
      </c>
      <c r="H38">
        <v>31706.536219405101</v>
      </c>
      <c r="I38">
        <v>31706.536219405101</v>
      </c>
      <c r="J38">
        <v>8608.9597008410001</v>
      </c>
      <c r="K38">
        <v>8608.9597008410001</v>
      </c>
      <c r="L38">
        <v>5068.7081655506599</v>
      </c>
      <c r="M38">
        <v>5068.7081655506599</v>
      </c>
      <c r="N38">
        <v>67836.903159355905</v>
      </c>
      <c r="O38">
        <v>67836.903159355905</v>
      </c>
      <c r="P38">
        <v>-47703.318062736398</v>
      </c>
      <c r="Q38">
        <v>-47703.318062736398</v>
      </c>
      <c r="R38">
        <v>33291.346135480802</v>
      </c>
      <c r="S38">
        <v>33291.346135480802</v>
      </c>
      <c r="T38">
        <v>2325.9997688881699</v>
      </c>
      <c r="U38">
        <v>2325.9997688881699</v>
      </c>
      <c r="V38">
        <v>2590.5682162799199</v>
      </c>
      <c r="W38">
        <v>2590.5682162799199</v>
      </c>
    </row>
  </sheetData>
  <sheetProtection algorithmName="SHA-512" hashValue="+blUHXTGjnOIX7PtrXlppZs3rwQnNzSBQh91XctiwLUeLPApfjpYRgDK6jOpuyyQn/6faDUNbr2IrgFaUGkHww==" saltValue="1tdmaangAxfAC9vrQJVH3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I89" workbookViewId="0">
      <selection activeCell="C108" sqref="C108:L108"/>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6"/>
    </row>
    <row r="2" spans="1:22">
      <c r="A2" s="2" t="s">
        <v>23</v>
      </c>
    </row>
    <row r="4" spans="1:22">
      <c r="A4" s="2" t="s">
        <v>18</v>
      </c>
      <c r="P4" s="2" t="s">
        <v>501</v>
      </c>
      <c r="R4" s="33" t="s">
        <v>507</v>
      </c>
      <c r="S4" s="296" t="s">
        <v>505</v>
      </c>
      <c r="T4" s="296"/>
      <c r="U4" s="296"/>
      <c r="V4" s="296"/>
    </row>
    <row r="5" spans="1:22" s="2" customFormat="1">
      <c r="A5" s="2" t="s">
        <v>19</v>
      </c>
      <c r="B5" s="2" t="s">
        <v>20</v>
      </c>
      <c r="C5" s="2" t="s">
        <v>2</v>
      </c>
      <c r="D5" s="2" t="s">
        <v>47</v>
      </c>
      <c r="E5" s="2" t="s">
        <v>22</v>
      </c>
      <c r="F5" s="2" t="s">
        <v>24</v>
      </c>
      <c r="G5" s="2" t="s">
        <v>115</v>
      </c>
      <c r="H5" s="2" t="s">
        <v>116</v>
      </c>
      <c r="I5" s="2" t="s">
        <v>117</v>
      </c>
      <c r="J5" s="7"/>
      <c r="K5" s="7"/>
      <c r="L5" s="7"/>
      <c r="M5" s="7"/>
      <c r="P5"/>
      <c r="Q5"/>
      <c r="R5" t="s">
        <v>506</v>
      </c>
      <c r="S5" s="29" t="s">
        <v>2</v>
      </c>
      <c r="T5" s="29" t="s">
        <v>210</v>
      </c>
      <c r="U5" t="s">
        <v>115</v>
      </c>
      <c r="V5" s="29" t="s">
        <v>116</v>
      </c>
    </row>
    <row r="6" spans="1:22">
      <c r="A6">
        <f>'Combined MOVES output'!P16</f>
        <v>2020</v>
      </c>
      <c r="B6" s="33" t="s">
        <v>109</v>
      </c>
      <c r="C6" s="3">
        <f>'Combined MOVES output'!R16/454/2000</f>
        <v>33435.681025843485</v>
      </c>
      <c r="D6" s="3">
        <f>'Combined MOVES output'!V16/454/2000</f>
        <v>26002385.002792317</v>
      </c>
      <c r="E6" s="3">
        <f>'Combined MOVES output'!W16</f>
        <v>276577031.24384129</v>
      </c>
      <c r="F6" s="3">
        <f>'Combined MOVES output'!AA16/454/2000</f>
        <v>953.38565323298906</v>
      </c>
      <c r="G6" s="3">
        <f>'Combined MOVES output'!AB16/454/2000</f>
        <v>28500.754911401844</v>
      </c>
      <c r="H6" s="3">
        <f>'Combined MOVES output'!AC16/454/2000</f>
        <v>267.65805468017925</v>
      </c>
      <c r="I6" s="3">
        <f>'Combined MOVES output'!AD16/454/2000</f>
        <v>1945.007083903984</v>
      </c>
      <c r="J6" s="33"/>
      <c r="K6" s="33"/>
      <c r="L6" s="33"/>
      <c r="M6" s="33"/>
      <c r="P6" s="2" t="s">
        <v>48</v>
      </c>
      <c r="Q6" s="235" t="s">
        <v>494</v>
      </c>
      <c r="R6" s="266">
        <f>'BAU Scenario'!O90*'BAU Scenario'!M90</f>
        <v>32947866.857945103</v>
      </c>
      <c r="S6" s="262">
        <f>$R6*'GREET factors'!J3/454/2000</f>
        <v>327.37096030080488</v>
      </c>
      <c r="T6" s="262">
        <f>$R6*'GREET factors'!K3/454/2000</f>
        <v>34.17521806658867</v>
      </c>
      <c r="U6" s="262">
        <f>$R6*'GREET factors'!L3/454/2000</f>
        <v>81.31372147317748</v>
      </c>
      <c r="V6" s="262">
        <f>$R6*'GREET factors'!M3/454/2000</f>
        <v>106.15353322020138</v>
      </c>
    </row>
    <row r="7" spans="1:22">
      <c r="A7">
        <v>2025</v>
      </c>
      <c r="B7" s="33" t="s">
        <v>109</v>
      </c>
      <c r="C7" s="3">
        <f>'Combined MOVES output'!R21/454/2000</f>
        <v>18109.716094460717</v>
      </c>
      <c r="D7" s="3">
        <f>'Combined MOVES output'!V21/454/2000</f>
        <v>24130903.186522894</v>
      </c>
      <c r="E7" s="3">
        <f>'Combined MOVES output'!W21</f>
        <v>272761188.4874143</v>
      </c>
      <c r="F7" s="3">
        <f>'Combined MOVES output'!AA21/454/2000</f>
        <v>816.09144631305662</v>
      </c>
      <c r="G7" s="3">
        <f>'Combined MOVES output'!AB21/454/2000</f>
        <v>22828.025873378054</v>
      </c>
      <c r="H7" s="3">
        <f>'Combined MOVES output'!AC21/454/2000</f>
        <v>262.1810258302869</v>
      </c>
      <c r="I7" s="3">
        <f>'Combined MOVES output'!AD21/454/2000</f>
        <v>1762.0747444184469</v>
      </c>
      <c r="J7" s="33"/>
      <c r="K7" s="33"/>
      <c r="L7" s="33"/>
      <c r="M7" s="33"/>
      <c r="Q7" s="235" t="s">
        <v>495</v>
      </c>
      <c r="R7" s="266">
        <f>R6</f>
        <v>32947866.857945103</v>
      </c>
      <c r="S7" s="262">
        <f>$R7*'GREET factors'!J4/454/2000</f>
        <v>14.408278931118126</v>
      </c>
      <c r="T7" s="262">
        <f>$R7*'GREET factors'!K4/454/2000</f>
        <v>6.7985706305391851</v>
      </c>
      <c r="U7" s="262">
        <f>$R7*'GREET factors'!L4/454/2000</f>
        <v>70.252822349593345</v>
      </c>
      <c r="V7" s="262">
        <f>$R7*'GREET factors'!M4/454/2000</f>
        <v>11.406544451412843</v>
      </c>
    </row>
    <row r="8" spans="1:22">
      <c r="A8">
        <f>'Combined MOVES output'!P26</f>
        <v>2030</v>
      </c>
      <c r="B8" s="33" t="s">
        <v>109</v>
      </c>
      <c r="C8" s="3">
        <f>'Combined MOVES output'!R26/454/2000</f>
        <v>9044.0085679377753</v>
      </c>
      <c r="D8" s="3">
        <f>'Combined MOVES output'!V26/454/2000</f>
        <v>22716487.901402455</v>
      </c>
      <c r="E8" s="3">
        <f>'Combined MOVES output'!W26</f>
        <v>269836571.75469929</v>
      </c>
      <c r="F8" s="3">
        <f>'Combined MOVES output'!AA26/454/2000</f>
        <v>738.34641938321238</v>
      </c>
      <c r="G8" s="3">
        <f>'Combined MOVES output'!AB26/454/2000</f>
        <v>18288.547624174011</v>
      </c>
      <c r="H8" s="3">
        <f>'Combined MOVES output'!AC26/454/2000</f>
        <v>257.9885831659123</v>
      </c>
      <c r="I8" s="3">
        <f>'Combined MOVES output'!AD26/454/2000</f>
        <v>1592.8665186364262</v>
      </c>
      <c r="J8" s="33"/>
      <c r="K8" s="33"/>
      <c r="L8" s="33"/>
      <c r="M8" s="33"/>
      <c r="Q8" s="235" t="s">
        <v>496</v>
      </c>
      <c r="R8" s="266">
        <f t="shared" ref="R8:R9" si="0">R7</f>
        <v>32947866.857945103</v>
      </c>
      <c r="S8" s="262">
        <f>$R8*'GREET factors'!J5/454/2000</f>
        <v>5.1108434561349121</v>
      </c>
      <c r="T8" s="262">
        <f>$R8*'GREET factors'!K5/454/2000</f>
        <v>2.5295566955847102</v>
      </c>
      <c r="U8" s="262">
        <f>$R8*'GREET factors'!L5/454/2000</f>
        <v>3.1744432135142642</v>
      </c>
      <c r="V8" s="262">
        <f>$R8*'GREET factors'!M5/454/2000</f>
        <v>12.485716677521644</v>
      </c>
    </row>
    <row r="9" spans="1:22">
      <c r="A9">
        <v>2035</v>
      </c>
      <c r="B9" s="33" t="s">
        <v>109</v>
      </c>
      <c r="C9" s="3">
        <f>'Combined MOVES output'!R31/454/2000</f>
        <v>5591.6564150483346</v>
      </c>
      <c r="D9" s="3">
        <f>'Combined MOVES output'!V31/454/2000</f>
        <v>21631339.222731255</v>
      </c>
      <c r="E9" s="3">
        <f>'Combined MOVES output'!W31</f>
        <v>256626507.75412884</v>
      </c>
      <c r="F9" s="3">
        <f>'Combined MOVES output'!AA31/454/2000</f>
        <v>762.66228645842193</v>
      </c>
      <c r="G9" s="3">
        <f>'Combined MOVES output'!AB31/454/2000</f>
        <v>17816.521652393214</v>
      </c>
      <c r="H9" s="3">
        <f>'Combined MOVES output'!AC31/454/2000</f>
        <v>247.96605281862838</v>
      </c>
      <c r="I9" s="3">
        <f>'Combined MOVES output'!AD31/454/2000</f>
        <v>1526.6636023842848</v>
      </c>
      <c r="J9" s="33"/>
      <c r="K9" s="33"/>
      <c r="L9" s="33"/>
      <c r="M9" s="33"/>
      <c r="Q9" s="235" t="s">
        <v>497</v>
      </c>
      <c r="R9" s="266">
        <f t="shared" si="0"/>
        <v>32947866.857945103</v>
      </c>
      <c r="S9" s="262">
        <f>$R9*'GREET factors'!J6/454/2000</f>
        <v>0</v>
      </c>
      <c r="T9" s="262">
        <f>$R9*'GREET factors'!K6/454/2000</f>
        <v>0</v>
      </c>
      <c r="U9" s="262">
        <f>$R9*'GREET factors'!L6/454/2000</f>
        <v>716.61610416030601</v>
      </c>
      <c r="V9" s="262">
        <f>$R9*'GREET factors'!M6/454/2000</f>
        <v>0</v>
      </c>
    </row>
    <row r="10" spans="1:22">
      <c r="A10">
        <v>2040</v>
      </c>
      <c r="B10" s="33" t="s">
        <v>109</v>
      </c>
      <c r="C10" s="3">
        <f>'Combined MOVES output'!R36/454/2000</f>
        <v>5015.715937087004</v>
      </c>
      <c r="D10" s="3">
        <f>'Combined MOVES output'!V36/454/2000</f>
        <v>21344784.408417899</v>
      </c>
      <c r="E10" s="3">
        <f>'Combined MOVES output'!W36</f>
        <v>253231440.87329072</v>
      </c>
      <c r="F10" s="3">
        <f>'Combined MOVES output'!AA36/454/2000</f>
        <v>822.26742457842658</v>
      </c>
      <c r="G10" s="3">
        <f>'Combined MOVES output'!AB36/454/2000</f>
        <v>17531.915611921806</v>
      </c>
      <c r="H10" s="3">
        <f>'Combined MOVES output'!AC36/454/2000</f>
        <v>240.0355616761598</v>
      </c>
      <c r="I10" s="3">
        <f>'Combined MOVES output'!AD36/454/2000</f>
        <v>1586.343127004749</v>
      </c>
      <c r="J10" s="33"/>
      <c r="K10" s="33"/>
      <c r="L10" s="33"/>
      <c r="M10" s="33"/>
      <c r="P10" s="2" t="s">
        <v>405</v>
      </c>
      <c r="Q10" s="235" t="s">
        <v>494</v>
      </c>
      <c r="R10" s="266">
        <f>'ACC II - MY2026'!O90*'ACC II - MY2026'!M90</f>
        <v>137310868.25453675</v>
      </c>
      <c r="S10" s="262">
        <f>$R10*'GREET factors'!J3/454/2000</f>
        <v>1364.3247677925256</v>
      </c>
      <c r="T10" s="262">
        <f>$R10*'GREET factors'!K3/454/2000</f>
        <v>142.42587800125921</v>
      </c>
      <c r="U10" s="262">
        <f>$R10*'GREET factors'!L3/454/2000</f>
        <v>338.87649675861064</v>
      </c>
      <c r="V10" s="262">
        <f>$R10*'GREET factors'!M3/454/2000</f>
        <v>442.39688953452753</v>
      </c>
    </row>
    <row r="11" spans="1:22">
      <c r="Q11" s="235" t="s">
        <v>495</v>
      </c>
      <c r="R11" s="266">
        <f>R10</f>
        <v>137310868.25453675</v>
      </c>
      <c r="S11" s="262">
        <f>$R11*'GREET factors'!J4/454/2000</f>
        <v>60.046779313978575</v>
      </c>
      <c r="T11" s="262">
        <f>$R11*'GREET factors'!K4/454/2000</f>
        <v>28.333173743659792</v>
      </c>
      <c r="U11" s="262">
        <f>$R11*'GREET factors'!L4/454/2000</f>
        <v>292.77998711556103</v>
      </c>
      <c r="V11" s="262">
        <f>$R11*'GREET factors'!M4/454/2000</f>
        <v>47.536993188673755</v>
      </c>
    </row>
    <row r="12" spans="1:22">
      <c r="A12" s="2" t="s">
        <v>110</v>
      </c>
      <c r="Q12" s="235" t="s">
        <v>496</v>
      </c>
      <c r="R12" s="266">
        <f t="shared" ref="R12:R13" si="1">R11</f>
        <v>137310868.25453675</v>
      </c>
      <c r="S12" s="262">
        <f>$R12*'GREET factors'!J5/454/2000</f>
        <v>21.2995383130752</v>
      </c>
      <c r="T12" s="262">
        <f>$R12*'GREET factors'!K5/454/2000</f>
        <v>10.541976136644985</v>
      </c>
      <c r="U12" s="262">
        <f>$R12*'GREET factors'!L5/454/2000</f>
        <v>13.229553092213472</v>
      </c>
      <c r="V12" s="262">
        <f>$R12*'GREET factors'!M5/454/2000</f>
        <v>52.034464178284964</v>
      </c>
    </row>
    <row r="13" spans="1:22" s="2" customFormat="1">
      <c r="A13" s="2" t="s">
        <v>19</v>
      </c>
      <c r="B13" s="2" t="s">
        <v>20</v>
      </c>
      <c r="C13" s="2" t="s">
        <v>2</v>
      </c>
      <c r="D13" s="2" t="s">
        <v>47</v>
      </c>
      <c r="E13" s="2" t="s">
        <v>22</v>
      </c>
      <c r="F13" s="2" t="s">
        <v>24</v>
      </c>
      <c r="G13" s="2" t="s">
        <v>115</v>
      </c>
      <c r="H13" s="2" t="s">
        <v>116</v>
      </c>
      <c r="I13" s="2" t="s">
        <v>117</v>
      </c>
      <c r="J13" s="2" t="s">
        <v>52</v>
      </c>
      <c r="K13" s="2" t="s">
        <v>470</v>
      </c>
      <c r="L13" s="2" t="s">
        <v>469</v>
      </c>
      <c r="M13" s="2" t="s">
        <v>499</v>
      </c>
      <c r="N13" s="2" t="s">
        <v>500</v>
      </c>
      <c r="P13"/>
      <c r="Q13" s="235" t="s">
        <v>497</v>
      </c>
      <c r="R13" s="266">
        <f t="shared" si="1"/>
        <v>137310868.25453675</v>
      </c>
      <c r="S13" s="262">
        <f>$R13*'GREET factors'!J6/454/2000</f>
        <v>0</v>
      </c>
      <c r="T13" s="262">
        <f>$R13*'GREET factors'!K6/454/2000</f>
        <v>0</v>
      </c>
      <c r="U13" s="262">
        <f>$R13*'GREET factors'!L6/454/2000</f>
        <v>2986.5113845361748</v>
      </c>
      <c r="V13" s="262">
        <f>$R13*'GREET factors'!M6/454/2000</f>
        <v>0</v>
      </c>
    </row>
    <row r="14" spans="1:22">
      <c r="A14">
        <v>2020</v>
      </c>
      <c r="B14" s="33" t="s">
        <v>109</v>
      </c>
      <c r="C14" s="3">
        <f>'BAU Scenario'!C10</f>
        <v>33313.273716843876</v>
      </c>
      <c r="D14" s="3">
        <f>'BAU Scenario'!D10</f>
        <v>25907190.830635231</v>
      </c>
      <c r="E14" s="3">
        <f>'BAU Scenario'!E10</f>
        <v>257925338.49520811</v>
      </c>
      <c r="F14" s="3">
        <f>'BAU Scenario'!F10</f>
        <v>950.74904634011125</v>
      </c>
      <c r="G14" s="3">
        <f>'BAU Scenario'!G10</f>
        <v>28396.414260751859</v>
      </c>
      <c r="H14" s="3">
        <f>'BAU Scenario'!H10</f>
        <v>266.67816429959612</v>
      </c>
      <c r="I14" s="3">
        <f>'BAU Scenario'!I10</f>
        <v>16977.150361722986</v>
      </c>
      <c r="J14" s="3">
        <f>'BAU Scenario'!J10</f>
        <v>25902927.772740211</v>
      </c>
      <c r="K14" s="3">
        <f>C14+'BAU Scenario'!AD$10</f>
        <v>33317.834594922781</v>
      </c>
      <c r="L14" s="3">
        <f>F14+'BAU Scenario'!AE$10</f>
        <v>951.111680596616</v>
      </c>
      <c r="P14" s="2" t="s">
        <v>502</v>
      </c>
      <c r="Q14" s="235" t="s">
        <v>494</v>
      </c>
      <c r="R14" s="266">
        <f>'ACC II - MY2027'!O90*'ACC II - MY2027'!M90</f>
        <v>136294450.43551517</v>
      </c>
      <c r="S14" s="262">
        <f>$R14*'GREET factors'!J3/454/2000</f>
        <v>1354.2256108754914</v>
      </c>
      <c r="T14" s="262">
        <f>$R14*'GREET factors'!K3/454/2000</f>
        <v>141.37159728677184</v>
      </c>
      <c r="U14" s="262">
        <f>$R14*'GREET factors'!L3/454/2000</f>
        <v>336.36802736990535</v>
      </c>
      <c r="V14" s="262">
        <f>$R14*'GREET factors'!M3/454/2000</f>
        <v>439.12212995199354</v>
      </c>
    </row>
    <row r="15" spans="1:22">
      <c r="A15">
        <v>2025</v>
      </c>
      <c r="B15" s="33" t="s">
        <v>109</v>
      </c>
      <c r="C15" s="3">
        <f>'BAU Scenario'!C15</f>
        <v>18219.222126253469</v>
      </c>
      <c r="D15" s="3">
        <f>'BAU Scenario'!D15</f>
        <v>23025957.601397682</v>
      </c>
      <c r="E15" s="3">
        <f>'BAU Scenario'!E15</f>
        <v>254458507.64158371</v>
      </c>
      <c r="F15" s="3">
        <f>'BAU Scenario'!F15</f>
        <v>817.11480867686566</v>
      </c>
      <c r="G15" s="3">
        <f>'BAU Scenario'!G15</f>
        <v>22995.43185751998</v>
      </c>
      <c r="H15" s="3">
        <f>'BAU Scenario'!H15</f>
        <v>249.98498768076874</v>
      </c>
      <c r="I15" s="3">
        <f>'BAU Scenario'!I15</f>
        <v>1989.8952392013528</v>
      </c>
      <c r="J15" s="3">
        <f>'BAU Scenario'!J15</f>
        <v>22830631.297383077</v>
      </c>
      <c r="K15" s="3">
        <f>C15+'BAU Scenario'!AD$15</f>
        <v>18231.37583834615</v>
      </c>
      <c r="L15" s="3">
        <f>F15+'BAU Scenario'!AE$15</f>
        <v>817.52995344397868</v>
      </c>
      <c r="Q15" s="235" t="s">
        <v>495</v>
      </c>
      <c r="R15" s="266">
        <f>R14</f>
        <v>136294450.43551517</v>
      </c>
      <c r="S15" s="262">
        <f>$R15*'GREET factors'!J4/454/2000</f>
        <v>59.602294348983342</v>
      </c>
      <c r="T15" s="262">
        <f>$R15*'GREET factors'!K4/454/2000</f>
        <v>28.123442765853241</v>
      </c>
      <c r="U15" s="262">
        <f>$R15*'GREET factors'!L4/454/2000</f>
        <v>290.6127384502513</v>
      </c>
      <c r="V15" s="262">
        <f>$R15*'GREET factors'!M4/454/2000</f>
        <v>47.185109557364186</v>
      </c>
    </row>
    <row r="16" spans="1:22">
      <c r="A16">
        <v>2026</v>
      </c>
      <c r="B16" s="33" t="s">
        <v>109</v>
      </c>
      <c r="C16" s="3">
        <f>'BAU Scenario'!C20</f>
        <v>16395.038854062437</v>
      </c>
      <c r="D16" s="3">
        <f>'BAU Scenario'!D20</f>
        <v>22608816.008310486</v>
      </c>
      <c r="E16" s="3">
        <f>'BAU Scenario'!E20</f>
        <v>253940953.91176406</v>
      </c>
      <c r="F16" s="3">
        <f>'BAU Scenario'!F20</f>
        <v>800.90703245743418</v>
      </c>
      <c r="G16" s="3">
        <f>'BAU Scenario'!G20</f>
        <v>22081.922077611889</v>
      </c>
      <c r="H16" s="3">
        <f>'BAU Scenario'!H20</f>
        <v>247.56131540048048</v>
      </c>
      <c r="I16" s="3">
        <f>'BAU Scenario'!I20</f>
        <v>2013.2307173237396</v>
      </c>
      <c r="J16" s="3">
        <f>'BAU Scenario'!J20</f>
        <v>22423380.878917988</v>
      </c>
      <c r="K16" s="3">
        <f>C16+'BAU Scenario'!AD$20</f>
        <v>16413.361892518409</v>
      </c>
      <c r="L16" s="3">
        <f>F16+'BAU Scenario'!AE$20</f>
        <v>801.65658453916558</v>
      </c>
      <c r="Q16" s="235" t="s">
        <v>496</v>
      </c>
      <c r="R16" s="266">
        <f t="shared" ref="R16:R17" si="2">R15</f>
        <v>136294450.43551517</v>
      </c>
      <c r="S16" s="262">
        <f>$R16*'GREET factors'!J5/454/2000</f>
        <v>21.141872495696408</v>
      </c>
      <c r="T16" s="262">
        <f>$R16*'GREET factors'!K5/454/2000</f>
        <v>10.463941145466256</v>
      </c>
      <c r="U16" s="262">
        <f>$R16*'GREET factors'!L5/454/2000</f>
        <v>13.131623819232026</v>
      </c>
      <c r="V16" s="262">
        <f>$R16*'GREET factors'!M5/454/2000</f>
        <v>51.649288865752467</v>
      </c>
    </row>
    <row r="17" spans="1:22">
      <c r="A17">
        <v>2027</v>
      </c>
      <c r="B17" s="33" t="s">
        <v>109</v>
      </c>
      <c r="C17" s="3">
        <f>'BAU Scenario'!C25</f>
        <v>14577.122534382108</v>
      </c>
      <c r="D17" s="3">
        <f>'BAU Scenario'!D25</f>
        <v>22075800.207688548</v>
      </c>
      <c r="E17" s="3">
        <f>'BAU Scenario'!E25</f>
        <v>253423400.18194437</v>
      </c>
      <c r="F17" s="3">
        <f>'BAU Scenario'!F25</f>
        <v>784.66573395793182</v>
      </c>
      <c r="G17" s="3">
        <f>'BAU Scenario'!G25</f>
        <v>21180.439654905185</v>
      </c>
      <c r="H17" s="3">
        <f>'BAU Scenario'!H25</f>
        <v>243.81084599544039</v>
      </c>
      <c r="I17" s="3">
        <f>'BAU Scenario'!I25</f>
        <v>1974.3852621318242</v>
      </c>
      <c r="J17" s="3">
        <f>'BAU Scenario'!J25</f>
        <v>21867009.195760939</v>
      </c>
      <c r="K17" s="3">
        <f>C17+'BAU Scenario'!AD$25</f>
        <v>14602.385446878243</v>
      </c>
      <c r="L17" s="3">
        <f>F17+'BAU Scenario'!AE$25</f>
        <v>785.8456177002663</v>
      </c>
      <c r="Q17" s="235" t="s">
        <v>497</v>
      </c>
      <c r="R17" s="266">
        <f t="shared" si="2"/>
        <v>136294450.43551517</v>
      </c>
      <c r="S17" s="262">
        <f>$R17*'GREET factors'!J6/454/2000</f>
        <v>0</v>
      </c>
      <c r="T17" s="262">
        <f>$R17*'GREET factors'!K6/454/2000</f>
        <v>0</v>
      </c>
      <c r="U17" s="262">
        <f>$R17*'GREET factors'!L6/454/2000</f>
        <v>2964.4042969724555</v>
      </c>
      <c r="V17" s="262">
        <f>$R17*'GREET factors'!M6/454/2000</f>
        <v>0</v>
      </c>
    </row>
    <row r="18" spans="1:22">
      <c r="A18">
        <v>2028</v>
      </c>
      <c r="B18" s="33" t="s">
        <v>109</v>
      </c>
      <c r="C18" s="3">
        <f>'BAU Scenario'!C30</f>
        <v>12756.064515293354</v>
      </c>
      <c r="D18" s="3">
        <f>'BAU Scenario'!D30</f>
        <v>21434417.255514618</v>
      </c>
      <c r="E18" s="3">
        <f>'BAU Scenario'!E30</f>
        <v>252905846.45212471</v>
      </c>
      <c r="F18" s="3">
        <f>'BAU Scenario'!F30</f>
        <v>767.6770652097656</v>
      </c>
      <c r="G18" s="3">
        <f>'BAU Scenario'!G30</f>
        <v>20277.012256001672</v>
      </c>
      <c r="H18" s="3">
        <f>'BAU Scenario'!H30</f>
        <v>238.7858132028191</v>
      </c>
      <c r="I18" s="3">
        <f>'BAU Scenario'!I30</f>
        <v>1935.1274171951736</v>
      </c>
      <c r="J18" s="3">
        <f>'BAU Scenario'!J30</f>
        <v>21171261.328312375</v>
      </c>
      <c r="K18" s="3">
        <f>C18+'BAU Scenario'!AD$30</f>
        <v>12789.043885635669</v>
      </c>
      <c r="L18" s="3">
        <f>F18+'BAU Scenario'!AE$30</f>
        <v>769.3832465123329</v>
      </c>
      <c r="P18" t="s">
        <v>503</v>
      </c>
      <c r="Q18" s="235" t="s">
        <v>494</v>
      </c>
      <c r="R18" s="235"/>
      <c r="S18" s="262">
        <f>S10-S6</f>
        <v>1036.9538074917207</v>
      </c>
      <c r="T18" s="262">
        <f t="shared" ref="T18:V18" si="3">T10-T6</f>
        <v>108.25065993467054</v>
      </c>
      <c r="U18" s="262">
        <f t="shared" si="3"/>
        <v>257.56277528543319</v>
      </c>
      <c r="V18" s="262">
        <f t="shared" si="3"/>
        <v>336.24335631432615</v>
      </c>
    </row>
    <row r="19" spans="1:22">
      <c r="A19">
        <v>2029</v>
      </c>
      <c r="B19" s="33" t="s">
        <v>109</v>
      </c>
      <c r="C19" s="3">
        <f>'BAU Scenario'!C35</f>
        <v>10930.2163289702</v>
      </c>
      <c r="D19" s="3">
        <f>'BAU Scenario'!D35</f>
        <v>20726054.668680154</v>
      </c>
      <c r="E19" s="3">
        <f>'BAU Scenario'!E35</f>
        <v>252388292.72230503</v>
      </c>
      <c r="F19" s="3">
        <f>'BAU Scenario'!F35</f>
        <v>749.9136659316589</v>
      </c>
      <c r="G19" s="3">
        <f>'BAU Scenario'!G35</f>
        <v>19367.52016057324</v>
      </c>
      <c r="H19" s="3">
        <f>'BAU Scenario'!H35</f>
        <v>232.9257914824812</v>
      </c>
      <c r="I19" s="3">
        <f>'BAU Scenario'!I35</f>
        <v>1896.4376807010497</v>
      </c>
      <c r="J19" s="3">
        <f>'BAU Scenario'!J35</f>
        <v>20389505.809222694</v>
      </c>
      <c r="K19" s="3">
        <f>C19+'BAU Scenario'!AD$35</f>
        <v>10971.698088783347</v>
      </c>
      <c r="L19" s="3">
        <f>F19+'BAU Scenario'!AE$35</f>
        <v>752.24257688667535</v>
      </c>
      <c r="Q19" s="235" t="s">
        <v>495</v>
      </c>
      <c r="R19" s="235"/>
      <c r="S19" s="262">
        <f t="shared" ref="S19:V19" si="4">S11-S7</f>
        <v>45.63850038286045</v>
      </c>
      <c r="T19" s="262">
        <f t="shared" si="4"/>
        <v>21.534603113120607</v>
      </c>
      <c r="U19" s="262">
        <f t="shared" si="4"/>
        <v>222.52716476596768</v>
      </c>
      <c r="V19" s="262">
        <f t="shared" si="4"/>
        <v>36.130448737260913</v>
      </c>
    </row>
    <row r="20" spans="1:22">
      <c r="A20">
        <v>2030</v>
      </c>
      <c r="B20" s="33" t="s">
        <v>109</v>
      </c>
      <c r="C20" s="3">
        <f>'BAU Scenario'!C40</f>
        <v>9095.8824310909549</v>
      </c>
      <c r="D20" s="3">
        <f>'BAU Scenario'!D40</f>
        <v>20030676.908803027</v>
      </c>
      <c r="E20" s="3">
        <f>'BAU Scenario'!E40</f>
        <v>251870738.99248537</v>
      </c>
      <c r="F20" s="3">
        <f>'BAU Scenario'!F40</f>
        <v>728.03391654376264</v>
      </c>
      <c r="G20" s="3">
        <f>'BAU Scenario'!G40</f>
        <v>18440.174011755145</v>
      </c>
      <c r="H20" s="3">
        <f>'BAU Scenario'!H40</f>
        <v>227.12049242576961</v>
      </c>
      <c r="I20" s="3">
        <f>'BAU Scenario'!I40</f>
        <v>1857.2003417298465</v>
      </c>
      <c r="J20" s="3">
        <f>'BAU Scenario'!J40</f>
        <v>19624780.142641708</v>
      </c>
      <c r="K20" s="3">
        <f>C20+'BAU Scenario'!AD$40</f>
        <v>9146.6636784547591</v>
      </c>
      <c r="L20" s="3">
        <f>F20+'BAU Scenario'!AE$40</f>
        <v>731.08270798650619</v>
      </c>
      <c r="Q20" s="235" t="s">
        <v>496</v>
      </c>
      <c r="R20" s="235"/>
      <c r="S20" s="262">
        <f t="shared" ref="S20:V20" si="5">S12-S8</f>
        <v>16.188694856940288</v>
      </c>
      <c r="T20" s="262">
        <f t="shared" si="5"/>
        <v>8.012419441060274</v>
      </c>
      <c r="U20" s="262">
        <f t="shared" si="5"/>
        <v>10.055109878699207</v>
      </c>
      <c r="V20" s="262">
        <f t="shared" si="5"/>
        <v>39.548747500763319</v>
      </c>
    </row>
    <row r="21" spans="1:22">
      <c r="A21">
        <v>2031</v>
      </c>
      <c r="B21" s="33" t="s">
        <v>109</v>
      </c>
      <c r="C21" s="3">
        <f>'BAU Scenario'!C45</f>
        <v>8393.6522458960007</v>
      </c>
      <c r="D21" s="3">
        <f>'BAU Scenario'!D45</f>
        <v>19417092.98779051</v>
      </c>
      <c r="E21" s="3">
        <f>'BAU Scenario'!E45</f>
        <v>249339818.11493629</v>
      </c>
      <c r="F21" s="3">
        <f>'BAU Scenario'!F45</f>
        <v>732.82916589452441</v>
      </c>
      <c r="G21" s="3">
        <f>'BAU Scenario'!G45</f>
        <v>18336.370936529464</v>
      </c>
      <c r="H21" s="3">
        <f>'BAU Scenario'!H45</f>
        <v>220.4992209511507</v>
      </c>
      <c r="I21" s="3">
        <f>'BAU Scenario'!I45</f>
        <v>1842.0144845556019</v>
      </c>
      <c r="J21" s="3">
        <f>'BAU Scenario'!J45</f>
        <v>18938595.662620258</v>
      </c>
      <c r="K21" s="3">
        <f>C21+'BAU Scenario'!AD$45</f>
        <v>8451.9518244785049</v>
      </c>
      <c r="L21" s="3">
        <f>F21+'BAU Scenario'!AE$45</f>
        <v>736.44544238044227</v>
      </c>
      <c r="Q21" s="235" t="s">
        <v>497</v>
      </c>
      <c r="R21" s="235"/>
      <c r="S21" s="262">
        <f t="shared" ref="S21:V21" si="6">S13-S9</f>
        <v>0</v>
      </c>
      <c r="T21" s="262">
        <f t="shared" si="6"/>
        <v>0</v>
      </c>
      <c r="U21" s="262">
        <f t="shared" si="6"/>
        <v>2269.8952803758689</v>
      </c>
      <c r="V21" s="262">
        <f t="shared" si="6"/>
        <v>0</v>
      </c>
    </row>
    <row r="22" spans="1:22">
      <c r="A22">
        <v>2032</v>
      </c>
      <c r="B22" s="33" t="s">
        <v>109</v>
      </c>
      <c r="C22" s="3">
        <f>'BAU Scenario'!C50</f>
        <v>7688.3418756006067</v>
      </c>
      <c r="D22" s="3">
        <f>'BAU Scenario'!D50</f>
        <v>18812201.325903155</v>
      </c>
      <c r="E22" s="3">
        <f>'BAU Scenario'!E50</f>
        <v>246808897.23738724</v>
      </c>
      <c r="F22" s="3">
        <f>'BAU Scenario'!F50</f>
        <v>733.66670178575362</v>
      </c>
      <c r="G22" s="3">
        <f>'BAU Scenario'!G50</f>
        <v>18223.994408595972</v>
      </c>
      <c r="H22" s="3">
        <f>'BAU Scenario'!H50</f>
        <v>213.96005162369659</v>
      </c>
      <c r="I22" s="3">
        <f>'BAU Scenario'!I50</f>
        <v>1826.7906554409019</v>
      </c>
      <c r="J22" s="3">
        <f>'BAU Scenario'!J50</f>
        <v>18262754.004161496</v>
      </c>
      <c r="K22" s="3">
        <f>C22+'BAU Scenario'!AD$50</f>
        <v>7754.383289753433</v>
      </c>
      <c r="L22" s="3">
        <f>F22+'BAU Scenario'!AE$50</f>
        <v>737.88618504198394</v>
      </c>
      <c r="P22" t="s">
        <v>504</v>
      </c>
      <c r="Q22" s="235" t="s">
        <v>494</v>
      </c>
      <c r="R22" s="235"/>
      <c r="S22" s="262">
        <f>S14-S6</f>
        <v>1026.8546505746865</v>
      </c>
      <c r="T22" s="262">
        <f t="shared" ref="T22:U22" si="7">T14-T6</f>
        <v>107.19637922018318</v>
      </c>
      <c r="U22" s="262">
        <f t="shared" si="7"/>
        <v>255.05430589672787</v>
      </c>
      <c r="V22" s="262">
        <f>V14-V6</f>
        <v>332.96859673179216</v>
      </c>
    </row>
    <row r="23" spans="1:22">
      <c r="A23">
        <v>2033</v>
      </c>
      <c r="B23" s="33" t="s">
        <v>109</v>
      </c>
      <c r="C23" s="3">
        <f>'BAU Scenario'!C55</f>
        <v>6981.2505726105983</v>
      </c>
      <c r="D23" s="3">
        <f>'BAU Scenario'!D55</f>
        <v>18230377.727988053</v>
      </c>
      <c r="E23" s="3">
        <f>'BAU Scenario'!E55</f>
        <v>244277976.35983816</v>
      </c>
      <c r="F23" s="3">
        <f>'BAU Scenario'!F55</f>
        <v>733.79467512876681</v>
      </c>
      <c r="G23" s="3">
        <f>'BAU Scenario'!G55</f>
        <v>18102.561376874237</v>
      </c>
      <c r="H23" s="3">
        <f>'BAU Scenario'!H55</f>
        <v>207.66974594692886</v>
      </c>
      <c r="I23" s="3">
        <f>'BAU Scenario'!I55</f>
        <v>1811.3770561909057</v>
      </c>
      <c r="J23" s="3">
        <f>'BAU Scenario'!J55</f>
        <v>17615823.827805214</v>
      </c>
      <c r="K23" s="3">
        <f>C23+'BAU Scenario'!AD$55</f>
        <v>7055.2525499961275</v>
      </c>
      <c r="L23" s="3">
        <f>F23+'BAU Scenario'!AE$55</f>
        <v>738.65195916213747</v>
      </c>
      <c r="Q23" s="235" t="s">
        <v>495</v>
      </c>
      <c r="R23" s="235"/>
      <c r="S23" s="262">
        <f t="shared" ref="S23:V23" si="8">S15-S7</f>
        <v>45.194015417865216</v>
      </c>
      <c r="T23" s="262">
        <f t="shared" si="8"/>
        <v>21.324872135314056</v>
      </c>
      <c r="U23" s="262">
        <f t="shared" si="8"/>
        <v>220.35991610065795</v>
      </c>
      <c r="V23" s="262">
        <f t="shared" si="8"/>
        <v>35.778565105951344</v>
      </c>
    </row>
    <row r="24" spans="1:22">
      <c r="A24">
        <v>2034</v>
      </c>
      <c r="B24" s="33" t="s">
        <v>109</v>
      </c>
      <c r="C24" s="3">
        <f>'BAU Scenario'!C60</f>
        <v>6272.5293961510506</v>
      </c>
      <c r="D24" s="3">
        <f>'BAU Scenario'!D60</f>
        <v>17672937.613032781</v>
      </c>
      <c r="E24" s="3">
        <f>'BAU Scenario'!E60</f>
        <v>241747055.48228911</v>
      </c>
      <c r="F24" s="3">
        <f>'BAU Scenario'!F60</f>
        <v>733.29424685363699</v>
      </c>
      <c r="G24" s="3">
        <f>'BAU Scenario'!G60</f>
        <v>17969.473308757621</v>
      </c>
      <c r="H24" s="3">
        <f>'BAU Scenario'!H60</f>
        <v>201.64666075250807</v>
      </c>
      <c r="I24" s="3">
        <f>'BAU Scenario'!I60</f>
        <v>1795.9629725532616</v>
      </c>
      <c r="J24" s="3">
        <f>'BAU Scenario'!J60</f>
        <v>16999551.552144632</v>
      </c>
      <c r="K24" s="3">
        <f>C24+'BAU Scenario'!AD$60</f>
        <v>6354.7067611549519</v>
      </c>
      <c r="L24" s="3">
        <f>F24+'BAU Scenario'!AE$60</f>
        <v>738.82295900956103</v>
      </c>
      <c r="Q24" s="235" t="s">
        <v>496</v>
      </c>
      <c r="R24" s="235"/>
      <c r="S24" s="262">
        <f t="shared" ref="S24:V24" si="9">S16-S8</f>
        <v>16.031029039561496</v>
      </c>
      <c r="T24" s="262">
        <f t="shared" si="9"/>
        <v>7.9343844498815459</v>
      </c>
      <c r="U24" s="262">
        <f t="shared" si="9"/>
        <v>9.9571806057177614</v>
      </c>
      <c r="V24" s="262">
        <f t="shared" si="9"/>
        <v>39.163572188230823</v>
      </c>
    </row>
    <row r="25" spans="1:22">
      <c r="A25">
        <v>2035</v>
      </c>
      <c r="B25" s="33" t="s">
        <v>109</v>
      </c>
      <c r="C25" s="3">
        <f>'BAU Scenario'!C65</f>
        <v>5541.0029064606415</v>
      </c>
      <c r="D25" s="3">
        <f>'BAU Scenario'!D65</f>
        <v>17148967.751101065</v>
      </c>
      <c r="E25" s="3">
        <f>'BAU Scenario'!E65</f>
        <v>239216134.60474002</v>
      </c>
      <c r="F25" s="3">
        <f>'BAU Scenario'!F65</f>
        <v>726.81078914974137</v>
      </c>
      <c r="G25" s="3">
        <f>'BAU Scenario'!G65</f>
        <v>17546.76111628423</v>
      </c>
      <c r="H25" s="3">
        <f>'BAU Scenario'!H65</f>
        <v>195.9936625213262</v>
      </c>
      <c r="I25" s="3">
        <f>'BAU Scenario'!I65</f>
        <v>1780.5484046298916</v>
      </c>
      <c r="J25" s="3">
        <f>'BAU Scenario'!J65</f>
        <v>16425682.777537966</v>
      </c>
      <c r="K25" s="3">
        <f>C25+'BAU Scenario'!AD$65</f>
        <v>5631.5659372161117</v>
      </c>
      <c r="L25" s="3">
        <f>F25+'BAU Scenario'!AE$65</f>
        <v>733.04357477459439</v>
      </c>
      <c r="Q25" s="235" t="s">
        <v>497</v>
      </c>
      <c r="R25" s="235"/>
      <c r="S25" s="262">
        <f t="shared" ref="S25:V25" si="10">S17-S9</f>
        <v>0</v>
      </c>
      <c r="T25" s="262">
        <f t="shared" si="10"/>
        <v>0</v>
      </c>
      <c r="U25" s="262">
        <f t="shared" si="10"/>
        <v>2247.7881928121496</v>
      </c>
      <c r="V25" s="262">
        <f t="shared" si="10"/>
        <v>0</v>
      </c>
    </row>
    <row r="26" spans="1:22">
      <c r="A26">
        <v>2036</v>
      </c>
      <c r="B26" s="33" t="s">
        <v>109</v>
      </c>
      <c r="C26" s="3">
        <f>'BAU Scenario'!C70</f>
        <v>5398.133807608383</v>
      </c>
      <c r="D26" s="3">
        <f>'BAU Scenario'!D70</f>
        <v>16785197.544598043</v>
      </c>
      <c r="E26" s="3">
        <f>'BAU Scenario'!E70</f>
        <v>238542392.8259792</v>
      </c>
      <c r="F26" s="3">
        <f>'BAU Scenario'!F70</f>
        <v>731.10693310976683</v>
      </c>
      <c r="G26" s="3">
        <f>'BAU Scenario'!G70</f>
        <v>17371.599005613669</v>
      </c>
      <c r="H26" s="3">
        <f>'BAU Scenario'!H70</f>
        <v>191.06388013113599</v>
      </c>
      <c r="I26" s="3">
        <f>'BAU Scenario'!I70</f>
        <v>1794.6233877760103</v>
      </c>
      <c r="J26" s="3">
        <f>'BAU Scenario'!J70</f>
        <v>16010786.877525305</v>
      </c>
      <c r="K26" s="3">
        <f>C26+'BAU Scenario'!AD$70</f>
        <v>5494.6964923867399</v>
      </c>
      <c r="L26" s="3">
        <f>F26+'BAU Scenario'!AE$70</f>
        <v>737.75692657544141</v>
      </c>
    </row>
    <row r="27" spans="1:22">
      <c r="A27">
        <v>2037</v>
      </c>
      <c r="B27" s="33" t="s">
        <v>109</v>
      </c>
      <c r="C27" s="3">
        <f>'BAU Scenario'!C75</f>
        <v>5251.6746038883039</v>
      </c>
      <c r="D27" s="3">
        <f>'BAU Scenario'!D75</f>
        <v>16454749.419347772</v>
      </c>
      <c r="E27" s="3">
        <f>'BAU Scenario'!E75</f>
        <v>237868651.04721838</v>
      </c>
      <c r="F27" s="3">
        <f>'BAU Scenario'!F75</f>
        <v>735.05686661666289</v>
      </c>
      <c r="G27" s="3">
        <f>'BAU Scenario'!G75</f>
        <v>17176.089068560486</v>
      </c>
      <c r="H27" s="3">
        <f>'BAU Scenario'!H75</f>
        <v>186.54402117891561</v>
      </c>
      <c r="I27" s="3">
        <f>'BAU Scenario'!I75</f>
        <v>1808.5786019650857</v>
      </c>
      <c r="J27" s="3">
        <f>'BAU Scenario'!J75</f>
        <v>15637958.805360669</v>
      </c>
      <c r="K27" s="3">
        <f>C27+'BAU Scenario'!AD$75</f>
        <v>5354.1003937745763</v>
      </c>
      <c r="L27" s="3">
        <f>F27+'BAU Scenario'!AE$75</f>
        <v>742.11453002912083</v>
      </c>
    </row>
    <row r="28" spans="1:22">
      <c r="A28">
        <v>2038</v>
      </c>
      <c r="B28" s="33" t="s">
        <v>109</v>
      </c>
      <c r="C28" s="3">
        <f>'BAU Scenario'!C80</f>
        <v>5101.1838983661701</v>
      </c>
      <c r="D28" s="3">
        <f>'BAU Scenario'!D80</f>
        <v>16155250.801644376</v>
      </c>
      <c r="E28" s="3">
        <f>'BAU Scenario'!E80</f>
        <v>237194909.26845753</v>
      </c>
      <c r="F28" s="3">
        <f>'BAU Scenario'!F80</f>
        <v>738.21716247111522</v>
      </c>
      <c r="G28" s="3">
        <f>'BAU Scenario'!G80</f>
        <v>16957.818879896666</v>
      </c>
      <c r="H28" s="3">
        <f>'BAU Scenario'!H80</f>
        <v>182.40258371691138</v>
      </c>
      <c r="I28" s="3">
        <f>'BAU Scenario'!I80</f>
        <v>1822.534324395747</v>
      </c>
      <c r="J28" s="3">
        <f>'BAU Scenario'!J80</f>
        <v>15304189.992402898</v>
      </c>
      <c r="K28" s="3">
        <f>C28+'BAU Scenario'!AD$80</f>
        <v>5209.3427472619142</v>
      </c>
      <c r="L28" s="3">
        <f>F28+'BAU Scenario'!AE$80</f>
        <v>745.67335360821437</v>
      </c>
    </row>
    <row r="29" spans="1:22">
      <c r="A29">
        <v>2039</v>
      </c>
      <c r="B29" s="33" t="s">
        <v>109</v>
      </c>
      <c r="C29" s="3">
        <f>'BAU Scenario'!C85</f>
        <v>4947.8825574993352</v>
      </c>
      <c r="D29" s="3">
        <f>'BAU Scenario'!D85</f>
        <v>15884340.034954341</v>
      </c>
      <c r="E29" s="3">
        <f>'BAU Scenario'!E85</f>
        <v>236521167.48969671</v>
      </c>
      <c r="F29" s="3">
        <f>'BAU Scenario'!F85</f>
        <v>741.24777317759947</v>
      </c>
      <c r="G29" s="3">
        <f>'BAU Scenario'!G85</f>
        <v>16717.006004293773</v>
      </c>
      <c r="H29" s="3">
        <f>'BAU Scenario'!H85</f>
        <v>178.60920941920108</v>
      </c>
      <c r="I29" s="3">
        <f>'BAU Scenario'!I85</f>
        <v>1836.4905550129763</v>
      </c>
      <c r="J29" s="3">
        <f>'BAU Scenario'!J85</f>
        <v>15006482.642940192</v>
      </c>
      <c r="K29" s="3">
        <f>C29+'BAU Scenario'!AD$85</f>
        <v>5061.6509282106144</v>
      </c>
      <c r="L29" s="3">
        <f>F29+'BAU Scenario'!AE$85</f>
        <v>749.09377599497634</v>
      </c>
    </row>
    <row r="30" spans="1:22">
      <c r="A30">
        <v>2040</v>
      </c>
      <c r="B30" s="33" t="s">
        <v>109</v>
      </c>
      <c r="C30" s="3">
        <f>'BAU Scenario'!C90</f>
        <v>4789.6216184227351</v>
      </c>
      <c r="D30" s="3">
        <f>'BAU Scenario'!D90</f>
        <v>15644037.216383129</v>
      </c>
      <c r="E30" s="3">
        <f>'BAU Scenario'!E90</f>
        <v>235847425.71093589</v>
      </c>
      <c r="F30" s="3">
        <f>'BAU Scenario'!F90</f>
        <v>743.49869322216921</v>
      </c>
      <c r="G30" s="3">
        <f>'BAU Scenario'!G90</f>
        <v>16458.525805971767</v>
      </c>
      <c r="H30" s="3">
        <f>'BAU Scenario'!H90</f>
        <v>175.18197814657344</v>
      </c>
      <c r="I30" s="3">
        <f>'BAU Scenario'!I90</f>
        <v>1850.4472937617561</v>
      </c>
      <c r="J30" s="3">
        <f>'BAU Scenario'!J90</f>
        <v>14747476.908334352</v>
      </c>
      <c r="K30" s="3">
        <f>C30+'BAU Scenario'!AD$90</f>
        <v>4908.8818091192616</v>
      </c>
      <c r="L30" s="3">
        <f>F30+'BAU Scenario'!AE$90</f>
        <v>751.72616960168716</v>
      </c>
      <c r="M30" s="3">
        <f>G30+'BAU Scenario'!AF90</f>
        <v>15604.587591927846</v>
      </c>
      <c r="N30" s="3">
        <f>H30+'BAU Scenario'!AG90</f>
        <v>280.15361329549876</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470</v>
      </c>
      <c r="L33" s="2" t="s">
        <v>469</v>
      </c>
      <c r="M33" s="2" t="s">
        <v>499</v>
      </c>
      <c r="N33" s="2" t="s">
        <v>500</v>
      </c>
      <c r="P33"/>
      <c r="Q33"/>
      <c r="R33"/>
    </row>
    <row r="34" spans="1:18">
      <c r="A34">
        <v>2020</v>
      </c>
      <c r="B34" s="33" t="s">
        <v>109</v>
      </c>
      <c r="C34" s="3">
        <f>'ACC II - MY2026'!C10</f>
        <v>33313.273716843876</v>
      </c>
      <c r="D34" s="3">
        <f>'ACC II - MY2026'!D10</f>
        <v>25907190.830635231</v>
      </c>
      <c r="E34" s="3">
        <f>'ACC II - MY2026'!E10</f>
        <v>257925338.49520811</v>
      </c>
      <c r="F34" s="3">
        <f>'ACC II - MY2026'!F10</f>
        <v>950.74904634011125</v>
      </c>
      <c r="G34" s="3">
        <f>'ACC II - MY2026'!G10</f>
        <v>28396.414260751859</v>
      </c>
      <c r="H34" s="3">
        <f>'ACC II - MY2026'!H10</f>
        <v>266.67816429959612</v>
      </c>
      <c r="I34" s="3">
        <f>'ACC II - MY2026'!I10</f>
        <v>16977.150361722986</v>
      </c>
      <c r="J34" s="3">
        <f>'ACC II - MY2026'!J10</f>
        <v>25902927.772740211</v>
      </c>
      <c r="K34" s="3">
        <f>C34+'ACC II - MY2026'!AD$10</f>
        <v>33317.834594922781</v>
      </c>
      <c r="L34" s="3">
        <f>F34+'ACC II - MY2026'!AE$10</f>
        <v>951.111680596616</v>
      </c>
      <c r="P34" s="2"/>
      <c r="Q34" s="2"/>
      <c r="R34" s="2"/>
    </row>
    <row r="35" spans="1:18">
      <c r="A35">
        <v>2025</v>
      </c>
      <c r="B35" s="33" t="s">
        <v>109</v>
      </c>
      <c r="C35" s="3">
        <f>'ACC II - MY2026'!C15</f>
        <v>18219.222126253469</v>
      </c>
      <c r="D35" s="3">
        <f>'ACC II - MY2026'!D15</f>
        <v>23025957.601397682</v>
      </c>
      <c r="E35" s="3">
        <f>'ACC II - MY2026'!E15</f>
        <v>254458507.64158371</v>
      </c>
      <c r="F35" s="3">
        <f>'ACC II - MY2026'!F15</f>
        <v>817.11480867686566</v>
      </c>
      <c r="G35" s="3">
        <f>'ACC II - MY2026'!G15</f>
        <v>22995.43185751998</v>
      </c>
      <c r="H35" s="3">
        <f>'ACC II - MY2026'!H15</f>
        <v>249.98498768076874</v>
      </c>
      <c r="I35" s="3">
        <f>'ACC II - MY2026'!I15</f>
        <v>1989.8952392013528</v>
      </c>
      <c r="J35" s="3">
        <f>'ACC II - MY2026'!J15</f>
        <v>22830631.297383077</v>
      </c>
      <c r="K35" s="3">
        <f>C35+'ACC II - MY2026'!AD$15</f>
        <v>18231.37583834615</v>
      </c>
      <c r="L35" s="3">
        <f>F35+'ACC II - MY2026'!AE$15</f>
        <v>817.52995344397868</v>
      </c>
    </row>
    <row r="36" spans="1:18">
      <c r="A36">
        <v>2026</v>
      </c>
      <c r="B36" s="33" t="s">
        <v>109</v>
      </c>
      <c r="C36" s="3">
        <f>'ACC II - MY2026'!C20</f>
        <v>16276.044523066308</v>
      </c>
      <c r="D36" s="3">
        <f>'ACC II - MY2026'!D20</f>
        <v>22248970.557418693</v>
      </c>
      <c r="E36" s="3">
        <f>'ACC II - MY2026'!E20</f>
        <v>253940953.91176406</v>
      </c>
      <c r="F36" s="3">
        <f>'ACC II - MY2026'!F20</f>
        <v>796.72842618835352</v>
      </c>
      <c r="G36" s="3">
        <f>'ACC II - MY2026'!G20</f>
        <v>21995.106266862153</v>
      </c>
      <c r="H36" s="3">
        <f>'ACC II - MY2026'!H20</f>
        <v>242.89172447843893</v>
      </c>
      <c r="I36" s="3">
        <f>'ACC II - MY2026'!I20</f>
        <v>1975.2564325838878</v>
      </c>
      <c r="J36" s="3">
        <f>'ACC II - MY2026'!J20</f>
        <v>21991403.105778694</v>
      </c>
      <c r="K36" s="3">
        <f>C36+'ACC II - MY2026'!AD$20</f>
        <v>16297.728353844739</v>
      </c>
      <c r="L36" s="3">
        <f>F36+'ACC II - MY2026'!AE$20</f>
        <v>797.61544282591501</v>
      </c>
    </row>
    <row r="37" spans="1:18">
      <c r="A37">
        <v>2027</v>
      </c>
      <c r="B37" s="33" t="s">
        <v>109</v>
      </c>
      <c r="C37" s="3">
        <f>'ACC II - MY2026'!C25</f>
        <v>14305.37664535488</v>
      </c>
      <c r="D37" s="3">
        <f>'ACC II - MY2026'!D25</f>
        <v>21167889.403740097</v>
      </c>
      <c r="E37" s="3">
        <f>'ACC II - MY2026'!E25</f>
        <v>253423400.18194437</v>
      </c>
      <c r="F37" s="3">
        <f>'ACC II - MY2026'!F25</f>
        <v>774.42993011917895</v>
      </c>
      <c r="G37" s="3">
        <f>'ACC II - MY2026'!G25</f>
        <v>20953.219360057617</v>
      </c>
      <c r="H37" s="3">
        <f>'ACC II - MY2026'!H25</f>
        <v>233.27608174567527</v>
      </c>
      <c r="I37" s="3">
        <f>'ACC II - MY2026'!I25</f>
        <v>1889.0745238426898</v>
      </c>
      <c r="J37" s="3">
        <f>'ACC II - MY2026'!J25</f>
        <v>20779458.913807262</v>
      </c>
      <c r="K37" s="3">
        <f>C37+'ACC II - MY2026'!AD$25</f>
        <v>14340.014457395069</v>
      </c>
      <c r="L37" s="3">
        <f>F37+'ACC II - MY2026'!AE$25</f>
        <v>776.04761574503925</v>
      </c>
    </row>
    <row r="38" spans="1:18">
      <c r="A38">
        <v>2028</v>
      </c>
      <c r="B38" s="33" t="s">
        <v>109</v>
      </c>
      <c r="C38" s="3">
        <f>'ACC II - MY2026'!C30</f>
        <v>12332.746354524948</v>
      </c>
      <c r="D38" s="3">
        <f>'ACC II - MY2026'!D30</f>
        <v>19868514.694676686</v>
      </c>
      <c r="E38" s="3">
        <f>'ACC II - MY2026'!E30</f>
        <v>252905846.45212471</v>
      </c>
      <c r="F38" s="3">
        <f>'ACC II - MY2026'!F30</f>
        <v>750.28230418797409</v>
      </c>
      <c r="G38" s="3">
        <f>'ACC II - MY2026'!G30</f>
        <v>19876.127731046767</v>
      </c>
      <c r="H38" s="3">
        <f>'ACC II - MY2026'!H30</f>
        <v>221.33783373206279</v>
      </c>
      <c r="I38" s="3">
        <f>'ACC II - MY2026'!I30</f>
        <v>1793.7284664131159</v>
      </c>
      <c r="J38" s="3">
        <f>'ACC II - MY2026'!J30</f>
        <v>19305690.406355992</v>
      </c>
      <c r="K38" s="3">
        <f>C38+'ACC II - MY2026'!AD$30</f>
        <v>12384.28820878453</v>
      </c>
      <c r="L38" s="3">
        <f>F38+'ACC II - MY2026'!AE$30</f>
        <v>752.95168870319696</v>
      </c>
    </row>
    <row r="39" spans="1:18">
      <c r="A39">
        <v>2029</v>
      </c>
      <c r="B39" s="33" t="s">
        <v>109</v>
      </c>
      <c r="C39" s="3">
        <f>'ACC II - MY2026'!C35</f>
        <v>10351.153244306599</v>
      </c>
      <c r="D39" s="3">
        <f>'ACC II - MY2026'!D35</f>
        <v>18418186.506790202</v>
      </c>
      <c r="E39" s="3">
        <f>'ACC II - MY2026'!E35</f>
        <v>252388292.72230503</v>
      </c>
      <c r="F39" s="3">
        <f>'ACC II - MY2026'!F35</f>
        <v>724.2165337096244</v>
      </c>
      <c r="G39" s="3">
        <f>'ACC II - MY2026'!G35</f>
        <v>18736.219833537951</v>
      </c>
      <c r="H39" s="3">
        <f>'ACC II - MY2026'!H35</f>
        <v>207.29541561139624</v>
      </c>
      <c r="I39" s="3">
        <f>'ACC II - MY2026'!I35</f>
        <v>1687.7600144662551</v>
      </c>
      <c r="J39" s="3">
        <f>'ACC II - MY2026'!J35</f>
        <v>17657149.71892656</v>
      </c>
      <c r="K39" s="3">
        <f>C39+'ACC II - MY2026'!AD$35</f>
        <v>10424.014609527299</v>
      </c>
      <c r="L39" s="3">
        <f>F39+'ACC II - MY2026'!AE$35</f>
        <v>728.31388857789068</v>
      </c>
    </row>
    <row r="40" spans="1:18">
      <c r="A40">
        <v>2030</v>
      </c>
      <c r="B40" s="33" t="s">
        <v>109</v>
      </c>
      <c r="C40" s="3">
        <f>'ACC II - MY2026'!C40</f>
        <v>8392.3139891651081</v>
      </c>
      <c r="D40" s="3">
        <f>'ACC II - MY2026'!D40</f>
        <v>16898690.427239671</v>
      </c>
      <c r="E40" s="3">
        <f>'ACC II - MY2026'!E40</f>
        <v>251870738.99248537</v>
      </c>
      <c r="F40" s="3">
        <f>'ACC II - MY2026'!F40</f>
        <v>693.27818450328084</v>
      </c>
      <c r="G40" s="3">
        <f>'ACC II - MY2026'!G40</f>
        <v>17555.30593286801</v>
      </c>
      <c r="H40" s="3">
        <f>'ACC II - MY2026'!H40</f>
        <v>192.52125074268443</v>
      </c>
      <c r="I40" s="3">
        <f>'ACC II - MY2026'!I40</f>
        <v>1574.2768468434444</v>
      </c>
      <c r="J40" s="3">
        <f>'ACC II - MY2026'!J40</f>
        <v>15942015.761120174</v>
      </c>
      <c r="K40" s="3">
        <f>C40+'ACC II - MY2026'!AD$40</f>
        <v>8491.7613711594713</v>
      </c>
      <c r="L40" s="3">
        <f>F40+'ACC II - MY2026'!AE$40</f>
        <v>699.26050049286152</v>
      </c>
    </row>
    <row r="41" spans="1:18">
      <c r="A41">
        <v>2031</v>
      </c>
      <c r="B41" s="33" t="s">
        <v>109</v>
      </c>
      <c r="C41" s="3">
        <f>'ACC II - MY2026'!C45</f>
        <v>7490.3601537215727</v>
      </c>
      <c r="D41" s="3">
        <f>'ACC II - MY2026'!D45</f>
        <v>15326786.873550689</v>
      </c>
      <c r="E41" s="3">
        <f>'ACC II - MY2026'!E45</f>
        <v>249339818.11493629</v>
      </c>
      <c r="F41" s="3">
        <f>'ACC II - MY2026'!F45</f>
        <v>686.38513066854978</v>
      </c>
      <c r="G41" s="3">
        <f>'ACC II - MY2026'!G45</f>
        <v>17118.125519986152</v>
      </c>
      <c r="H41" s="3">
        <f>'ACC II - MY2026'!H45</f>
        <v>176.30447444559172</v>
      </c>
      <c r="I41" s="3">
        <f>'ACC II - MY2026'!I45</f>
        <v>1472.818789199664</v>
      </c>
      <c r="J41" s="3">
        <f>'ACC II - MY2026'!J45</f>
        <v>14190303.075711671</v>
      </c>
      <c r="K41" s="3">
        <f>C41+'ACC II - MY2026'!AD$45</f>
        <v>7623.0341425540164</v>
      </c>
      <c r="L41" s="3">
        <f>F41+'ACC II - MY2026'!AE$45</f>
        <v>694.63381070634091</v>
      </c>
    </row>
    <row r="42" spans="1:18">
      <c r="A42">
        <v>2032</v>
      </c>
      <c r="B42" s="33" t="s">
        <v>109</v>
      </c>
      <c r="C42" s="3">
        <f>'ACC II - MY2026'!C50</f>
        <v>6589.8317030876824</v>
      </c>
      <c r="D42" s="3">
        <f>'ACC II - MY2026'!D50</f>
        <v>13729565.558164863</v>
      </c>
      <c r="E42" s="3">
        <f>'ACC II - MY2026'!E50</f>
        <v>246808897.23738724</v>
      </c>
      <c r="F42" s="3">
        <f>'ACC II - MY2026'!F50</f>
        <v>674.75579018760811</v>
      </c>
      <c r="G42" s="3">
        <f>'ACC II - MY2026'!G50</f>
        <v>16642.524246519955</v>
      </c>
      <c r="H42" s="3">
        <f>'ACC II - MY2026'!H50</f>
        <v>160.28629964872152</v>
      </c>
      <c r="I42" s="3">
        <f>'ACC II - MY2026'!I50</f>
        <v>1368.5242276369663</v>
      </c>
      <c r="J42" s="3">
        <f>'ACC II - MY2026'!J50</f>
        <v>12419158.968203112</v>
      </c>
      <c r="K42" s="3">
        <f>C42+'ACC II - MY2026'!AD$50</f>
        <v>6759.4990843068163</v>
      </c>
      <c r="L42" s="3">
        <f>F42+'ACC II - MY2026'!AE$50</f>
        <v>685.62396920263541</v>
      </c>
    </row>
    <row r="43" spans="1:18">
      <c r="A43">
        <v>2033</v>
      </c>
      <c r="B43" s="33" t="s">
        <v>109</v>
      </c>
      <c r="C43" s="3">
        <f>'ACC II - MY2026'!C55</f>
        <v>5707.8828929209076</v>
      </c>
      <c r="D43" s="3">
        <f>'ACC II - MY2026'!D55</f>
        <v>12165911.41281327</v>
      </c>
      <c r="E43" s="3">
        <f>'ACC II - MY2026'!E55</f>
        <v>244277976.35983816</v>
      </c>
      <c r="F43" s="3">
        <f>'ACC II - MY2026'!F55</f>
        <v>661.79556924388532</v>
      </c>
      <c r="G43" s="3">
        <f>'ACC II - MY2026'!G55</f>
        <v>16136.423995537283</v>
      </c>
      <c r="H43" s="3">
        <f>'ACC II - MY2026'!H55</f>
        <v>144.916865862322</v>
      </c>
      <c r="I43" s="3">
        <f>'ACC II - MY2026'!I55</f>
        <v>1264.0217990404258</v>
      </c>
      <c r="J43" s="3">
        <f>'ACC II - MY2026'!J55</f>
        <v>10704317.741839271</v>
      </c>
      <c r="K43" s="3">
        <f>C43+'ACC II - MY2026'!AD$55</f>
        <v>5918.4522697877801</v>
      </c>
      <c r="L43" s="3">
        <f>F43+'ACC II - MY2026'!AE$55</f>
        <v>675.65494575326522</v>
      </c>
    </row>
    <row r="44" spans="1:18">
      <c r="A44">
        <v>2034</v>
      </c>
      <c r="B44" s="33" t="s">
        <v>109</v>
      </c>
      <c r="C44" s="3">
        <f>'ACC II - MY2026'!C60</f>
        <v>4852.3261606985643</v>
      </c>
      <c r="D44" s="3">
        <f>'ACC II - MY2026'!D60</f>
        <v>10585806.116901971</v>
      </c>
      <c r="E44" s="3">
        <f>'ACC II - MY2026'!E60</f>
        <v>241747055.48228911</v>
      </c>
      <c r="F44" s="3">
        <f>'ACC II - MY2026'!F60</f>
        <v>647.78443035108739</v>
      </c>
      <c r="G44" s="3">
        <f>'ACC II - MY2026'!G60</f>
        <v>15584.41295825077</v>
      </c>
      <c r="H44" s="3">
        <f>'ACC II - MY2026'!H60</f>
        <v>130.08928088357004</v>
      </c>
      <c r="I44" s="3">
        <f>'ACC II - MY2026'!I60</f>
        <v>1158.6382374054101</v>
      </c>
      <c r="J44" s="3">
        <f>'ACC II - MY2026'!J60</f>
        <v>8981786.2783045676</v>
      </c>
      <c r="K44" s="3">
        <f>C44+'ACC II - MY2026'!AD$60</f>
        <v>5108.1567406535642</v>
      </c>
      <c r="L44" s="3">
        <f>F44+'ACC II - MY2026'!AE$60</f>
        <v>665.05949544615123</v>
      </c>
    </row>
    <row r="45" spans="1:18">
      <c r="A45">
        <v>2035</v>
      </c>
      <c r="B45" s="33" t="s">
        <v>109</v>
      </c>
      <c r="C45" s="3">
        <f>'ACC II - MY2026'!C65</f>
        <v>4019.0133943304149</v>
      </c>
      <c r="D45" s="3">
        <f>'ACC II - MY2026'!D65</f>
        <v>9057194.0391312893</v>
      </c>
      <c r="E45" s="3">
        <f>'ACC II - MY2026'!E65</f>
        <v>239216134.60474002</v>
      </c>
      <c r="F45" s="3">
        <f>'ACC II - MY2026'!F65</f>
        <v>628.16658294905426</v>
      </c>
      <c r="G45" s="3">
        <f>'ACC II - MY2026'!G65</f>
        <v>14777.965427324514</v>
      </c>
      <c r="H45" s="3">
        <f>'ACC II - MY2026'!H65</f>
        <v>116.1676322138424</v>
      </c>
      <c r="I45" s="3">
        <f>'ACC II - MY2026'!I65</f>
        <v>1055.3509207752186</v>
      </c>
      <c r="J45" s="3">
        <f>'ACC II - MY2026'!J65</f>
        <v>7341618.5979192425</v>
      </c>
      <c r="K45" s="3">
        <f>C45+'ACC II - MY2026'!AD$65</f>
        <v>4326.2670345606812</v>
      </c>
      <c r="L45" s="3">
        <f>F45+'ACC II - MY2026'!AE$65</f>
        <v>649.48463199096295</v>
      </c>
    </row>
    <row r="46" spans="1:18">
      <c r="A46">
        <v>2036</v>
      </c>
      <c r="B46" s="33" t="s">
        <v>109</v>
      </c>
      <c r="C46" s="3">
        <f>'ACC II - MY2026'!C70</f>
        <v>3640.2658865807198</v>
      </c>
      <c r="D46" s="3">
        <f>'ACC II - MY2026'!D70</f>
        <v>7741236.7427692013</v>
      </c>
      <c r="E46" s="3">
        <f>'ACC II - MY2026'!E70</f>
        <v>238542392.8259792</v>
      </c>
      <c r="F46" s="3">
        <f>'ACC II - MY2026'!F70</f>
        <v>618.50322654148158</v>
      </c>
      <c r="G46" s="3">
        <f>'ACC II - MY2026'!G70</f>
        <v>14164.441755919102</v>
      </c>
      <c r="H46" s="3">
        <f>'ACC II - MY2026'!H70</f>
        <v>103.94841622958936</v>
      </c>
      <c r="I46" s="3">
        <f>'ACC II - MY2026'!I70</f>
        <v>976.36590840644374</v>
      </c>
      <c r="J46" s="3">
        <f>'ACC II - MY2026'!J70</f>
        <v>5921484.9900558544</v>
      </c>
      <c r="K46" s="3">
        <f>C46+'ACC II - MY2026'!AD$70</f>
        <v>3991.3313428477049</v>
      </c>
      <c r="L46" s="3">
        <f>F46+'ACC II - MY2026'!AE$70</f>
        <v>642.98078720153569</v>
      </c>
    </row>
    <row r="47" spans="1:18">
      <c r="A47">
        <v>2037</v>
      </c>
      <c r="B47" s="33" t="s">
        <v>109</v>
      </c>
      <c r="C47" s="3">
        <f>'ACC II - MY2026'!C75</f>
        <v>3273.4731277894684</v>
      </c>
      <c r="D47" s="3">
        <f>'ACC II - MY2026'!D75</f>
        <v>6619039.0470846957</v>
      </c>
      <c r="E47" s="3">
        <f>'ACC II - MY2026'!E75</f>
        <v>237868651.04721838</v>
      </c>
      <c r="F47" s="3">
        <f>'ACC II - MY2026'!F75</f>
        <v>609.9850254601912</v>
      </c>
      <c r="G47" s="3">
        <f>'ACC II - MY2026'!G75</f>
        <v>13563.358661479751</v>
      </c>
      <c r="H47" s="3">
        <f>'ACC II - MY2026'!H75</f>
        <v>93.54800325616128</v>
      </c>
      <c r="I47" s="3">
        <f>'ACC II - MY2026'!I75</f>
        <v>906.96510065784014</v>
      </c>
      <c r="J47" s="3">
        <f>'ACC II - MY2026'!J75</f>
        <v>4745008.10945829</v>
      </c>
      <c r="K47" s="3">
        <f>C47+'ACC II - MY2026'!AD$75</f>
        <v>3667.8096451691194</v>
      </c>
      <c r="L47" s="3">
        <f>F47+'ACC II - MY2026'!AE$75</f>
        <v>637.60706553305863</v>
      </c>
    </row>
    <row r="48" spans="1:18">
      <c r="A48">
        <v>2038</v>
      </c>
      <c r="B48" s="33" t="s">
        <v>109</v>
      </c>
      <c r="C48" s="3">
        <f>'ACC II - MY2026'!C80</f>
        <v>2919.8534169412965</v>
      </c>
      <c r="D48" s="3">
        <f>'ACC II - MY2026'!D80</f>
        <v>5658069.0842390582</v>
      </c>
      <c r="E48" s="3">
        <f>'ACC II - MY2026'!E80</f>
        <v>237194909.26845753</v>
      </c>
      <c r="F48" s="3">
        <f>'ACC II - MY2026'!F80</f>
        <v>601.51541196211178</v>
      </c>
      <c r="G48" s="3">
        <f>'ACC II - MY2026'!G80</f>
        <v>12930.380537688836</v>
      </c>
      <c r="H48" s="3">
        <f>'ACC II - MY2026'!H80</f>
        <v>84.593221891417798</v>
      </c>
      <c r="I48" s="3">
        <f>'ACC II - MY2026'!I80</f>
        <v>845.24049696364284</v>
      </c>
      <c r="J48" s="3">
        <f>'ACC II - MY2026'!J80</f>
        <v>3770601.4216707139</v>
      </c>
      <c r="K48" s="3">
        <f>C48+'ACC II - MY2026'!AD$80</f>
        <v>3356.9181186581814</v>
      </c>
      <c r="L48" s="3">
        <f>F48+'ACC II - MY2026'!AE$80</f>
        <v>632.26390256056584</v>
      </c>
    </row>
    <row r="49" spans="1:14">
      <c r="A49">
        <v>2039</v>
      </c>
      <c r="B49" s="33" t="s">
        <v>109</v>
      </c>
      <c r="C49" s="3">
        <f>'ACC II - MY2026'!C85</f>
        <v>2581.6129438609678</v>
      </c>
      <c r="D49" s="3">
        <f>'ACC II - MY2026'!D85</f>
        <v>4847721.4449621439</v>
      </c>
      <c r="E49" s="3">
        <f>'ACC II - MY2026'!E85</f>
        <v>236521167.48969671</v>
      </c>
      <c r="F49" s="3">
        <f>'ACC II - MY2026'!F85</f>
        <v>594.5279313533448</v>
      </c>
      <c r="G49" s="3">
        <f>'ACC II - MY2026'!G85</f>
        <v>12268.44202091988</v>
      </c>
      <c r="H49" s="3">
        <f>'ACC II - MY2026'!H85</f>
        <v>76.938951848625607</v>
      </c>
      <c r="I49" s="3">
        <f>'ACC II - MY2026'!I85</f>
        <v>791.09951184526733</v>
      </c>
      <c r="J49" s="3">
        <f>'ACC II - MY2026'!J85</f>
        <v>2984941.7233160362</v>
      </c>
      <c r="K49" s="3">
        <f>C49+'ACC II - MY2026'!AD$85</f>
        <v>3060.8976746653334</v>
      </c>
      <c r="L49" s="3">
        <f>F49+'ACC II - MY2026'!AE$85</f>
        <v>628.3861882665035</v>
      </c>
    </row>
    <row r="50" spans="1:14">
      <c r="A50">
        <v>2040</v>
      </c>
      <c r="B50" s="33" t="s">
        <v>109</v>
      </c>
      <c r="C50" s="3">
        <f>'ACC II - MY2026'!C90</f>
        <v>2267.4328398965076</v>
      </c>
      <c r="D50" s="3">
        <f>'ACC II - MY2026'!D90</f>
        <v>4178360.7350933915</v>
      </c>
      <c r="E50" s="3">
        <f>'ACC II - MY2026'!E90</f>
        <v>235847425.71093589</v>
      </c>
      <c r="F50" s="3">
        <f>'ACC II - MY2026'!F90</f>
        <v>588.13717802585029</v>
      </c>
      <c r="G50" s="3">
        <f>'ACC II - MY2026'!G90</f>
        <v>11572.227388636165</v>
      </c>
      <c r="H50" s="3">
        <f>'ACC II - MY2026'!H90</f>
        <v>70.508025286674084</v>
      </c>
      <c r="I50" s="3">
        <f>'ACC II - MY2026'!I90</f>
        <v>744.77629468852729</v>
      </c>
      <c r="J50" s="3">
        <f>'ACC II - MY2026'!J90</f>
        <v>2375880.8856109222</v>
      </c>
      <c r="K50" s="3">
        <f>C50+'ACC II - MY2026'!AD$90</f>
        <v>2788.4333369553265</v>
      </c>
      <c r="L50" s="3">
        <f>F50+'ACC II - MY2026'!AE$90</f>
        <v>625.08666489570624</v>
      </c>
      <c r="M50" s="3">
        <f>G50+'ACC II - MY2026'!AF90</f>
        <v>8014.3195962313321</v>
      </c>
      <c r="N50" s="3">
        <f>H50+'ACC II - MY2026'!AG90</f>
        <v>520.06993455138013</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470</v>
      </c>
      <c r="L53" s="2" t="s">
        <v>469</v>
      </c>
      <c r="M53" s="2" t="s">
        <v>499</v>
      </c>
      <c r="N53" s="2" t="s">
        <v>500</v>
      </c>
    </row>
    <row r="54" spans="1:14">
      <c r="A54">
        <v>2020</v>
      </c>
      <c r="B54" s="33" t="s">
        <v>109</v>
      </c>
      <c r="C54" s="3">
        <f>'ACC II - MY2027'!C10</f>
        <v>33313.273716843876</v>
      </c>
      <c r="D54" s="3">
        <f>'ACC II - MY2027'!D10</f>
        <v>25907190.830635231</v>
      </c>
      <c r="E54" s="3">
        <f>'ACC II - MY2027'!E10</f>
        <v>257925338.49520811</v>
      </c>
      <c r="F54" s="3">
        <f>'ACC II - MY2027'!F10</f>
        <v>950.74904634011125</v>
      </c>
      <c r="G54" s="3">
        <f>'ACC II - MY2027'!G10</f>
        <v>28396.414260751859</v>
      </c>
      <c r="H54" s="3">
        <f>'ACC II - MY2027'!H10</f>
        <v>266.67816429959612</v>
      </c>
      <c r="I54" s="3">
        <f>'ACC II - MY2027'!I10</f>
        <v>16977.150361722986</v>
      </c>
      <c r="J54" s="3">
        <f>'ACC II - MY2027'!J10</f>
        <v>25902927.772740211</v>
      </c>
      <c r="K54" s="3">
        <f>C54+'ACC II - MY2027'!AD$10</f>
        <v>33317.834594922781</v>
      </c>
      <c r="L54" s="3">
        <f>F54+'ACC II - MY2027'!AE$10</f>
        <v>951.111680596616</v>
      </c>
    </row>
    <row r="55" spans="1:14">
      <c r="A55">
        <v>2025</v>
      </c>
      <c r="B55" s="33" t="s">
        <v>109</v>
      </c>
      <c r="C55" s="3">
        <f>'ACC II - MY2027'!C15</f>
        <v>18219.222126253469</v>
      </c>
      <c r="D55" s="3">
        <f>'ACC II - MY2027'!D15</f>
        <v>23025957.601397682</v>
      </c>
      <c r="E55" s="3">
        <f>'ACC II - MY2027'!E15</f>
        <v>254458507.64158371</v>
      </c>
      <c r="F55" s="3">
        <f>'ACC II - MY2027'!F15</f>
        <v>817.11480867686566</v>
      </c>
      <c r="G55" s="3">
        <f>'ACC II - MY2027'!G15</f>
        <v>22995.43185751998</v>
      </c>
      <c r="H55" s="3">
        <f>'ACC II - MY2027'!H15</f>
        <v>249.98498768076874</v>
      </c>
      <c r="I55" s="3">
        <f>'ACC II - MY2027'!I15</f>
        <v>1989.8952392013528</v>
      </c>
      <c r="J55" s="3">
        <f>'ACC II - MY2027'!J15</f>
        <v>22830631.297383077</v>
      </c>
      <c r="K55" s="3">
        <f>C55+'ACC II - MY2027'!AD$15</f>
        <v>18231.37583834615</v>
      </c>
      <c r="L55" s="3">
        <f>F55+'ACC II - MY2027'!AE$15</f>
        <v>817.52995344397868</v>
      </c>
    </row>
    <row r="56" spans="1:14">
      <c r="A56">
        <v>2026</v>
      </c>
      <c r="B56" s="33" t="s">
        <v>109</v>
      </c>
      <c r="C56" s="3">
        <f>'ACC II - MY2027'!C20</f>
        <v>16395.038854062437</v>
      </c>
      <c r="D56" s="3">
        <f>'ACC II - MY2027'!D20</f>
        <v>22608816.008310486</v>
      </c>
      <c r="E56" s="3">
        <f>'ACC II - MY2027'!E20</f>
        <v>253940953.91176406</v>
      </c>
      <c r="F56" s="3">
        <f>'ACC II - MY2027'!F20</f>
        <v>800.90703245743418</v>
      </c>
      <c r="G56" s="3">
        <f>'ACC II - MY2027'!G20</f>
        <v>22081.922077611889</v>
      </c>
      <c r="H56" s="3">
        <f>'ACC II - MY2027'!H20</f>
        <v>247.56131540048048</v>
      </c>
      <c r="I56" s="3">
        <f>'ACC II - MY2027'!I20</f>
        <v>2013.2307173237396</v>
      </c>
      <c r="J56" s="3">
        <f>J16</f>
        <v>22423380.878917988</v>
      </c>
      <c r="K56" s="3">
        <f>C56+'ACC II - MY2027'!AD$20</f>
        <v>16413.361892518409</v>
      </c>
      <c r="L56" s="3">
        <f>F56+'ACC II - MY2027'!AE$20</f>
        <v>801.65658453916558</v>
      </c>
    </row>
    <row r="57" spans="1:14">
      <c r="A57">
        <v>2027</v>
      </c>
      <c r="B57" s="33" t="s">
        <v>109</v>
      </c>
      <c r="C57" s="3">
        <f>'ACC II - MY2027'!C25</f>
        <v>14325.067817775855</v>
      </c>
      <c r="D57" s="3">
        <f>'ACC II - MY2027'!D25</f>
        <v>21233678.175181724</v>
      </c>
      <c r="E57" s="3">
        <f>'ACC II - MY2027'!E25</f>
        <v>253423400.18194437</v>
      </c>
      <c r="F57" s="3">
        <f>'ACC II - MY2027'!F25</f>
        <v>775.17163399178446</v>
      </c>
      <c r="G57" s="3">
        <f>'ACC II - MY2027'!G25</f>
        <v>20969.684131684538</v>
      </c>
      <c r="H57" s="3">
        <f>'ACC II - MY2027'!H25</f>
        <v>234.03944880156348</v>
      </c>
      <c r="I57" s="3">
        <f>'ACC II - MY2027'!I25</f>
        <v>1895.2562860140529</v>
      </c>
      <c r="J57" s="3">
        <f>'ACC II - MY2027'!J25</f>
        <v>20833153.81437476</v>
      </c>
      <c r="K57" s="3">
        <f>C57+'ACC II - MY2027'!AD$25</f>
        <v>14356.136799012633</v>
      </c>
      <c r="L57" s="3">
        <f>F57+'ACC II - MY2027'!AE$25</f>
        <v>776.62264493608268</v>
      </c>
    </row>
    <row r="58" spans="1:14">
      <c r="A58">
        <v>2028</v>
      </c>
      <c r="B58" s="33" t="s">
        <v>109</v>
      </c>
      <c r="C58" s="3">
        <f>'ACC II - MY2027'!C30</f>
        <v>12362.517298791421</v>
      </c>
      <c r="D58" s="3">
        <f>'ACC II - MY2027'!D30</f>
        <v>19978640.841357499</v>
      </c>
      <c r="E58" s="3">
        <f>'ACC II - MY2027'!E30</f>
        <v>252905846.45212471</v>
      </c>
      <c r="F58" s="3">
        <f>'ACC II - MY2027'!F30</f>
        <v>751.50563573597185</v>
      </c>
      <c r="G58" s="3">
        <f>'ACC II - MY2027'!G30</f>
        <v>19904.320971866058</v>
      </c>
      <c r="H58" s="3">
        <f>'ACC II - MY2027'!H30</f>
        <v>222.56490800509556</v>
      </c>
      <c r="I58" s="3">
        <f>'ACC II - MY2027'!I30</f>
        <v>1803.6727132543788</v>
      </c>
      <c r="J58" s="3">
        <f>'ACC II - MY2027'!J30</f>
        <v>19416786.676733039</v>
      </c>
      <c r="K58" s="3">
        <f>C58+'ACC II - MY2027'!AD$30</f>
        <v>12410.282135948082</v>
      </c>
      <c r="L58" s="3">
        <f>F58+'ACC II - MY2027'!AE$30</f>
        <v>753.9794061990209</v>
      </c>
    </row>
    <row r="59" spans="1:14">
      <c r="A59">
        <v>2029</v>
      </c>
      <c r="B59" s="33" t="s">
        <v>109</v>
      </c>
      <c r="C59" s="3">
        <f>'ACC II - MY2027'!C35</f>
        <v>10390.622775423681</v>
      </c>
      <c r="D59" s="3">
        <f>'ACC II - MY2027'!D35</f>
        <v>18575493.157209396</v>
      </c>
      <c r="E59" s="3">
        <f>'ACC II - MY2027'!E35</f>
        <v>252388292.72230503</v>
      </c>
      <c r="F59" s="3">
        <f>'ACC II - MY2027'!F35</f>
        <v>725.96807648055858</v>
      </c>
      <c r="G59" s="3">
        <f>'ACC II - MY2027'!G35</f>
        <v>18779.24990843319</v>
      </c>
      <c r="H59" s="3">
        <f>'ACC II - MY2027'!H35</f>
        <v>209.04240820128643</v>
      </c>
      <c r="I59" s="3">
        <f>'ACC II - MY2027'!I35</f>
        <v>1701.9836972722123</v>
      </c>
      <c r="J59" s="3">
        <f>'ACC II - MY2027'!J35</f>
        <v>17829283.835638527</v>
      </c>
      <c r="K59" s="3">
        <f>C59+'ACC II - MY2027'!AD$35</f>
        <v>10459.502194607905</v>
      </c>
      <c r="L59" s="3">
        <f>F59+'ACC II - MY2027'!AE$35</f>
        <v>729.84150683233656</v>
      </c>
    </row>
    <row r="60" spans="1:14">
      <c r="A60">
        <v>2030</v>
      </c>
      <c r="B60" s="33" t="s">
        <v>109</v>
      </c>
      <c r="C60" s="3">
        <f>'ACC II - MY2027'!C40</f>
        <v>8438.5344698519602</v>
      </c>
      <c r="D60" s="3">
        <f>'ACC II - MY2027'!D40</f>
        <v>17104444.284371652</v>
      </c>
      <c r="E60" s="3">
        <f>'ACC II - MY2027'!E40</f>
        <v>251870738.99248537</v>
      </c>
      <c r="F60" s="3">
        <f>'ACC II - MY2027'!F40</f>
        <v>695.56144018361988</v>
      </c>
      <c r="G60" s="3">
        <f>'ACC II - MY2027'!G40</f>
        <v>17613.436777734594</v>
      </c>
      <c r="H60" s="3">
        <f>'ACC II - MY2027'!H40</f>
        <v>194.79422588866368</v>
      </c>
      <c r="I60" s="3">
        <f>'ACC II - MY2027'!I40</f>
        <v>1592.8633256449368</v>
      </c>
      <c r="J60" s="3">
        <f>'ACC II - MY2027'!J40</f>
        <v>16176795.00105924</v>
      </c>
      <c r="K60" s="3">
        <f>C60+'ACC II - MY2027'!AD$40</f>
        <v>8533.7973695325054</v>
      </c>
      <c r="L60" s="3">
        <f>F60+'ACC II - MY2027'!AE$40</f>
        <v>701.29203616859058</v>
      </c>
    </row>
    <row r="61" spans="1:14">
      <c r="A61">
        <v>2031</v>
      </c>
      <c r="B61" s="33" t="s">
        <v>109</v>
      </c>
      <c r="C61" s="3">
        <f>'ACC II - MY2027'!C45</f>
        <v>7547.1669712840358</v>
      </c>
      <c r="D61" s="3">
        <f>'ACC II - MY2027'!D45</f>
        <v>15584020.691071346</v>
      </c>
      <c r="E61" s="3">
        <f>'ACC II - MY2027'!E45</f>
        <v>249339818.11493629</v>
      </c>
      <c r="F61" s="3">
        <f>'ACC II - MY2027'!F45</f>
        <v>689.30593320717878</v>
      </c>
      <c r="G61" s="3">
        <f>'ACC II - MY2027'!G45</f>
        <v>17194.73932600021</v>
      </c>
      <c r="H61" s="3">
        <f>'ACC II - MY2027'!H45</f>
        <v>179.08382225978229</v>
      </c>
      <c r="I61" s="3">
        <f>'ACC II - MY2027'!I45</f>
        <v>1496.0370069750961</v>
      </c>
      <c r="J61" s="3">
        <f>'ACC II - MY2027'!J45</f>
        <v>14492246.191694317</v>
      </c>
      <c r="K61" s="3">
        <f>C61+'ACC II - MY2027'!AD$45</f>
        <v>7675.6487984691394</v>
      </c>
      <c r="L61" s="3">
        <f>F61+'ACC II - MY2027'!AE$45</f>
        <v>697.29397587060646</v>
      </c>
    </row>
    <row r="62" spans="1:14">
      <c r="A62">
        <v>2032</v>
      </c>
      <c r="B62" s="33" t="s">
        <v>109</v>
      </c>
      <c r="C62" s="3">
        <f>'ACC II - MY2027'!C50</f>
        <v>6655.6084398245575</v>
      </c>
      <c r="D62" s="3">
        <f>'ACC II - MY2027'!D50</f>
        <v>14033904.291832814</v>
      </c>
      <c r="E62" s="3">
        <f>'ACC II - MY2027'!E50</f>
        <v>246808897.23738724</v>
      </c>
      <c r="F62" s="3">
        <f>'ACC II - MY2027'!F50</f>
        <v>678.28326550834754</v>
      </c>
      <c r="G62" s="3">
        <f>'ACC II - MY2027'!G50</f>
        <v>16737.219725097213</v>
      </c>
      <c r="H62" s="3">
        <f>'ACC II - MY2027'!H50</f>
        <v>163.50018363603317</v>
      </c>
      <c r="I62" s="3">
        <f>'ACC II - MY2027'!I50</f>
        <v>1395.9643651352403</v>
      </c>
      <c r="J62" s="3">
        <f>'ACC II - MY2027'!J50</f>
        <v>12782586.88686409</v>
      </c>
      <c r="K62" s="3">
        <f>C62+'ACC II - MY2027'!AD$50</f>
        <v>6821.0778723358526</v>
      </c>
      <c r="L62" s="3">
        <f>F62+'ACC II - MY2027'!AE$50</f>
        <v>688.88254158089489</v>
      </c>
    </row>
    <row r="63" spans="1:14">
      <c r="A63">
        <v>2033</v>
      </c>
      <c r="B63" s="33" t="s">
        <v>109</v>
      </c>
      <c r="C63" s="3">
        <f>'ACC II - MY2027'!C55</f>
        <v>5779.990569324741</v>
      </c>
      <c r="D63" s="3">
        <f>'ACC II - MY2027'!D55</f>
        <v>12509327.208259823</v>
      </c>
      <c r="E63" s="3">
        <f>'ACC II - MY2027'!E55</f>
        <v>244277976.35983816</v>
      </c>
      <c r="F63" s="3">
        <f>'ACC II - MY2027'!F55</f>
        <v>665.87270133332038</v>
      </c>
      <c r="G63" s="3">
        <f>'ACC II - MY2027'!G55</f>
        <v>16247.761514401805</v>
      </c>
      <c r="H63" s="3">
        <f>'ACC II - MY2027'!H55</f>
        <v>148.47040695082524</v>
      </c>
      <c r="I63" s="3">
        <f>'ACC II - MY2027'!I55</f>
        <v>1295.0171795499746</v>
      </c>
      <c r="J63" s="3">
        <f>'ACC II - MY2027'!J55</f>
        <v>11118851.675021555</v>
      </c>
      <c r="K63" s="3">
        <f>C63+'ACC II - MY2027'!AD$55</f>
        <v>5986.3579407987299</v>
      </c>
      <c r="L63" s="3">
        <f>F63+'ACC II - MY2027'!AE$55</f>
        <v>679.45550783189935</v>
      </c>
    </row>
    <row r="64" spans="1:14">
      <c r="A64">
        <v>2034</v>
      </c>
      <c r="B64" s="33" t="s">
        <v>109</v>
      </c>
      <c r="C64" s="3">
        <f>'ACC II - MY2027'!C60</f>
        <v>4927.8510777432712</v>
      </c>
      <c r="D64" s="3">
        <f>'ACC II - MY2027'!D60</f>
        <v>10962692.329359919</v>
      </c>
      <c r="E64" s="3">
        <f>'ACC II - MY2027'!E60</f>
        <v>241747055.48228911</v>
      </c>
      <c r="F64" s="3">
        <f>'ACC II - MY2027'!F60</f>
        <v>652.33175261923122</v>
      </c>
      <c r="G64" s="3">
        <f>'ACC II - MY2027'!G60</f>
        <v>15711.247963707759</v>
      </c>
      <c r="H64" s="3">
        <f>'ACC II - MY2027'!H60</f>
        <v>133.89462721966416</v>
      </c>
      <c r="I64" s="3">
        <f>'ACC II - MY2027'!I60</f>
        <v>1192.5304977178896</v>
      </c>
      <c r="J64" s="3">
        <f>'ACC II - MY2027'!J60</f>
        <v>9440160.0838503223</v>
      </c>
      <c r="K64" s="3">
        <f>C64+'ACC II - MY2027'!AD$60</f>
        <v>5179.4720558716563</v>
      </c>
      <c r="L64" s="3">
        <f>F64+'ACC II - MY2027'!AE$60</f>
        <v>669.32256262019382</v>
      </c>
    </row>
    <row r="65" spans="1:18">
      <c r="A65">
        <v>2035</v>
      </c>
      <c r="B65" s="33" t="s">
        <v>109</v>
      </c>
      <c r="C65" s="3">
        <f>'ACC II - MY2027'!C65</f>
        <v>4094.4890033545698</v>
      </c>
      <c r="D65" s="3">
        <f>'ACC II - MY2027'!D65</f>
        <v>9458465.8903030939</v>
      </c>
      <c r="E65" s="3">
        <f>'ACC II - MY2027'!E65</f>
        <v>239216134.60474002</v>
      </c>
      <c r="F65" s="3">
        <f>'ACC II - MY2027'!F65</f>
        <v>633.05835879925746</v>
      </c>
      <c r="G65" s="3">
        <f>'ACC II - MY2027'!G65</f>
        <v>14915.270276814048</v>
      </c>
      <c r="H65" s="3">
        <f>'ACC II - MY2027'!H65</f>
        <v>120.12621287778227</v>
      </c>
      <c r="I65" s="3">
        <f>'ACC II - MY2027'!I65</f>
        <v>1091.3135350511263</v>
      </c>
      <c r="J65" s="3">
        <f>'ACC II - MY2027'!J65</f>
        <v>7832057.9125075024</v>
      </c>
      <c r="K65" s="3">
        <f>C65+'ACC II - MY2027'!AD$65</f>
        <v>4397.5012519810116</v>
      </c>
      <c r="L65" s="3">
        <f>F65+'ACC II - MY2027'!AE$65</f>
        <v>654.08212916590458</v>
      </c>
    </row>
    <row r="66" spans="1:18">
      <c r="A66">
        <v>2036</v>
      </c>
      <c r="B66" s="33" t="s">
        <v>109</v>
      </c>
      <c r="C66" s="3">
        <f>'ACC II - MY2027'!C70</f>
        <v>3720.9785966565964</v>
      </c>
      <c r="D66" s="3">
        <f>'ACC II - MY2027'!D70</f>
        <v>8156491.2550131362</v>
      </c>
      <c r="E66" s="3">
        <f>'ACC II - MY2027'!E70</f>
        <v>238542392.8259792</v>
      </c>
      <c r="F66" s="3">
        <f>'ACC II - MY2027'!F70</f>
        <v>623.67343882705643</v>
      </c>
      <c r="G66" s="3">
        <f>'ACC II - MY2027'!G70</f>
        <v>14311.698754107574</v>
      </c>
      <c r="H66" s="3">
        <f>'ACC II - MY2027'!H70</f>
        <v>107.94833288823141</v>
      </c>
      <c r="I66" s="3">
        <f>'ACC II - MY2027'!I70</f>
        <v>1013.9362957545236</v>
      </c>
      <c r="J66" s="3">
        <f>'ACC II - MY2027'!J70</f>
        <v>6430590.6038005259</v>
      </c>
      <c r="K66" s="3">
        <f>C66+'ACC II - MY2027'!AD$70</f>
        <v>4067.884387366691</v>
      </c>
      <c r="L66" s="3">
        <f>F66+'ACC II - MY2027'!AE$70</f>
        <v>647.86097247312568</v>
      </c>
    </row>
    <row r="67" spans="1:18">
      <c r="A67">
        <v>2037</v>
      </c>
      <c r="B67" s="33" t="s">
        <v>109</v>
      </c>
      <c r="C67" s="3">
        <f>'ACC II - MY2027'!C75</f>
        <v>3356.9869929875326</v>
      </c>
      <c r="D67" s="3">
        <f>'ACC II - MY2027'!D75</f>
        <v>7034273.8955472903</v>
      </c>
      <c r="E67" s="3">
        <f>'ACC II - MY2027'!E75</f>
        <v>237868651.04721838</v>
      </c>
      <c r="F67" s="3">
        <f>'ACC II - MY2027'!F75</f>
        <v>615.26519181767173</v>
      </c>
      <c r="G67" s="3">
        <f>'ACC II - MY2027'!G75</f>
        <v>13715.877544848945</v>
      </c>
      <c r="H67" s="3">
        <f>'ACC II - MY2027'!H75</f>
        <v>97.474022419827932</v>
      </c>
      <c r="I67" s="3">
        <f>'ACC II - MY2027'!I75</f>
        <v>945.02857868001809</v>
      </c>
      <c r="J67" s="3">
        <f>'ACC II - MY2027'!J75</f>
        <v>5254721.1269836565</v>
      </c>
      <c r="K67" s="3">
        <f>C67+'ACC II - MY2027'!AD$75</f>
        <v>3747.2430646722032</v>
      </c>
      <c r="L67" s="3">
        <f>F67+'ACC II - MY2027'!AE$75</f>
        <v>642.60140942791043</v>
      </c>
    </row>
    <row r="68" spans="1:18">
      <c r="A68">
        <v>2038</v>
      </c>
      <c r="B68" s="33" t="s">
        <v>109</v>
      </c>
      <c r="C68" s="3">
        <f>'ACC II - MY2027'!C80</f>
        <v>3003.9444755240761</v>
      </c>
      <c r="D68" s="3">
        <f>'ACC II - MY2027'!D80</f>
        <v>6062739.1378000425</v>
      </c>
      <c r="E68" s="3">
        <f>'ACC II - MY2027'!E80</f>
        <v>237194909.26845753</v>
      </c>
      <c r="F68" s="3">
        <f>'ACC II - MY2027'!F80</f>
        <v>606.78531260683769</v>
      </c>
      <c r="G68" s="3">
        <f>'ACC II - MY2027'!G80</f>
        <v>13085.6397047234</v>
      </c>
      <c r="H68" s="3">
        <f>'ACC II - MY2027'!H80</f>
        <v>88.363807249872593</v>
      </c>
      <c r="I68" s="3">
        <f>'ACC II - MY2027'!I80</f>
        <v>882.91551833018934</v>
      </c>
      <c r="J68" s="3">
        <f>'ACC II - MY2027'!J80</f>
        <v>4267316.6002010517</v>
      </c>
      <c r="K68" s="3">
        <f>C68+'ACC II - MY2027'!AD$80</f>
        <v>3437.0056825770694</v>
      </c>
      <c r="L68" s="3">
        <f>F68+'ACC II - MY2027'!AE$80</f>
        <v>637.25214829802042</v>
      </c>
    </row>
    <row r="69" spans="1:18">
      <c r="A69">
        <v>2039</v>
      </c>
      <c r="B69" s="33" t="s">
        <v>109</v>
      </c>
      <c r="C69" s="3">
        <f>'ACC II - MY2027'!C85</f>
        <v>2663.252538136021</v>
      </c>
      <c r="D69" s="3">
        <f>'ACC II - MY2027'!D85</f>
        <v>5228500.1434934828</v>
      </c>
      <c r="E69" s="3">
        <f>'ACC II - MY2027'!E85</f>
        <v>236521167.48969671</v>
      </c>
      <c r="F69" s="3">
        <f>'ACC II - MY2027'!F85</f>
        <v>599.58997005324363</v>
      </c>
      <c r="G69" s="3">
        <f>'ACC II - MY2027'!G85</f>
        <v>12421.923668410944</v>
      </c>
      <c r="H69" s="3">
        <f>'ACC II - MY2027'!H85</f>
        <v>80.446717206411435</v>
      </c>
      <c r="I69" s="3">
        <f>'ACC II - MY2027'!I85</f>
        <v>827.16695746984249</v>
      </c>
      <c r="J69" s="3">
        <f>'ACC II - MY2027'!J85</f>
        <v>3451473.8741302625</v>
      </c>
      <c r="K69" s="3">
        <f>C69+'ACC II - MY2027'!AD$85</f>
        <v>3138.60832745477</v>
      </c>
      <c r="L69" s="3">
        <f>F69+'ACC II - MY2027'!AE$85</f>
        <v>633.17067355886206</v>
      </c>
    </row>
    <row r="70" spans="1:18">
      <c r="A70">
        <v>2040</v>
      </c>
      <c r="B70" s="33" t="s">
        <v>109</v>
      </c>
      <c r="C70" s="3">
        <f>'ACC II - MY2027'!C90</f>
        <v>2343.4123130299909</v>
      </c>
      <c r="D70" s="3">
        <f>'ACC II - MY2027'!D90</f>
        <v>4523757.5846806783</v>
      </c>
      <c r="E70" s="3">
        <f>'ACC II - MY2027'!E90</f>
        <v>235847425.71093589</v>
      </c>
      <c r="F70" s="3">
        <f>'ACC II - MY2027'!F90</f>
        <v>592.81735350293468</v>
      </c>
      <c r="G70" s="3">
        <f>'ACC II - MY2027'!G90</f>
        <v>11719.424292564614</v>
      </c>
      <c r="H70" s="3">
        <f>'ACC II - MY2027'!H90</f>
        <v>73.661267366254435</v>
      </c>
      <c r="I70" s="3">
        <f>'ACC II - MY2027'!I90</f>
        <v>778.08399182991423</v>
      </c>
      <c r="J70" s="3">
        <f>'ACC II - MY2027'!J90</f>
        <v>2797410.704920237</v>
      </c>
      <c r="K70" s="3">
        <f>C70+'ACC II - MY2027'!AD$90</f>
        <v>2860.5562021184337</v>
      </c>
      <c r="L70" s="3">
        <f>F70+'ACC II - MY2027'!AE$90</f>
        <v>629.49332876125084</v>
      </c>
      <c r="M70" s="3">
        <f>G70+'ACC II - MY2027'!AF90</f>
        <v>8187.8532419239673</v>
      </c>
      <c r="N70" s="3">
        <f>H70+'ACC II - MY2027'!AG90</f>
        <v>519.89537934048735</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470</v>
      </c>
      <c r="L74" s="2" t="s">
        <v>469</v>
      </c>
      <c r="M74" s="2" t="s">
        <v>499</v>
      </c>
      <c r="N74" s="2" t="s">
        <v>500</v>
      </c>
    </row>
    <row r="75" spans="1:18" s="2" customFormat="1">
      <c r="A75">
        <v>2026</v>
      </c>
      <c r="B75" s="33" t="s">
        <v>109</v>
      </c>
      <c r="C75" s="3">
        <f t="shared" ref="C75:L89" si="11">C36-C16</f>
        <v>-118.99433099612907</v>
      </c>
      <c r="D75" s="3">
        <f t="shared" si="11"/>
        <v>-359845.45089179277</v>
      </c>
      <c r="E75" s="3">
        <f t="shared" si="11"/>
        <v>0</v>
      </c>
      <c r="F75" s="3">
        <f t="shared" si="11"/>
        <v>-4.1786062690806602</v>
      </c>
      <c r="G75" s="3">
        <f t="shared" si="11"/>
        <v>-86.815810749736556</v>
      </c>
      <c r="H75" s="3">
        <f t="shared" si="11"/>
        <v>-4.6695909220415501</v>
      </c>
      <c r="I75" s="3">
        <f t="shared" si="11"/>
        <v>-37.974284739851782</v>
      </c>
      <c r="J75" s="3">
        <f t="shared" si="11"/>
        <v>-431977.77313929424</v>
      </c>
      <c r="K75" s="3">
        <f t="shared" si="11"/>
        <v>-115.63353867367005</v>
      </c>
      <c r="L75" s="3">
        <f t="shared" si="11"/>
        <v>-4.0411417132505676</v>
      </c>
      <c r="M75" s="118"/>
      <c r="P75"/>
      <c r="Q75"/>
      <c r="R75"/>
    </row>
    <row r="76" spans="1:18">
      <c r="A76">
        <v>2027</v>
      </c>
      <c r="B76" s="33" t="s">
        <v>109</v>
      </c>
      <c r="C76" s="3">
        <f t="shared" si="11"/>
        <v>-271.74588902722826</v>
      </c>
      <c r="D76" s="3">
        <f t="shared" si="11"/>
        <v>-907910.80394845083</v>
      </c>
      <c r="E76" s="3">
        <f t="shared" si="11"/>
        <v>0</v>
      </c>
      <c r="F76" s="3">
        <f t="shared" si="11"/>
        <v>-10.235803838752872</v>
      </c>
      <c r="G76" s="3">
        <f t="shared" si="11"/>
        <v>-227.22029484756786</v>
      </c>
      <c r="H76" s="3">
        <f t="shared" si="11"/>
        <v>-10.534764249765118</v>
      </c>
      <c r="I76" s="3">
        <f t="shared" si="11"/>
        <v>-85.310738289134406</v>
      </c>
      <c r="J76" s="3">
        <f t="shared" ref="J76:L76" si="12">J37-J17</f>
        <v>-1087550.2819536775</v>
      </c>
      <c r="K76" s="3">
        <f t="shared" si="12"/>
        <v>-262.37098948317362</v>
      </c>
      <c r="L76" s="3">
        <f t="shared" si="12"/>
        <v>-9.7980019552270505</v>
      </c>
      <c r="P76" s="2"/>
      <c r="Q76" s="2"/>
      <c r="R76" s="2"/>
    </row>
    <row r="77" spans="1:18">
      <c r="A77">
        <v>2028</v>
      </c>
      <c r="B77" s="33" t="s">
        <v>109</v>
      </c>
      <c r="C77" s="3">
        <f t="shared" si="11"/>
        <v>-423.31816076840551</v>
      </c>
      <c r="D77" s="3">
        <f t="shared" si="11"/>
        <v>-1565902.5608379319</v>
      </c>
      <c r="E77" s="3">
        <f t="shared" si="11"/>
        <v>0</v>
      </c>
      <c r="F77" s="3">
        <f t="shared" si="11"/>
        <v>-17.39476102179151</v>
      </c>
      <c r="G77" s="3">
        <f t="shared" si="11"/>
        <v>-400.88452495490492</v>
      </c>
      <c r="H77" s="3">
        <f t="shared" si="11"/>
        <v>-17.447979470756309</v>
      </c>
      <c r="I77" s="3">
        <f t="shared" si="11"/>
        <v>-141.39895078205768</v>
      </c>
      <c r="J77" s="3">
        <f t="shared" ref="J77:L77" si="13">J38-J18</f>
        <v>-1865570.9219563827</v>
      </c>
      <c r="K77" s="3">
        <f t="shared" si="13"/>
        <v>-404.75567685113856</v>
      </c>
      <c r="L77" s="3">
        <f t="shared" si="13"/>
        <v>-16.431557809135938</v>
      </c>
    </row>
    <row r="78" spans="1:18">
      <c r="A78">
        <v>2029</v>
      </c>
      <c r="B78" s="33" t="s">
        <v>109</v>
      </c>
      <c r="C78" s="3">
        <f t="shared" si="11"/>
        <v>-579.06308466360133</v>
      </c>
      <c r="D78" s="3">
        <f t="shared" si="11"/>
        <v>-2307868.1618899517</v>
      </c>
      <c r="E78" s="3">
        <f t="shared" si="11"/>
        <v>0</v>
      </c>
      <c r="F78" s="3">
        <f t="shared" si="11"/>
        <v>-25.697132222034497</v>
      </c>
      <c r="G78" s="3">
        <f t="shared" si="11"/>
        <v>-631.30032703528923</v>
      </c>
      <c r="H78" s="3">
        <f t="shared" si="11"/>
        <v>-25.630375871084965</v>
      </c>
      <c r="I78" s="3">
        <f t="shared" si="11"/>
        <v>-208.67766623479451</v>
      </c>
      <c r="J78" s="3">
        <f t="shared" ref="J78:L78" si="14">J39-J19</f>
        <v>-2732356.0902961344</v>
      </c>
      <c r="K78" s="3">
        <f t="shared" si="14"/>
        <v>-547.68347925604758</v>
      </c>
      <c r="L78" s="3">
        <f t="shared" si="14"/>
        <v>-23.928688308784672</v>
      </c>
    </row>
    <row r="79" spans="1:18">
      <c r="A79">
        <v>2030</v>
      </c>
      <c r="B79" s="33" t="s">
        <v>109</v>
      </c>
      <c r="C79" s="3">
        <f t="shared" si="11"/>
        <v>-703.56844192584686</v>
      </c>
      <c r="D79" s="3">
        <f t="shared" si="11"/>
        <v>-3131986.4815633558</v>
      </c>
      <c r="E79" s="3">
        <f t="shared" si="11"/>
        <v>0</v>
      </c>
      <c r="F79" s="3">
        <f t="shared" si="11"/>
        <v>-34.755732040481803</v>
      </c>
      <c r="G79" s="3">
        <f t="shared" si="11"/>
        <v>-884.8680788871352</v>
      </c>
      <c r="H79" s="3">
        <f t="shared" si="11"/>
        <v>-34.599241683085182</v>
      </c>
      <c r="I79" s="3">
        <f t="shared" si="11"/>
        <v>-282.92349488640207</v>
      </c>
      <c r="J79" s="3">
        <f t="shared" ref="J79:L79" si="15">J40-J20</f>
        <v>-3682764.3815215342</v>
      </c>
      <c r="K79" s="3">
        <f t="shared" si="15"/>
        <v>-654.90230729528776</v>
      </c>
      <c r="L79" s="3">
        <f t="shared" si="15"/>
        <v>-31.822207493644669</v>
      </c>
    </row>
    <row r="80" spans="1:18">
      <c r="A80">
        <v>2031</v>
      </c>
      <c r="B80" s="33" t="s">
        <v>109</v>
      </c>
      <c r="C80" s="3">
        <f t="shared" si="11"/>
        <v>-903.29209217442803</v>
      </c>
      <c r="D80" s="3">
        <f t="shared" si="11"/>
        <v>-4090306.1142398212</v>
      </c>
      <c r="E80" s="3">
        <f t="shared" si="11"/>
        <v>0</v>
      </c>
      <c r="F80" s="3">
        <f t="shared" si="11"/>
        <v>-46.444035225974631</v>
      </c>
      <c r="G80" s="3">
        <f t="shared" si="11"/>
        <v>-1218.2454165433119</v>
      </c>
      <c r="H80" s="3">
        <f t="shared" si="11"/>
        <v>-44.194746505558982</v>
      </c>
      <c r="I80" s="3">
        <f t="shared" si="11"/>
        <v>-369.19569535593791</v>
      </c>
      <c r="J80" s="3">
        <f t="shared" ref="J80:L80" si="16">J41-J21</f>
        <v>-4748292.5869085863</v>
      </c>
      <c r="K80" s="3">
        <f t="shared" si="16"/>
        <v>-828.91768192448853</v>
      </c>
      <c r="L80" s="3">
        <f t="shared" si="16"/>
        <v>-41.811631674101363</v>
      </c>
    </row>
    <row r="81" spans="1:14">
      <c r="A81">
        <v>2032</v>
      </c>
      <c r="B81" s="33" t="s">
        <v>109</v>
      </c>
      <c r="C81" s="3">
        <f t="shared" si="11"/>
        <v>-1098.5101725129243</v>
      </c>
      <c r="D81" s="3">
        <f t="shared" si="11"/>
        <v>-5082635.767738292</v>
      </c>
      <c r="E81" s="3">
        <f t="shared" si="11"/>
        <v>0</v>
      </c>
      <c r="F81" s="3">
        <f t="shared" si="11"/>
        <v>-58.910911598145503</v>
      </c>
      <c r="G81" s="3">
        <f t="shared" si="11"/>
        <v>-1581.470162076017</v>
      </c>
      <c r="H81" s="3">
        <f t="shared" si="11"/>
        <v>-53.673751974975062</v>
      </c>
      <c r="I81" s="3">
        <f t="shared" si="11"/>
        <v>-458.26642780393558</v>
      </c>
      <c r="J81" s="3">
        <f t="shared" ref="J81:L81" si="17">J42-J22</f>
        <v>-5843595.0359583832</v>
      </c>
      <c r="K81" s="3">
        <f t="shared" si="17"/>
        <v>-994.88420544661676</v>
      </c>
      <c r="L81" s="3">
        <f t="shared" si="17"/>
        <v>-52.262215839348528</v>
      </c>
    </row>
    <row r="82" spans="1:14">
      <c r="A82">
        <v>2033</v>
      </c>
      <c r="B82" s="33" t="s">
        <v>109</v>
      </c>
      <c r="C82" s="3">
        <f t="shared" si="11"/>
        <v>-1273.3676796896907</v>
      </c>
      <c r="D82" s="3">
        <f t="shared" si="11"/>
        <v>-6064466.3151747826</v>
      </c>
      <c r="E82" s="3">
        <f t="shared" si="11"/>
        <v>0</v>
      </c>
      <c r="F82" s="3">
        <f t="shared" si="11"/>
        <v>-71.999105884881487</v>
      </c>
      <c r="G82" s="3">
        <f t="shared" si="11"/>
        <v>-1966.1373813369537</v>
      </c>
      <c r="H82" s="3">
        <f t="shared" si="11"/>
        <v>-62.752880084606858</v>
      </c>
      <c r="I82" s="3">
        <f t="shared" si="11"/>
        <v>-547.35525715047993</v>
      </c>
      <c r="J82" s="3">
        <f t="shared" ref="J82:L82" si="18">J43-J23</f>
        <v>-6911506.0859659426</v>
      </c>
      <c r="K82" s="3">
        <f t="shared" si="18"/>
        <v>-1136.8002802083474</v>
      </c>
      <c r="L82" s="3">
        <f t="shared" si="18"/>
        <v>-62.997013408872249</v>
      </c>
    </row>
    <row r="83" spans="1:14">
      <c r="A83">
        <v>2034</v>
      </c>
      <c r="B83" s="33" t="s">
        <v>109</v>
      </c>
      <c r="C83" s="3">
        <f t="shared" si="11"/>
        <v>-1420.2032354524863</v>
      </c>
      <c r="D83" s="3">
        <f t="shared" si="11"/>
        <v>-7087131.4961308092</v>
      </c>
      <c r="E83" s="3">
        <f t="shared" si="11"/>
        <v>0</v>
      </c>
      <c r="F83" s="3">
        <f t="shared" si="11"/>
        <v>-85.509816502549597</v>
      </c>
      <c r="G83" s="3">
        <f t="shared" si="11"/>
        <v>-2385.0603505068502</v>
      </c>
      <c r="H83" s="3">
        <f t="shared" si="11"/>
        <v>-71.557379868938028</v>
      </c>
      <c r="I83" s="3">
        <f t="shared" si="11"/>
        <v>-637.32473514785147</v>
      </c>
      <c r="J83" s="3">
        <f t="shared" ref="J83:L83" si="19">J44-J24</f>
        <v>-8017765.2738400642</v>
      </c>
      <c r="K83" s="3">
        <f t="shared" si="19"/>
        <v>-1246.5500205013877</v>
      </c>
      <c r="L83" s="3">
        <f t="shared" si="19"/>
        <v>-73.7634635634098</v>
      </c>
    </row>
    <row r="84" spans="1:14">
      <c r="A84">
        <v>2035</v>
      </c>
      <c r="B84" s="33" t="s">
        <v>109</v>
      </c>
      <c r="C84" s="3">
        <f t="shared" si="11"/>
        <v>-1521.9895121302266</v>
      </c>
      <c r="D84" s="3">
        <f t="shared" si="11"/>
        <v>-8091773.7119697761</v>
      </c>
      <c r="E84" s="3">
        <f t="shared" si="11"/>
        <v>0</v>
      </c>
      <c r="F84" s="3">
        <f t="shared" si="11"/>
        <v>-98.644206200687108</v>
      </c>
      <c r="G84" s="3">
        <f t="shared" si="11"/>
        <v>-2768.7956889597153</v>
      </c>
      <c r="H84" s="3">
        <f t="shared" si="11"/>
        <v>-79.826030307483805</v>
      </c>
      <c r="I84" s="3">
        <f t="shared" si="11"/>
        <v>-725.19748385467301</v>
      </c>
      <c r="J84" s="3">
        <f t="shared" ref="J84:L84" si="20">J45-J25</f>
        <v>-9084064.1796187237</v>
      </c>
      <c r="K84" s="3">
        <f t="shared" si="20"/>
        <v>-1305.2989026554305</v>
      </c>
      <c r="L84" s="3">
        <f t="shared" si="20"/>
        <v>-83.558942783631437</v>
      </c>
      <c r="M84" s="3"/>
    </row>
    <row r="85" spans="1:14">
      <c r="A85">
        <v>2036</v>
      </c>
      <c r="B85" s="33" t="s">
        <v>109</v>
      </c>
      <c r="C85" s="3">
        <f t="shared" si="11"/>
        <v>-1757.8679210276632</v>
      </c>
      <c r="D85" s="3">
        <f t="shared" si="11"/>
        <v>-9043960.8018288426</v>
      </c>
      <c r="E85" s="3">
        <f t="shared" si="11"/>
        <v>0</v>
      </c>
      <c r="F85" s="3">
        <f t="shared" si="11"/>
        <v>-112.60370656828525</v>
      </c>
      <c r="G85" s="3">
        <f t="shared" si="11"/>
        <v>-3207.1572496945664</v>
      </c>
      <c r="H85" s="3">
        <f t="shared" si="11"/>
        <v>-87.115463901546633</v>
      </c>
      <c r="I85" s="3">
        <f t="shared" si="11"/>
        <v>-818.25747936956657</v>
      </c>
      <c r="J85" s="3">
        <f t="shared" ref="J85:L85" si="21">J46-J26</f>
        <v>-10089301.887469452</v>
      </c>
      <c r="K85" s="3">
        <f t="shared" si="21"/>
        <v>-1503.365149539035</v>
      </c>
      <c r="L85" s="3">
        <f t="shared" si="21"/>
        <v>-94.776139373905721</v>
      </c>
    </row>
    <row r="86" spans="1:14">
      <c r="A86">
        <v>2037</v>
      </c>
      <c r="B86" s="33" t="s">
        <v>109</v>
      </c>
      <c r="C86" s="3">
        <f t="shared" si="11"/>
        <v>-1978.2014760988354</v>
      </c>
      <c r="D86" s="3">
        <f t="shared" si="11"/>
        <v>-9835710.3722630776</v>
      </c>
      <c r="E86" s="3">
        <f t="shared" si="11"/>
        <v>0</v>
      </c>
      <c r="F86" s="3">
        <f t="shared" si="11"/>
        <v>-125.07184115647169</v>
      </c>
      <c r="G86" s="3">
        <f t="shared" si="11"/>
        <v>-3612.7304070807349</v>
      </c>
      <c r="H86" s="3">
        <f t="shared" si="11"/>
        <v>-92.996017922754334</v>
      </c>
      <c r="I86" s="3">
        <f t="shared" si="11"/>
        <v>-901.61350130724554</v>
      </c>
      <c r="J86" s="3">
        <f t="shared" ref="J86:L86" si="22">J47-J27</f>
        <v>-10892950.695902379</v>
      </c>
      <c r="K86" s="3">
        <f t="shared" si="22"/>
        <v>-1686.2907486054569</v>
      </c>
      <c r="L86" s="3">
        <f t="shared" si="22"/>
        <v>-104.5074644960622</v>
      </c>
    </row>
    <row r="87" spans="1:14">
      <c r="A87">
        <v>2038</v>
      </c>
      <c r="B87" s="33" t="s">
        <v>109</v>
      </c>
      <c r="C87" s="3">
        <f t="shared" si="11"/>
        <v>-2181.3304814248736</v>
      </c>
      <c r="D87" s="3">
        <f t="shared" si="11"/>
        <v>-10497181.717405317</v>
      </c>
      <c r="E87" s="3">
        <f t="shared" si="11"/>
        <v>0</v>
      </c>
      <c r="F87" s="3">
        <f t="shared" si="11"/>
        <v>-136.70175050900343</v>
      </c>
      <c r="G87" s="3">
        <f t="shared" si="11"/>
        <v>-4027.4383422078299</v>
      </c>
      <c r="H87" s="3">
        <f t="shared" si="11"/>
        <v>-97.809361825493582</v>
      </c>
      <c r="I87" s="3">
        <f t="shared" si="11"/>
        <v>-977.29382743210419</v>
      </c>
      <c r="J87" s="3">
        <f t="shared" ref="J87:L87" si="23">J48-J28</f>
        <v>-11533588.570732184</v>
      </c>
      <c r="K87" s="3">
        <f t="shared" si="23"/>
        <v>-1852.4246286037328</v>
      </c>
      <c r="L87" s="3">
        <f t="shared" si="23"/>
        <v>-113.40945104764853</v>
      </c>
    </row>
    <row r="88" spans="1:14">
      <c r="A88">
        <v>2039</v>
      </c>
      <c r="B88" s="33" t="s">
        <v>109</v>
      </c>
      <c r="C88" s="3">
        <f t="shared" si="11"/>
        <v>-2366.2696136383674</v>
      </c>
      <c r="D88" s="3">
        <f t="shared" si="11"/>
        <v>-11036618.589992197</v>
      </c>
      <c r="E88" s="3">
        <f t="shared" si="11"/>
        <v>0</v>
      </c>
      <c r="F88" s="3">
        <f t="shared" si="11"/>
        <v>-146.71984182425467</v>
      </c>
      <c r="G88" s="3">
        <f t="shared" si="11"/>
        <v>-4448.5639833738933</v>
      </c>
      <c r="H88" s="3">
        <f t="shared" si="11"/>
        <v>-101.67025757057547</v>
      </c>
      <c r="I88" s="3">
        <f t="shared" si="11"/>
        <v>-1045.3910431677091</v>
      </c>
      <c r="J88" s="3">
        <f t="shared" ref="J88:L88" si="24">J49-J29</f>
        <v>-12021540.919624155</v>
      </c>
      <c r="K88" s="3">
        <f t="shared" si="24"/>
        <v>-2000.753253545281</v>
      </c>
      <c r="L88" s="3">
        <f t="shared" si="24"/>
        <v>-120.70758772847284</v>
      </c>
    </row>
    <row r="89" spans="1:14">
      <c r="A89">
        <v>2040</v>
      </c>
      <c r="B89" s="33" t="s">
        <v>109</v>
      </c>
      <c r="C89" s="3">
        <f t="shared" si="11"/>
        <v>-2522.1887785262275</v>
      </c>
      <c r="D89" s="3">
        <f t="shared" si="11"/>
        <v>-11465676.481289737</v>
      </c>
      <c r="E89" s="3">
        <f t="shared" si="11"/>
        <v>0</v>
      </c>
      <c r="F89" s="3">
        <f t="shared" si="11"/>
        <v>-155.36151519631892</v>
      </c>
      <c r="G89" s="3">
        <f t="shared" si="11"/>
        <v>-4886.2984173356017</v>
      </c>
      <c r="H89" s="3">
        <f t="shared" si="11"/>
        <v>-104.67395285989936</v>
      </c>
      <c r="I89" s="3">
        <f t="shared" si="11"/>
        <v>-1105.6709990732288</v>
      </c>
      <c r="J89" s="3">
        <f t="shared" ref="J89:N89" si="25">J50-J30</f>
        <v>-12371596.022723429</v>
      </c>
      <c r="K89" s="3">
        <f t="shared" si="25"/>
        <v>-2120.4484721639351</v>
      </c>
      <c r="L89" s="3">
        <f t="shared" si="25"/>
        <v>-126.63950470598093</v>
      </c>
      <c r="M89" s="3">
        <f t="shared" si="25"/>
        <v>-7590.2679956965139</v>
      </c>
      <c r="N89" s="3">
        <f t="shared" si="25"/>
        <v>239.91632125588137</v>
      </c>
    </row>
    <row r="90" spans="1:14">
      <c r="C90" s="3"/>
      <c r="D90" s="3"/>
      <c r="E90" s="3"/>
      <c r="F90" s="3"/>
      <c r="G90" s="3"/>
      <c r="H90" s="3"/>
      <c r="I90" s="3"/>
      <c r="J90" s="3"/>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470</v>
      </c>
      <c r="L92" s="2" t="s">
        <v>469</v>
      </c>
      <c r="M92" s="2" t="s">
        <v>499</v>
      </c>
      <c r="N92" s="2" t="s">
        <v>500</v>
      </c>
    </row>
    <row r="93" spans="1:14">
      <c r="A93">
        <v>2026</v>
      </c>
      <c r="B93" s="33" t="s">
        <v>109</v>
      </c>
      <c r="C93" s="3">
        <f t="shared" ref="C93:J107" si="26">C56-C16</f>
        <v>0</v>
      </c>
      <c r="D93" s="3">
        <f t="shared" si="26"/>
        <v>0</v>
      </c>
      <c r="E93" s="3">
        <f t="shared" si="26"/>
        <v>0</v>
      </c>
      <c r="F93" s="3">
        <f t="shared" si="26"/>
        <v>0</v>
      </c>
      <c r="G93" s="3">
        <f t="shared" si="26"/>
        <v>0</v>
      </c>
      <c r="H93" s="3">
        <f t="shared" si="26"/>
        <v>0</v>
      </c>
      <c r="I93" s="3">
        <f t="shared" si="26"/>
        <v>0</v>
      </c>
      <c r="J93" s="3">
        <f t="shared" si="26"/>
        <v>0</v>
      </c>
      <c r="K93" s="3">
        <f t="shared" ref="K93:L93" si="27">K56-K16</f>
        <v>0</v>
      </c>
      <c r="L93" s="3">
        <f t="shared" si="27"/>
        <v>0</v>
      </c>
      <c r="M93" s="2"/>
    </row>
    <row r="94" spans="1:14">
      <c r="A94">
        <v>2027</v>
      </c>
      <c r="B94" s="33" t="s">
        <v>109</v>
      </c>
      <c r="C94" s="3">
        <f t="shared" si="26"/>
        <v>-252.05471660625335</v>
      </c>
      <c r="D94" s="3">
        <f t="shared" si="26"/>
        <v>-842122.03250682354</v>
      </c>
      <c r="E94" s="3">
        <f t="shared" si="26"/>
        <v>0</v>
      </c>
      <c r="F94" s="3">
        <f t="shared" si="26"/>
        <v>-9.4940999661473597</v>
      </c>
      <c r="G94" s="3">
        <f t="shared" si="26"/>
        <v>-210.75552322064686</v>
      </c>
      <c r="H94" s="3">
        <f t="shared" si="26"/>
        <v>-9.7713971938769077</v>
      </c>
      <c r="I94" s="3">
        <f t="shared" si="26"/>
        <v>-79.128976117771344</v>
      </c>
      <c r="J94" s="3">
        <f t="shared" ref="J94:L94" si="28">J57-J17</f>
        <v>-1033855.3813861795</v>
      </c>
      <c r="K94" s="3">
        <f t="shared" si="28"/>
        <v>-246.24864786561011</v>
      </c>
      <c r="L94" s="3">
        <f t="shared" si="28"/>
        <v>-9.2229727641836234</v>
      </c>
    </row>
    <row r="95" spans="1:14">
      <c r="A95">
        <v>2028</v>
      </c>
      <c r="B95" s="33" t="s">
        <v>109</v>
      </c>
      <c r="C95" s="3">
        <f t="shared" si="26"/>
        <v>-393.54721650193278</v>
      </c>
      <c r="D95" s="3">
        <f t="shared" si="26"/>
        <v>-1455776.4141571186</v>
      </c>
      <c r="E95" s="3">
        <f t="shared" si="26"/>
        <v>0</v>
      </c>
      <c r="F95" s="3">
        <f t="shared" si="26"/>
        <v>-16.171429473793751</v>
      </c>
      <c r="G95" s="3">
        <f t="shared" si="26"/>
        <v>-372.69128413561339</v>
      </c>
      <c r="H95" s="3">
        <f t="shared" si="26"/>
        <v>-16.220905197723539</v>
      </c>
      <c r="I95" s="3">
        <f t="shared" si="26"/>
        <v>-131.45470394079484</v>
      </c>
      <c r="J95" s="3">
        <f t="shared" ref="J95:L95" si="29">J58-J18</f>
        <v>-1754474.6515793353</v>
      </c>
      <c r="K95" s="3">
        <f t="shared" si="29"/>
        <v>-378.76174968758642</v>
      </c>
      <c r="L95" s="3">
        <f t="shared" si="29"/>
        <v>-15.403840313312003</v>
      </c>
    </row>
    <row r="96" spans="1:14">
      <c r="A96">
        <v>2029</v>
      </c>
      <c r="B96" s="33" t="s">
        <v>109</v>
      </c>
      <c r="C96" s="3">
        <f t="shared" si="26"/>
        <v>-539.59355354651962</v>
      </c>
      <c r="D96" s="3">
        <f t="shared" si="26"/>
        <v>-2150561.5114707574</v>
      </c>
      <c r="E96" s="3">
        <f t="shared" si="26"/>
        <v>0</v>
      </c>
      <c r="F96" s="3">
        <f t="shared" si="26"/>
        <v>-23.945589451100318</v>
      </c>
      <c r="G96" s="3">
        <f t="shared" si="26"/>
        <v>-588.27025214004971</v>
      </c>
      <c r="H96" s="3">
        <f t="shared" si="26"/>
        <v>-23.883383281194767</v>
      </c>
      <c r="I96" s="3">
        <f t="shared" si="26"/>
        <v>-194.45398342883732</v>
      </c>
      <c r="J96" s="3">
        <f t="shared" ref="J96:L96" si="30">J59-J19</f>
        <v>-2560221.9735841677</v>
      </c>
      <c r="K96" s="3">
        <f t="shared" si="30"/>
        <v>-512.19589417544194</v>
      </c>
      <c r="L96" s="3">
        <f t="shared" si="30"/>
        <v>-22.401070054338788</v>
      </c>
    </row>
    <row r="97" spans="1:19">
      <c r="A97">
        <v>2030</v>
      </c>
      <c r="B97" s="33" t="s">
        <v>109</v>
      </c>
      <c r="C97" s="3">
        <f t="shared" si="26"/>
        <v>-657.34796123899469</v>
      </c>
      <c r="D97" s="3">
        <f t="shared" si="26"/>
        <v>-2926232.6244313754</v>
      </c>
      <c r="E97" s="3">
        <f t="shared" si="26"/>
        <v>0</v>
      </c>
      <c r="F97" s="3">
        <f t="shared" si="26"/>
        <v>-32.472476360142764</v>
      </c>
      <c r="G97" s="3">
        <f t="shared" si="26"/>
        <v>-826.73723402055111</v>
      </c>
      <c r="H97" s="3">
        <f t="shared" si="26"/>
        <v>-32.326266537105937</v>
      </c>
      <c r="I97" s="3">
        <f t="shared" si="26"/>
        <v>-264.33701608490969</v>
      </c>
      <c r="J97" s="3">
        <f t="shared" ref="J97:L97" si="31">J60-J20</f>
        <v>-3447985.1415824685</v>
      </c>
      <c r="K97" s="3">
        <f t="shared" si="31"/>
        <v>-612.86630892225367</v>
      </c>
      <c r="L97" s="3">
        <f t="shared" si="31"/>
        <v>-29.790671817915609</v>
      </c>
    </row>
    <row r="98" spans="1:19">
      <c r="A98">
        <v>2031</v>
      </c>
      <c r="B98" s="33" t="s">
        <v>109</v>
      </c>
      <c r="C98" s="3">
        <f t="shared" si="26"/>
        <v>-846.485274611965</v>
      </c>
      <c r="D98" s="3">
        <f t="shared" si="26"/>
        <v>-3833072.2967191637</v>
      </c>
      <c r="E98" s="3">
        <f t="shared" si="26"/>
        <v>0</v>
      </c>
      <c r="F98" s="3">
        <f t="shared" si="26"/>
        <v>-43.523232687345626</v>
      </c>
      <c r="G98" s="3">
        <f t="shared" si="26"/>
        <v>-1141.6316105292535</v>
      </c>
      <c r="H98" s="3">
        <f t="shared" si="26"/>
        <v>-41.415398691368409</v>
      </c>
      <c r="I98" s="3">
        <f t="shared" si="26"/>
        <v>-345.97747758050582</v>
      </c>
      <c r="J98" s="3">
        <f t="shared" ref="J98:L98" si="32">J61-J21</f>
        <v>-4446349.4709259402</v>
      </c>
      <c r="K98" s="3">
        <f t="shared" si="32"/>
        <v>-776.30302600936557</v>
      </c>
      <c r="L98" s="3">
        <f t="shared" si="32"/>
        <v>-39.151466509835814</v>
      </c>
    </row>
    <row r="99" spans="1:19">
      <c r="A99">
        <v>2032</v>
      </c>
      <c r="B99" s="33" t="s">
        <v>109</v>
      </c>
      <c r="C99" s="3">
        <f t="shared" si="26"/>
        <v>-1032.7334357760492</v>
      </c>
      <c r="D99" s="3">
        <f t="shared" si="26"/>
        <v>-4778297.0340703409</v>
      </c>
      <c r="E99" s="3">
        <f t="shared" si="26"/>
        <v>0</v>
      </c>
      <c r="F99" s="3">
        <f t="shared" si="26"/>
        <v>-55.383436277406076</v>
      </c>
      <c r="G99" s="3">
        <f t="shared" si="26"/>
        <v>-1486.7746834987593</v>
      </c>
      <c r="H99" s="3">
        <f t="shared" si="26"/>
        <v>-50.459867987663415</v>
      </c>
      <c r="I99" s="3">
        <f t="shared" si="26"/>
        <v>-430.82629030566159</v>
      </c>
      <c r="J99" s="3">
        <f t="shared" ref="J99:L99" si="33">J62-J22</f>
        <v>-5480167.1172974054</v>
      </c>
      <c r="K99" s="3">
        <f t="shared" si="33"/>
        <v>-933.30541741758043</v>
      </c>
      <c r="L99" s="3">
        <f t="shared" si="33"/>
        <v>-49.003643461089041</v>
      </c>
    </row>
    <row r="100" spans="1:19">
      <c r="A100">
        <v>2033</v>
      </c>
      <c r="B100" s="33" t="s">
        <v>109</v>
      </c>
      <c r="C100" s="3">
        <f t="shared" si="26"/>
        <v>-1201.2600032858572</v>
      </c>
      <c r="D100" s="3">
        <f t="shared" si="26"/>
        <v>-5721050.5197282303</v>
      </c>
      <c r="E100" s="3">
        <f t="shared" si="26"/>
        <v>0</v>
      </c>
      <c r="F100" s="3">
        <f t="shared" si="26"/>
        <v>-67.921973795446434</v>
      </c>
      <c r="G100" s="3">
        <f t="shared" si="26"/>
        <v>-1854.7998624724314</v>
      </c>
      <c r="H100" s="3">
        <f t="shared" si="26"/>
        <v>-59.19933899610362</v>
      </c>
      <c r="I100" s="3">
        <f t="shared" si="26"/>
        <v>-516.35987664093113</v>
      </c>
      <c r="J100" s="3">
        <f t="shared" ref="J100:L100" si="34">J63-J23</f>
        <v>-6496972.1527836584</v>
      </c>
      <c r="K100" s="3">
        <f t="shared" si="34"/>
        <v>-1068.8946091973976</v>
      </c>
      <c r="L100" s="3">
        <f t="shared" si="34"/>
        <v>-59.196451330238119</v>
      </c>
    </row>
    <row r="101" spans="1:19">
      <c r="A101">
        <v>2034</v>
      </c>
      <c r="B101" s="33" t="s">
        <v>109</v>
      </c>
      <c r="C101" s="3">
        <f t="shared" si="26"/>
        <v>-1344.6783184077794</v>
      </c>
      <c r="D101" s="3">
        <f t="shared" si="26"/>
        <v>-6710245.2836728618</v>
      </c>
      <c r="E101" s="3">
        <f t="shared" si="26"/>
        <v>0</v>
      </c>
      <c r="F101" s="3">
        <f t="shared" si="26"/>
        <v>-80.962494234405767</v>
      </c>
      <c r="G101" s="3">
        <f t="shared" si="26"/>
        <v>-2258.2253450498611</v>
      </c>
      <c r="H101" s="3">
        <f t="shared" si="26"/>
        <v>-67.75203353284391</v>
      </c>
      <c r="I101" s="3">
        <f t="shared" si="26"/>
        <v>-603.43247483537198</v>
      </c>
      <c r="J101" s="3">
        <f t="shared" ref="J101:L101" si="35">J64-J24</f>
        <v>-7559391.4682943095</v>
      </c>
      <c r="K101" s="3">
        <f t="shared" si="35"/>
        <v>-1175.2347052832956</v>
      </c>
      <c r="L101" s="3">
        <f t="shared" si="35"/>
        <v>-69.500396389367211</v>
      </c>
    </row>
    <row r="102" spans="1:19">
      <c r="A102">
        <v>2035</v>
      </c>
      <c r="B102" s="33" t="s">
        <v>109</v>
      </c>
      <c r="C102" s="3">
        <f t="shared" si="26"/>
        <v>-1446.5139031060717</v>
      </c>
      <c r="D102" s="3">
        <f t="shared" si="26"/>
        <v>-7690501.8607979715</v>
      </c>
      <c r="E102" s="3">
        <f t="shared" si="26"/>
        <v>0</v>
      </c>
      <c r="F102" s="3">
        <f t="shared" si="26"/>
        <v>-93.752430350483905</v>
      </c>
      <c r="G102" s="3">
        <f t="shared" si="26"/>
        <v>-2631.4908394701815</v>
      </c>
      <c r="H102" s="3">
        <f t="shared" si="26"/>
        <v>-75.867449643543935</v>
      </c>
      <c r="I102" s="3">
        <f t="shared" si="26"/>
        <v>-689.23486957876526</v>
      </c>
      <c r="J102" s="3">
        <f t="shared" ref="J102:L102" si="36">J65-J25</f>
        <v>-8593624.8650304638</v>
      </c>
      <c r="K102" s="3">
        <f t="shared" si="36"/>
        <v>-1234.0646852351001</v>
      </c>
      <c r="L102" s="3">
        <f t="shared" si="36"/>
        <v>-78.961445608689814</v>
      </c>
    </row>
    <row r="103" spans="1:19">
      <c r="A103">
        <v>2036</v>
      </c>
      <c r="B103" s="33" t="s">
        <v>109</v>
      </c>
      <c r="C103" s="3">
        <f t="shared" si="26"/>
        <v>-1677.1552109517866</v>
      </c>
      <c r="D103" s="3">
        <f t="shared" si="26"/>
        <v>-8628706.2895849068</v>
      </c>
      <c r="E103" s="3">
        <f t="shared" si="26"/>
        <v>0</v>
      </c>
      <c r="F103" s="3">
        <f t="shared" si="26"/>
        <v>-107.4334942827104</v>
      </c>
      <c r="G103" s="3">
        <f t="shared" si="26"/>
        <v>-3059.9002515060947</v>
      </c>
      <c r="H103" s="3">
        <f t="shared" si="26"/>
        <v>-83.115547242904583</v>
      </c>
      <c r="I103" s="3">
        <f t="shared" si="26"/>
        <v>-780.68709202148671</v>
      </c>
      <c r="J103" s="3">
        <f t="shared" ref="J103:L103" si="37">J66-J26</f>
        <v>-9580196.2737247795</v>
      </c>
      <c r="K103" s="3">
        <f t="shared" si="37"/>
        <v>-1426.8121050200489</v>
      </c>
      <c r="L103" s="3">
        <f t="shared" si="37"/>
        <v>-89.895954102315727</v>
      </c>
    </row>
    <row r="104" spans="1:19">
      <c r="A104">
        <v>2037</v>
      </c>
      <c r="B104" s="33" t="s">
        <v>109</v>
      </c>
      <c r="C104" s="3">
        <f t="shared" si="26"/>
        <v>-1894.6876109007712</v>
      </c>
      <c r="D104" s="3">
        <f t="shared" si="26"/>
        <v>-9420475.5238004811</v>
      </c>
      <c r="E104" s="3">
        <f t="shared" si="26"/>
        <v>0</v>
      </c>
      <c r="F104" s="3">
        <f t="shared" si="26"/>
        <v>-119.79167479899115</v>
      </c>
      <c r="G104" s="3">
        <f t="shared" si="26"/>
        <v>-3460.2115237115413</v>
      </c>
      <c r="H104" s="3">
        <f t="shared" si="26"/>
        <v>-89.069998759087682</v>
      </c>
      <c r="I104" s="3">
        <f t="shared" si="26"/>
        <v>-863.5500232850676</v>
      </c>
      <c r="J104" s="3">
        <f t="shared" ref="J104:L104" si="38">J67-J27</f>
        <v>-10383237.678377014</v>
      </c>
      <c r="K104" s="3">
        <f t="shared" si="38"/>
        <v>-1606.8573291023731</v>
      </c>
      <c r="L104" s="3">
        <f t="shared" si="38"/>
        <v>-99.513120601210403</v>
      </c>
    </row>
    <row r="105" spans="1:19">
      <c r="A105">
        <v>2038</v>
      </c>
      <c r="B105" s="33" t="s">
        <v>109</v>
      </c>
      <c r="C105" s="3">
        <f t="shared" si="26"/>
        <v>-2097.239422842094</v>
      </c>
      <c r="D105" s="3">
        <f t="shared" si="26"/>
        <v>-10092511.663844332</v>
      </c>
      <c r="E105" s="3">
        <f t="shared" si="26"/>
        <v>0</v>
      </c>
      <c r="F105" s="3">
        <f t="shared" si="26"/>
        <v>-131.43184986427752</v>
      </c>
      <c r="G105" s="3">
        <f t="shared" si="26"/>
        <v>-3872.1791751732653</v>
      </c>
      <c r="H105" s="3">
        <f t="shared" si="26"/>
        <v>-94.038776467038787</v>
      </c>
      <c r="I105" s="3">
        <f t="shared" si="26"/>
        <v>-939.61880606555769</v>
      </c>
      <c r="J105" s="3">
        <f t="shared" ref="J105:L105" si="39">J68-J28</f>
        <v>-11036873.392201846</v>
      </c>
      <c r="K105" s="3">
        <f t="shared" si="39"/>
        <v>-1772.3370646848448</v>
      </c>
      <c r="L105" s="3">
        <f t="shared" si="39"/>
        <v>-108.42120531019395</v>
      </c>
    </row>
    <row r="106" spans="1:19">
      <c r="A106">
        <v>2039</v>
      </c>
      <c r="B106" s="33" t="s">
        <v>109</v>
      </c>
      <c r="C106" s="3">
        <f t="shared" si="26"/>
        <v>-2284.6300193633142</v>
      </c>
      <c r="D106" s="3">
        <f t="shared" si="26"/>
        <v>-10655839.891460858</v>
      </c>
      <c r="E106" s="3">
        <f t="shared" si="26"/>
        <v>0</v>
      </c>
      <c r="F106" s="3">
        <f t="shared" si="26"/>
        <v>-141.65780312435584</v>
      </c>
      <c r="G106" s="3">
        <f t="shared" si="26"/>
        <v>-4295.0823358828293</v>
      </c>
      <c r="H106" s="3">
        <f t="shared" si="26"/>
        <v>-98.162492212789644</v>
      </c>
      <c r="I106" s="3">
        <f t="shared" si="26"/>
        <v>-1009.3235975431338</v>
      </c>
      <c r="J106" s="3">
        <f t="shared" ref="J106:L106" si="40">J69-J29</f>
        <v>-11555008.768809929</v>
      </c>
      <c r="K106" s="3">
        <f t="shared" si="40"/>
        <v>-1923.0426007558444</v>
      </c>
      <c r="L106" s="3">
        <f t="shared" si="40"/>
        <v>-115.92310243611428</v>
      </c>
    </row>
    <row r="107" spans="1:19">
      <c r="A107">
        <v>2040</v>
      </c>
      <c r="B107" s="33" t="s">
        <v>109</v>
      </c>
      <c r="C107" s="3">
        <f t="shared" si="26"/>
        <v>-2446.2093053927442</v>
      </c>
      <c r="D107" s="3">
        <f t="shared" si="26"/>
        <v>-11120279.631702451</v>
      </c>
      <c r="E107" s="3">
        <f t="shared" si="26"/>
        <v>0</v>
      </c>
      <c r="F107" s="3">
        <f t="shared" si="26"/>
        <v>-150.68133971923453</v>
      </c>
      <c r="G107" s="3">
        <f t="shared" si="26"/>
        <v>-4739.1015134071531</v>
      </c>
      <c r="H107" s="3">
        <f t="shared" si="26"/>
        <v>-101.52071078031901</v>
      </c>
      <c r="I107" s="3">
        <f t="shared" si="26"/>
        <v>-1072.3633019318418</v>
      </c>
      <c r="J107" s="3">
        <f t="shared" ref="J107:N107" si="41">J70-J30</f>
        <v>-11950066.203414116</v>
      </c>
      <c r="K107" s="3">
        <f t="shared" si="41"/>
        <v>-2048.3256070008279</v>
      </c>
      <c r="L107" s="3">
        <f t="shared" si="41"/>
        <v>-122.23284084043632</v>
      </c>
      <c r="M107" s="3">
        <f t="shared" si="41"/>
        <v>-7416.7343500038787</v>
      </c>
      <c r="N107" s="3">
        <f t="shared" si="41"/>
        <v>239.74176604498859</v>
      </c>
    </row>
    <row r="108" spans="1:19">
      <c r="A108" s="6"/>
      <c r="C108" s="9">
        <f>C107/C29</f>
        <v>-0.49439518358921214</v>
      </c>
      <c r="D108" s="9">
        <f>D107/D29</f>
        <v>-0.7000781654907714</v>
      </c>
      <c r="E108" s="3"/>
      <c r="F108" s="9">
        <f>F107/F29</f>
        <v>-0.20328066426869654</v>
      </c>
      <c r="G108" s="3"/>
      <c r="H108" s="3"/>
      <c r="I108" s="3"/>
      <c r="J108" s="9">
        <f>J107/J29</f>
        <v>-0.79632692668565019</v>
      </c>
      <c r="K108" s="9">
        <f>K107/K29</f>
        <v>-0.40467539861049806</v>
      </c>
      <c r="L108" s="9">
        <f>L107/L29</f>
        <v>-0.16317428439193982</v>
      </c>
      <c r="S108" s="6"/>
    </row>
    <row r="113" spans="17:18">
      <c r="Q113" s="3"/>
      <c r="R113" s="3"/>
    </row>
  </sheetData>
  <sheetProtection algorithmName="SHA-512" hashValue="7DnO/Q6PBqGIiCTBj3byR5Ghi6Svh3uKIvX0wwEVmQZUReCENmAmQ0wkJGKXkE7QcoIkbbZVjtlPB17/ADoPtg==" saltValue="mkmfEC2/KU8QfMiZS/g1zw=="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G88" sqref="G88"/>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397</v>
      </c>
      <c r="D1" s="6"/>
      <c r="F1" s="30"/>
      <c r="AH1" s="2"/>
    </row>
    <row r="2" spans="1:34">
      <c r="A2" s="29" t="s">
        <v>300</v>
      </c>
      <c r="D2" s="6"/>
      <c r="F2" s="30"/>
      <c r="AH2" s="29"/>
    </row>
    <row r="3" spans="1:34">
      <c r="A3" t="s">
        <v>301</v>
      </c>
      <c r="D3" s="6"/>
    </row>
    <row r="4" spans="1:34">
      <c r="A4" s="29" t="s">
        <v>215</v>
      </c>
      <c r="D4" s="6"/>
      <c r="L4" s="299" t="s">
        <v>165</v>
      </c>
      <c r="M4" s="299" t="s">
        <v>273</v>
      </c>
      <c r="AH4" s="29"/>
    </row>
    <row r="5" spans="1:34" ht="15" customHeight="1">
      <c r="F5" s="6"/>
      <c r="L5" s="299"/>
      <c r="M5" s="299"/>
    </row>
    <row r="6" spans="1:34">
      <c r="A6" t="s">
        <v>0</v>
      </c>
      <c r="B6" t="s">
        <v>1</v>
      </c>
      <c r="C6" t="s">
        <v>2</v>
      </c>
      <c r="D6" t="s">
        <v>47</v>
      </c>
      <c r="E6" t="s">
        <v>22</v>
      </c>
      <c r="F6" t="s">
        <v>24</v>
      </c>
      <c r="G6" t="s">
        <v>115</v>
      </c>
      <c r="H6" t="s">
        <v>116</v>
      </c>
      <c r="I6" t="s">
        <v>117</v>
      </c>
      <c r="J6" t="s">
        <v>52</v>
      </c>
      <c r="L6" s="299"/>
      <c r="M6" s="299"/>
    </row>
    <row r="7" spans="1:34">
      <c r="A7">
        <v>2020</v>
      </c>
      <c r="B7">
        <v>20</v>
      </c>
      <c r="C7" s="3"/>
      <c r="D7" s="3"/>
      <c r="E7" s="3"/>
      <c r="F7" s="3"/>
      <c r="G7" s="3"/>
      <c r="H7" s="3"/>
      <c r="I7" s="3"/>
      <c r="J7" s="3"/>
      <c r="P7" s="298" t="s">
        <v>166</v>
      </c>
      <c r="Q7" s="298"/>
      <c r="R7" s="298"/>
      <c r="S7" s="298"/>
      <c r="T7" s="298"/>
      <c r="U7" s="298"/>
      <c r="V7" s="298"/>
      <c r="W7" s="298"/>
      <c r="X7" s="296" t="s">
        <v>167</v>
      </c>
      <c r="Y7" s="296"/>
      <c r="Z7" s="296"/>
      <c r="AA7" s="296"/>
      <c r="AB7" s="296"/>
      <c r="AC7" s="296" t="s">
        <v>415</v>
      </c>
      <c r="AD7" s="296"/>
      <c r="AE7" s="296"/>
      <c r="AF7" s="296"/>
      <c r="AG7" s="296"/>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4"/>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33313.273716843876</v>
      </c>
      <c r="D10" s="3">
        <f>'Combined MOVES output'!D8*(1-'BAU Scenario'!$L$10)/454/2000</f>
        <v>25907190.830635231</v>
      </c>
      <c r="E10" s="3">
        <f>'Combined MOVES output'!E8</f>
        <v>257925338.49520811</v>
      </c>
      <c r="F10" s="3">
        <f>'Combined MOVES output'!F8*(1-'BAU Scenario'!$L$10*'Combined MOVES output'!E29)/454/2000</f>
        <v>950.74904634011125</v>
      </c>
      <c r="G10" s="3">
        <f>'Combined MOVES output'!G8*(1-'BAU Scenario'!$L$10)/454/2000</f>
        <v>28396.414260751859</v>
      </c>
      <c r="H10" s="3">
        <f>'Combined MOVES output'!H8*(1-'BAU Scenario'!$L$10)/454/2000</f>
        <v>266.67816429959612</v>
      </c>
      <c r="I10" s="3">
        <f>'Combined MOVES output'!AB8*(1-'BAU Scenario'!$L$10)/454/2000</f>
        <v>16977.150361722986</v>
      </c>
      <c r="J10" s="3">
        <f>D10+AC10</f>
        <v>25902927.772740211</v>
      </c>
      <c r="L10" s="125">
        <f>'Fleet ZEV fractions'!AA12</f>
        <v>3.6609784889678441E-3</v>
      </c>
      <c r="M10" s="42">
        <f>'ZEV efficiency'!K44</f>
        <v>4.5885492022606078</v>
      </c>
      <c r="O10" s="3">
        <f>E10*L10/M10</f>
        <v>205785.98471288165</v>
      </c>
      <c r="P10" s="3">
        <f>$O10*'GREET factors'!B96/454/2000</f>
        <v>14.502466232007674</v>
      </c>
      <c r="Q10" s="3">
        <f>$O10*'GREET factors'!C96/454/2000</f>
        <v>1.6094048180184781</v>
      </c>
      <c r="R10" s="3">
        <f>$O10*'GREET factors'!D96/454/2000</f>
        <v>2.3566507627012472</v>
      </c>
      <c r="S10" s="3">
        <f>$O10*'GREET factors'!E96/454/2000</f>
        <v>0.33234818448350922</v>
      </c>
      <c r="T10" s="102">
        <f>$O10*'GREET factors'!F96/454/2000</f>
        <v>23114.786017356746</v>
      </c>
      <c r="U10" s="3">
        <f>$O10*'GREET factors'!G96/454/2000</f>
        <v>0.54192111885272487</v>
      </c>
      <c r="V10" s="3">
        <f>$O10*'GREET factors'!H96/454/2000</f>
        <v>7.3116600586372025</v>
      </c>
      <c r="W10" s="3">
        <f>$O10*'GREET factors'!I96/454/2000</f>
        <v>23272.742045400366</v>
      </c>
      <c r="X10" s="3">
        <f>('Combined MOVES output'!V16/454/2000-'BAU Scenario'!D10)*'GREET factors'!$V$1</f>
        <v>27377.843912378059</v>
      </c>
      <c r="Y10" s="262">
        <f>O10*M10*'GREET factors'!$J$7/454/2000</f>
        <v>9.941588153103206</v>
      </c>
      <c r="Z10" s="262">
        <f>O10*M10*'GREET factors'!K$7/454/2000</f>
        <v>1.2467705615137699</v>
      </c>
      <c r="AA10" s="297" t="s">
        <v>498</v>
      </c>
      <c r="AB10" s="297"/>
      <c r="AC10" s="3">
        <f>T10-X10</f>
        <v>-4263.057895021313</v>
      </c>
      <c r="AD10" s="262">
        <f>P10-Y10</f>
        <v>4.5608780789044676</v>
      </c>
      <c r="AE10" s="262">
        <f>Q10-Z10</f>
        <v>0.36263425650470826</v>
      </c>
      <c r="AF10" s="297" t="s">
        <v>498</v>
      </c>
      <c r="AG10" s="297"/>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18219.222126253469</v>
      </c>
      <c r="D15" s="3">
        <f>'Combined MOVES output'!D9*(1+'Federal GHG Rule'!J9)/454/2000</f>
        <v>23025957.601397682</v>
      </c>
      <c r="E15" s="3">
        <f>'Combined MOVES output'!E9</f>
        <v>254458507.64158371</v>
      </c>
      <c r="F15" s="3">
        <f>'Combined MOVES output'!F9*(1+'Federal GHG Rule'!C9)/454/2000</f>
        <v>817.11480867686566</v>
      </c>
      <c r="G15" s="3">
        <f>'Combined MOVES output'!G9*(1+'Federal GHG Rule'!F9)/454/2000</f>
        <v>22995.43185751998</v>
      </c>
      <c r="H15" s="3">
        <f>'Combined MOVES output'!H9*(1+'Federal GHG Rule'!E9)/454/2000</f>
        <v>249.98498768076874</v>
      </c>
      <c r="I15" s="3">
        <f>'Combined MOVES output'!I9*(1-'Federal GHG Rule'!H9)/454/2000</f>
        <v>1989.8952392013528</v>
      </c>
      <c r="J15" s="3">
        <f>D15+AC15</f>
        <v>22830631.297383077</v>
      </c>
      <c r="L15" s="42">
        <f>'Fleet ZEV fractions'!AA17</f>
        <v>2.4141551331515337E-2</v>
      </c>
      <c r="M15" s="42">
        <f>'ZEV efficiency'!K44</f>
        <v>4.5885492022606078</v>
      </c>
      <c r="O15" s="3">
        <f>E15*L15/M15</f>
        <v>1338772.42090891</v>
      </c>
      <c r="P15" s="3">
        <f>$O15*'GREET factors'!B97/454/2000</f>
        <v>76.830245132476023</v>
      </c>
      <c r="Q15" s="3">
        <f>$O15*'GREET factors'!C97/454/2000</f>
        <v>8.5262026959830948</v>
      </c>
      <c r="R15" s="3">
        <f>$O15*'GREET factors'!D97/454/2000</f>
        <v>12.484914834027354</v>
      </c>
      <c r="S15" s="3">
        <f>$O15*'GREET factors'!E97/454/2000</f>
        <v>1.7606931176192424</v>
      </c>
      <c r="T15" s="102">
        <f>$O15*'GREET factors'!F97/454/2000</f>
        <v>122456.0462674076</v>
      </c>
      <c r="U15" s="3">
        <f>$O15*'GREET factors'!G97/454/2000</f>
        <v>2.8709553077274483</v>
      </c>
      <c r="V15" s="3">
        <f>$O15*'GREET factors'!H97/454/2000</f>
        <v>38.735248587623317</v>
      </c>
      <c r="W15" s="3">
        <f>$O15*'GREET factors'!I97/454/2000</f>
        <v>123292.85568730884</v>
      </c>
      <c r="X15" s="3">
        <f>('Combined MOVES output'!D9/454/2000-'BAU Scenario'!D15)*'GREET factors'!$V$1</f>
        <v>317782.35028201091</v>
      </c>
      <c r="Y15" s="262">
        <f>O15*M15*'GREET factors'!$J$7/454/2000</f>
        <v>64.676533039794407</v>
      </c>
      <c r="Z15" s="262">
        <f>O15*M15*'GREET factors'!K$7/454/2000</f>
        <v>8.1110579288700553</v>
      </c>
      <c r="AA15" s="262"/>
      <c r="AB15" s="262"/>
      <c r="AC15" s="3">
        <f>T15-X15</f>
        <v>-195326.30401460332</v>
      </c>
      <c r="AD15" s="262">
        <f>P15-Y15</f>
        <v>12.153712092681616</v>
      </c>
      <c r="AE15" s="262">
        <f>Q15-Z15</f>
        <v>0.41514476711303949</v>
      </c>
      <c r="AF15" s="262"/>
      <c r="AG15" s="262"/>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16395.038854062437</v>
      </c>
      <c r="D20" s="3">
        <f>'Combined MOVES output'!D10*(1+'Federal GHG Rule'!J10)/454/2000</f>
        <v>22608816.008310486</v>
      </c>
      <c r="E20" s="3">
        <f>'Combined MOVES output'!E10</f>
        <v>253940953.91176406</v>
      </c>
      <c r="F20" s="3">
        <f>'Combined MOVES output'!F10*(1+'Federal GHG Rule'!C10)/454/2000</f>
        <v>800.90703245743418</v>
      </c>
      <c r="G20" s="3">
        <f>'Combined MOVES output'!G10*(1+'Federal GHG Rule'!F10)/454/2000</f>
        <v>22081.922077611889</v>
      </c>
      <c r="H20" s="3">
        <f>'Combined MOVES output'!H10*(1+'Federal GHG Rule'!E10)/454/2000</f>
        <v>247.56131540048048</v>
      </c>
      <c r="I20" s="3">
        <f>'Combined MOVES output'!I10*(1-'Federal GHG Rule'!H10)/454/2000</f>
        <v>2013.2307173237396</v>
      </c>
      <c r="J20" s="3">
        <f>D20+AC20</f>
        <v>22423380.878917988</v>
      </c>
      <c r="L20" s="42">
        <f>'Fleet ZEV fractions'!AA18</f>
        <v>3.3265601511096726E-2</v>
      </c>
      <c r="M20" s="42">
        <f>'ZEV efficiency'!K45</f>
        <v>4.5196744686874846</v>
      </c>
      <c r="O20" s="3">
        <f>E20*L20/M20</f>
        <v>1869050.2244577983</v>
      </c>
      <c r="P20" s="3">
        <f>$O20*'GREET factors'!B98/454/2000</f>
        <v>107.26213407691081</v>
      </c>
      <c r="Q20" s="3">
        <f>$O20*'GREET factors'!C98/454/2000</f>
        <v>11.903368200459937</v>
      </c>
      <c r="R20" s="3">
        <f>$O20*'GREET factors'!D98/454/2000</f>
        <v>17.430096787498005</v>
      </c>
      <c r="S20" s="3">
        <f>$O20*'GREET factors'!E98/454/2000</f>
        <v>2.4580905725958728</v>
      </c>
      <c r="T20" s="3">
        <f>$O20*'GREET factors'!F98/454/2000</f>
        <v>170959.97586126364</v>
      </c>
      <c r="U20" s="3">
        <f>$O20*'GREET factors'!G98/454/2000</f>
        <v>4.0081193625674443</v>
      </c>
      <c r="V20" s="3">
        <f>$O20*'GREET factors'!H98/454/2000</f>
        <v>54.077992597109194</v>
      </c>
      <c r="W20" s="3">
        <f>$O20*'GREET factors'!I98/454/2000</f>
        <v>172128.23927158464</v>
      </c>
      <c r="X20" s="3">
        <f>('Combined MOVES output'!D10/454/2000-D20)*'GREET factors'!V1</f>
        <v>356395.10525375983</v>
      </c>
      <c r="Y20" s="262">
        <f>O20*M20*'GREET factors'!$J$7/454/2000</f>
        <v>88.939095620937167</v>
      </c>
      <c r="Z20" s="262">
        <f>O20*M20*'GREET factors'!K$7/454/2000</f>
        <v>11.153816118728487</v>
      </c>
      <c r="AA20" s="262"/>
      <c r="AB20" s="262"/>
      <c r="AC20" s="3">
        <f>T20-X20</f>
        <v>-185435.12939249619</v>
      </c>
      <c r="AD20" s="262">
        <f>P20-Y20</f>
        <v>18.323038455973645</v>
      </c>
      <c r="AE20" s="262">
        <f>Q20-Z20</f>
        <v>0.7495520817314496</v>
      </c>
      <c r="AF20" s="262"/>
      <c r="AG20" s="262"/>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14577.122534382108</v>
      </c>
      <c r="D25" s="3">
        <f>'Combined MOVES output'!D11*(1+'Federal GHG Rule'!J11)/454/2000</f>
        <v>22075800.207688548</v>
      </c>
      <c r="E25" s="3">
        <f>'Combined MOVES output'!E11</f>
        <v>253423400.18194437</v>
      </c>
      <c r="F25" s="3">
        <f>'Combined MOVES output'!F11*(1+'Federal GHG Rule'!C11)/454/2000</f>
        <v>784.66573395793182</v>
      </c>
      <c r="G25" s="3">
        <f>'Combined MOVES output'!G11*(1+'Federal GHG Rule'!F11)/454/2000</f>
        <v>21180.439654905185</v>
      </c>
      <c r="H25" s="3">
        <f>'Combined MOVES output'!H11*(1+'Federal GHG Rule'!E11)/454/2000</f>
        <v>243.81084599544039</v>
      </c>
      <c r="I25" s="3">
        <f>'Combined MOVES output'!I11*(1-'Federal GHG Rule'!H11)/454/2000</f>
        <v>1974.3852621318242</v>
      </c>
      <c r="J25" s="3">
        <f>D25+AC25</f>
        <v>21867009.195760939</v>
      </c>
      <c r="L25" s="42">
        <f>'Fleet ZEV fractions'!AA19</f>
        <v>4.2156552153589717E-2</v>
      </c>
      <c r="M25" s="42">
        <f>'ZEV efficiency'!K46</f>
        <v>4.4510976554340083</v>
      </c>
      <c r="O25" s="3">
        <f>E25*L25/M25</f>
        <v>2400184.7664850829</v>
      </c>
      <c r="P25" s="3">
        <f>$O25*'GREET factors'!B99/454/2000</f>
        <v>137.74319002410243</v>
      </c>
      <c r="Q25" s="3">
        <f>$O25*'GREET factors'!C99/454/2000</f>
        <v>15.285989991464778</v>
      </c>
      <c r="R25" s="3">
        <f>$O25*'GREET factors'!D99/454/2000</f>
        <v>22.383268378916647</v>
      </c>
      <c r="S25" s="3">
        <f>$O25*'GREET factors'!E99/454/2000</f>
        <v>3.1566147713856809</v>
      </c>
      <c r="T25" s="3">
        <f>$O25*'GREET factors'!F99/454/2000</f>
        <v>219542.27038489489</v>
      </c>
      <c r="U25" s="3">
        <f>$O25*'GREET factors'!G99/454/2000</f>
        <v>5.1471206661014461</v>
      </c>
      <c r="V25" s="3">
        <f>$O25*'GREET factors'!H99/454/2000</f>
        <v>69.445524970484968</v>
      </c>
      <c r="W25" s="3">
        <f>$O25*'GREET factors'!I99/454/2000</f>
        <v>221042.52329624075</v>
      </c>
      <c r="X25" s="3">
        <f>('Combined MOVES output'!D11/454/2000-D25)*'GREET factors'!V1</f>
        <v>428333.28231250157</v>
      </c>
      <c r="Y25" s="262">
        <f>O25*M25*'GREET factors'!$J$7/454/2000</f>
        <v>112.48027752796746</v>
      </c>
      <c r="Z25" s="262">
        <f>O25*M25*'GREET factors'!K$7/454/2000</f>
        <v>14.106106249130278</v>
      </c>
      <c r="AA25" s="262"/>
      <c r="AB25" s="262"/>
      <c r="AC25" s="3">
        <f>T25-X25</f>
        <v>-208791.01192760668</v>
      </c>
      <c r="AD25" s="262">
        <f>P25-Y25</f>
        <v>25.262912496134973</v>
      </c>
      <c r="AE25" s="262">
        <f>Q25-Z25</f>
        <v>1.1798837423344999</v>
      </c>
      <c r="AF25" s="262"/>
      <c r="AG25" s="262"/>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12756.064515293354</v>
      </c>
      <c r="D30" s="3">
        <f>'Combined MOVES output'!D12*(1+'Federal GHG Rule'!J12)/454/2000</f>
        <v>21434417.255514618</v>
      </c>
      <c r="E30" s="3">
        <f>'Combined MOVES output'!E12</f>
        <v>252905846.45212471</v>
      </c>
      <c r="F30" s="3">
        <f>'Combined MOVES output'!F12*(1+'Federal GHG Rule'!C12)/454/2000</f>
        <v>767.6770652097656</v>
      </c>
      <c r="G30" s="3">
        <f>'Combined MOVES output'!G12*(1+'Federal GHG Rule'!F12)/454/2000</f>
        <v>20277.012256001672</v>
      </c>
      <c r="H30" s="3">
        <f>'Combined MOVES output'!H12*(1+'Federal GHG Rule'!E12)/454/2000</f>
        <v>238.7858132028191</v>
      </c>
      <c r="I30" s="3">
        <f>'Combined MOVES output'!I12*(1-'Federal GHG Rule'!H12)/454/2000</f>
        <v>1935.1274171951736</v>
      </c>
      <c r="J30" s="3">
        <f>D30+AC30</f>
        <v>21171261.328312375</v>
      </c>
      <c r="L30" s="42">
        <f>'Fleet ZEV fractions'!AA20</f>
        <v>5.0829318811886286E-2</v>
      </c>
      <c r="M30" s="42">
        <f>'ZEV efficiency'!K47</f>
        <v>4.3828360072396775</v>
      </c>
      <c r="O30" s="3">
        <f>E30*L30/M30</f>
        <v>2933039.6751032313</v>
      </c>
      <c r="P30" s="3">
        <f>$O30*'GREET factors'!B100/454/2000</f>
        <v>168.32297536310813</v>
      </c>
      <c r="Q30" s="3">
        <f>$O30*'GREET factors'!C100/454/2000</f>
        <v>18.679568233346561</v>
      </c>
      <c r="R30" s="3">
        <f>$O30*'GREET factors'!D100/454/2000</f>
        <v>27.352483496505073</v>
      </c>
      <c r="S30" s="3">
        <f>$O30*'GREET factors'!E100/454/2000</f>
        <v>3.8574015187378952</v>
      </c>
      <c r="T30" s="3">
        <f>$O30*'GREET factors'!F100/454/2000</f>
        <v>268281.92495535524</v>
      </c>
      <c r="U30" s="3">
        <f>$O30*'GREET factors'!G100/454/2000</f>
        <v>6.2898112416268175</v>
      </c>
      <c r="V30" s="3">
        <f>$O30*'GREET factors'!H100/454/2000</f>
        <v>84.86283341223367</v>
      </c>
      <c r="W30" s="3">
        <f>$O30*'GREET factors'!I100/454/2000</f>
        <v>270115.24269535177</v>
      </c>
      <c r="X30" s="3">
        <f>('Combined MOVES output'!D12/454/2000-D30)*'GREET factors'!V1</f>
        <v>531437.8521575972</v>
      </c>
      <c r="Y30" s="262">
        <f>O30*M30*'GREET factors'!$J$7/454/2000</f>
        <v>135.34360502079315</v>
      </c>
      <c r="Z30" s="262">
        <f>O30*M30*'GREET factors'!K$7/454/2000</f>
        <v>16.973386930779288</v>
      </c>
      <c r="AA30" s="262"/>
      <c r="AB30" s="262"/>
      <c r="AC30" s="3">
        <f>T30-X30</f>
        <v>-263155.92720224196</v>
      </c>
      <c r="AD30" s="262">
        <f>P30-Y30</f>
        <v>32.979370342314979</v>
      </c>
      <c r="AE30" s="262">
        <f>Q30-Z30</f>
        <v>1.7061813025672734</v>
      </c>
      <c r="AF30" s="262"/>
      <c r="AG30" s="262"/>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10930.2163289702</v>
      </c>
      <c r="D35" s="3">
        <f>'Combined MOVES output'!D13*(1+'Federal GHG Rule'!J13)/454/2000</f>
        <v>20726054.668680154</v>
      </c>
      <c r="E35" s="3">
        <f>'Combined MOVES output'!E13</f>
        <v>252388292.72230503</v>
      </c>
      <c r="F35" s="3">
        <f>'Combined MOVES output'!F13*(1+'Federal GHG Rule'!C13)/454/2000</f>
        <v>749.9136659316589</v>
      </c>
      <c r="G35" s="3">
        <f>'Combined MOVES output'!G13*(1+'Federal GHG Rule'!F13)/454/2000</f>
        <v>19367.52016057324</v>
      </c>
      <c r="H35" s="3">
        <f>'Combined MOVES output'!H13*(1+'Federal GHG Rule'!E13)/454/2000</f>
        <v>232.9257914824812</v>
      </c>
      <c r="I35" s="3">
        <f>'Combined MOVES output'!I13*(1-'Federal GHG Rule'!H13)/454/2000</f>
        <v>1896.4376807010497</v>
      </c>
      <c r="J35" s="3">
        <f>D35+AC35</f>
        <v>20389505.809222694</v>
      </c>
      <c r="L35" s="42">
        <f>'Fleet ZEV fractions'!AA21</f>
        <v>5.9297450092787425E-2</v>
      </c>
      <c r="M35" s="42">
        <f>'ZEV efficiency'!K48</f>
        <v>4.3148690137751311</v>
      </c>
      <c r="O35" s="3">
        <f>E35*L35/M35</f>
        <v>3468467.3263373957</v>
      </c>
      <c r="P35" s="3">
        <f>$O35*'GREET factors'!B101/454/2000</f>
        <v>199.05040674169766</v>
      </c>
      <c r="Q35" s="3">
        <f>$O35*'GREET factors'!C101/454/2000</f>
        <v>22.089531429598601</v>
      </c>
      <c r="R35" s="3">
        <f>$O35*'GREET factors'!D101/454/2000</f>
        <v>32.345691095525872</v>
      </c>
      <c r="S35" s="3">
        <f>$O35*'GREET factors'!E101/454/2000</f>
        <v>4.5615718211639047</v>
      </c>
      <c r="T35" s="3">
        <f>$O35*'GREET factors'!F101/454/2000</f>
        <v>317256.90547360224</v>
      </c>
      <c r="U35" s="3">
        <f>$O35*'GREET factors'!G101/454/2000</f>
        <v>7.4380189826939276</v>
      </c>
      <c r="V35" s="3">
        <f>$O35*'GREET factors'!H101/454/2000</f>
        <v>100.35458006560592</v>
      </c>
      <c r="W35" s="3">
        <f>$O35*'GREET factors'!I101/454/2000</f>
        <v>319424.89615369722</v>
      </c>
      <c r="X35" s="3">
        <f>('Combined MOVES output'!D13/454/2000-D35)*'GREET factors'!V1</f>
        <v>653805.76493106142</v>
      </c>
      <c r="Y35" s="262">
        <f>O35*M35*'GREET factors'!$J$7/454/2000</f>
        <v>157.56864692855063</v>
      </c>
      <c r="Z35" s="262">
        <f>O35*M35*'GREET factors'!K$7/454/2000</f>
        <v>19.760620474582097</v>
      </c>
      <c r="AA35" s="262"/>
      <c r="AB35" s="262"/>
      <c r="AC35" s="3">
        <f>T35-X35</f>
        <v>-336548.85945745918</v>
      </c>
      <c r="AD35" s="262">
        <f>P35-Y35</f>
        <v>41.481759813147022</v>
      </c>
      <c r="AE35" s="262">
        <f>Q35-Z35</f>
        <v>2.3289109550165037</v>
      </c>
      <c r="AF35" s="262"/>
      <c r="AG35" s="262"/>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9095.8824310909549</v>
      </c>
      <c r="D40" s="3">
        <f>'Combined MOVES output'!D14*(1+'Federal GHG Rule'!J14)/454/2000</f>
        <v>20030676.908803027</v>
      </c>
      <c r="E40" s="3">
        <f>'Combined MOVES output'!E14</f>
        <v>251870738.99248537</v>
      </c>
      <c r="F40" s="3">
        <f>'Combined MOVES output'!F14*(1+'Federal GHG Rule'!C15)/454/2000</f>
        <v>728.03391654376264</v>
      </c>
      <c r="G40" s="3">
        <f>'Combined MOVES output'!G14*(1+'Federal GHG Rule'!F14)/454/2000</f>
        <v>18440.174011755145</v>
      </c>
      <c r="H40" s="3">
        <f>'Combined MOVES output'!H14*(1+'Federal GHG Rule'!E14)/454/2000</f>
        <v>227.12049242576961</v>
      </c>
      <c r="I40" s="3">
        <f>'Combined MOVES output'!I14*(1-'Federal GHG Rule'!H14)/454/2000</f>
        <v>1857.2003417298465</v>
      </c>
      <c r="J40" s="3">
        <f>D40+AC40</f>
        <v>19624780.142641708</v>
      </c>
      <c r="L40" s="42">
        <f>'Fleet ZEV fractions'!AA22</f>
        <v>6.7573280742977748E-2</v>
      </c>
      <c r="M40" s="42">
        <f>'ZEV efficiency'!K49</f>
        <v>4.2471919475656934</v>
      </c>
      <c r="O40" s="3">
        <f>E40*L40/M40</f>
        <v>4007290.5503212446</v>
      </c>
      <c r="P40" s="3">
        <f>$O40*'GREET factors'!B102/454/2000</f>
        <v>229.97270521095101</v>
      </c>
      <c r="Q40" s="3">
        <f>$O40*'GREET factors'!C102/454/2000</f>
        <v>25.521119915616559</v>
      </c>
      <c r="R40" s="3">
        <f>$O40*'GREET factors'!D102/454/2000</f>
        <v>37.370564596779538</v>
      </c>
      <c r="S40" s="3">
        <f>$O40*'GREET factors'!E102/454/2000</f>
        <v>5.2702078277509612</v>
      </c>
      <c r="T40" s="3">
        <f>$O40*'GREET factors'!F102/454/2000</f>
        <v>366542.47531027679</v>
      </c>
      <c r="U40" s="3">
        <f>$O40*'GREET factors'!G102/454/2000</f>
        <v>8.5935084226190579</v>
      </c>
      <c r="V40" s="3">
        <f>$O40*'GREET factors'!H102/454/2000</f>
        <v>115.94457221052112</v>
      </c>
      <c r="W40" s="3">
        <f>$O40*'GREET factors'!I102/454/2000</f>
        <v>369047.26135786605</v>
      </c>
      <c r="X40" s="3">
        <f>('Combined MOVES output'!D14/454/2000-D40)*'GREET factors'!V1</f>
        <v>772439.24147159548</v>
      </c>
      <c r="Y40" s="262">
        <f>O40*M40*'GREET factors'!$J$7/454/2000</f>
        <v>179.19145784714669</v>
      </c>
      <c r="Z40" s="262">
        <f>O40*M40*'GREET factors'!K$7/454/2000</f>
        <v>22.472328472873002</v>
      </c>
      <c r="AA40" s="262"/>
      <c r="AB40" s="262"/>
      <c r="AC40" s="3">
        <f>T40-X40</f>
        <v>-405896.76616131869</v>
      </c>
      <c r="AD40" s="262">
        <f>P40-Y40</f>
        <v>50.781247363804312</v>
      </c>
      <c r="AE40" s="262">
        <f>Q40-Z40</f>
        <v>3.048791442743557</v>
      </c>
      <c r="AF40" s="262"/>
      <c r="AG40" s="262"/>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8393.6522458960007</v>
      </c>
      <c r="D45" s="3">
        <f>'Combined MOVES output'!D15*(1+'Federal GHG Rule'!J15)/454/2000</f>
        <v>19417092.98779051</v>
      </c>
      <c r="E45" s="3">
        <f>'Combined MOVES output'!E15</f>
        <v>249339818.11493629</v>
      </c>
      <c r="F45" s="3">
        <f>'Combined MOVES output'!F15*(1+'Federal GHG Rule'!C15)/454/2000</f>
        <v>732.82916589452441</v>
      </c>
      <c r="G45" s="3">
        <f>'Combined MOVES output'!G15*(1+'Federal GHG Rule'!F15)/454/2000</f>
        <v>18336.370936529464</v>
      </c>
      <c r="H45" s="3">
        <f>'Combined MOVES output'!H15*(1+'Federal GHG Rule'!E15)/454/2000</f>
        <v>220.4992209511507</v>
      </c>
      <c r="I45" s="3">
        <f>'Combined MOVES output'!I15*(1-'Federal GHG Rule'!H15)/454/2000</f>
        <v>1842.0144845556019</v>
      </c>
      <c r="J45" s="3">
        <f>D45+AC45</f>
        <v>18938595.662620258</v>
      </c>
      <c r="L45" s="42">
        <f>'Fleet ZEV fractions'!AA23</f>
        <v>7.5301358622057737E-2</v>
      </c>
      <c r="M45" s="42">
        <f>'ZEV efficiency'!K50</f>
        <v>4.2093733769317128</v>
      </c>
      <c r="O45" s="3">
        <f>E45*L45/M45</f>
        <v>4460432.7963696476</v>
      </c>
      <c r="P45" s="3">
        <f>$O45*'GREET factors'!B103/454/2000</f>
        <v>255.97789421846221</v>
      </c>
      <c r="Q45" s="3">
        <f>$O45*'GREET factors'!C103/454/2000</f>
        <v>28.407034339592137</v>
      </c>
      <c r="R45" s="3">
        <f>$O45*'GREET factors'!D103/454/2000</f>
        <v>41.596407810500111</v>
      </c>
      <c r="S45" s="3">
        <f>$O45*'GREET factors'!E103/454/2000</f>
        <v>5.8661600758397601</v>
      </c>
      <c r="T45" s="3">
        <f>$O45*'GREET factors'!F103/454/2000</f>
        <v>407990.8999873756</v>
      </c>
      <c r="U45" s="3">
        <f>$O45*'GREET factors'!G103/454/2000</f>
        <v>9.5652577028775845</v>
      </c>
      <c r="V45" s="3">
        <f>$O45*'GREET factors'!H103/454/2000</f>
        <v>129.05552166847471</v>
      </c>
      <c r="W45" s="3">
        <f>$O45*'GREET factors'!I103/454/2000</f>
        <v>410778.92588523834</v>
      </c>
      <c r="X45" s="3">
        <f>('Combined MOVES output'!D15/454/2000-D45)*'GREET factors'!V1</f>
        <v>886488.22515762714</v>
      </c>
      <c r="Y45" s="262">
        <f>O45*M45*'GREET factors'!$J$7/454/2000</f>
        <v>197.67831563595729</v>
      </c>
      <c r="Z45" s="262">
        <f>O45*M45*'GREET factors'!K$7/454/2000</f>
        <v>24.7907578536743</v>
      </c>
      <c r="AA45" s="262"/>
      <c r="AB45" s="262"/>
      <c r="AC45" s="3">
        <f>T45-X45</f>
        <v>-478497.32517025154</v>
      </c>
      <c r="AD45" s="262">
        <f>P45-Y45</f>
        <v>58.299578582504921</v>
      </c>
      <c r="AE45" s="262">
        <f>Q45-Z45</f>
        <v>3.6162764859178367</v>
      </c>
      <c r="AF45" s="262"/>
      <c r="AG45" s="262"/>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7688.3418756006067</v>
      </c>
      <c r="D50" s="3">
        <f>'Combined MOVES output'!D16*(1+'Federal GHG Rule'!J16)/454/2000</f>
        <v>18812201.325903155</v>
      </c>
      <c r="E50" s="3">
        <f>'Combined MOVES output'!E16</f>
        <v>246808897.23738724</v>
      </c>
      <c r="F50" s="3">
        <f>'Combined MOVES output'!F16*(1+'Federal GHG Rule'!C16)/454/2000</f>
        <v>733.66670178575362</v>
      </c>
      <c r="G50" s="3">
        <f>'Combined MOVES output'!G16*(1+'Federal GHG Rule'!F16)/454/2000</f>
        <v>18223.994408595972</v>
      </c>
      <c r="H50" s="3">
        <f>'Combined MOVES output'!H16*(1+'Federal GHG Rule'!E16)/454/2000</f>
        <v>213.96005162369659</v>
      </c>
      <c r="I50" s="3">
        <f>'Combined MOVES output'!I16*(1-'Federal GHG Rule'!H16)/454/2000</f>
        <v>1826.7906554409019</v>
      </c>
      <c r="J50" s="3">
        <f>D50+AC50</f>
        <v>18262754.004161496</v>
      </c>
      <c r="L50" s="42">
        <f>'Fleet ZEV fractions'!AA24</f>
        <v>8.2896849789273877E-2</v>
      </c>
      <c r="M50" s="42">
        <f>'ZEV efficiency'!K51</f>
        <v>4.1717928268709157</v>
      </c>
      <c r="O50" s="3">
        <f>E50*L50/M50</f>
        <v>4904289.577651429</v>
      </c>
      <c r="P50" s="3">
        <f>$O50*'GREET factors'!B104/454/2000</f>
        <v>281.45020360950792</v>
      </c>
      <c r="Q50" s="3">
        <f>$O50*'GREET factors'!C104/454/2000</f>
        <v>31.233812682266549</v>
      </c>
      <c r="R50" s="3">
        <f>$O50*'GREET factors'!D104/454/2000</f>
        <v>45.735658086545044</v>
      </c>
      <c r="S50" s="3">
        <f>$O50*'GREET factors'!E104/454/2000</f>
        <v>6.4499004993845563</v>
      </c>
      <c r="T50" s="3">
        <f>$O50*'GREET factors'!F104/454/2000</f>
        <v>448589.9933776051</v>
      </c>
      <c r="U50" s="3">
        <f>$O50*'GREET factors'!G104/454/2000</f>
        <v>10.517094596280735</v>
      </c>
      <c r="V50" s="3">
        <f>$O50*'GREET factors'!H104/454/2000</f>
        <v>141.89781098646026</v>
      </c>
      <c r="W50" s="3">
        <f>$O50*'GREET factors'!I104/454/2000</f>
        <v>451655.45517858531</v>
      </c>
      <c r="X50" s="3">
        <f>('Combined MOVES output'!D16/454/2000-D50)*'GREET factors'!V1</f>
        <v>998037.3151192643</v>
      </c>
      <c r="Y50" s="262">
        <f>O50*M50*'GREET factors'!$J$7/454/2000</f>
        <v>215.40878945668194</v>
      </c>
      <c r="Z50" s="262">
        <f>O50*M50*'GREET factors'!K$7/454/2000</f>
        <v>27.014329426036195</v>
      </c>
      <c r="AA50" s="262"/>
      <c r="AB50" s="262"/>
      <c r="AC50" s="3">
        <f>T50-X50</f>
        <v>-549447.32174165919</v>
      </c>
      <c r="AD50" s="262">
        <f>P50-Y50</f>
        <v>66.041414152825979</v>
      </c>
      <c r="AE50" s="262">
        <f>Q50-Z50</f>
        <v>4.2194832562303546</v>
      </c>
      <c r="AF50" s="262"/>
      <c r="AG50" s="262"/>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6981.2505726105983</v>
      </c>
      <c r="D55" s="3">
        <f>'Combined MOVES output'!D17*(1+'Federal GHG Rule'!J17)/454/2000</f>
        <v>18230377.727988053</v>
      </c>
      <c r="E55" s="3">
        <f>'Combined MOVES output'!E17</f>
        <v>244277976.35983816</v>
      </c>
      <c r="F55" s="3">
        <f>'Combined MOVES output'!F17*(1+'Federal GHG Rule'!C17)/454/2000</f>
        <v>733.79467512876681</v>
      </c>
      <c r="G55" s="3">
        <f>'Combined MOVES output'!G17*(1+'Federal GHG Rule'!F17)/454/2000</f>
        <v>18102.561376874237</v>
      </c>
      <c r="H55" s="3">
        <f>'Combined MOVES output'!H17*(1+'Federal GHG Rule'!E17)/454/2000</f>
        <v>207.66974594692886</v>
      </c>
      <c r="I55" s="3">
        <f>'Combined MOVES output'!I17*(1-'Federal GHG Rule'!H17)/454/2000</f>
        <v>1811.3770561909057</v>
      </c>
      <c r="J55" s="3">
        <f>D55+AC55</f>
        <v>17615823.827805214</v>
      </c>
      <c r="L55" s="42">
        <f>'Fleet ZEV fractions'!AA25</f>
        <v>9.037173087031411E-2</v>
      </c>
      <c r="M55" s="42">
        <f>'ZEV efficiency'!K52</f>
        <v>4.1344371829035831</v>
      </c>
      <c r="O55" s="3">
        <f>E55*L55/M55</f>
        <v>5339499.0806542058</v>
      </c>
      <c r="P55" s="3">
        <f>$O55*'GREET factors'!B105/454/2000</f>
        <v>306.4262579989354</v>
      </c>
      <c r="Q55" s="3">
        <f>$O55*'GREET factors'!C105/454/2000</f>
        <v>34.005519344180385</v>
      </c>
      <c r="R55" s="3">
        <f>$O55*'GREET factors'!D105/454/2000</f>
        <v>49.794266924827006</v>
      </c>
      <c r="S55" s="3">
        <f>$O55*'GREET factors'!E105/454/2000</f>
        <v>7.0222684124756034</v>
      </c>
      <c r="T55" s="3">
        <f>$O55*'GREET factors'!F105/454/2000</f>
        <v>488398.12969964067</v>
      </c>
      <c r="U55" s="3">
        <f>$O55*'GREET factors'!G105/454/2000</f>
        <v>11.450387673659014</v>
      </c>
      <c r="V55" s="3">
        <f>$O55*'GREET factors'!H105/454/2000</f>
        <v>154.48990507446325</v>
      </c>
      <c r="W55" s="3">
        <f>$O55*'GREET factors'!I105/454/2000</f>
        <v>491735.62235967908</v>
      </c>
      <c r="X55" s="3">
        <f>('Combined MOVES output'!D17/454/2000-D55)*'GREET factors'!V1</f>
        <v>1102952.0298824795</v>
      </c>
      <c r="Y55" s="262">
        <f>O55*M55*'GREET factors'!$J$7/454/2000</f>
        <v>232.4242806134059</v>
      </c>
      <c r="Z55" s="262">
        <f>O55*M55*'GREET factors'!K$7/454/2000</f>
        <v>29.148235310809682</v>
      </c>
      <c r="AA55" s="262"/>
      <c r="AB55" s="262"/>
      <c r="AC55" s="3">
        <f>T55-X55</f>
        <v>-614553.90018283878</v>
      </c>
      <c r="AD55" s="262">
        <f>P55-Y55</f>
        <v>74.0019773855295</v>
      </c>
      <c r="AE55" s="262">
        <f>Q55-Z55</f>
        <v>4.8572840333707035</v>
      </c>
      <c r="AF55" s="262"/>
      <c r="AG55" s="262"/>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6272.5293961510506</v>
      </c>
      <c r="D60" s="3">
        <f>'Combined MOVES output'!D18*(1+'Federal GHG Rule'!J18)/454/2000</f>
        <v>17672937.613032781</v>
      </c>
      <c r="E60" s="3">
        <f>'Combined MOVES output'!E18</f>
        <v>241747055.48228911</v>
      </c>
      <c r="F60" s="3">
        <f>'Combined MOVES output'!F18*(1+'Federal GHG Rule'!C18)/454/2000</f>
        <v>733.29424685363699</v>
      </c>
      <c r="G60" s="3">
        <f>'Combined MOVES output'!G18*(1+'Federal GHG Rule'!F18)/454/2000</f>
        <v>17969.473308757621</v>
      </c>
      <c r="H60" s="3">
        <f>'Combined MOVES output'!H18*(1+'Federal GHG Rule'!E18)/454/2000</f>
        <v>201.64666075250807</v>
      </c>
      <c r="I60" s="3">
        <f>'Combined MOVES output'!I18*(1-'Federal GHG Rule'!H18)/454/2000</f>
        <v>1795.9629725532616</v>
      </c>
      <c r="J60" s="3">
        <f>D60+AC60</f>
        <v>16999551.552144632</v>
      </c>
      <c r="L60" s="42">
        <f>'Fleet ZEV fractions'!AA26</f>
        <v>9.7736734483933732E-2</v>
      </c>
      <c r="M60" s="42">
        <f>'ZEV efficiency'!K53</f>
        <v>4.0972869571642612</v>
      </c>
      <c r="O60" s="3">
        <f>E60*L60/M60</f>
        <v>5766637.2946204292</v>
      </c>
      <c r="P60" s="3">
        <f>$O60*'GREET factors'!B106/454/2000</f>
        <v>330.93911259015329</v>
      </c>
      <c r="Q60" s="3">
        <f>$O60*'GREET factors'!C106/454/2000</f>
        <v>36.725822612008166</v>
      </c>
      <c r="R60" s="3">
        <f>$O60*'GREET factors'!D106/454/2000</f>
        <v>53.777605795899916</v>
      </c>
      <c r="S60" s="3">
        <f>$O60*'GREET factors'!E106/454/2000</f>
        <v>7.584021330191014</v>
      </c>
      <c r="T60" s="3">
        <f>$O60*'GREET factors'!F106/454/2000</f>
        <v>527467.99405830051</v>
      </c>
      <c r="U60" s="3">
        <f>$O60*'GREET factors'!G106/454/2000</f>
        <v>12.366372125808846</v>
      </c>
      <c r="V60" s="3">
        <f>$O60*'GREET factors'!H106/454/2000</f>
        <v>166.84846926420232</v>
      </c>
      <c r="W60" s="3">
        <f>$O60*'GREET factors'!I106/454/2000</f>
        <v>531072.4725595949</v>
      </c>
      <c r="X60" s="3">
        <f>('Combined MOVES output'!D18/454/2000-D60)*'GREET factors'!V1</f>
        <v>1200854.0549464484</v>
      </c>
      <c r="Y60" s="262">
        <f>O60*M60*'GREET factors'!$J$7/454/2000</f>
        <v>248.76174758625191</v>
      </c>
      <c r="Z60" s="262">
        <f>O60*M60*'GREET factors'!K$7/454/2000</f>
        <v>31.197110456084115</v>
      </c>
      <c r="AA60" s="262"/>
      <c r="AB60" s="262"/>
      <c r="AC60" s="3">
        <f>T60-X60</f>
        <v>-673386.06088814791</v>
      </c>
      <c r="AD60" s="262">
        <f>P60-Y60</f>
        <v>82.177365003901372</v>
      </c>
      <c r="AE60" s="262">
        <f>Q60-Z60</f>
        <v>5.5287121559240511</v>
      </c>
      <c r="AF60" s="262"/>
      <c r="AG60" s="262"/>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5541.0029064606415</v>
      </c>
      <c r="D65" s="3">
        <f>'Combined MOVES output'!D19*(1+'Federal GHG Rule'!J19)/454/2000</f>
        <v>17148967.751101065</v>
      </c>
      <c r="E65" s="3">
        <f>'Combined MOVES output'!E19</f>
        <v>239216134.60474002</v>
      </c>
      <c r="F65" s="3">
        <f>'Combined MOVES output'!F19*(1+'Federal GHG Rule'!C19)/454/2000</f>
        <v>726.81078914974137</v>
      </c>
      <c r="G65" s="3">
        <f>'Combined MOVES output'!G19*(1+'Federal GHG Rule'!F19)/454/2000</f>
        <v>17546.76111628423</v>
      </c>
      <c r="H65" s="3">
        <f>'Combined MOVES output'!H19*(1+'Federal GHG Rule'!E19)/454/2000</f>
        <v>195.9936625213262</v>
      </c>
      <c r="I65" s="3">
        <f>'Combined MOVES output'!I19*(1-'Federal GHG Rule'!H19)/454/2000</f>
        <v>1780.5484046298916</v>
      </c>
      <c r="J65" s="3">
        <f>D65+AC65</f>
        <v>16425682.777537966</v>
      </c>
      <c r="L65" s="42">
        <f>'Fleet ZEV fractions'!AA27</f>
        <v>0.105001506671986</v>
      </c>
      <c r="M65" s="42">
        <f>'ZEV efficiency'!K54</f>
        <v>4.0603357356974987</v>
      </c>
      <c r="O65" s="3">
        <f>E65*L65/M65</f>
        <v>6186201.3854948981</v>
      </c>
      <c r="P65" s="3">
        <f>$O65*'GREET factors'!B107/454/2000</f>
        <v>355.01729902962671</v>
      </c>
      <c r="Q65" s="3">
        <f>$O65*'GREET factors'!C107/454/2000</f>
        <v>39.39788877268014</v>
      </c>
      <c r="R65" s="3">
        <f>$O65*'GREET factors'!D107/454/2000</f>
        <v>57.690311092314346</v>
      </c>
      <c r="S65" s="3">
        <f>$O65*'GREET factors'!E107/454/2000</f>
        <v>8.1358131027622793</v>
      </c>
      <c r="T65" s="3">
        <f>$O65*'GREET factors'!F107/454/2000</f>
        <v>565845.06167774356</v>
      </c>
      <c r="U65" s="3">
        <f>$O65*'GREET factors'!G107/454/2000</f>
        <v>13.26611410944645</v>
      </c>
      <c r="V65" s="3">
        <f>$O65*'GREET factors'!H107/454/2000</f>
        <v>178.98788826077015</v>
      </c>
      <c r="W65" s="3">
        <f>$O65*'GREET factors'!I107/454/2000</f>
        <v>569711.79175967467</v>
      </c>
      <c r="X65" s="3">
        <f>('Combined MOVES output'!D19/454/2000-D65)*'GREET factors'!V1</f>
        <v>1289130.0352408427</v>
      </c>
      <c r="Y65" s="262">
        <f>O65*M65*'GREET factors'!$J$7/454/2000</f>
        <v>264.45426827415668</v>
      </c>
      <c r="Z65" s="262">
        <f>O65*M65*'GREET factors'!K$7/454/2000</f>
        <v>33.165103147827075</v>
      </c>
      <c r="AA65" s="262"/>
      <c r="AB65" s="262"/>
      <c r="AC65" s="3">
        <f>T65-X65</f>
        <v>-723284.97356309916</v>
      </c>
      <c r="AD65" s="262">
        <f>P65-Y65</f>
        <v>90.563030755470038</v>
      </c>
      <c r="AE65" s="262">
        <f>Q65-Z65</f>
        <v>6.2327856248530651</v>
      </c>
      <c r="AF65" s="262"/>
      <c r="AG65" s="262"/>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5398.133807608383</v>
      </c>
      <c r="D70" s="3">
        <f>'Combined MOVES output'!D20*(1+'Federal GHG Rule'!J20)/454/2000</f>
        <v>16785197.544598043</v>
      </c>
      <c r="E70" s="3">
        <f>'Combined MOVES output'!E20</f>
        <v>238542392.8259792</v>
      </c>
      <c r="F70" s="3">
        <f>'Combined MOVES output'!F20*(1+'Federal GHG Rule'!C20)/454/2000</f>
        <v>731.10693310976683</v>
      </c>
      <c r="G70" s="3">
        <f>'Combined MOVES output'!G20*(1+'Federal GHG Rule'!F20)/454/2000</f>
        <v>17371.599005613669</v>
      </c>
      <c r="H70" s="3">
        <f>'Combined MOVES output'!H20*(1+'Federal GHG Rule'!E20)/454/2000</f>
        <v>191.06388013113599</v>
      </c>
      <c r="I70" s="3">
        <f>'Combined MOVES output'!I20*(1-'Federal GHG Rule'!H20)/454/2000</f>
        <v>1794.6233877760103</v>
      </c>
      <c r="J70" s="3">
        <f>D70+AC70</f>
        <v>16010786.877525305</v>
      </c>
      <c r="L70" s="42">
        <f>'Fleet ZEV fractions'!AA28</f>
        <v>0.11215540435726605</v>
      </c>
      <c r="M70" s="42">
        <f>'ZEV efficiency'!K55</f>
        <v>4.0592416995872931</v>
      </c>
      <c r="O70" s="3">
        <f>E70*L70/M70</f>
        <v>6590841.4683628185</v>
      </c>
      <c r="P70" s="3">
        <f>$O70*'GREET factors'!B108/454/2000</f>
        <v>378.23901787565825</v>
      </c>
      <c r="Q70" s="3">
        <f>$O70*'GREET factors'!C108/454/2000</f>
        <v>41.974908818483748</v>
      </c>
      <c r="R70" s="3">
        <f>$O70*'GREET factors'!D108/454/2000</f>
        <v>61.463840404794475</v>
      </c>
      <c r="S70" s="3">
        <f>$O70*'GREET factors'!E108/454/2000</f>
        <v>8.6679774929838374</v>
      </c>
      <c r="T70" s="3">
        <f>$O70*'GREET factors'!F108/454/2000</f>
        <v>602857.04663907189</v>
      </c>
      <c r="U70" s="3">
        <f>$O70*'GREET factors'!G108/454/2000</f>
        <v>14.133852027770338</v>
      </c>
      <c r="V70" s="3">
        <f>$O70*'GREET factors'!H108/454/2000</f>
        <v>190.69550484564436</v>
      </c>
      <c r="W70" s="3">
        <f>$O70*'GREET factors'!I108/454/2000</f>
        <v>606976.69994210091</v>
      </c>
      <c r="X70" s="3">
        <f>('Combined MOVES output'!D20/454/2000-D70)*'GREET factors'!V1</f>
        <v>1377267.7137118089</v>
      </c>
      <c r="Y70" s="262">
        <f>O70*M70*'GREET factors'!$J$7/454/2000</f>
        <v>281.67633309730093</v>
      </c>
      <c r="Z70" s="262">
        <f>O70*M70*'GREET factors'!K$7/454/2000</f>
        <v>35.324915352809207</v>
      </c>
      <c r="AA70" s="262"/>
      <c r="AB70" s="262"/>
      <c r="AC70" s="3">
        <f>T70-X70</f>
        <v>-774410.66707273701</v>
      </c>
      <c r="AD70" s="262">
        <f>P70-Y70</f>
        <v>96.562684778357323</v>
      </c>
      <c r="AE70" s="262">
        <f>Q70-Z70</f>
        <v>6.649993465674541</v>
      </c>
      <c r="AF70" s="262"/>
      <c r="AG70" s="262"/>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5251.6746038883039</v>
      </c>
      <c r="D75" s="3">
        <f>'Combined MOVES output'!D21*(1+'Federal GHG Rule'!J21)/454/2000</f>
        <v>16454749.419347772</v>
      </c>
      <c r="E75" s="3">
        <f>'Combined MOVES output'!E21</f>
        <v>237868651.04721838</v>
      </c>
      <c r="F75" s="3">
        <f>'Combined MOVES output'!F21*(1+'Federal GHG Rule'!C21)/454/2000</f>
        <v>735.05686661666289</v>
      </c>
      <c r="G75" s="3">
        <f>'Combined MOVES output'!G21*(1+'Federal GHG Rule'!F21)/454/2000</f>
        <v>17176.089068560486</v>
      </c>
      <c r="H75" s="3">
        <f>'Combined MOVES output'!H21*(1+'Federal GHG Rule'!E21)/454/2000</f>
        <v>186.54402117891561</v>
      </c>
      <c r="I75" s="3">
        <f>'Combined MOVES output'!I21*(1-'Federal GHG Rule'!H21)/454/2000</f>
        <v>1808.5786019650857</v>
      </c>
      <c r="J75" s="3">
        <f>D75+AC75</f>
        <v>15637958.805360669</v>
      </c>
      <c r="L75" s="42">
        <f>'Fleet ZEV fractions'!AA29</f>
        <v>0.11919449108890266</v>
      </c>
      <c r="M75" s="42">
        <f>'ZEV efficiency'!K56</f>
        <v>4.0583052188942919</v>
      </c>
      <c r="O75" s="3">
        <f>E75*L75/M75</f>
        <v>6986323.422786274</v>
      </c>
      <c r="P75" s="3">
        <f>$O75*'GREET factors'!B109/454/2000</f>
        <v>400.93516475564553</v>
      </c>
      <c r="Q75" s="3">
        <f>$O75*'GREET factors'!C109/454/2000</f>
        <v>44.493603746280854</v>
      </c>
      <c r="R75" s="3">
        <f>$O75*'GREET factors'!D109/454/2000</f>
        <v>65.151964272792412</v>
      </c>
      <c r="S75" s="3">
        <f>$O75*'GREET factors'!E109/454/2000</f>
        <v>9.1880975256502122</v>
      </c>
      <c r="T75" s="3">
        <f>$O75*'GREET factors'!F109/454/2000</f>
        <v>639031.34762737912</v>
      </c>
      <c r="U75" s="3">
        <f>$O75*'GREET factors'!G109/454/2000</f>
        <v>14.981950627972752</v>
      </c>
      <c r="V75" s="3">
        <f>$O75*'GREET factors'!H109/454/2000</f>
        <v>202.13814556430464</v>
      </c>
      <c r="W75" s="3">
        <f>$O75*'GREET factors'!I109/454/2000</f>
        <v>643398.19979684253</v>
      </c>
      <c r="X75" s="3">
        <f>('Combined MOVES output'!D21/454/2000-D75)*'GREET factors'!V1</f>
        <v>1455821.9616144828</v>
      </c>
      <c r="Y75" s="262">
        <f>O75*M75*'GREET factors'!$J$7/454/2000</f>
        <v>298.50937486937283</v>
      </c>
      <c r="Z75" s="262">
        <f>O75*M75*'GREET factors'!K$7/454/2000</f>
        <v>37.43594033382292</v>
      </c>
      <c r="AA75" s="262"/>
      <c r="AB75" s="262"/>
      <c r="AC75" s="3">
        <f>T75-X75</f>
        <v>-816790.61398710369</v>
      </c>
      <c r="AD75" s="262">
        <f>P75-Y75</f>
        <v>102.4257898862727</v>
      </c>
      <c r="AE75" s="262">
        <f>Q75-Z75</f>
        <v>7.0576634124579343</v>
      </c>
      <c r="AF75" s="262"/>
      <c r="AG75" s="262"/>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5101.1838983661701</v>
      </c>
      <c r="D80" s="3">
        <f>'Combined MOVES output'!D22*(1+'Federal GHG Rule'!J22)/454/2000</f>
        <v>16155250.801644376</v>
      </c>
      <c r="E80" s="3">
        <f>'Combined MOVES output'!E22</f>
        <v>237194909.26845753</v>
      </c>
      <c r="F80" s="3">
        <f>'Combined MOVES output'!F22*(1+'Federal GHG Rule'!C22)/454/2000</f>
        <v>738.21716247111522</v>
      </c>
      <c r="G80" s="3">
        <f>'Combined MOVES output'!G22*(1+'Federal GHG Rule'!F22)/454/2000</f>
        <v>16957.818879896666</v>
      </c>
      <c r="H80" s="3">
        <f>'Combined MOVES output'!H22*(1+'Federal GHG Rule'!E22)/454/2000</f>
        <v>182.40258371691138</v>
      </c>
      <c r="I80" s="3">
        <f>'Combined MOVES output'!I22*(1-'Federal GHG Rule'!H22)/454/2000</f>
        <v>1822.534324395747</v>
      </c>
      <c r="J80" s="3">
        <f>D80+AC80</f>
        <v>15304189.992402898</v>
      </c>
      <c r="L80" s="42">
        <f>'Fleet ZEV fractions'!AA30</f>
        <v>0.12612683119467252</v>
      </c>
      <c r="M80" s="42">
        <f>'ZEV efficiency'!K57</f>
        <v>4.0575094521576283</v>
      </c>
      <c r="O80" s="3">
        <f>E80*L80/M80</f>
        <v>7373154.0577508407</v>
      </c>
      <c r="P80" s="3">
        <f>$O80*'GREET factors'!B110/454/2000</f>
        <v>423.13482471644875</v>
      </c>
      <c r="Q80" s="3">
        <f>$O80*'GREET factors'!C110/454/2000</f>
        <v>46.957201256367412</v>
      </c>
      <c r="R80" s="3">
        <f>$O80*'GREET factors'!D110/454/2000</f>
        <v>68.759409016422907</v>
      </c>
      <c r="S80" s="3">
        <f>$O80*'GREET factors'!E110/454/2000</f>
        <v>9.6968397330852838</v>
      </c>
      <c r="T80" s="3">
        <f>$O80*'GREET factors'!F110/454/2000</f>
        <v>674414.32190519664</v>
      </c>
      <c r="U80" s="3">
        <f>$O80*'GREET factors'!G110/454/2000</f>
        <v>15.811496745967265</v>
      </c>
      <c r="V80" s="3">
        <f>$O80*'GREET factors'!H110/454/2000</f>
        <v>213.33047412787619</v>
      </c>
      <c r="W80" s="3">
        <f>$O80*'GREET factors'!I110/454/2000</f>
        <v>679022.96537106659</v>
      </c>
      <c r="X80" s="3">
        <f>('Combined MOVES output'!D22/454/2000-D80)*'GREET factors'!V1</f>
        <v>1525475.1311466745</v>
      </c>
      <c r="Y80" s="262">
        <f>O80*M80*'GREET factors'!$J$7/454/2000</f>
        <v>314.9759758207046</v>
      </c>
      <c r="Z80" s="262">
        <f>O80*M80*'GREET factors'!K$7/454/2000</f>
        <v>39.501010119268287</v>
      </c>
      <c r="AA80" s="262"/>
      <c r="AB80" s="262"/>
      <c r="AC80" s="3">
        <f>T80-X80</f>
        <v>-851060.80924147787</v>
      </c>
      <c r="AD80" s="262">
        <f>P80-Y80</f>
        <v>108.15884889574414</v>
      </c>
      <c r="AE80" s="262">
        <f>Q80-Z80</f>
        <v>7.4561911370991254</v>
      </c>
      <c r="AF80" s="262"/>
      <c r="AG80" s="262"/>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4947.8825574993352</v>
      </c>
      <c r="D85" s="3">
        <f>'Combined MOVES output'!D23*(1+'Federal GHG Rule'!J23)/454/2000</f>
        <v>15884340.034954341</v>
      </c>
      <c r="E85" s="3">
        <f>'Combined MOVES output'!E23</f>
        <v>236521167.48969671</v>
      </c>
      <c r="F85" s="3">
        <f>'Combined MOVES output'!F23*(1+'Federal GHG Rule'!C23)/454/2000</f>
        <v>741.24777317759947</v>
      </c>
      <c r="G85" s="3">
        <f>'Combined MOVES output'!G23*(1+'Federal GHG Rule'!F23)/454/2000</f>
        <v>16717.006004293773</v>
      </c>
      <c r="H85" s="3">
        <f>'Combined MOVES output'!H23*(1+'Federal GHG Rule'!E23)/454/2000</f>
        <v>178.60920941920108</v>
      </c>
      <c r="I85" s="3">
        <f>'Combined MOVES output'!I23*(1-'Federal GHG Rule'!H23)/454/2000</f>
        <v>1836.4905550129763</v>
      </c>
      <c r="J85" s="3">
        <f>D85+AC85</f>
        <v>15006482.642940192</v>
      </c>
      <c r="L85" s="42">
        <f>'Fleet ZEV fractions'!AA31</f>
        <v>0.13295975102900595</v>
      </c>
      <c r="M85" s="42">
        <f>'ZEV efficiency'!K58</f>
        <v>4.0568355972737384</v>
      </c>
      <c r="O85" s="3">
        <f>E85*L85/M85</f>
        <v>7751804.2790921414</v>
      </c>
      <c r="P85" s="3">
        <f>$O85*'GREET factors'!B111/454/2000</f>
        <v>444.86502237421615</v>
      </c>
      <c r="Q85" s="3">
        <f>$O85*'GREET factors'!C111/454/2000</f>
        <v>49.368700393646442</v>
      </c>
      <c r="R85" s="3">
        <f>$O85*'GREET factors'!D111/454/2000</f>
        <v>72.290566135810138</v>
      </c>
      <c r="S85" s="3">
        <f>$O85*'GREET factors'!E111/454/2000</f>
        <v>10.194823429409121</v>
      </c>
      <c r="T85" s="3">
        <f>$O85*'GREET factors'!F111/454/2000</f>
        <v>709049.04271327436</v>
      </c>
      <c r="U85" s="3">
        <f>$O85*'GREET factors'!G111/454/2000</f>
        <v>16.623500224492719</v>
      </c>
      <c r="V85" s="3">
        <f>$O85*'GREET factors'!H111/454/2000</f>
        <v>224.28611544700064</v>
      </c>
      <c r="W85" s="3">
        <f>$O85*'GREET factors'!I111/454/2000</f>
        <v>713894.36424863362</v>
      </c>
      <c r="X85" s="3">
        <f>('Combined MOVES output'!D23/454/2000-D85)*'GREET factors'!V1</f>
        <v>1586906.4347274234</v>
      </c>
      <c r="Y85" s="262">
        <f>O85*M85*'GREET factors'!$J$7/454/2000</f>
        <v>331.09665166293667</v>
      </c>
      <c r="Z85" s="262">
        <f>O85*M85*'GREET factors'!K$7/454/2000</f>
        <v>41.522697576269557</v>
      </c>
      <c r="AA85" s="262"/>
      <c r="AB85" s="262"/>
      <c r="AC85" s="3">
        <f>T85-X85</f>
        <v>-877857.39201414899</v>
      </c>
      <c r="AD85" s="262">
        <f>P85-Y85</f>
        <v>113.76837071127949</v>
      </c>
      <c r="AE85" s="262">
        <f>Q85-Z85</f>
        <v>7.8460028173768848</v>
      </c>
      <c r="AF85" s="262"/>
      <c r="AG85" s="262"/>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4789.6216184227351</v>
      </c>
      <c r="D90" s="3">
        <f>'Combined MOVES output'!D24*(1+'Federal GHG Rule'!J24)/454/2000</f>
        <v>15644037.216383129</v>
      </c>
      <c r="E90" s="3">
        <f>'Combined MOVES output'!E24</f>
        <v>235847425.71093589</v>
      </c>
      <c r="F90" s="3">
        <f>'Combined MOVES output'!F24*(1+'Federal GHG Rule'!C24)/454/2000</f>
        <v>743.49869322216921</v>
      </c>
      <c r="G90" s="3">
        <f>'Combined MOVES output'!G24*(1+'Federal GHG Rule'!F24)/454/2000</f>
        <v>16458.525805971767</v>
      </c>
      <c r="H90" s="3">
        <f>'Combined MOVES output'!H24*(1+'Federal GHG Rule'!E24)/454/2000</f>
        <v>175.18197814657344</v>
      </c>
      <c r="I90" s="3">
        <f>'Combined MOVES output'!I24*(1-'Federal GHG Rule'!H24)/454/2000</f>
        <v>1850.4472937617561</v>
      </c>
      <c r="J90" s="3">
        <f>D90+AC90</f>
        <v>14747476.908334352</v>
      </c>
      <c r="L90" s="42">
        <f>'Fleet ZEV fractions'!AA32</f>
        <v>0.13969992150063718</v>
      </c>
      <c r="M90" s="42">
        <f>'ZEV efficiency'!K59</f>
        <v>4.0562696752233567</v>
      </c>
      <c r="O90" s="3">
        <f>E90*L90/M90</f>
        <v>8122701.2738325503</v>
      </c>
      <c r="P90" s="3">
        <f>$O90*'GREET factors'!B112/454/2000</f>
        <v>466.15027338458424</v>
      </c>
      <c r="Q90" s="3">
        <f>$O90*'GREET factors'!C112/454/2000</f>
        <v>51.730821772230527</v>
      </c>
      <c r="R90" s="3">
        <f>$O90*'GREET factors'!D112/454/2000</f>
        <v>75.74941942499494</v>
      </c>
      <c r="S90" s="3">
        <f>$O90*'GREET factors'!E112/454/2000</f>
        <v>10.682610431730057</v>
      </c>
      <c r="T90" s="3">
        <f>$O90*'GREET factors'!F112/454/2000</f>
        <v>742974.58438042249</v>
      </c>
      <c r="U90" s="3">
        <f>$O90*'GREET factors'!G112/454/2000</f>
        <v>17.418877152669364</v>
      </c>
      <c r="V90" s="3">
        <f>$O90*'GREET factors'!H112/454/2000</f>
        <v>235.0174294980612</v>
      </c>
      <c r="W90" s="3">
        <f>$O90*'GREET factors'!I112/454/2000</f>
        <v>748051.73777470307</v>
      </c>
      <c r="X90" s="3">
        <f>('Combined MOVES output'!D24/454/2000-D90)*'GREET factors'!V1</f>
        <v>1639534.8924292</v>
      </c>
      <c r="Y90" s="262">
        <f>O90*M90*'GREET factors'!$J$7/454/2000</f>
        <v>346.89008268805804</v>
      </c>
      <c r="Z90" s="262">
        <f>O90*M90*'GREET factors'!K$7/454/2000</f>
        <v>43.503345392712561</v>
      </c>
      <c r="AA90" s="262">
        <f>O90*M90*'GREET factors'!L7/454/2000</f>
        <v>871.35709119659123</v>
      </c>
      <c r="AB90" s="262">
        <f>O90*M90*'GREET factors'!M7/454/2000</f>
        <v>130.04579434913586</v>
      </c>
      <c r="AC90" s="3">
        <f>T90-X90</f>
        <v>-896560.30804877752</v>
      </c>
      <c r="AD90" s="262">
        <f>P90-Y90</f>
        <v>119.26019069652619</v>
      </c>
      <c r="AE90" s="262">
        <f>Q90-Z90</f>
        <v>8.2274763795179666</v>
      </c>
      <c r="AF90" s="262">
        <f>U90-AA90</f>
        <v>-853.9382140439219</v>
      </c>
      <c r="AG90" s="262">
        <f>V90-AB90</f>
        <v>104.97163514892534</v>
      </c>
      <c r="AH90">
        <v>2040</v>
      </c>
    </row>
  </sheetData>
  <sheetProtection algorithmName="SHA-512" hashValue="kMO+0HqYoSUeqUZJSUHUNhJq6kMUS/kBT2/afPCbRYhDDCHvd+jRxaegiRzM76VsoigNe//ilaf9Ke8BIZD3CQ==" saltValue="Fb4gBrJHxZfbr9Dvi5Avow=="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F67" workbookViewId="0">
      <selection activeCell="AA14" sqref="AA14"/>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429</v>
      </c>
      <c r="D2" s="6"/>
      <c r="AH2" s="29"/>
    </row>
    <row r="3" spans="1:34">
      <c r="A3" t="s">
        <v>430</v>
      </c>
      <c r="D3" s="29"/>
    </row>
    <row r="4" spans="1:34">
      <c r="A4" s="29" t="s">
        <v>215</v>
      </c>
      <c r="D4" s="29"/>
      <c r="AH4" s="29"/>
    </row>
    <row r="5" spans="1:34">
      <c r="G5" s="6"/>
      <c r="L5" s="299" t="s">
        <v>165</v>
      </c>
      <c r="M5" s="299" t="s">
        <v>273</v>
      </c>
    </row>
    <row r="6" spans="1:34">
      <c r="A6" t="s">
        <v>0</v>
      </c>
      <c r="B6" t="s">
        <v>1</v>
      </c>
      <c r="C6" t="s">
        <v>42</v>
      </c>
      <c r="D6" t="s">
        <v>47</v>
      </c>
      <c r="E6" t="s">
        <v>22</v>
      </c>
      <c r="F6" t="s">
        <v>24</v>
      </c>
      <c r="G6" t="s">
        <v>115</v>
      </c>
      <c r="H6" t="s">
        <v>116</v>
      </c>
      <c r="I6" t="s">
        <v>117</v>
      </c>
      <c r="J6" t="s">
        <v>52</v>
      </c>
      <c r="L6" s="299"/>
      <c r="M6" s="299"/>
      <c r="O6" s="6"/>
      <c r="T6" s="3"/>
    </row>
    <row r="7" spans="1:34">
      <c r="A7">
        <v>2020</v>
      </c>
      <c r="B7">
        <v>20</v>
      </c>
      <c r="C7" s="300" t="s">
        <v>145</v>
      </c>
      <c r="D7" s="300"/>
      <c r="E7" s="300"/>
      <c r="F7" s="300"/>
      <c r="G7" s="300"/>
      <c r="H7" s="300"/>
      <c r="I7" s="300"/>
      <c r="J7" s="3"/>
      <c r="P7" s="298" t="s">
        <v>166</v>
      </c>
      <c r="Q7" s="298"/>
      <c r="R7" s="298"/>
      <c r="S7" s="298"/>
      <c r="T7" s="298"/>
      <c r="U7" s="298"/>
      <c r="V7" s="298"/>
      <c r="W7" s="298"/>
      <c r="X7" s="296" t="s">
        <v>167</v>
      </c>
      <c r="Y7" s="296"/>
      <c r="Z7" s="296"/>
      <c r="AA7" s="296"/>
      <c r="AB7" s="296"/>
      <c r="AC7" s="296" t="s">
        <v>414</v>
      </c>
      <c r="AD7" s="296"/>
      <c r="AE7" s="296"/>
      <c r="AF7" s="296"/>
      <c r="AG7" s="296"/>
      <c r="AH7" s="33" t="s">
        <v>19</v>
      </c>
    </row>
    <row r="8" spans="1:34">
      <c r="A8">
        <v>2020</v>
      </c>
      <c r="B8">
        <v>30</v>
      </c>
      <c r="C8" s="300"/>
      <c r="D8" s="300"/>
      <c r="E8" s="300"/>
      <c r="F8" s="300"/>
      <c r="G8" s="300"/>
      <c r="H8" s="300"/>
      <c r="I8" s="300"/>
      <c r="J8" s="3"/>
      <c r="O8" t="s">
        <v>17</v>
      </c>
      <c r="P8" s="63"/>
    </row>
    <row r="9" spans="1:34">
      <c r="A9">
        <v>2020</v>
      </c>
      <c r="B9">
        <v>41</v>
      </c>
      <c r="C9" s="300"/>
      <c r="D9" s="300"/>
      <c r="E9" s="300"/>
      <c r="F9" s="300"/>
      <c r="G9" s="300"/>
      <c r="H9" s="300"/>
      <c r="I9" s="300"/>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33313.273716843876</v>
      </c>
      <c r="D10" s="3">
        <f>'BAU Scenario'!D10</f>
        <v>25907190.830635231</v>
      </c>
      <c r="E10" s="3">
        <f>'BAU Scenario'!E10</f>
        <v>257925338.49520811</v>
      </c>
      <c r="F10" s="3">
        <f>'BAU Scenario'!F10</f>
        <v>950.74904634011125</v>
      </c>
      <c r="G10" s="3">
        <f>'BAU Scenario'!G10</f>
        <v>28396.414260751859</v>
      </c>
      <c r="H10" s="3">
        <f>'BAU Scenario'!H10</f>
        <v>266.67816429959612</v>
      </c>
      <c r="I10" s="3">
        <f>'BAU Scenario'!I10</f>
        <v>16977.150361722986</v>
      </c>
      <c r="J10" s="3">
        <f>D10+AC10</f>
        <v>25902927.772740211</v>
      </c>
      <c r="L10" s="42">
        <f>'BAU Scenario'!L10</f>
        <v>3.6609784889678441E-3</v>
      </c>
      <c r="M10" s="42">
        <f>'ZEV efficiency'!L44</f>
        <v>4.5885492022606078</v>
      </c>
      <c r="O10" s="3">
        <f>E10*L10/M10</f>
        <v>205785.98471288165</v>
      </c>
      <c r="P10" s="3">
        <f>'BAU Scenario'!P10</f>
        <v>14.502466232007674</v>
      </c>
      <c r="Q10" s="3">
        <f>'BAU Scenario'!Q10</f>
        <v>1.6094048180184781</v>
      </c>
      <c r="R10" s="3">
        <f>'BAU Scenario'!R10</f>
        <v>2.3566507627012472</v>
      </c>
      <c r="S10" s="3">
        <f>'BAU Scenario'!S10</f>
        <v>0.33234818448350922</v>
      </c>
      <c r="T10" s="3">
        <f>'BAU Scenario'!T10</f>
        <v>23114.786017356746</v>
      </c>
      <c r="U10" s="3">
        <f>'BAU Scenario'!U10</f>
        <v>0.54192111885272487</v>
      </c>
      <c r="V10" s="3">
        <f>'BAU Scenario'!V10</f>
        <v>7.3116600586372025</v>
      </c>
      <c r="W10" s="3">
        <f>$O10*'GREET factors'!I96/454/2000</f>
        <v>23272.742045400366</v>
      </c>
      <c r="X10" s="3">
        <f>('Combined MOVES output'!V16/454/2000-'BAU Scenario'!D10)*'GREET factors'!$V$1</f>
        <v>27377.843912378059</v>
      </c>
      <c r="Y10" s="262">
        <f>O10*M10*'GREET factors'!$J$7/454/2000</f>
        <v>9.941588153103206</v>
      </c>
      <c r="Z10" s="262">
        <f>O10*M10*'GREET factors'!K$7/454/2000</f>
        <v>1.2467705615137699</v>
      </c>
      <c r="AA10" s="297" t="s">
        <v>498</v>
      </c>
      <c r="AB10" s="297"/>
      <c r="AC10" s="3">
        <f>T10-X10</f>
        <v>-4263.057895021313</v>
      </c>
      <c r="AD10" s="262">
        <f>P10-Y10</f>
        <v>4.5608780789044676</v>
      </c>
      <c r="AE10" s="262">
        <f>Q10-Z10</f>
        <v>0.36263425650470826</v>
      </c>
      <c r="AF10" s="297" t="s">
        <v>498</v>
      </c>
      <c r="AG10" s="297"/>
      <c r="AH10">
        <v>2020</v>
      </c>
    </row>
    <row r="11" spans="1:34">
      <c r="C11" s="3"/>
      <c r="D11" s="3"/>
      <c r="E11" s="3"/>
      <c r="F11" s="3"/>
      <c r="G11" s="3"/>
      <c r="H11" s="3"/>
      <c r="L11" s="42"/>
      <c r="M11" s="42"/>
    </row>
    <row r="12" spans="1:34">
      <c r="A12">
        <v>2025</v>
      </c>
      <c r="B12">
        <v>20</v>
      </c>
      <c r="C12" s="300" t="s">
        <v>145</v>
      </c>
      <c r="D12" s="300"/>
      <c r="E12" s="300"/>
      <c r="F12" s="300"/>
      <c r="G12" s="300"/>
      <c r="H12" s="300"/>
      <c r="I12" s="300"/>
      <c r="J12" s="3"/>
      <c r="L12" s="42"/>
      <c r="M12" s="42"/>
    </row>
    <row r="13" spans="1:34">
      <c r="A13">
        <v>2025</v>
      </c>
      <c r="B13">
        <v>30</v>
      </c>
      <c r="C13" s="300"/>
      <c r="D13" s="300"/>
      <c r="E13" s="300"/>
      <c r="F13" s="300"/>
      <c r="G13" s="300"/>
      <c r="H13" s="300"/>
      <c r="I13" s="300"/>
      <c r="J13" s="3"/>
      <c r="L13" s="42"/>
      <c r="M13" s="42"/>
      <c r="O13" t="s">
        <v>17</v>
      </c>
    </row>
    <row r="14" spans="1:34">
      <c r="A14">
        <v>2025</v>
      </c>
      <c r="B14">
        <v>41</v>
      </c>
      <c r="C14" s="300"/>
      <c r="D14" s="300"/>
      <c r="E14" s="300"/>
      <c r="F14" s="300"/>
      <c r="G14" s="300"/>
      <c r="H14" s="300"/>
      <c r="I14" s="300"/>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18219.222126253469</v>
      </c>
      <c r="D15" s="3">
        <f>'BAU Scenario'!D15</f>
        <v>23025957.601397682</v>
      </c>
      <c r="E15" s="3">
        <f>'BAU Scenario'!E15</f>
        <v>254458507.64158371</v>
      </c>
      <c r="F15" s="3">
        <f>'BAU Scenario'!F15</f>
        <v>817.11480867686566</v>
      </c>
      <c r="G15" s="3">
        <f>'BAU Scenario'!G15</f>
        <v>22995.43185751998</v>
      </c>
      <c r="H15" s="3">
        <f>'BAU Scenario'!H15</f>
        <v>249.98498768076874</v>
      </c>
      <c r="I15" s="3">
        <f>'BAU Scenario'!I15</f>
        <v>1989.8952392013528</v>
      </c>
      <c r="J15" s="3">
        <f>D15+AC15</f>
        <v>22830631.297383077</v>
      </c>
      <c r="L15" s="42">
        <f>'BAU Scenario'!L15</f>
        <v>2.4141551331515337E-2</v>
      </c>
      <c r="M15" s="42">
        <f>'ZEV efficiency'!L44</f>
        <v>4.5885492022606078</v>
      </c>
      <c r="O15" s="3">
        <f>E15*L15/M15</f>
        <v>1338772.42090891</v>
      </c>
      <c r="P15" s="3">
        <f>'BAU Scenario'!P15</f>
        <v>76.830245132476023</v>
      </c>
      <c r="Q15" s="3">
        <f>'BAU Scenario'!Q15</f>
        <v>8.5262026959830948</v>
      </c>
      <c r="R15" s="3">
        <f>'BAU Scenario'!R15</f>
        <v>12.484914834027354</v>
      </c>
      <c r="S15" s="3">
        <f>'BAU Scenario'!S15</f>
        <v>1.7606931176192424</v>
      </c>
      <c r="T15" s="3">
        <f>'BAU Scenario'!T15</f>
        <v>122456.0462674076</v>
      </c>
      <c r="U15" s="3">
        <f>'BAU Scenario'!U15</f>
        <v>2.8709553077274483</v>
      </c>
      <c r="V15" s="3">
        <f>'BAU Scenario'!V15</f>
        <v>38.735248587623317</v>
      </c>
      <c r="W15" s="3">
        <f>$O15*'GREET factors'!I97/454/2000</f>
        <v>123292.85568730884</v>
      </c>
      <c r="X15" s="3">
        <f>('Combined MOVES output'!D9/454/2000-'BAU Scenario'!D15)*'GREET factors'!$V$1</f>
        <v>317782.35028201091</v>
      </c>
      <c r="Y15" s="262">
        <f>O15*M15*'GREET factors'!$J$7/454/2000</f>
        <v>64.676533039794407</v>
      </c>
      <c r="Z15" s="262">
        <f>O15*M15*'GREET factors'!K$7/454/2000</f>
        <v>8.1110579288700553</v>
      </c>
      <c r="AA15" s="262"/>
      <c r="AB15" s="262"/>
      <c r="AC15" s="3">
        <f>T15-X15</f>
        <v>-195326.30401460332</v>
      </c>
      <c r="AD15" s="262">
        <f>P15-Y15</f>
        <v>12.153712092681616</v>
      </c>
      <c r="AE15" s="262">
        <f>Q15-Z15</f>
        <v>0.41514476711303949</v>
      </c>
      <c r="AF15" s="262"/>
      <c r="AG15" s="262"/>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16276.044523066308</v>
      </c>
      <c r="D20" s="3">
        <f>'BAU Scenario'!D20*(1-'ACC emissions benefits'!D10)</f>
        <v>22248970.557418693</v>
      </c>
      <c r="E20" s="3">
        <f>'Combined MOVES output'!E10*(1-'ACC emissions benefits'!E10)</f>
        <v>253940953.91176406</v>
      </c>
      <c r="F20" s="3">
        <f>'BAU Scenario'!F20*(1-'ACC emissions benefits'!F10)</f>
        <v>796.72842618835352</v>
      </c>
      <c r="G20" s="3">
        <f>'BAU Scenario'!G20*(1-'ACC emissions benefits'!G10)</f>
        <v>21995.106266862153</v>
      </c>
      <c r="H20" s="3">
        <f>'BAU Scenario'!H20*(1-'ACC emissions benefits'!H10)</f>
        <v>242.89172447843893</v>
      </c>
      <c r="I20" s="3">
        <f>'BAU Scenario'!I20*(1-'ACC emissions benefits'!I10)</f>
        <v>1975.2564325838878</v>
      </c>
      <c r="J20" s="3">
        <f>D20+AC20</f>
        <v>21991403.105778694</v>
      </c>
      <c r="L20" s="42">
        <f>'Fleet ZEV fractions'!AM18</f>
        <v>3.9367596216869992E-2</v>
      </c>
      <c r="M20" s="42">
        <f>'ZEV efficiency'!L45</f>
        <v>4.5196833584062999</v>
      </c>
      <c r="O20" s="3">
        <f>E20*L20/M20</f>
        <v>2211890.555990234</v>
      </c>
      <c r="P20" s="3">
        <f>$O20*'GREET factors'!B98/454/2000</f>
        <v>126.93725309008369</v>
      </c>
      <c r="Q20" s="3">
        <f>$O20*'GREET factors'!C98/454/2000</f>
        <v>14.08680588811341</v>
      </c>
      <c r="R20" s="3">
        <f>$O20*'GREET factors'!D98/454/2000</f>
        <v>20.627303627138602</v>
      </c>
      <c r="S20" s="3">
        <f>$O20*'GREET factors'!E98/454/2000</f>
        <v>2.9089787166477512</v>
      </c>
      <c r="T20" s="3">
        <f>$O20*'GREET factors'!F98/454/2000</f>
        <v>202319.2052902405</v>
      </c>
      <c r="U20" s="3">
        <f>$O20*'GREET factors'!G98/454/2000</f>
        <v>4.7433296598096328</v>
      </c>
      <c r="V20" s="3">
        <f>$O20*'GREET factors'!H98/454/2000</f>
        <v>63.997531766250525</v>
      </c>
      <c r="W20" s="3">
        <f>$O20*'GREET factors'!I98/454/2000</f>
        <v>203701.76353848001</v>
      </c>
      <c r="X20" s="3">
        <f>('Combined MOVES output'!D10/454/2000-D20)*'GREET factors'!V1</f>
        <v>459886.65693023946</v>
      </c>
      <c r="Y20" s="262">
        <f>O20*M20*'GREET factors'!$J$7/454/2000</f>
        <v>105.25342231165355</v>
      </c>
      <c r="Z20" s="262">
        <f>O20*M20*'GREET factors'!K$7/454/2000</f>
        <v>13.199789250551945</v>
      </c>
      <c r="AA20" s="262"/>
      <c r="AB20" s="262"/>
      <c r="AC20" s="3">
        <f>T20-X20</f>
        <v>-257567.45163999897</v>
      </c>
      <c r="AD20" s="262">
        <f>P20-Y20</f>
        <v>21.683830778430135</v>
      </c>
      <c r="AE20" s="262">
        <f>Q20-Z20</f>
        <v>0.88701663756146587</v>
      </c>
      <c r="AF20" s="262"/>
      <c r="AG20" s="262"/>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14305.37664535488</v>
      </c>
      <c r="D25" s="3">
        <f>'BAU Scenario'!D25*(1-'ACC emissions benefits'!D11)</f>
        <v>21167889.403740097</v>
      </c>
      <c r="E25" s="3">
        <f>'Combined MOVES output'!E11*(1-'ACC emissions benefits'!E11)</f>
        <v>253423400.18194437</v>
      </c>
      <c r="F25" s="3">
        <f>'BAU Scenario'!F25*(1-'ACC emissions benefits'!F11)</f>
        <v>774.42993011917895</v>
      </c>
      <c r="G25" s="3">
        <f>'BAU Scenario'!G25*(1-'ACC emissions benefits'!G11)</f>
        <v>20953.219360057617</v>
      </c>
      <c r="H25" s="3">
        <f>'BAU Scenario'!H25*(1-'ACC emissions benefits'!H11)</f>
        <v>233.27608174567527</v>
      </c>
      <c r="I25" s="3">
        <f>'BAU Scenario'!I25*(1-'ACC emissions benefits'!I11)</f>
        <v>1889.0745238426898</v>
      </c>
      <c r="J25" s="3">
        <f>D25+AC25</f>
        <v>20779458.913807262</v>
      </c>
      <c r="L25" s="42">
        <f>'Fleet ZEV fractions'!AM19</f>
        <v>5.7801742053242587E-2</v>
      </c>
      <c r="M25" s="42">
        <f>'ZEV efficiency'!L46</f>
        <v>4.4511142158008035</v>
      </c>
      <c r="O25" s="3">
        <f>E25*L25/M25</f>
        <v>3290931.9548739172</v>
      </c>
      <c r="P25" s="3">
        <f>$O25*'GREET factors'!B99/454/2000</f>
        <v>188.86190427765391</v>
      </c>
      <c r="Q25" s="3">
        <f>$O25*'GREET factors'!C99/454/2000</f>
        <v>20.958866845265</v>
      </c>
      <c r="R25" s="3">
        <f>$O25*'GREET factors'!D99/454/2000</f>
        <v>30.690059445118759</v>
      </c>
      <c r="S25" s="3">
        <f>$O25*'GREET factors'!E99/454/2000</f>
        <v>4.3280853063629028</v>
      </c>
      <c r="T25" s="3">
        <f>$O25*'GREET factors'!F99/454/2000</f>
        <v>301017.9395952393</v>
      </c>
      <c r="U25" s="3">
        <f>$O25*'GREET factors'!G99/454/2000</f>
        <v>7.0572999679816295</v>
      </c>
      <c r="V25" s="3">
        <f>$O25*'GREET factors'!H99/454/2000</f>
        <v>95.217876739983836</v>
      </c>
      <c r="W25" s="3">
        <f>$O25*'GREET factors'!I99/454/2000</f>
        <v>303074.96050266345</v>
      </c>
      <c r="X25" s="3">
        <f>('Combined MOVES output'!D11/454/2000-'ACC II - MY2026'!D25)*'GREET factors'!V1</f>
        <v>689448.42952807609</v>
      </c>
      <c r="Y25" s="262">
        <f>O25*M25*'GREET factors'!$J$7/454/2000</f>
        <v>154.22409223746479</v>
      </c>
      <c r="Z25" s="262">
        <f>O25*M25*'GREET factors'!K$7/454/2000</f>
        <v>19.341181219404646</v>
      </c>
      <c r="AA25" s="262"/>
      <c r="AB25" s="262"/>
      <c r="AC25" s="3">
        <f>T25-X25</f>
        <v>-388430.48993283679</v>
      </c>
      <c r="AD25" s="262">
        <f>P25-Y25</f>
        <v>34.637812040189118</v>
      </c>
      <c r="AE25" s="262">
        <f>Q25-Z25</f>
        <v>1.6176856258603536</v>
      </c>
      <c r="AF25" s="262"/>
      <c r="AG25" s="262"/>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12332.746354524948</v>
      </c>
      <c r="D30" s="3">
        <f>'BAU Scenario'!D30*(1-'ACC emissions benefits'!D12)</f>
        <v>19868514.694676686</v>
      </c>
      <c r="E30" s="3">
        <f>'Combined MOVES output'!E12*(1-'ACC emissions benefits'!E12)</f>
        <v>252905846.45212471</v>
      </c>
      <c r="F30" s="3">
        <f>'BAU Scenario'!F30*(1-'ACC emissions benefits'!F12)</f>
        <v>750.28230418797409</v>
      </c>
      <c r="G30" s="3">
        <f>'BAU Scenario'!G30*(1-'ACC emissions benefits'!G12)</f>
        <v>19876.127731046767</v>
      </c>
      <c r="H30" s="3">
        <f>'BAU Scenario'!H30*(1-'ACC emissions benefits'!H12)</f>
        <v>221.33783373206279</v>
      </c>
      <c r="I30" s="3">
        <f>'BAU Scenario'!I30*(1-'ACC emissions benefits'!I12)</f>
        <v>1793.7284664131159</v>
      </c>
      <c r="J30" s="3">
        <f>D30+AC30</f>
        <v>19305690.406355992</v>
      </c>
      <c r="L30" s="42">
        <f>'Fleet ZEV fractions'!AM20</f>
        <v>7.9363826830400996E-2</v>
      </c>
      <c r="M30" s="42">
        <f>'ZEV efficiency'!L47</f>
        <v>4.3820263375286919</v>
      </c>
      <c r="O30" s="3">
        <f>E30*L30/M30</f>
        <v>4580432.4885783475</v>
      </c>
      <c r="P30" s="3">
        <f>$O30*'GREET factors'!B100/454/2000</f>
        <v>262.86450588167293</v>
      </c>
      <c r="Q30" s="3">
        <f>$O30*'GREET factors'!C100/454/2000</f>
        <v>29.171273043084646</v>
      </c>
      <c r="R30" s="3">
        <f>$O30*'GREET factors'!D100/454/2000</f>
        <v>42.715482205771849</v>
      </c>
      <c r="S30" s="3">
        <f>$O30*'GREET factors'!E100/454/2000</f>
        <v>6.0239782597883371</v>
      </c>
      <c r="T30" s="3">
        <f>$O30*'GREET factors'!F100/454/2000</f>
        <v>418967.14033389156</v>
      </c>
      <c r="U30" s="3">
        <f>$O30*'GREET factors'!G100/454/2000</f>
        <v>9.8225932648383925</v>
      </c>
      <c r="V30" s="3">
        <f>$O30*'GREET factors'!H100/454/2000</f>
        <v>132.5275217153434</v>
      </c>
      <c r="W30" s="3">
        <f>$O30*'GREET factors'!I100/454/2000</f>
        <v>421830.17291045282</v>
      </c>
      <c r="X30" s="3">
        <f>('Combined MOVES output'!D12/454/2000-'ACC II - MY2026'!D30)*'GREET factors'!V1</f>
        <v>981791.42865458643</v>
      </c>
      <c r="Y30" s="262">
        <f>O30*M30*'GREET factors'!$J$7/454/2000</f>
        <v>211.32265162209052</v>
      </c>
      <c r="Z30" s="262">
        <f>O30*M30*'GREET factors'!K$7/454/2000</f>
        <v>26.501888527861794</v>
      </c>
      <c r="AA30" s="262"/>
      <c r="AB30" s="262"/>
      <c r="AC30" s="3">
        <f>T30-X30</f>
        <v>-562824.28832069482</v>
      </c>
      <c r="AD30" s="262">
        <f>P30-Y30</f>
        <v>51.541854259582408</v>
      </c>
      <c r="AE30" s="262">
        <f>Q30-Z30</f>
        <v>2.6693845152228519</v>
      </c>
      <c r="AF30" s="262"/>
      <c r="AG30" s="262"/>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10351.153244306599</v>
      </c>
      <c r="D35" s="3">
        <f>'BAU Scenario'!D35*(1-'ACC emissions benefits'!D13)</f>
        <v>18418186.506790202</v>
      </c>
      <c r="E35" s="3">
        <f>'Combined MOVES output'!E13*(1-'ACC emissions benefits'!E13)</f>
        <v>252388292.72230503</v>
      </c>
      <c r="F35" s="3">
        <f>'BAU Scenario'!F35*(1-'ACC emissions benefits'!F13)</f>
        <v>724.2165337096244</v>
      </c>
      <c r="G35" s="3">
        <f>'BAU Scenario'!G35*(1-'ACC emissions benefits'!G13)</f>
        <v>18736.219833537951</v>
      </c>
      <c r="H35" s="3">
        <f>'BAU Scenario'!H35*(1-'ACC emissions benefits'!H13)</f>
        <v>207.29541561139624</v>
      </c>
      <c r="I35" s="3">
        <f>'BAU Scenario'!I35*(1-'ACC emissions benefits'!I13)</f>
        <v>1687.7600144662551</v>
      </c>
      <c r="J35" s="3">
        <f>D35+AC35</f>
        <v>17657149.71892656</v>
      </c>
      <c r="L35" s="42">
        <f>'Fleet ZEV fractions'!AM21</f>
        <v>0.10397941854680322</v>
      </c>
      <c r="M35" s="42">
        <f>'ZEV efficiency'!L48</f>
        <v>4.3133593585787438</v>
      </c>
      <c r="O35" s="3">
        <f>E35*L35/M35</f>
        <v>6084164.5092916163</v>
      </c>
      <c r="P35" s="3">
        <f>$O35*'GREET factors'!B101/454/2000</f>
        <v>349.16154782889021</v>
      </c>
      <c r="Q35" s="3">
        <f>$O35*'GREET factors'!C101/454/2000</f>
        <v>38.7480493560723</v>
      </c>
      <c r="R35" s="3">
        <f>$O35*'GREET factors'!D101/454/2000</f>
        <v>56.738751522194669</v>
      </c>
      <c r="S35" s="3">
        <f>$O35*'GREET factors'!E101/454/2000</f>
        <v>8.0016188044120682</v>
      </c>
      <c r="T35" s="3">
        <f>$O35*'GREET factors'!F101/454/2000</f>
        <v>556511.86042696796</v>
      </c>
      <c r="U35" s="3">
        <f>$O35*'GREET factors'!G101/454/2000</f>
        <v>13.047299240881365</v>
      </c>
      <c r="V35" s="3">
        <f>$O35*'GREET factors'!H101/454/2000</f>
        <v>176.03561369706551</v>
      </c>
      <c r="W35" s="3">
        <f>$O35*'GREET factors'!I101/454/2000</f>
        <v>560314.81161873764</v>
      </c>
      <c r="X35" s="3">
        <f>('Combined MOVES output'!D13/454/2000-'ACC II - MY2026'!D35)*'GREET factors'!V1</f>
        <v>1317548.6482906116</v>
      </c>
      <c r="Y35" s="262">
        <f>O35*M35*'GREET factors'!$J$7/454/2000</f>
        <v>276.3001826081906</v>
      </c>
      <c r="Z35" s="262">
        <f>O35*M35*'GREET factors'!K$7/454/2000</f>
        <v>34.650694487806014</v>
      </c>
      <c r="AA35" s="262"/>
      <c r="AB35" s="262"/>
      <c r="AC35" s="3">
        <f>T35-X35</f>
        <v>-761036.78786364361</v>
      </c>
      <c r="AD35" s="262">
        <f>P35-Y35</f>
        <v>72.861365220699611</v>
      </c>
      <c r="AE35" s="262">
        <f>Q35-Z35</f>
        <v>4.0973548682662866</v>
      </c>
      <c r="AF35" s="262"/>
      <c r="AG35" s="262"/>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8392.3139891651081</v>
      </c>
      <c r="D40" s="3">
        <f>'BAU Scenario'!D40*(1-'ACC emissions benefits'!D14)</f>
        <v>16898690.427239671</v>
      </c>
      <c r="E40" s="3">
        <f>'Combined MOVES output'!E14*(1-'ACC emissions benefits'!E14)</f>
        <v>251870738.99248537</v>
      </c>
      <c r="F40" s="3">
        <f>'BAU Scenario'!F40*(1-'ACC emissions benefits'!F14)</f>
        <v>693.27818450328084</v>
      </c>
      <c r="G40" s="3">
        <f>'BAU Scenario'!G40*(1-'ACC emissions benefits'!G14)</f>
        <v>17555.30593286801</v>
      </c>
      <c r="H40" s="3">
        <f>'BAU Scenario'!H40*(1-'ACC emissions benefits'!H14)</f>
        <v>192.52125074268443</v>
      </c>
      <c r="I40" s="3">
        <f>'BAU Scenario'!I40*(1-'ACC emissions benefits'!I14)</f>
        <v>1574.2768468434444</v>
      </c>
      <c r="J40" s="3">
        <f>D40+AC40</f>
        <v>15942015.761120174</v>
      </c>
      <c r="L40" s="42">
        <f>'Fleet ZEV fractions'!AM22</f>
        <v>0.13202587068626781</v>
      </c>
      <c r="M40" s="42">
        <f>'ZEV efficiency'!L49</f>
        <v>4.2450182265177867</v>
      </c>
      <c r="O40" s="3">
        <f>E40*L40/M40</f>
        <v>7833524.3434642656</v>
      </c>
      <c r="P40" s="3">
        <f>$O40*'GREET factors'!B102/454/2000</f>
        <v>449.55482064007032</v>
      </c>
      <c r="Q40" s="3">
        <f>$O40*'GREET factors'!C102/454/2000</f>
        <v>49.889148695600909</v>
      </c>
      <c r="R40" s="3">
        <f>$O40*'GREET factors'!D102/454/2000</f>
        <v>73.052658354011442</v>
      </c>
      <c r="S40" s="3">
        <f>$O40*'GREET factors'!E102/454/2000</f>
        <v>10.302297973001615</v>
      </c>
      <c r="T40" s="3">
        <f>$O40*'GREET factors'!F102/454/2000</f>
        <v>716523.88744971913</v>
      </c>
      <c r="U40" s="3">
        <f>$O40*'GREET factors'!G102/454/2000</f>
        <v>16.798746329725226</v>
      </c>
      <c r="V40" s="3">
        <f>$O40*'GREET factors'!H102/454/2000</f>
        <v>226.65055540603547</v>
      </c>
      <c r="W40" s="3">
        <f>$O40*'GREET factors'!I102/454/2000</f>
        <v>721420.28870452393</v>
      </c>
      <c r="X40" s="3">
        <f>('Combined MOVES output'!D14/454/2000-D40)*'GREET factors'!V1</f>
        <v>1673198.5535692167</v>
      </c>
      <c r="Y40" s="262">
        <f>O40*M40*'GREET factors'!$J$7/454/2000</f>
        <v>350.10743864570668</v>
      </c>
      <c r="Z40" s="262">
        <f>O40*M40*'GREET factors'!K$7/454/2000</f>
        <v>43.906832706020268</v>
      </c>
      <c r="AA40" s="262"/>
      <c r="AB40" s="262"/>
      <c r="AC40" s="3">
        <f>T40-X40</f>
        <v>-956674.66611949762</v>
      </c>
      <c r="AD40" s="262">
        <f>P40-Y40</f>
        <v>99.447381994363639</v>
      </c>
      <c r="AE40" s="262">
        <f>Q40-Z40</f>
        <v>5.9823159895806413</v>
      </c>
      <c r="AF40" s="262"/>
      <c r="AG40" s="262"/>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7490.3601537215727</v>
      </c>
      <c r="D45" s="3">
        <f>'BAU Scenario'!D45*(1-'ACC emissions benefits'!D15)</f>
        <v>15326786.873550689</v>
      </c>
      <c r="E45" s="3">
        <f>'Combined MOVES output'!E15*(1-'ACC emissions benefits'!E15)</f>
        <v>249339818.11493629</v>
      </c>
      <c r="F45" s="3">
        <f>'BAU Scenario'!F45*(1-'ACC emissions benefits'!F15)</f>
        <v>686.38513066854978</v>
      </c>
      <c r="G45" s="3">
        <f>'BAU Scenario'!G45*(1-'ACC emissions benefits'!G15)</f>
        <v>17118.125519986152</v>
      </c>
      <c r="H45" s="3">
        <f>'BAU Scenario'!H45*(1-'ACC emissions benefits'!H15)</f>
        <v>176.30447444559172</v>
      </c>
      <c r="I45" s="3">
        <f>'BAU Scenario'!I45*(1-'ACC emissions benefits'!I15)</f>
        <v>1472.818789199664</v>
      </c>
      <c r="J45" s="3">
        <f>D45+AC45</f>
        <v>14190303.075711671</v>
      </c>
      <c r="L45" s="42">
        <f>'Fleet ZEV fractions'!AM23</f>
        <v>0.17086354671201376</v>
      </c>
      <c r="M45" s="42">
        <f>'ZEV efficiency'!L50</f>
        <v>4.2065593236946501</v>
      </c>
      <c r="O45" s="3">
        <f>E45*L45/M45</f>
        <v>10127774.834809139</v>
      </c>
      <c r="P45" s="3">
        <f>$O45*'GREET factors'!B103/454/2000</f>
        <v>581.21859328162179</v>
      </c>
      <c r="Q45" s="3">
        <f>$O45*'GREET factors'!C103/454/2000</f>
        <v>64.5004780142052</v>
      </c>
      <c r="R45" s="3">
        <f>$O45*'GREET factors'!D103/454/2000</f>
        <v>94.448021408263557</v>
      </c>
      <c r="S45" s="3">
        <f>$O45*'GREET factors'!E103/454/2000</f>
        <v>13.319592762703834</v>
      </c>
      <c r="T45" s="3">
        <f>$O45*'GREET factors'!F103/454/2000</f>
        <v>926376.46577398246</v>
      </c>
      <c r="U45" s="3">
        <f>$O45*'GREET factors'!G103/454/2000</f>
        <v>21.718694277944149</v>
      </c>
      <c r="V45" s="3">
        <f>$O45*'GREET factors'!H103/454/2000</f>
        <v>293.03104077948433</v>
      </c>
      <c r="W45" s="3">
        <f>$O45*'GREET factors'!I103/454/2000</f>
        <v>932706.90495247475</v>
      </c>
      <c r="X45" s="3">
        <f>('Combined MOVES output'!D15/454/2000-'ACC II - MY2026'!D45)*'GREET factors'!V1</f>
        <v>2062860.2636129998</v>
      </c>
      <c r="Y45" s="262">
        <f>O45*M45*'GREET factors'!$J$7/454/2000</f>
        <v>448.544604449178</v>
      </c>
      <c r="Z45" s="262">
        <f>O45*M45*'GREET factors'!K$7/454/2000</f>
        <v>56.25179797641411</v>
      </c>
      <c r="AA45" s="262"/>
      <c r="AB45" s="262"/>
      <c r="AC45" s="3">
        <f>T45-X45</f>
        <v>-1136483.7978390174</v>
      </c>
      <c r="AD45" s="262">
        <f>P45-Y45</f>
        <v>132.6739888324438</v>
      </c>
      <c r="AE45" s="262">
        <f>Q45-Z45</f>
        <v>8.2486800377910896</v>
      </c>
      <c r="AF45" s="262"/>
      <c r="AG45" s="262"/>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6589.8317030876824</v>
      </c>
      <c r="D50" s="3">
        <f>'BAU Scenario'!D50*(1-'ACC emissions benefits'!D16)</f>
        <v>13729565.558164863</v>
      </c>
      <c r="E50" s="3">
        <f>'Combined MOVES output'!E16*(1-'ACC emissions benefits'!E16)</f>
        <v>246808897.23738724</v>
      </c>
      <c r="F50" s="3">
        <f>'BAU Scenario'!F50*(1-'ACC emissions benefits'!F16)</f>
        <v>674.75579018760811</v>
      </c>
      <c r="G50" s="3">
        <f>'BAU Scenario'!G50*(1-'ACC emissions benefits'!G16)</f>
        <v>16642.524246519955</v>
      </c>
      <c r="H50" s="3">
        <f>'BAU Scenario'!H50*(1-'ACC emissions benefits'!H16)</f>
        <v>160.28629964872152</v>
      </c>
      <c r="I50" s="3">
        <f>'BAU Scenario'!I50*(1-'ACC emissions benefits'!I16)</f>
        <v>1368.5242276369663</v>
      </c>
      <c r="J50" s="3">
        <f>D50+AC50</f>
        <v>12419158.968203112</v>
      </c>
      <c r="L50" s="42">
        <f>'Fleet ZEV fractions'!AM24</f>
        <v>0.21222750293910531</v>
      </c>
      <c r="M50" s="42">
        <f>'ZEV efficiency'!L51</f>
        <v>4.1683672854151466</v>
      </c>
      <c r="O50" s="3">
        <f>E50*L50/M50</f>
        <v>12565983.84387047</v>
      </c>
      <c r="P50" s="3">
        <f>$O50*'GREET factors'!B104/454/2000</f>
        <v>721.14394050621877</v>
      </c>
      <c r="Q50" s="3">
        <f>$O50*'GREET factors'!C104/454/2000</f>
        <v>80.028631942200903</v>
      </c>
      <c r="R50" s="3">
        <f>$O50*'GREET factors'!D104/454/2000</f>
        <v>117.18589033226054</v>
      </c>
      <c r="S50" s="3">
        <f>$O50*'GREET factors'!E104/454/2000</f>
        <v>16.526215303267517</v>
      </c>
      <c r="T50" s="3">
        <f>$O50*'GREET factors'!F104/454/2000</f>
        <v>1149396.7719590461</v>
      </c>
      <c r="U50" s="3">
        <f>$O50*'GREET factors'!G104/454/2000</f>
        <v>26.947356735123485</v>
      </c>
      <c r="V50" s="3">
        <f>$O50*'GREET factors'!H104/454/2000</f>
        <v>363.57673667188521</v>
      </c>
      <c r="W50" s="3">
        <f>$O50*'GREET factors'!I104/454/2000</f>
        <v>1157251.2313777267</v>
      </c>
      <c r="X50" s="3">
        <f>('Combined MOVES output'!D16/454/2000-'ACC II - MY2026'!D50)*'GREET factors'!V1</f>
        <v>2459803.3619207973</v>
      </c>
      <c r="Y50" s="262">
        <f>O50*M50*'GREET factors'!$J$7/454/2000</f>
        <v>551.47655928708491</v>
      </c>
      <c r="Z50" s="262">
        <f>O50*M50*'GREET factors'!K$7/454/2000</f>
        <v>69.16045292717358</v>
      </c>
      <c r="AA50" s="262"/>
      <c r="AB50" s="262"/>
      <c r="AC50" s="3">
        <f>T50-X50</f>
        <v>-1310406.5899617511</v>
      </c>
      <c r="AD50" s="262">
        <f>P50-Y50</f>
        <v>169.66738121913386</v>
      </c>
      <c r="AE50" s="262">
        <f>Q50-Z50</f>
        <v>10.868179015027323</v>
      </c>
      <c r="AF50" s="262"/>
      <c r="AG50" s="262"/>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5707.8828929209076</v>
      </c>
      <c r="D55" s="3">
        <f>'BAU Scenario'!D55*(1-'ACC emissions benefits'!D17)</f>
        <v>12165911.41281327</v>
      </c>
      <c r="E55" s="3">
        <f>'Combined MOVES output'!E17*(1-'ACC emissions benefits'!E17)</f>
        <v>244277976.35983816</v>
      </c>
      <c r="F55" s="3">
        <f>'BAU Scenario'!F55*(1-'ACC emissions benefits'!F17)</f>
        <v>661.79556924388532</v>
      </c>
      <c r="G55" s="3">
        <f>'BAU Scenario'!G55*(1-'ACC emissions benefits'!G17)</f>
        <v>16136.423995537283</v>
      </c>
      <c r="H55" s="3">
        <f>'BAU Scenario'!H55*(1-'ACC emissions benefits'!H17)</f>
        <v>144.916865862322</v>
      </c>
      <c r="I55" s="3">
        <f>'BAU Scenario'!I55*(1-'ACC emissions benefits'!I17)</f>
        <v>1264.0217990404258</v>
      </c>
      <c r="J55" s="3">
        <f>D55+AC55</f>
        <v>10704317.741839271</v>
      </c>
      <c r="L55" s="42">
        <f>'Fleet ZEV fractions'!AM25</f>
        <v>0.25612015659546666</v>
      </c>
      <c r="M55" s="42">
        <f>'ZEV efficiency'!L52</f>
        <v>4.1304310049999096</v>
      </c>
      <c r="O55" s="3">
        <f>E55*L55/M55</f>
        <v>15147211.872652216</v>
      </c>
      <c r="P55" s="3">
        <f>$O55*'GREET factors'!B105/454/2000</f>
        <v>869.27694586009341</v>
      </c>
      <c r="Q55" s="3">
        <f>$O55*'GREET factors'!C105/454/2000</f>
        <v>96.467627124820879</v>
      </c>
      <c r="R55" s="3">
        <f>$O55*'GREET factors'!D105/454/2000</f>
        <v>141.25750370226521</v>
      </c>
      <c r="S55" s="3">
        <f>$O55*'GREET factors'!E105/454/2000</f>
        <v>19.920930009293812</v>
      </c>
      <c r="T55" s="3">
        <f>$O55*'GREET factors'!F105/454/2000</f>
        <v>1385498.8711527474</v>
      </c>
      <c r="U55" s="3">
        <f>$O55*'GREET factors'!G105/454/2000</f>
        <v>32.482718977389176</v>
      </c>
      <c r="V55" s="3">
        <f>$O55*'GREET factors'!H105/454/2000</f>
        <v>438.26046020446375</v>
      </c>
      <c r="W55" s="3">
        <f>$O55*'GREET factors'!I105/454/2000</f>
        <v>1394966.7458880737</v>
      </c>
      <c r="X55" s="3">
        <f>('Combined MOVES output'!D17/454/2000-'ACC II - MY2026'!D55)*'GREET factors'!V1</f>
        <v>2847092.5421267468</v>
      </c>
      <c r="Y55" s="262">
        <f>O55*M55*'GREET factors'!$J$7/454/2000</f>
        <v>658.70756899322078</v>
      </c>
      <c r="Z55" s="262">
        <f>O55*M55*'GREET factors'!K$7/454/2000</f>
        <v>82.608250615440937</v>
      </c>
      <c r="AA55" s="262"/>
      <c r="AB55" s="262"/>
      <c r="AC55" s="3">
        <f>T55-X55</f>
        <v>-1461593.6709739994</v>
      </c>
      <c r="AD55" s="262">
        <f>P55-Y55</f>
        <v>210.56937686687263</v>
      </c>
      <c r="AE55" s="262">
        <f>Q55-Z55</f>
        <v>13.859376509379942</v>
      </c>
      <c r="AF55" s="262"/>
      <c r="AG55" s="262"/>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4852.3261606985643</v>
      </c>
      <c r="D60" s="3">
        <f>'BAU Scenario'!D60*(1-'ACC emissions benefits'!D18)</f>
        <v>10585806.116901971</v>
      </c>
      <c r="E60" s="3">
        <f>'Combined MOVES output'!E18*(1-'ACC emissions benefits'!E18)</f>
        <v>241747055.48228911</v>
      </c>
      <c r="F60" s="3">
        <f>'BAU Scenario'!F60*(1-'ACC emissions benefits'!F18)</f>
        <v>647.78443035108739</v>
      </c>
      <c r="G60" s="3">
        <f>'BAU Scenario'!G60*(1-'ACC emissions benefits'!G18)</f>
        <v>15584.41295825077</v>
      </c>
      <c r="H60" s="3">
        <f>'BAU Scenario'!H60*(1-'ACC emissions benefits'!H18)</f>
        <v>130.08928088357004</v>
      </c>
      <c r="I60" s="3">
        <f>'BAU Scenario'!I60*(1-'ACC emissions benefits'!I18)</f>
        <v>1158.6382374054101</v>
      </c>
      <c r="J60" s="3">
        <f>D60+AC60</f>
        <v>8981786.2783045676</v>
      </c>
      <c r="L60" s="42">
        <f>'Fleet ZEV fractions'!AM26</f>
        <v>0.30254507284139337</v>
      </c>
      <c r="M60" s="42">
        <f>'ZEV efficiency'!L53</f>
        <v>4.0914969525160645</v>
      </c>
      <c r="O60" s="3">
        <f>E60*L60/M60</f>
        <v>17875946.471157573</v>
      </c>
      <c r="P60" s="3">
        <f>$O60*'GREET factors'!B106/454/2000</f>
        <v>1025.8751434553963</v>
      </c>
      <c r="Q60" s="3">
        <f>$O60*'GREET factors'!C106/454/2000</f>
        <v>113.84604329700591</v>
      </c>
      <c r="R60" s="3">
        <f>$O60*'GREET factors'!D106/454/2000</f>
        <v>166.70471081150188</v>
      </c>
      <c r="S60" s="3">
        <f>$O60*'GREET factors'!E106/454/2000</f>
        <v>23.509638704186163</v>
      </c>
      <c r="T60" s="3">
        <f>$O60*'GREET factors'!F106/454/2000</f>
        <v>1635093.2346362656</v>
      </c>
      <c r="U60" s="3">
        <f>$O60*'GREET factors'!G106/454/2000</f>
        <v>38.334404414440407</v>
      </c>
      <c r="V60" s="3">
        <f>$O60*'GREET factors'!H106/454/2000</f>
        <v>517.2120514920955</v>
      </c>
      <c r="W60" s="3">
        <f>$O60*'GREET factors'!I106/454/2000</f>
        <v>1646266.7247404004</v>
      </c>
      <c r="X60" s="3">
        <f>('Combined MOVES output'!D18/454/2000-'ACC II - MY2026'!D60)*'GREET factors'!V1</f>
        <v>3239113.0732336696</v>
      </c>
      <c r="Y60" s="262">
        <f>O60*M60*'GREET factors'!$J$7/454/2000</f>
        <v>770.04456350039629</v>
      </c>
      <c r="Z60" s="262">
        <f>O60*M60*'GREET factors'!K$7/454/2000</f>
        <v>96.570978201942054</v>
      </c>
      <c r="AA60" s="262"/>
      <c r="AB60" s="262"/>
      <c r="AC60" s="3">
        <f>T60-X60</f>
        <v>-1604019.8385974041</v>
      </c>
      <c r="AD60" s="262">
        <f>P60-Y60</f>
        <v>255.83057995499996</v>
      </c>
      <c r="AE60" s="262">
        <f>Q60-Z60</f>
        <v>17.275065095063852</v>
      </c>
      <c r="AF60" s="262"/>
      <c r="AG60" s="262"/>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4019.0133943304149</v>
      </c>
      <c r="D65" s="3">
        <f>'BAU Scenario'!D65*(1-'ACC emissions benefits'!D19)</f>
        <v>9057194.0391312893</v>
      </c>
      <c r="E65" s="3">
        <f>'Combined MOVES output'!E19*(1-'ACC emissions benefits'!E19)</f>
        <v>239216134.60474002</v>
      </c>
      <c r="F65" s="3">
        <f>'BAU Scenario'!F65*(1-'ACC emissions benefits'!F19)</f>
        <v>628.16658294905426</v>
      </c>
      <c r="G65" s="3">
        <f>'BAU Scenario'!G65*(1-'ACC emissions benefits'!G19)</f>
        <v>14777.965427324514</v>
      </c>
      <c r="H65" s="3">
        <f>'BAU Scenario'!H65*(1-'ACC emissions benefits'!H19)</f>
        <v>116.1676322138424</v>
      </c>
      <c r="I65" s="3">
        <f>'BAU Scenario'!I65*(1-'ACC emissions benefits'!I19)</f>
        <v>1055.3509207752186</v>
      </c>
      <c r="J65" s="3">
        <f>D65+AC65</f>
        <v>7341618.5979192425</v>
      </c>
      <c r="L65" s="42">
        <f>'Fleet ZEV fractions'!AM27</f>
        <v>0.35150681949783108</v>
      </c>
      <c r="M65" s="42">
        <f>'ZEV efficiency'!L54</f>
        <v>4.0464389688696487</v>
      </c>
      <c r="O65" s="3">
        <f>E65*L65/M65</f>
        <v>20780272.060044494</v>
      </c>
      <c r="P65" s="3">
        <f>$O65*'GREET factors'!B107/454/2000</f>
        <v>1192.5502582498973</v>
      </c>
      <c r="Q65" s="3">
        <f>$O65*'GREET factors'!C107/454/2000</f>
        <v>132.34274092778659</v>
      </c>
      <c r="R65" s="3">
        <f>$O65*'GREET factors'!D107/454/2000</f>
        <v>193.78941696560835</v>
      </c>
      <c r="S65" s="3">
        <f>$O65*'GREET factors'!E107/454/2000</f>
        <v>27.329276751560151</v>
      </c>
      <c r="T65" s="3">
        <f>$O65*'GREET factors'!F107/454/2000</f>
        <v>1900748.7135913037</v>
      </c>
      <c r="U65" s="3">
        <f>$O65*'GREET factors'!G107/454/2000</f>
        <v>44.562639202189203</v>
      </c>
      <c r="V65" s="3">
        <f>$O65*'GREET factors'!H107/454/2000</f>
        <v>601.24408853432328</v>
      </c>
      <c r="W65" s="3">
        <f>$O65*'GREET factors'!I107/454/2000</f>
        <v>1913737.5734874087</v>
      </c>
      <c r="X65" s="3">
        <f>('Combined MOVES output'!D19/454/2000-'ACC II - MY2026'!D65)*'GREET factors'!V1</f>
        <v>3616324.1548033506</v>
      </c>
      <c r="Y65" s="262">
        <f>O65*M65*'GREET factors'!$J$7/454/2000</f>
        <v>885.29661801963141</v>
      </c>
      <c r="Z65" s="262">
        <f>O65*M65*'GREET factors'!K$7/454/2000</f>
        <v>111.0246918858779</v>
      </c>
      <c r="AA65" s="262"/>
      <c r="AB65" s="262"/>
      <c r="AC65" s="3">
        <f>T65-X65</f>
        <v>-1715575.4412120469</v>
      </c>
      <c r="AD65" s="262">
        <f>P65-Y65</f>
        <v>307.25364023026589</v>
      </c>
      <c r="AE65" s="262">
        <f>Q65-Z65</f>
        <v>21.318049041908694</v>
      </c>
      <c r="AF65" s="262"/>
      <c r="AG65" s="262"/>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3640.2658865807198</v>
      </c>
      <c r="D70" s="3">
        <f>'BAU Scenario'!D70*(1-'ACC emissions benefits'!D20)</f>
        <v>7741236.7427692013</v>
      </c>
      <c r="E70" s="3">
        <f>'Combined MOVES output'!E20*(1-'ACC emissions benefits'!E20)</f>
        <v>238542392.8259792</v>
      </c>
      <c r="F70" s="3">
        <f>'BAU Scenario'!F70*(1-'ACC emissions benefits'!F20)</f>
        <v>618.50322654148158</v>
      </c>
      <c r="G70" s="3">
        <f>'BAU Scenario'!G70*(1-'ACC emissions benefits'!G20)</f>
        <v>14164.441755919102</v>
      </c>
      <c r="H70" s="3">
        <f>'BAU Scenario'!H70*(1-'ACC emissions benefits'!H20)</f>
        <v>103.94841622958936</v>
      </c>
      <c r="I70" s="3">
        <f>'BAU Scenario'!I70*(1-'ACC emissions benefits'!I20)</f>
        <v>976.36590840644374</v>
      </c>
      <c r="J70" s="3">
        <f>D70+AC70</f>
        <v>5921484.9900558544</v>
      </c>
      <c r="L70" s="42">
        <f>'Fleet ZEV fractions'!AM28</f>
        <v>0.39946040682824319</v>
      </c>
      <c r="M70" s="42">
        <f>'ZEV efficiency'!L55</f>
        <v>4.0378375834843245</v>
      </c>
      <c r="O70" s="3">
        <f>E70*L70/M70</f>
        <v>23598829.649265453</v>
      </c>
      <c r="P70" s="3">
        <f>$O70*'GREET factors'!B108/454/2000</f>
        <v>1354.3032695293111</v>
      </c>
      <c r="Q70" s="3">
        <f>$O70*'GREET factors'!C108/454/2000</f>
        <v>150.29321028364919</v>
      </c>
      <c r="R70" s="3">
        <f>$O70*'GREET factors'!D108/454/2000</f>
        <v>220.07428129851306</v>
      </c>
      <c r="S70" s="3">
        <f>$O70*'GREET factors'!E108/454/2000</f>
        <v>31.036116593380047</v>
      </c>
      <c r="T70" s="3">
        <f>$O70*'GREET factors'!F108/454/2000</f>
        <v>2158559.0876044375</v>
      </c>
      <c r="U70" s="3">
        <f>$O70*'GREET factors'!G108/454/2000</f>
        <v>50.606947214910036</v>
      </c>
      <c r="V70" s="3">
        <f>$O70*'GREET factors'!H108/454/2000</f>
        <v>682.79456505436099</v>
      </c>
      <c r="W70" s="3">
        <f>$O70*'GREET factors'!I108/454/2000</f>
        <v>2173309.7073817276</v>
      </c>
      <c r="X70" s="3">
        <f>('Combined MOVES output'!D20/454/2000-'ACC II - MY2026'!D70)*'GREET factors'!V1</f>
        <v>3978310.8403177843</v>
      </c>
      <c r="Y70" s="262">
        <f>O70*M70*'GREET factors'!$J$7/454/2000</f>
        <v>1003.2378132623262</v>
      </c>
      <c r="Z70" s="262">
        <f>O70*M70*'GREET factors'!K$7/454/2000</f>
        <v>125.81564962359511</v>
      </c>
      <c r="AA70" s="262"/>
      <c r="AB70" s="262"/>
      <c r="AC70" s="3">
        <f>T70-X70</f>
        <v>-1819751.7527133469</v>
      </c>
      <c r="AD70" s="262">
        <f>P70-Y70</f>
        <v>351.06545626698494</v>
      </c>
      <c r="AE70" s="262">
        <f>Q70-Z70</f>
        <v>24.477560660054081</v>
      </c>
      <c r="AF70" s="262"/>
      <c r="AG70" s="262"/>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3273.4731277894684</v>
      </c>
      <c r="D75" s="3">
        <f>'BAU Scenario'!D75*(1-'ACC emissions benefits'!D21)</f>
        <v>6619039.0470846957</v>
      </c>
      <c r="E75" s="3">
        <f>'Combined MOVES output'!E21*(1-'ACC emissions benefits'!E21)</f>
        <v>237868651.04721838</v>
      </c>
      <c r="F75" s="3">
        <f>'BAU Scenario'!F75*(1-'ACC emissions benefits'!F21)</f>
        <v>609.9850254601912</v>
      </c>
      <c r="G75" s="3">
        <f>'BAU Scenario'!G75*(1-'ACC emissions benefits'!G21)</f>
        <v>13563.358661479751</v>
      </c>
      <c r="H75" s="3">
        <f>'BAU Scenario'!H75*(1-'ACC emissions benefits'!H21)</f>
        <v>93.54800325616128</v>
      </c>
      <c r="I75" s="3">
        <f>'BAU Scenario'!I75*(1-'ACC emissions benefits'!I21)</f>
        <v>906.96510065784014</v>
      </c>
      <c r="J75" s="3">
        <f>D75+AC75</f>
        <v>4745008.10945829</v>
      </c>
      <c r="L75" s="42">
        <f>'Fleet ZEV fractions'!AM29</f>
        <v>0.44644147512112148</v>
      </c>
      <c r="M75" s="42">
        <f>'ZEV efficiency'!L56</f>
        <v>4.0295879456542387</v>
      </c>
      <c r="O75" s="3">
        <f>E75*L75/M75</f>
        <v>26353670.124787383</v>
      </c>
      <c r="P75" s="3">
        <f>$O75*'GREET factors'!B109/454/2000</f>
        <v>1512.3996462768403</v>
      </c>
      <c r="Q75" s="3">
        <f>$O75*'GREET factors'!C109/454/2000</f>
        <v>167.83788622898413</v>
      </c>
      <c r="R75" s="3">
        <f>$O75*'GREET factors'!D109/454/2000</f>
        <v>245.76494251998653</v>
      </c>
      <c r="S75" s="3">
        <f>$O75*'GREET factors'!E109/454/2000</f>
        <v>34.659158560510932</v>
      </c>
      <c r="T75" s="3">
        <f>$O75*'GREET factors'!F109/454/2000</f>
        <v>2410541.3270509383</v>
      </c>
      <c r="U75" s="3">
        <f>$O75*'GREET factors'!G109/454/2000</f>
        <v>56.514615883325348</v>
      </c>
      <c r="V75" s="3">
        <f>$O75*'GREET factors'!H109/454/2000</f>
        <v>762.50148833124013</v>
      </c>
      <c r="W75" s="3">
        <f>$O75*'GREET factors'!I109/454/2000</f>
        <v>2427013.8798649702</v>
      </c>
      <c r="X75" s="3">
        <f>('Combined MOVES output'!D21/454/2000-'ACC II - MY2026'!D75)*'GREET factors'!V1</f>
        <v>4284572.2646773439</v>
      </c>
      <c r="Y75" s="262">
        <f>O75*M75*'GREET factors'!$J$7/454/2000</f>
        <v>1118.0631288971892</v>
      </c>
      <c r="Z75" s="262">
        <f>O75*M75*'GREET factors'!K$7/454/2000</f>
        <v>140.21584615611667</v>
      </c>
      <c r="AA75" s="262"/>
      <c r="AB75" s="262"/>
      <c r="AC75" s="3">
        <f>T75-X75</f>
        <v>-1874030.9376264056</v>
      </c>
      <c r="AD75" s="262">
        <f>P75-Y75</f>
        <v>394.33651737965101</v>
      </c>
      <c r="AE75" s="262">
        <f>Q75-Z75</f>
        <v>27.622040072867463</v>
      </c>
      <c r="AF75" s="262"/>
      <c r="AG75" s="262"/>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2919.8534169412965</v>
      </c>
      <c r="D80" s="3">
        <f>'BAU Scenario'!D80*(1-'ACC emissions benefits'!D22)</f>
        <v>5658069.0842390582</v>
      </c>
      <c r="E80" s="3">
        <f>'Combined MOVES output'!E22*(1-'ACC emissions benefits'!E22)</f>
        <v>237194909.26845753</v>
      </c>
      <c r="F80" s="3">
        <f>'BAU Scenario'!F80*(1-'ACC emissions benefits'!F22)</f>
        <v>601.51541196211178</v>
      </c>
      <c r="G80" s="3">
        <f>'BAU Scenario'!G80*(1-'ACC emissions benefits'!G22)</f>
        <v>12930.380537688836</v>
      </c>
      <c r="H80" s="3">
        <f>'BAU Scenario'!H80*(1-'ACC emissions benefits'!H22)</f>
        <v>84.593221891417798</v>
      </c>
      <c r="I80" s="3">
        <f>'BAU Scenario'!I80*(1-'ACC emissions benefits'!I22)</f>
        <v>845.24049696364284</v>
      </c>
      <c r="J80" s="3">
        <f>D80+AC80</f>
        <v>3770601.4216707139</v>
      </c>
      <c r="L80" s="42">
        <f>'Fleet ZEV fractions'!AM30</f>
        <v>0.49251833416781332</v>
      </c>
      <c r="M80" s="42">
        <f>'ZEV efficiency'!L57</f>
        <v>4.021704797126664</v>
      </c>
      <c r="O80" s="3">
        <f>E80*L80/M80</f>
        <v>29048089.673178215</v>
      </c>
      <c r="P80" s="3">
        <f>$O80*'GREET factors'!B110/454/2000</f>
        <v>1667.0285519515323</v>
      </c>
      <c r="Q80" s="3">
        <f>$O80*'GREET factors'!C110/454/2000</f>
        <v>184.99776109554489</v>
      </c>
      <c r="R80" s="3">
        <f>$O80*'GREET factors'!D110/454/2000</f>
        <v>270.89213969212398</v>
      </c>
      <c r="S80" s="3">
        <f>$O80*'GREET factors'!E110/454/2000</f>
        <v>38.202737648889283</v>
      </c>
      <c r="T80" s="3">
        <f>$O80*'GREET factors'!F110/454/2000</f>
        <v>2656996.9305040999</v>
      </c>
      <c r="U80" s="3">
        <f>$O80*'GREET factors'!G110/454/2000</f>
        <v>62.292713775755402</v>
      </c>
      <c r="V80" s="3">
        <f>$O80*'GREET factors'!H110/454/2000</f>
        <v>840.46022827556419</v>
      </c>
      <c r="W80" s="3">
        <f>$O80*'GREET factors'!I110/454/2000</f>
        <v>2675153.6498157717</v>
      </c>
      <c r="X80" s="3">
        <f>('Combined MOVES output'!D22/454/2000-'ACC II - MY2026'!D80)*'GREET factors'!V1</f>
        <v>4544464.5930724442</v>
      </c>
      <c r="Y80" s="262">
        <f>O80*M80*'GREET factors'!$J$7/454/2000</f>
        <v>1229.9638502346475</v>
      </c>
      <c r="Z80" s="262">
        <f>O80*M80*'GREET factors'!K$7/454/2000</f>
        <v>154.24927049709083</v>
      </c>
      <c r="AA80" s="262"/>
      <c r="AB80" s="262"/>
      <c r="AC80" s="3">
        <f>T80-X80</f>
        <v>-1887467.6625683443</v>
      </c>
      <c r="AD80" s="262">
        <f>P80-Y80</f>
        <v>437.06470171688488</v>
      </c>
      <c r="AE80" s="262">
        <f>Q80-Z80</f>
        <v>30.748490598454055</v>
      </c>
      <c r="AF80" s="262"/>
      <c r="AG80" s="262"/>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2581.6129438609678</v>
      </c>
      <c r="D85" s="3">
        <f>'BAU Scenario'!D85*(1-'ACC emissions benefits'!D23)</f>
        <v>4847721.4449621439</v>
      </c>
      <c r="E85" s="3">
        <f>'Combined MOVES output'!E23*(1-'ACC emissions benefits'!E23)</f>
        <v>236521167.48969671</v>
      </c>
      <c r="F85" s="3">
        <f>'BAU Scenario'!F85*(1-'ACC emissions benefits'!F23)</f>
        <v>594.5279313533448</v>
      </c>
      <c r="G85" s="3">
        <f>'BAU Scenario'!G85*(1-'ACC emissions benefits'!G23)</f>
        <v>12268.44202091988</v>
      </c>
      <c r="H85" s="3">
        <f>'BAU Scenario'!H85*(1-'ACC emissions benefits'!H23)</f>
        <v>76.938951848625607</v>
      </c>
      <c r="I85" s="3">
        <f>'BAU Scenario'!I85*(1-'ACC emissions benefits'!I23)</f>
        <v>791.09951184526733</v>
      </c>
      <c r="J85" s="3">
        <f>D85+AC85</f>
        <v>2984941.7233160362</v>
      </c>
      <c r="L85" s="42">
        <f>'Fleet ZEV fractions'!AM31</f>
        <v>0.53775304267380863</v>
      </c>
      <c r="M85" s="42">
        <f>'ZEV efficiency'!L58</f>
        <v>4.0141101927609322</v>
      </c>
      <c r="O85" s="3">
        <f>E85*L85/M85</f>
        <v>31685721.459196862</v>
      </c>
      <c r="P85" s="3">
        <f>$O85*'GREET factors'!B111/454/2000</f>
        <v>1818.3984887115394</v>
      </c>
      <c r="Q85" s="3">
        <f>$O85*'GREET factors'!C111/454/2000</f>
        <v>201.7959733187208</v>
      </c>
      <c r="R85" s="3">
        <f>$O85*'GREET factors'!D111/454/2000</f>
        <v>295.4897544156251</v>
      </c>
      <c r="S85" s="3">
        <f>$O85*'GREET factors'!E111/454/2000</f>
        <v>41.671632032972781</v>
      </c>
      <c r="T85" s="3">
        <f>$O85*'GREET factors'!F111/454/2000</f>
        <v>2898258.2195630716</v>
      </c>
      <c r="U85" s="3">
        <f>$O85*'GREET factors'!G111/454/2000</f>
        <v>67.949032099641826</v>
      </c>
      <c r="V85" s="3">
        <f>$O85*'GREET factors'!H111/454/2000</f>
        <v>916.77590472540101</v>
      </c>
      <c r="W85" s="3">
        <f>$O85*'GREET factors'!I111/454/2000</f>
        <v>2918063.609769288</v>
      </c>
      <c r="X85" s="3">
        <f>('Combined MOVES output'!D23/454/2000-'ACC II - MY2026'!D85)*'GREET factors'!V1</f>
        <v>4761037.9412091793</v>
      </c>
      <c r="Y85" s="262">
        <f>O85*M85*'GREET factors'!$J$7/454/2000</f>
        <v>1339.1137579071735</v>
      </c>
      <c r="Z85" s="262">
        <f>O85*M85*'GREET factors'!K$7/454/2000</f>
        <v>167.93771640556204</v>
      </c>
      <c r="AA85" s="262"/>
      <c r="AB85" s="262"/>
      <c r="AC85" s="3">
        <f>T85-X85</f>
        <v>-1862779.7216461077</v>
      </c>
      <c r="AD85" s="262">
        <f>P85-Y85</f>
        <v>479.28473080436584</v>
      </c>
      <c r="AE85" s="262">
        <f>Q85-Z85</f>
        <v>33.858256913158755</v>
      </c>
      <c r="AF85" s="262"/>
      <c r="AG85" s="262"/>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2267.4328398965076</v>
      </c>
      <c r="D90" s="3">
        <f>'BAU Scenario'!D90*(1-'ACC emissions benefits'!D24)</f>
        <v>4178360.7350933915</v>
      </c>
      <c r="E90" s="3">
        <f>'Combined MOVES output'!E24*(1-'ACC emissions benefits'!E24)</f>
        <v>235847425.71093589</v>
      </c>
      <c r="F90" s="3">
        <f>'BAU Scenario'!F90*(1-'ACC emissions benefits'!F24)</f>
        <v>588.13717802585029</v>
      </c>
      <c r="G90" s="3">
        <f>'BAU Scenario'!G90*(1-'ACC emissions benefits'!G24)</f>
        <v>11572.227388636165</v>
      </c>
      <c r="H90" s="3">
        <f>'BAU Scenario'!H90*(1-'ACC emissions benefits'!H24)</f>
        <v>70.508025286674084</v>
      </c>
      <c r="I90" s="3">
        <f>'BAU Scenario'!I90*(1-'ACC emissions benefits'!I24)</f>
        <v>744.77629468852729</v>
      </c>
      <c r="J90" s="3">
        <f>D90+AC90</f>
        <v>2375880.8856109222</v>
      </c>
      <c r="L90" s="42">
        <f>'Fleet ZEV fractions'!AM32</f>
        <v>0.5822021073184428</v>
      </c>
      <c r="M90" s="42">
        <f>'ZEV efficiency'!L59</f>
        <v>4.0068080026283281</v>
      </c>
      <c r="O90" s="3">
        <f>E90*L90/M90</f>
        <v>34269390.538419992</v>
      </c>
      <c r="P90" s="3">
        <f>$O90*'GREET factors'!B112/454/2000</f>
        <v>1966.6715824783982</v>
      </c>
      <c r="Q90" s="3">
        <f>$O90*'GREET factors'!C112/454/2000</f>
        <v>218.25051475141984</v>
      </c>
      <c r="R90" s="3">
        <f>$O90*'GREET factors'!D112/454/2000</f>
        <v>319.58413215273976</v>
      </c>
      <c r="S90" s="3">
        <f>$O90*'GREET factors'!E112/454/2000</f>
        <v>45.069557098463299</v>
      </c>
      <c r="T90" s="3">
        <f>$O90*'GREET factors'!F112/454/2000</f>
        <v>3134583.5989656588</v>
      </c>
      <c r="U90" s="3">
        <f>$O90*'GREET factors'!G112/454/2000</f>
        <v>73.489629097726862</v>
      </c>
      <c r="V90" s="3">
        <f>$O90*'GREET factors'!H112/454/2000</f>
        <v>991.53025616619232</v>
      </c>
      <c r="W90" s="3">
        <f>$O90*'GREET factors'!I112/454/2000</f>
        <v>3156003.9302848196</v>
      </c>
      <c r="X90" s="3">
        <f>('Combined MOVES output'!D24/454/2000-D90)*'GREET factors'!V1</f>
        <v>4937063.4484481281</v>
      </c>
      <c r="Y90" s="262">
        <f>O90*M90*'GREET factors'!$J$7/454/2000</f>
        <v>1445.6710854195794</v>
      </c>
      <c r="Z90" s="262">
        <f>O90*M90*'GREET factors'!K$7/454/2000</f>
        <v>181.30102788156395</v>
      </c>
      <c r="AA90" s="262">
        <f>O90*M90*'GREET factors'!L7/454/2000</f>
        <v>3631.3974215025601</v>
      </c>
      <c r="AB90" s="262">
        <f>O90*M90*'GREET factors'!M7/454/2000</f>
        <v>541.96834690148626</v>
      </c>
      <c r="AC90" s="3">
        <f>T90-X90</f>
        <v>-1802479.8494824693</v>
      </c>
      <c r="AD90" s="262">
        <f>P90-Y90</f>
        <v>521.00049705881884</v>
      </c>
      <c r="AE90" s="262">
        <f>Q90-Z90</f>
        <v>36.949486869855889</v>
      </c>
      <c r="AF90" s="262">
        <f>U90-AA90</f>
        <v>-3557.9077924048333</v>
      </c>
      <c r="AG90" s="262">
        <f>V90-AB90</f>
        <v>449.56190926470606</v>
      </c>
      <c r="AH90">
        <v>2040</v>
      </c>
    </row>
  </sheetData>
  <sheetProtection algorithmName="SHA-512" hashValue="O6UnzlAQb9VLslR675e0b+yetiOZGC7feOz8Da0gMHQCiJGksOQYNTdu0fCbRTxSxkX+toP/bWy26XtLmCz5oQ==" saltValue="hMTeBFYmVHB18aiD5skiog=="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topLeftCell="R77" workbookViewId="0">
      <selection activeCell="AG90" sqref="AG90"/>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429</v>
      </c>
      <c r="D2" s="6"/>
      <c r="AH2" s="29"/>
    </row>
    <row r="3" spans="1:34">
      <c r="A3" t="s">
        <v>430</v>
      </c>
      <c r="D3" s="29"/>
    </row>
    <row r="4" spans="1:34">
      <c r="A4" s="29" t="s">
        <v>215</v>
      </c>
      <c r="D4" s="29"/>
      <c r="AH4" s="29"/>
    </row>
    <row r="5" spans="1:34" ht="15" customHeight="1">
      <c r="G5" s="6"/>
      <c r="L5" s="299" t="s">
        <v>165</v>
      </c>
      <c r="M5" s="299" t="s">
        <v>273</v>
      </c>
    </row>
    <row r="6" spans="1:34">
      <c r="A6" t="s">
        <v>0</v>
      </c>
      <c r="B6" t="s">
        <v>1</v>
      </c>
      <c r="C6" t="s">
        <v>42</v>
      </c>
      <c r="D6" t="s">
        <v>47</v>
      </c>
      <c r="E6" t="s">
        <v>22</v>
      </c>
      <c r="F6" t="s">
        <v>24</v>
      </c>
      <c r="G6" t="s">
        <v>115</v>
      </c>
      <c r="H6" t="s">
        <v>116</v>
      </c>
      <c r="I6" t="s">
        <v>117</v>
      </c>
      <c r="J6" t="s">
        <v>52</v>
      </c>
      <c r="L6" s="299"/>
      <c r="M6" s="299"/>
      <c r="P6" s="6"/>
    </row>
    <row r="7" spans="1:34">
      <c r="A7">
        <v>2020</v>
      </c>
      <c r="B7">
        <v>20</v>
      </c>
      <c r="C7" s="300" t="s">
        <v>145</v>
      </c>
      <c r="D7" s="300"/>
      <c r="E7" s="300"/>
      <c r="F7" s="300"/>
      <c r="G7" s="300"/>
      <c r="H7" s="300"/>
      <c r="I7" s="300"/>
      <c r="J7" s="3"/>
      <c r="P7" s="298" t="s">
        <v>166</v>
      </c>
      <c r="Q7" s="298"/>
      <c r="R7" s="298"/>
      <c r="S7" s="298"/>
      <c r="T7" s="298"/>
      <c r="U7" s="298"/>
      <c r="V7" s="298"/>
      <c r="W7" s="298"/>
      <c r="X7" s="296" t="s">
        <v>167</v>
      </c>
      <c r="Y7" s="296"/>
      <c r="Z7" s="296"/>
      <c r="AA7" s="296"/>
      <c r="AB7" s="296"/>
      <c r="AC7" s="296" t="s">
        <v>414</v>
      </c>
      <c r="AD7" s="296"/>
      <c r="AE7" s="296"/>
      <c r="AF7" s="296"/>
      <c r="AG7" s="296"/>
      <c r="AH7" s="33" t="s">
        <v>19</v>
      </c>
    </row>
    <row r="8" spans="1:34">
      <c r="A8">
        <v>2020</v>
      </c>
      <c r="B8">
        <v>30</v>
      </c>
      <c r="C8" s="300"/>
      <c r="D8" s="300"/>
      <c r="E8" s="300"/>
      <c r="F8" s="300"/>
      <c r="G8" s="300"/>
      <c r="H8" s="300"/>
      <c r="I8" s="300"/>
      <c r="J8" s="3"/>
      <c r="O8" t="s">
        <v>17</v>
      </c>
      <c r="P8" s="63"/>
    </row>
    <row r="9" spans="1:34">
      <c r="A9">
        <v>2020</v>
      </c>
      <c r="B9">
        <v>41</v>
      </c>
      <c r="C9" s="300"/>
      <c r="D9" s="300"/>
      <c r="E9" s="300"/>
      <c r="F9" s="300"/>
      <c r="G9" s="300"/>
      <c r="H9" s="300"/>
      <c r="I9" s="300"/>
      <c r="J9" s="3"/>
      <c r="O9" t="s">
        <v>142</v>
      </c>
      <c r="P9" s="33" t="s">
        <v>8</v>
      </c>
      <c r="Q9" s="33" t="s">
        <v>10</v>
      </c>
      <c r="R9" s="33" t="s">
        <v>14</v>
      </c>
      <c r="S9" s="33" t="s">
        <v>15</v>
      </c>
      <c r="T9" s="33" t="s">
        <v>16</v>
      </c>
      <c r="U9" s="33" t="s">
        <v>115</v>
      </c>
      <c r="V9" s="33" t="s">
        <v>116</v>
      </c>
      <c r="W9" s="33" t="s">
        <v>47</v>
      </c>
      <c r="X9" s="33" t="s">
        <v>47</v>
      </c>
      <c r="Y9" t="s">
        <v>8</v>
      </c>
      <c r="Z9" t="s">
        <v>10</v>
      </c>
      <c r="AA9" t="s">
        <v>115</v>
      </c>
      <c r="AB9" t="s">
        <v>116</v>
      </c>
      <c r="AC9" s="33" t="s">
        <v>47</v>
      </c>
      <c r="AD9" s="33" t="s">
        <v>8</v>
      </c>
      <c r="AE9" s="33" t="s">
        <v>10</v>
      </c>
      <c r="AF9" t="s">
        <v>115</v>
      </c>
      <c r="AG9" t="s">
        <v>116</v>
      </c>
    </row>
    <row r="10" spans="1:34">
      <c r="A10">
        <v>2020</v>
      </c>
      <c r="B10" s="8" t="s">
        <v>109</v>
      </c>
      <c r="C10" s="3">
        <f>'BAU Scenario'!C10</f>
        <v>33313.273716843876</v>
      </c>
      <c r="D10" s="3">
        <f>'BAU Scenario'!D10</f>
        <v>25907190.830635231</v>
      </c>
      <c r="E10" s="3">
        <f>'BAU Scenario'!E10</f>
        <v>257925338.49520811</v>
      </c>
      <c r="F10" s="3">
        <f>'BAU Scenario'!F10</f>
        <v>950.74904634011125</v>
      </c>
      <c r="G10" s="3">
        <f>'BAU Scenario'!G10</f>
        <v>28396.414260751859</v>
      </c>
      <c r="H10" s="3">
        <f>'BAU Scenario'!H10</f>
        <v>266.67816429959612</v>
      </c>
      <c r="I10" s="3">
        <f>'BAU Scenario'!I10</f>
        <v>16977.150361722986</v>
      </c>
      <c r="J10" s="3">
        <f>D10+AC10</f>
        <v>25902927.772740211</v>
      </c>
      <c r="L10" s="42">
        <f>'BAU Scenario'!L10</f>
        <v>3.6609784889678441E-3</v>
      </c>
      <c r="M10" s="42">
        <f>'ZEV efficiency'!L44</f>
        <v>4.5885492022606078</v>
      </c>
      <c r="O10" s="3">
        <f>E10*L10/M10</f>
        <v>205785.98471288165</v>
      </c>
      <c r="P10" s="133">
        <f>'BAU Scenario'!P10</f>
        <v>14.502466232007674</v>
      </c>
      <c r="Q10" s="133">
        <f>'BAU Scenario'!Q10</f>
        <v>1.6094048180184781</v>
      </c>
      <c r="R10" s="133">
        <f>'BAU Scenario'!R10</f>
        <v>2.3566507627012472</v>
      </c>
      <c r="S10" s="133">
        <f>'BAU Scenario'!S10</f>
        <v>0.33234818448350922</v>
      </c>
      <c r="T10" s="133">
        <f>'BAU Scenario'!T10</f>
        <v>23114.786017356746</v>
      </c>
      <c r="U10" s="133">
        <f>'BAU Scenario'!U10</f>
        <v>0.54192111885272487</v>
      </c>
      <c r="V10" s="133">
        <f>'BAU Scenario'!V10</f>
        <v>7.3116600586372025</v>
      </c>
      <c r="W10" s="133">
        <f>$O10*'GREET factors'!I96/454/2000</f>
        <v>23272.742045400366</v>
      </c>
      <c r="X10" s="3">
        <f>('Combined MOVES output'!V16/454/2000-'BAU Scenario'!D10)*'GREET factors'!$V$1</f>
        <v>27377.843912378059</v>
      </c>
      <c r="Y10" s="262">
        <f>O10*M10*'GREET factors'!$J$7/454/2000</f>
        <v>9.941588153103206</v>
      </c>
      <c r="Z10" s="262">
        <f>O10*M10*'GREET factors'!K$7/454/2000</f>
        <v>1.2467705615137699</v>
      </c>
      <c r="AA10" s="297" t="s">
        <v>498</v>
      </c>
      <c r="AB10" s="297"/>
      <c r="AC10" s="133">
        <f>T10-X10</f>
        <v>-4263.057895021313</v>
      </c>
      <c r="AD10" s="262">
        <f>P10-Y10</f>
        <v>4.5608780789044676</v>
      </c>
      <c r="AE10" s="262">
        <f>Q10-Z10</f>
        <v>0.36263425650470826</v>
      </c>
      <c r="AF10" s="297" t="s">
        <v>498</v>
      </c>
      <c r="AG10" s="297"/>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300" t="s">
        <v>145</v>
      </c>
      <c r="D12" s="300"/>
      <c r="E12" s="300"/>
      <c r="F12" s="300"/>
      <c r="G12" s="300"/>
      <c r="H12" s="300"/>
      <c r="I12" s="300"/>
      <c r="J12" s="3"/>
      <c r="L12" s="42"/>
      <c r="M12" s="42"/>
      <c r="P12" s="33"/>
      <c r="Q12" s="33"/>
      <c r="R12" s="33"/>
      <c r="S12" s="33"/>
      <c r="T12" s="33"/>
      <c r="U12" s="33"/>
      <c r="V12" s="33"/>
      <c r="W12" s="33"/>
      <c r="AC12" s="33"/>
    </row>
    <row r="13" spans="1:34">
      <c r="A13">
        <v>2025</v>
      </c>
      <c r="B13">
        <v>30</v>
      </c>
      <c r="C13" s="300"/>
      <c r="D13" s="300"/>
      <c r="E13" s="300"/>
      <c r="F13" s="300"/>
      <c r="G13" s="300"/>
      <c r="H13" s="300"/>
      <c r="I13" s="300"/>
      <c r="J13" s="3"/>
      <c r="L13" s="42"/>
      <c r="M13" s="42"/>
      <c r="O13" t="s">
        <v>17</v>
      </c>
      <c r="P13" s="33"/>
      <c r="Q13" s="33"/>
      <c r="R13" s="33"/>
      <c r="S13" s="33"/>
      <c r="T13" s="33"/>
      <c r="U13" s="33"/>
      <c r="V13" s="33"/>
      <c r="W13" s="33"/>
      <c r="AC13" s="33"/>
    </row>
    <row r="14" spans="1:34">
      <c r="A14">
        <v>2025</v>
      </c>
      <c r="B14">
        <v>41</v>
      </c>
      <c r="C14" s="300"/>
      <c r="D14" s="300"/>
      <c r="E14" s="300"/>
      <c r="F14" s="300"/>
      <c r="G14" s="300"/>
      <c r="H14" s="300"/>
      <c r="I14" s="300"/>
      <c r="J14" s="3"/>
      <c r="L14" s="42"/>
      <c r="M14" s="42"/>
      <c r="O14" t="s">
        <v>142</v>
      </c>
      <c r="P14" s="33" t="s">
        <v>8</v>
      </c>
      <c r="Q14" s="33" t="s">
        <v>10</v>
      </c>
      <c r="R14" s="33" t="s">
        <v>14</v>
      </c>
      <c r="S14" s="33" t="s">
        <v>15</v>
      </c>
      <c r="T14" s="33" t="s">
        <v>16</v>
      </c>
      <c r="U14" s="33" t="s">
        <v>115</v>
      </c>
      <c r="V14" s="33" t="s">
        <v>116</v>
      </c>
      <c r="W14" s="33" t="s">
        <v>47</v>
      </c>
      <c r="X14" t="s">
        <v>47</v>
      </c>
      <c r="Y14" t="s">
        <v>8</v>
      </c>
      <c r="Z14" t="s">
        <v>10</v>
      </c>
      <c r="AC14" s="33" t="s">
        <v>47</v>
      </c>
      <c r="AD14" s="33" t="s">
        <v>8</v>
      </c>
      <c r="AE14" s="33" t="s">
        <v>10</v>
      </c>
    </row>
    <row r="15" spans="1:34">
      <c r="A15">
        <v>2025</v>
      </c>
      <c r="B15" s="8" t="s">
        <v>109</v>
      </c>
      <c r="C15" s="3">
        <f>'BAU Scenario'!C15</f>
        <v>18219.222126253469</v>
      </c>
      <c r="D15" s="3">
        <f>'BAU Scenario'!D15</f>
        <v>23025957.601397682</v>
      </c>
      <c r="E15" s="3">
        <f>'BAU Scenario'!E15</f>
        <v>254458507.64158371</v>
      </c>
      <c r="F15" s="3">
        <f>'BAU Scenario'!F15</f>
        <v>817.11480867686566</v>
      </c>
      <c r="G15" s="3">
        <f>'BAU Scenario'!G15</f>
        <v>22995.43185751998</v>
      </c>
      <c r="H15" s="3">
        <f>'BAU Scenario'!H15</f>
        <v>249.98498768076874</v>
      </c>
      <c r="I15" s="3">
        <f>'BAU Scenario'!I15</f>
        <v>1989.8952392013528</v>
      </c>
      <c r="J15" s="3">
        <f>D15+AC15</f>
        <v>22830631.297383077</v>
      </c>
      <c r="L15" s="42">
        <f>'BAU Scenario'!L15</f>
        <v>2.4141551331515337E-2</v>
      </c>
      <c r="M15" s="42">
        <f>'ZEV efficiency'!L44</f>
        <v>4.5885492022606078</v>
      </c>
      <c r="O15" s="3">
        <f>E15*L15/M15</f>
        <v>1338772.42090891</v>
      </c>
      <c r="P15" s="133">
        <f>'BAU Scenario'!P15</f>
        <v>76.830245132476023</v>
      </c>
      <c r="Q15" s="133">
        <f>'BAU Scenario'!Q15</f>
        <v>8.5262026959830948</v>
      </c>
      <c r="R15" s="133">
        <f>'BAU Scenario'!R15</f>
        <v>12.484914834027354</v>
      </c>
      <c r="S15" s="133">
        <f>'BAU Scenario'!S15</f>
        <v>1.7606931176192424</v>
      </c>
      <c r="T15" s="133">
        <f>'BAU Scenario'!T15</f>
        <v>122456.0462674076</v>
      </c>
      <c r="U15" s="133">
        <f>'BAU Scenario'!U15</f>
        <v>2.8709553077274483</v>
      </c>
      <c r="V15" s="133">
        <f>'BAU Scenario'!V15</f>
        <v>38.735248587623317</v>
      </c>
      <c r="W15" s="133">
        <f>$O15*'GREET factors'!I97/454/2000</f>
        <v>123292.85568730884</v>
      </c>
      <c r="X15" s="3">
        <f>('Combined MOVES output'!D9/454/2000-'BAU Scenario'!D15)*'GREET factors'!$V$1</f>
        <v>317782.35028201091</v>
      </c>
      <c r="Y15" s="262">
        <f>O15*M15*'GREET factors'!$J$7/454/2000</f>
        <v>64.676533039794407</v>
      </c>
      <c r="Z15" s="262">
        <f>O15*M15*'GREET factors'!K$7/454/2000</f>
        <v>8.1110579288700553</v>
      </c>
      <c r="AA15" s="262"/>
      <c r="AB15" s="262"/>
      <c r="AC15" s="133">
        <f>T15-X15</f>
        <v>-195326.30401460332</v>
      </c>
      <c r="AD15" s="262">
        <f>P15-Y15</f>
        <v>12.153712092681616</v>
      </c>
      <c r="AE15" s="262">
        <f>Q15-Z15</f>
        <v>0.41514476711303949</v>
      </c>
      <c r="AF15" s="262"/>
      <c r="AG15" s="262"/>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300" t="s">
        <v>145</v>
      </c>
      <c r="D17" s="300"/>
      <c r="E17" s="300"/>
      <c r="F17" s="300"/>
      <c r="G17" s="300"/>
      <c r="H17" s="300"/>
      <c r="I17" s="300"/>
      <c r="J17" s="3"/>
      <c r="L17" s="42"/>
      <c r="M17" s="42"/>
      <c r="P17" s="33"/>
      <c r="Q17" s="33"/>
      <c r="R17" s="33"/>
      <c r="S17" s="33"/>
      <c r="T17" s="33"/>
      <c r="U17" s="33"/>
      <c r="V17" s="33"/>
      <c r="W17" s="33"/>
      <c r="AC17" s="33"/>
    </row>
    <row r="18" spans="1:34">
      <c r="A18">
        <v>2026</v>
      </c>
      <c r="B18">
        <v>30</v>
      </c>
      <c r="C18" s="300"/>
      <c r="D18" s="300"/>
      <c r="E18" s="300"/>
      <c r="F18" s="300"/>
      <c r="G18" s="300"/>
      <c r="H18" s="300"/>
      <c r="I18" s="300"/>
      <c r="J18" s="3"/>
      <c r="L18" s="42"/>
      <c r="M18" s="42"/>
      <c r="O18" t="s">
        <v>17</v>
      </c>
      <c r="P18" s="33"/>
      <c r="Q18" s="33"/>
      <c r="R18" s="33"/>
      <c r="S18" s="33"/>
      <c r="T18" s="33"/>
      <c r="U18" s="33"/>
      <c r="V18" s="33"/>
      <c r="W18" s="33"/>
      <c r="AC18" s="33"/>
    </row>
    <row r="19" spans="1:34">
      <c r="A19">
        <v>2026</v>
      </c>
      <c r="B19">
        <v>41</v>
      </c>
      <c r="C19" s="300"/>
      <c r="D19" s="300"/>
      <c r="E19" s="300"/>
      <c r="F19" s="300"/>
      <c r="G19" s="300"/>
      <c r="H19" s="300"/>
      <c r="I19" s="300"/>
      <c r="J19" s="3"/>
      <c r="L19" s="42"/>
      <c r="M19" s="42"/>
      <c r="O19" t="s">
        <v>142</v>
      </c>
      <c r="P19" s="33" t="s">
        <v>8</v>
      </c>
      <c r="Q19" s="33" t="s">
        <v>10</v>
      </c>
      <c r="R19" s="33" t="s">
        <v>14</v>
      </c>
      <c r="S19" s="33" t="s">
        <v>15</v>
      </c>
      <c r="T19" s="33" t="s">
        <v>16</v>
      </c>
      <c r="U19" s="33" t="s">
        <v>115</v>
      </c>
      <c r="V19" s="33" t="s">
        <v>116</v>
      </c>
      <c r="W19" s="33" t="s">
        <v>47</v>
      </c>
      <c r="X19" t="s">
        <v>47</v>
      </c>
      <c r="Y19" t="s">
        <v>8</v>
      </c>
      <c r="Z19" t="s">
        <v>10</v>
      </c>
      <c r="AC19" s="33" t="s">
        <v>47</v>
      </c>
      <c r="AD19" s="33" t="s">
        <v>8</v>
      </c>
      <c r="AE19" s="33" t="s">
        <v>10</v>
      </c>
    </row>
    <row r="20" spans="1:34">
      <c r="A20">
        <v>2026</v>
      </c>
      <c r="B20" s="8" t="s">
        <v>109</v>
      </c>
      <c r="C20" s="3">
        <f>'BAU Scenario'!C20</f>
        <v>16395.038854062437</v>
      </c>
      <c r="D20" s="3">
        <f>'BAU Scenario'!D20</f>
        <v>22608816.008310486</v>
      </c>
      <c r="E20" s="3">
        <f>'BAU Scenario'!E20</f>
        <v>253940953.91176406</v>
      </c>
      <c r="F20" s="3">
        <f>'BAU Scenario'!F20</f>
        <v>800.90703245743418</v>
      </c>
      <c r="G20" s="3">
        <f>'BAU Scenario'!G20</f>
        <v>22081.922077611889</v>
      </c>
      <c r="H20" s="3">
        <f>'BAU Scenario'!H20</f>
        <v>247.56131540048048</v>
      </c>
      <c r="I20" s="3">
        <f>'BAU Scenario'!I20</f>
        <v>2013.2307173237396</v>
      </c>
      <c r="J20" s="3">
        <f>D20+AC20</f>
        <v>22423380.878917988</v>
      </c>
      <c r="L20" s="42">
        <f>'BAU Scenario'!L20</f>
        <v>3.3265601511096726E-2</v>
      </c>
      <c r="M20" s="42">
        <f>'ZEV efficiency'!L45</f>
        <v>4.5196833584062999</v>
      </c>
      <c r="O20" s="3">
        <f>E20*L20/M20</f>
        <v>1869046.5482420926</v>
      </c>
      <c r="P20" s="133">
        <f>'BAU Scenario'!P20</f>
        <v>107.26213407691081</v>
      </c>
      <c r="Q20" s="133">
        <f>'BAU Scenario'!Q20</f>
        <v>11.903368200459937</v>
      </c>
      <c r="R20" s="133">
        <f>'BAU Scenario'!R20</f>
        <v>17.430096787498005</v>
      </c>
      <c r="S20" s="133">
        <f>'BAU Scenario'!S20</f>
        <v>2.4580905725958728</v>
      </c>
      <c r="T20" s="133">
        <f>'BAU Scenario'!T20</f>
        <v>170959.97586126364</v>
      </c>
      <c r="U20" s="133">
        <f>'BAU Scenario'!U20</f>
        <v>4.0081193625674443</v>
      </c>
      <c r="V20" s="133">
        <f>'BAU Scenario'!V20</f>
        <v>54.077992597109194</v>
      </c>
      <c r="W20" s="133">
        <f>$O20*'GREET factors'!I98/454/2000</f>
        <v>172127.90071431725</v>
      </c>
      <c r="X20" s="3">
        <f>('Combined MOVES output'!D10/454/2000-D20)*'GREET factors'!V1</f>
        <v>356395.10525375983</v>
      </c>
      <c r="Y20" s="262">
        <f>O20*M20*'GREET factors'!$J$7/454/2000</f>
        <v>88.939095620937167</v>
      </c>
      <c r="Z20" s="262">
        <f>O20*M20*'GREET factors'!K$7/454/2000</f>
        <v>11.153816118728487</v>
      </c>
      <c r="AA20" s="262"/>
      <c r="AB20" s="262"/>
      <c r="AC20" s="133">
        <f>T20-X20</f>
        <v>-185435.12939249619</v>
      </c>
      <c r="AD20" s="262">
        <f>P20-Y20</f>
        <v>18.323038455973645</v>
      </c>
      <c r="AE20" s="262">
        <f>Q20-Z20</f>
        <v>0.7495520817314496</v>
      </c>
      <c r="AF20" s="262"/>
      <c r="AG20" s="262"/>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t="s">
        <v>8</v>
      </c>
      <c r="Z24" t="s">
        <v>10</v>
      </c>
      <c r="AC24" s="33" t="s">
        <v>47</v>
      </c>
      <c r="AD24" s="33" t="s">
        <v>8</v>
      </c>
      <c r="AE24" s="33" t="s">
        <v>10</v>
      </c>
    </row>
    <row r="25" spans="1:34">
      <c r="A25">
        <v>2027</v>
      </c>
      <c r="B25" s="8" t="s">
        <v>109</v>
      </c>
      <c r="C25" s="3">
        <f>'BAU Scenario'!C25*(1-'ACC emissions benefits'!C30)</f>
        <v>14325.067817775855</v>
      </c>
      <c r="D25" s="3">
        <f>'BAU Scenario'!D25*(1-'ACC emissions benefits'!D30)</f>
        <v>21233678.175181724</v>
      </c>
      <c r="E25" s="3">
        <f>'Combined MOVES output'!E11</f>
        <v>253423400.18194437</v>
      </c>
      <c r="F25" s="3">
        <f>'BAU Scenario'!F25*(1-'ACC emissions benefits'!F30)</f>
        <v>775.17163399178446</v>
      </c>
      <c r="G25" s="3">
        <f>'BAU Scenario'!G25*(1-'ACC emissions benefits'!G30)</f>
        <v>20969.684131684538</v>
      </c>
      <c r="H25" s="3">
        <f>'BAU Scenario'!H25*(1-'ACC emissions benefits'!H30)</f>
        <v>234.03944880156348</v>
      </c>
      <c r="I25" s="3">
        <f>'BAU Scenario'!I25*(1-'ACC emissions benefits'!I30)</f>
        <v>1895.2562860140529</v>
      </c>
      <c r="J25" s="3">
        <f>D25+AC25</f>
        <v>20833153.81437476</v>
      </c>
      <c r="L25" s="42">
        <f>'Fleet ZEV fractions'!AS19</f>
        <v>5.1846266652801426E-2</v>
      </c>
      <c r="M25" s="42">
        <f>'ZEV efficiency'!L46</f>
        <v>4.4511142158008035</v>
      </c>
      <c r="O25" s="3">
        <f>E25*L25/M25</f>
        <v>2951858.0168648479</v>
      </c>
      <c r="P25" s="133">
        <f>$O25*'GREET factors'!B99/454/2000</f>
        <v>169.40293323193703</v>
      </c>
      <c r="Q25" s="133">
        <f>$O25*'GREET factors'!C99/454/2000</f>
        <v>18.799416083329081</v>
      </c>
      <c r="R25" s="133">
        <f>$O25*'GREET factors'!D99/454/2000</f>
        <v>27.527976650189768</v>
      </c>
      <c r="S25" s="133">
        <f>$O25*'GREET factors'!E99/454/2000</f>
        <v>3.8821505532318907</v>
      </c>
      <c r="T25" s="133">
        <f>$O25*'GREET factors'!F99/454/2000</f>
        <v>270003.21805450041</v>
      </c>
      <c r="U25" s="133">
        <f>$O25*'GREET factors'!G99/454/2000</f>
        <v>6.3301665830719775</v>
      </c>
      <c r="V25" s="133">
        <f>$O25*'GREET factors'!H99/454/2000</f>
        <v>85.40731217110158</v>
      </c>
      <c r="W25" s="133">
        <f>$O25*'GREET factors'!I99/454/2000</f>
        <v>271848.29833561828</v>
      </c>
      <c r="X25" s="3">
        <f>('Combined MOVES output'!D11/454/2000-D25)*'GREET factors'!V1</f>
        <v>670527.57886146405</v>
      </c>
      <c r="Y25" s="262">
        <f>O25*M25*'GREET factors'!$J$7/454/2000</f>
        <v>138.33395199515934</v>
      </c>
      <c r="Z25" s="262">
        <f>O25*M25*'GREET factors'!K$7/454/2000</f>
        <v>17.348405139030831</v>
      </c>
      <c r="AA25" s="262"/>
      <c r="AB25" s="262"/>
      <c r="AC25" s="133">
        <f>T25-X25</f>
        <v>-400524.36080696364</v>
      </c>
      <c r="AD25" s="262">
        <f>P25-Y25</f>
        <v>31.068981236777688</v>
      </c>
      <c r="AE25" s="262">
        <f>Q25-Z25</f>
        <v>1.4510109442982504</v>
      </c>
      <c r="AF25" s="262"/>
      <c r="AG25" s="262"/>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t="s">
        <v>8</v>
      </c>
      <c r="Z29" t="s">
        <v>10</v>
      </c>
      <c r="AC29" s="33" t="s">
        <v>47</v>
      </c>
      <c r="AD29" s="33" t="s">
        <v>8</v>
      </c>
      <c r="AE29" s="33" t="s">
        <v>10</v>
      </c>
    </row>
    <row r="30" spans="1:34">
      <c r="A30">
        <v>2028</v>
      </c>
      <c r="B30" s="8" t="s">
        <v>109</v>
      </c>
      <c r="C30" s="3">
        <f>'BAU Scenario'!C30*(1-'ACC emissions benefits'!C31)</f>
        <v>12362.517298791421</v>
      </c>
      <c r="D30" s="3">
        <f>'BAU Scenario'!D30*(1-'ACC emissions benefits'!D31)</f>
        <v>19978640.841357499</v>
      </c>
      <c r="E30" s="3">
        <f>'Combined MOVES output'!E12</f>
        <v>252905846.45212471</v>
      </c>
      <c r="F30" s="3">
        <f>'BAU Scenario'!F30*(1-'ACC emissions benefits'!F31)</f>
        <v>751.50563573597185</v>
      </c>
      <c r="G30" s="3">
        <f>'BAU Scenario'!G30*(1-'ACC emissions benefits'!G31)</f>
        <v>19904.320971866058</v>
      </c>
      <c r="H30" s="3">
        <f>'BAU Scenario'!H30*(1-'ACC emissions benefits'!H31)</f>
        <v>222.56490800509556</v>
      </c>
      <c r="I30" s="3">
        <f>'BAU Scenario'!I30*(1-'ACC emissions benefits'!I31)</f>
        <v>1803.6727132543788</v>
      </c>
      <c r="J30" s="3">
        <f>D30+AC30</f>
        <v>19416786.676733039</v>
      </c>
      <c r="L30" s="42">
        <f>'Fleet ZEV fractions'!AS20</f>
        <v>7.354799937138147E-2</v>
      </c>
      <c r="M30" s="42">
        <f>'ZEV efficiency'!L47</f>
        <v>4.3820263375286919</v>
      </c>
      <c r="O30" s="3">
        <f>E30*L30/M30</f>
        <v>4244775.7277446482</v>
      </c>
      <c r="P30" s="133">
        <f>$O30*'GREET factors'!B100/454/2000</f>
        <v>243.60164177388242</v>
      </c>
      <c r="Q30" s="133">
        <f>$O30*'GREET factors'!C100/454/2000</f>
        <v>27.033585162419858</v>
      </c>
      <c r="R30" s="133">
        <f>$O30*'GREET factors'!D100/454/2000</f>
        <v>39.585266788255886</v>
      </c>
      <c r="S30" s="133">
        <f>$O30*'GREET factors'!E100/454/2000</f>
        <v>5.5825376239848055</v>
      </c>
      <c r="T30" s="133">
        <f>$O30*'GREET factors'!F100/454/2000</f>
        <v>388264.98424472276</v>
      </c>
      <c r="U30" s="133">
        <f>$O30*'GREET factors'!G100/454/2000</f>
        <v>9.1027879087974668</v>
      </c>
      <c r="V30" s="133">
        <f>$O30*'GREET factors'!H100/454/2000</f>
        <v>122.81582772766571</v>
      </c>
      <c r="W30" s="133">
        <f>$O30*'GREET factors'!I100/454/2000</f>
        <v>390918.21212637675</v>
      </c>
      <c r="X30" s="3">
        <f>('Combined MOVES output'!D12/454/2000-D30)*'GREET factors'!V1</f>
        <v>950119.14886918454</v>
      </c>
      <c r="Y30" s="262">
        <f>O30*M30*'GREET factors'!$J$7/454/2000</f>
        <v>195.83680461722071</v>
      </c>
      <c r="Z30" s="262">
        <f>O30*M30*'GREET factors'!K$7/454/2000</f>
        <v>24.559814699370801</v>
      </c>
      <c r="AA30" s="262"/>
      <c r="AB30" s="262"/>
      <c r="AC30" s="133">
        <f>T30-X30</f>
        <v>-561854.16462446179</v>
      </c>
      <c r="AD30" s="262">
        <f>P30-Y30</f>
        <v>47.764837156661713</v>
      </c>
      <c r="AE30" s="262">
        <f>Q30-Z30</f>
        <v>2.4737704630490569</v>
      </c>
      <c r="AF30" s="262"/>
      <c r="AG30" s="262"/>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t="s">
        <v>8</v>
      </c>
      <c r="Z34" t="s">
        <v>10</v>
      </c>
      <c r="AC34" s="33" t="s">
        <v>47</v>
      </c>
      <c r="AD34" s="33" t="s">
        <v>8</v>
      </c>
      <c r="AE34" s="33" t="s">
        <v>10</v>
      </c>
    </row>
    <row r="35" spans="1:34">
      <c r="A35">
        <v>2029</v>
      </c>
      <c r="B35" s="8" t="s">
        <v>109</v>
      </c>
      <c r="C35" s="3">
        <f>'BAU Scenario'!C35*(1-'ACC emissions benefits'!C32)</f>
        <v>10390.622775423681</v>
      </c>
      <c r="D35" s="3">
        <f>'BAU Scenario'!D35*(1-'ACC emissions benefits'!D32)</f>
        <v>18575493.157209396</v>
      </c>
      <c r="E35" s="3">
        <f>'Combined MOVES output'!E13</f>
        <v>252388292.72230503</v>
      </c>
      <c r="F35" s="3">
        <f>'BAU Scenario'!F35*(1-'ACC emissions benefits'!F32)</f>
        <v>725.96807648055858</v>
      </c>
      <c r="G35" s="3">
        <f>'BAU Scenario'!G35*(1-'ACC emissions benefits'!G32)</f>
        <v>18779.24990843319</v>
      </c>
      <c r="H35" s="3">
        <f>'BAU Scenario'!H35*(1-'ACC emissions benefits'!H32)</f>
        <v>209.04240820128643</v>
      </c>
      <c r="I35" s="3">
        <f>'BAU Scenario'!I35*(1-'ACC emissions benefits'!I32)</f>
        <v>1701.9836972722123</v>
      </c>
      <c r="J35" s="3">
        <f>D35+AC35</f>
        <v>17829283.835638527</v>
      </c>
      <c r="L35" s="42">
        <f>'Fleet ZEV fractions'!AS21</f>
        <v>9.8296839963444238E-2</v>
      </c>
      <c r="M35" s="42">
        <f>'ZEV efficiency'!L48</f>
        <v>4.3133593585787438</v>
      </c>
      <c r="O35" s="3">
        <f>E35*L35/M35</f>
        <v>5751658.8709515538</v>
      </c>
      <c r="P35" s="133">
        <f>$O35*'GREET factors'!B101/454/2000</f>
        <v>330.07952215924462</v>
      </c>
      <c r="Q35" s="133">
        <f>$O35*'GREET factors'!C101/454/2000</f>
        <v>36.630429941624023</v>
      </c>
      <c r="R35" s="133">
        <f>$O35*'GREET factors'!D101/454/2000</f>
        <v>53.637922350877254</v>
      </c>
      <c r="S35" s="133">
        <f>$O35*'GREET factors'!E101/454/2000</f>
        <v>7.5643223828160231</v>
      </c>
      <c r="T35" s="133">
        <f>$O35*'GREET factors'!F101/454/2000</f>
        <v>526097.93405918323</v>
      </c>
      <c r="U35" s="133">
        <f>$O35*'GREET factors'!G101/454/2000</f>
        <v>12.334251367820455</v>
      </c>
      <c r="V35" s="133">
        <f>$O35*'GREET factors'!H101/454/2000</f>
        <v>166.41509242195249</v>
      </c>
      <c r="W35" s="133">
        <f>$O35*'GREET factors'!I101/454/2000</f>
        <v>529693.05018803431</v>
      </c>
      <c r="X35" s="3">
        <f>('Combined MOVES output'!D13/454/2000-D35)*'GREET factors'!V1</f>
        <v>1272307.2556300513</v>
      </c>
      <c r="Y35" s="262">
        <f>O35*M35*'GREET factors'!$J$7/454/2000</f>
        <v>261.20010297502017</v>
      </c>
      <c r="Z35" s="262">
        <f>O35*M35*'GREET factors'!K$7/454/2000</f>
        <v>32.756999589846082</v>
      </c>
      <c r="AA35" s="262"/>
      <c r="AB35" s="262"/>
      <c r="AC35" s="133">
        <f>T35-X35</f>
        <v>-746209.32157086802</v>
      </c>
      <c r="AD35" s="262">
        <f>P35-Y35</f>
        <v>68.879419184224446</v>
      </c>
      <c r="AE35" s="262">
        <f>Q35-Z35</f>
        <v>3.8734303517779409</v>
      </c>
      <c r="AF35" s="262"/>
      <c r="AG35" s="262"/>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t="s">
        <v>8</v>
      </c>
      <c r="Z39" t="s">
        <v>10</v>
      </c>
      <c r="AC39" s="33" t="s">
        <v>47</v>
      </c>
      <c r="AD39" s="33" t="s">
        <v>8</v>
      </c>
      <c r="AE39" s="33" t="s">
        <v>10</v>
      </c>
    </row>
    <row r="40" spans="1:34">
      <c r="A40">
        <v>2030</v>
      </c>
      <c r="B40" s="8" t="s">
        <v>109</v>
      </c>
      <c r="C40" s="3">
        <f>'BAU Scenario'!C40*(1-'ACC emissions benefits'!C33)</f>
        <v>8438.5344698519602</v>
      </c>
      <c r="D40" s="3">
        <f>'BAU Scenario'!D40*(1-'ACC emissions benefits'!D33)</f>
        <v>17104444.284371652</v>
      </c>
      <c r="E40" s="3">
        <f>'Combined MOVES output'!E14</f>
        <v>251870738.99248537</v>
      </c>
      <c r="F40" s="3">
        <f>'BAU Scenario'!F40*(1-'ACC emissions benefits'!F33)</f>
        <v>695.56144018361988</v>
      </c>
      <c r="G40" s="3">
        <f>'BAU Scenario'!G40*(1-'ACC emissions benefits'!G33)</f>
        <v>17613.436777734594</v>
      </c>
      <c r="H40" s="3">
        <f>'BAU Scenario'!H40*(1-'ACC emissions benefits'!H33)</f>
        <v>194.79422588866368</v>
      </c>
      <c r="I40" s="3">
        <f>'BAU Scenario'!I40*(1-'ACC emissions benefits'!I33)</f>
        <v>1592.8633256449368</v>
      </c>
      <c r="J40" s="3">
        <f>D40+AC40</f>
        <v>16176795.00105924</v>
      </c>
      <c r="L40" s="42">
        <f>'Fleet ZEV fractions'!AS22</f>
        <v>0.12647057189635694</v>
      </c>
      <c r="M40" s="42">
        <f>'ZEV efficiency'!L49</f>
        <v>4.2450182265177867</v>
      </c>
      <c r="O40" s="3">
        <f>E40*L40/M40</f>
        <v>7503910.3967447253</v>
      </c>
      <c r="P40" s="133">
        <f>$O40*'GREET factors'!B102/454/2000</f>
        <v>430.6387450397437</v>
      </c>
      <c r="Q40" s="133">
        <f>$O40*'GREET factors'!C102/454/2000</f>
        <v>47.78994551718035</v>
      </c>
      <c r="R40" s="133">
        <f>$O40*'GREET factors'!D102/454/2000</f>
        <v>69.978796068958374</v>
      </c>
      <c r="S40" s="133">
        <f>$O40*'GREET factors'!E102/454/2000</f>
        <v>9.868804573827461</v>
      </c>
      <c r="T40" s="133">
        <f>$O40*'GREET factors'!F102/454/2000</f>
        <v>686374.46094564779</v>
      </c>
      <c r="U40" s="133">
        <f>$O40*'GREET factors'!G102/454/2000</f>
        <v>16.091899598304664</v>
      </c>
      <c r="V40" s="133">
        <f>$O40*'GREET factors'!H102/454/2000</f>
        <v>217.11370062420414</v>
      </c>
      <c r="W40" s="133">
        <f>$O40*'GREET factors'!I102/454/2000</f>
        <v>691064.83461037243</v>
      </c>
      <c r="X40" s="3">
        <f>('Combined MOVES output'!D14/454/2000-D40)*'GREET factors'!V1</f>
        <v>1614023.7442580592</v>
      </c>
      <c r="Y40" s="262">
        <f>O40*M40*'GREET factors'!$J$7/454/2000</f>
        <v>335.37584535919797</v>
      </c>
      <c r="Z40" s="262">
        <f>O40*M40*'GREET factors'!K$7/454/2000</f>
        <v>42.059349532209673</v>
      </c>
      <c r="AA40" s="262"/>
      <c r="AB40" s="262"/>
      <c r="AC40" s="133">
        <f>T40-X40</f>
        <v>-927649.2833124114</v>
      </c>
      <c r="AD40" s="262">
        <f>P40-Y40</f>
        <v>95.262899680545729</v>
      </c>
      <c r="AE40" s="262">
        <f>Q40-Z40</f>
        <v>5.7305959849706767</v>
      </c>
      <c r="AF40" s="262"/>
      <c r="AG40" s="262"/>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t="s">
        <v>8</v>
      </c>
      <c r="Z44" t="s">
        <v>10</v>
      </c>
      <c r="AC44" s="33" t="s">
        <v>47</v>
      </c>
      <c r="AD44" s="33" t="s">
        <v>8</v>
      </c>
      <c r="AE44" s="33" t="s">
        <v>10</v>
      </c>
    </row>
    <row r="45" spans="1:34">
      <c r="A45">
        <v>2031</v>
      </c>
      <c r="B45" s="8" t="s">
        <v>109</v>
      </c>
      <c r="C45" s="3">
        <f>'BAU Scenario'!C45*(1-'ACC emissions benefits'!C34)</f>
        <v>7547.1669712840358</v>
      </c>
      <c r="D45" s="3">
        <f>'BAU Scenario'!D45*(1-'ACC emissions benefits'!D34)</f>
        <v>15584020.691071346</v>
      </c>
      <c r="E45" s="3">
        <f>'Combined MOVES output'!E15</f>
        <v>249339818.11493629</v>
      </c>
      <c r="F45" s="3">
        <f>'BAU Scenario'!F45*(1-'ACC emissions benefits'!F34)</f>
        <v>689.30593320717878</v>
      </c>
      <c r="G45" s="3">
        <f>'BAU Scenario'!G45*(1-'ACC emissions benefits'!G34)</f>
        <v>17194.73932600021</v>
      </c>
      <c r="H45" s="3">
        <f>'BAU Scenario'!H45*(1-'ACC emissions benefits'!H34)</f>
        <v>179.08382225978229</v>
      </c>
      <c r="I45" s="3">
        <f>'BAU Scenario'!I45*(1-'ACC emissions benefits'!I34)</f>
        <v>1496.0370069750961</v>
      </c>
      <c r="J45" s="3">
        <f>D45+AC45</f>
        <v>14492246.191694317</v>
      </c>
      <c r="L45" s="42">
        <f>'Fleet ZEV fractions'!AS23</f>
        <v>0.16546469186670359</v>
      </c>
      <c r="M45" s="42">
        <f>'ZEV efficiency'!L50</f>
        <v>4.2065593236946501</v>
      </c>
      <c r="O45" s="3">
        <f>E45*L45/M45</f>
        <v>9807762.829373721</v>
      </c>
      <c r="P45" s="133">
        <f>$O45*'GREET factors'!B103/454/2000</f>
        <v>562.85355943498325</v>
      </c>
      <c r="Q45" s="133">
        <f>$O45*'GREET factors'!C103/454/2000</f>
        <v>62.462426452284014</v>
      </c>
      <c r="R45" s="133">
        <f>$O45*'GREET factors'!D103/454/2000</f>
        <v>91.463703408184784</v>
      </c>
      <c r="S45" s="133">
        <f>$O45*'GREET factors'!E103/454/2000</f>
        <v>12.898727403718366</v>
      </c>
      <c r="T45" s="133">
        <f>$O45*'GREET factors'!F103/454/2000</f>
        <v>897105.31831703021</v>
      </c>
      <c r="U45" s="133">
        <f>$O45*'GREET factors'!G103/454/2000</f>
        <v>21.032438607307032</v>
      </c>
      <c r="V45" s="133">
        <f>$O45*'GREET factors'!H103/454/2000</f>
        <v>283.77200288180404</v>
      </c>
      <c r="W45" s="133">
        <f>$O45*'GREET factors'!I103/454/2000</f>
        <v>903235.73166854295</v>
      </c>
      <c r="X45" s="3">
        <f>('Combined MOVES output'!D15/454/2000-D45)*'GREET factors'!V1</f>
        <v>1988879.8176940586</v>
      </c>
      <c r="Y45" s="262">
        <f>O45*M45*'GREET factors'!$J$7/454/2000</f>
        <v>434.37173224987993</v>
      </c>
      <c r="Z45" s="262">
        <f>O45*M45*'GREET factors'!K$7/454/2000</f>
        <v>54.47438378885635</v>
      </c>
      <c r="AA45" s="262"/>
      <c r="AB45" s="262"/>
      <c r="AC45" s="133">
        <f>T45-X45</f>
        <v>-1091774.4993770286</v>
      </c>
      <c r="AD45" s="262">
        <f>P45-Y45</f>
        <v>128.48182718510333</v>
      </c>
      <c r="AE45" s="262">
        <f>Q45-Z45</f>
        <v>7.9880426634276631</v>
      </c>
      <c r="AF45" s="262"/>
      <c r="AG45" s="262"/>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t="s">
        <v>8</v>
      </c>
      <c r="Z49" t="s">
        <v>10</v>
      </c>
      <c r="AC49" s="33" t="s">
        <v>47</v>
      </c>
      <c r="AD49" s="33" t="s">
        <v>8</v>
      </c>
      <c r="AE49" s="33" t="s">
        <v>10</v>
      </c>
    </row>
    <row r="50" spans="1:34">
      <c r="A50">
        <v>2032</v>
      </c>
      <c r="B50" s="8" t="s">
        <v>109</v>
      </c>
      <c r="C50" s="3">
        <f>'BAU Scenario'!C50*(1-'ACC emissions benefits'!C35)</f>
        <v>6655.6084398245575</v>
      </c>
      <c r="D50" s="3">
        <f>'BAU Scenario'!D50*(1-'ACC emissions benefits'!D35)</f>
        <v>14033904.291832814</v>
      </c>
      <c r="E50" s="3">
        <f>'Combined MOVES output'!E16</f>
        <v>246808897.23738724</v>
      </c>
      <c r="F50" s="3">
        <f>'BAU Scenario'!F50*(1-'ACC emissions benefits'!F35)</f>
        <v>678.28326550834754</v>
      </c>
      <c r="G50" s="3">
        <f>'BAU Scenario'!G50*(1-'ACC emissions benefits'!G35)</f>
        <v>16737.219725097213</v>
      </c>
      <c r="H50" s="3">
        <f>'BAU Scenario'!H50*(1-'ACC emissions benefits'!H35)</f>
        <v>163.50018363603317</v>
      </c>
      <c r="I50" s="3">
        <f>'BAU Scenario'!I50*(1-'ACC emissions benefits'!I35)</f>
        <v>1395.9643651352403</v>
      </c>
      <c r="J50" s="3">
        <f>D50+AC50</f>
        <v>12782586.88686409</v>
      </c>
      <c r="L50" s="42">
        <f>'Fleet ZEV fractions'!AS24</f>
        <v>0.20697652207684822</v>
      </c>
      <c r="M50" s="42">
        <f>'ZEV efficiency'!L51</f>
        <v>4.1683672854151466</v>
      </c>
      <c r="O50" s="3">
        <f>E50*L50/M50</f>
        <v>12255073.430442441</v>
      </c>
      <c r="P50" s="133">
        <f>$O50*'GREET factors'!B104/454/2000</f>
        <v>703.30123407991107</v>
      </c>
      <c r="Q50" s="133">
        <f>$O50*'GREET factors'!C104/454/2000</f>
        <v>78.048545436251246</v>
      </c>
      <c r="R50" s="133">
        <f>$O50*'GREET factors'!D104/454/2000</f>
        <v>114.28645053798556</v>
      </c>
      <c r="S50" s="133">
        <f>$O50*'GREET factors'!E104/454/2000</f>
        <v>16.11731994766463</v>
      </c>
      <c r="T50" s="133">
        <f>$O50*'GREET factors'!F104/454/2000</f>
        <v>1120958.1371491707</v>
      </c>
      <c r="U50" s="133">
        <f>$O50*'GREET factors'!G104/454/2000</f>
        <v>26.280619141998482</v>
      </c>
      <c r="V50" s="133">
        <f>$O50*'GREET factors'!H104/454/2000</f>
        <v>354.58103884862174</v>
      </c>
      <c r="W50" s="133">
        <f>$O50*'GREET factors'!I104/454/2000</f>
        <v>1128618.2597570245</v>
      </c>
      <c r="X50" s="3">
        <f>('Combined MOVES output'!D16/454/2000-D50)*'GREET factors'!V1</f>
        <v>2372275.5421178946</v>
      </c>
      <c r="Y50" s="262">
        <f>O50*M50*'GREET factors'!$J$7/454/2000</f>
        <v>537.83180156861556</v>
      </c>
      <c r="Z50" s="262">
        <f>O50*M50*'GREET factors'!K$7/454/2000</f>
        <v>67.449269363703863</v>
      </c>
      <c r="AA50" s="262"/>
      <c r="AB50" s="262"/>
      <c r="AC50" s="133">
        <f>T50-X50</f>
        <v>-1251317.4049687239</v>
      </c>
      <c r="AD50" s="262">
        <f>P50-Y50</f>
        <v>165.46943251129551</v>
      </c>
      <c r="AE50" s="262">
        <f>Q50-Z50</f>
        <v>10.599276072547383</v>
      </c>
      <c r="AF50" s="262"/>
      <c r="AG50" s="262"/>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t="s">
        <v>8</v>
      </c>
      <c r="Z54" t="s">
        <v>10</v>
      </c>
      <c r="AC54" s="33" t="s">
        <v>47</v>
      </c>
      <c r="AD54" s="33" t="s">
        <v>8</v>
      </c>
      <c r="AE54" s="33" t="s">
        <v>10</v>
      </c>
    </row>
    <row r="55" spans="1:34">
      <c r="A55">
        <v>2033</v>
      </c>
      <c r="B55" s="8" t="s">
        <v>109</v>
      </c>
      <c r="C55" s="3">
        <f>'BAU Scenario'!C55*(1-'ACC emissions benefits'!C36)</f>
        <v>5779.990569324741</v>
      </c>
      <c r="D55" s="3">
        <f>'BAU Scenario'!D55*(1-'ACC emissions benefits'!D36)</f>
        <v>12509327.208259823</v>
      </c>
      <c r="E55" s="3">
        <f>'Combined MOVES output'!E17</f>
        <v>244277976.35983816</v>
      </c>
      <c r="F55" s="3">
        <f>'BAU Scenario'!F55*(1-'ACC emissions benefits'!F36)</f>
        <v>665.87270133332038</v>
      </c>
      <c r="G55" s="3">
        <f>'BAU Scenario'!G55*(1-'ACC emissions benefits'!G36)</f>
        <v>16247.761514401805</v>
      </c>
      <c r="H55" s="3">
        <f>'BAU Scenario'!H55*(1-'ACC emissions benefits'!H36)</f>
        <v>148.47040695082524</v>
      </c>
      <c r="I55" s="3">
        <f>'BAU Scenario'!I55*(1-'ACC emissions benefits'!I36)</f>
        <v>1295.0171795499746</v>
      </c>
      <c r="J55" s="3">
        <f>D55+AC55</f>
        <v>11118851.675021555</v>
      </c>
      <c r="L55" s="42">
        <f>'Fleet ZEV fractions'!AS25</f>
        <v>0.25100916517186161</v>
      </c>
      <c r="M55" s="42">
        <f>'ZEV efficiency'!L52</f>
        <v>4.1304310049999096</v>
      </c>
      <c r="O55" s="3">
        <f>E55*L55/M55</f>
        <v>14844942.535471808</v>
      </c>
      <c r="P55" s="133">
        <f>$O55*'GREET factors'!B105/454/2000</f>
        <v>851.93013850964405</v>
      </c>
      <c r="Q55" s="133">
        <f>$O55*'GREET factors'!C105/454/2000</f>
        <v>94.542572800926962</v>
      </c>
      <c r="R55" s="133">
        <f>$O55*'GREET factors'!D105/454/2000</f>
        <v>138.43864750781717</v>
      </c>
      <c r="S55" s="133">
        <f>$O55*'GREET factors'!E105/454/2000</f>
        <v>19.523399007512676</v>
      </c>
      <c r="T55" s="133">
        <f>$O55*'GREET factors'!F105/454/2000</f>
        <v>1357850.6261180514</v>
      </c>
      <c r="U55" s="133">
        <f>$O55*'GREET factors'!G105/454/2000</f>
        <v>31.834511900228005</v>
      </c>
      <c r="V55" s="133">
        <f>$O55*'GREET factors'!H105/454/2000</f>
        <v>429.51477816527881</v>
      </c>
      <c r="W55" s="133">
        <f>$O55*'GREET factors'!I105/454/2000</f>
        <v>1367129.5652099857</v>
      </c>
      <c r="X55" s="3">
        <f>('Combined MOVES output'!D17/454/2000-D55)*'GREET factors'!V1</f>
        <v>2748326.1593563184</v>
      </c>
      <c r="Y55" s="262">
        <f>O55*M55*'GREET factors'!$J$7/454/2000</f>
        <v>645.56276703565516</v>
      </c>
      <c r="Z55" s="262">
        <f>O55*M55*'GREET factors'!K$7/454/2000</f>
        <v>80.959766302347987</v>
      </c>
      <c r="AA55" s="262"/>
      <c r="AB55" s="262"/>
      <c r="AC55" s="133">
        <f>T55-X55</f>
        <v>-1390475.5332382671</v>
      </c>
      <c r="AD55" s="262">
        <f>P55-Y55</f>
        <v>206.3673714739889</v>
      </c>
      <c r="AE55" s="262">
        <f>Q55-Z55</f>
        <v>13.582806498578975</v>
      </c>
      <c r="AF55" s="262"/>
      <c r="AG55" s="262"/>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t="s">
        <v>8</v>
      </c>
      <c r="Z59" t="s">
        <v>10</v>
      </c>
      <c r="AC59" s="33" t="s">
        <v>47</v>
      </c>
      <c r="AD59" s="33" t="s">
        <v>8</v>
      </c>
      <c r="AE59" s="33" t="s">
        <v>10</v>
      </c>
    </row>
    <row r="60" spans="1:34">
      <c r="A60">
        <v>2034</v>
      </c>
      <c r="B60" s="8" t="s">
        <v>109</v>
      </c>
      <c r="C60" s="3">
        <f>'BAU Scenario'!C60*(1-'ACC emissions benefits'!C37)</f>
        <v>4927.8510777432712</v>
      </c>
      <c r="D60" s="3">
        <f>'BAU Scenario'!D60*(1-'ACC emissions benefits'!D37)</f>
        <v>10962692.329359919</v>
      </c>
      <c r="E60" s="3">
        <f>'Combined MOVES output'!E18</f>
        <v>241747055.48228911</v>
      </c>
      <c r="F60" s="3">
        <f>'BAU Scenario'!F60*(1-'ACC emissions benefits'!F37)</f>
        <v>652.33175261923122</v>
      </c>
      <c r="G60" s="3">
        <f>'BAU Scenario'!G60*(1-'ACC emissions benefits'!G37)</f>
        <v>15711.247963707759</v>
      </c>
      <c r="H60" s="3">
        <f>'BAU Scenario'!H60*(1-'ACC emissions benefits'!H37)</f>
        <v>133.89462721966416</v>
      </c>
      <c r="I60" s="3">
        <f>'BAU Scenario'!I60*(1-'ACC emissions benefits'!I37)</f>
        <v>1192.5304977178896</v>
      </c>
      <c r="J60" s="3">
        <f>D60+AC60</f>
        <v>9440160.0838503223</v>
      </c>
      <c r="L60" s="42">
        <f>'Fleet ZEV fractions'!AS26</f>
        <v>0.29756680053520307</v>
      </c>
      <c r="M60" s="42">
        <f>'ZEV efficiency'!L53</f>
        <v>4.0914969525160645</v>
      </c>
      <c r="O60" s="3">
        <f>E60*L60/M60</f>
        <v>17581804.086260907</v>
      </c>
      <c r="P60" s="133">
        <f>$O60*'GREET factors'!B106/454/2000</f>
        <v>1008.9947303377438</v>
      </c>
      <c r="Q60" s="133">
        <f>$O60*'GREET factors'!C106/454/2000</f>
        <v>111.97274686817285</v>
      </c>
      <c r="R60" s="133">
        <f>$O60*'GREET factors'!D106/454/2000</f>
        <v>163.96164367988339</v>
      </c>
      <c r="S60" s="133">
        <f>$O60*'GREET factors'!E106/454/2000</f>
        <v>23.122795903573298</v>
      </c>
      <c r="T60" s="133">
        <f>$O60*'GREET factors'!F106/454/2000</f>
        <v>1608188.3530211679</v>
      </c>
      <c r="U60" s="133">
        <f>$O60*'GREET factors'!G106/454/2000</f>
        <v>37.703625330588814</v>
      </c>
      <c r="V60" s="133">
        <f>$O60*'GREET factors'!H106/454/2000</f>
        <v>508.70150987861246</v>
      </c>
      <c r="W60" s="133">
        <f>$O60*'GREET factors'!I106/454/2000</f>
        <v>1619177.9872924299</v>
      </c>
      <c r="X60" s="3">
        <f>('Combined MOVES output'!D18/454/2000-D60)*'GREET factors'!V1</f>
        <v>3130720.5985307638</v>
      </c>
      <c r="Y60" s="262">
        <f>O60*M60*'GREET factors'!$J$7/454/2000</f>
        <v>757.37375220935917</v>
      </c>
      <c r="Z60" s="262">
        <f>O60*M60*'GREET factors'!K$7/454/2000</f>
        <v>94.981936867210209</v>
      </c>
      <c r="AA60" s="262"/>
      <c r="AB60" s="262"/>
      <c r="AC60" s="133">
        <f>T60-X60</f>
        <v>-1522532.2455095958</v>
      </c>
      <c r="AD60" s="262">
        <f>P60-Y60</f>
        <v>251.62097812838465</v>
      </c>
      <c r="AE60" s="262">
        <f>Q60-Z60</f>
        <v>16.990810000962639</v>
      </c>
      <c r="AF60" s="262"/>
      <c r="AG60" s="262"/>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t="s">
        <v>8</v>
      </c>
      <c r="Z64" t="s">
        <v>10</v>
      </c>
      <c r="AC64" s="33" t="s">
        <v>47</v>
      </c>
      <c r="AD64" s="33" t="s">
        <v>8</v>
      </c>
      <c r="AE64" s="33" t="s">
        <v>10</v>
      </c>
    </row>
    <row r="65" spans="1:34">
      <c r="A65">
        <v>2035</v>
      </c>
      <c r="B65" s="8" t="s">
        <v>109</v>
      </c>
      <c r="C65" s="3">
        <f>'BAU Scenario'!C65*(1-'ACC emissions benefits'!C38)</f>
        <v>4094.4890033545698</v>
      </c>
      <c r="D65" s="3">
        <f>'BAU Scenario'!D65*(1-'ACC emissions benefits'!D38)</f>
        <v>9458465.8903030939</v>
      </c>
      <c r="E65" s="3">
        <f>'Combined MOVES output'!E19</f>
        <v>239216134.60474002</v>
      </c>
      <c r="F65" s="3">
        <f>'BAU Scenario'!F65*(1-'ACC emissions benefits'!F38)</f>
        <v>633.05835879925746</v>
      </c>
      <c r="G65" s="3">
        <f>'BAU Scenario'!G65*(1-'ACC emissions benefits'!G38)</f>
        <v>14915.270276814048</v>
      </c>
      <c r="H65" s="3">
        <f>'BAU Scenario'!H65*(1-'ACC emissions benefits'!H38)</f>
        <v>120.12621287778227</v>
      </c>
      <c r="I65" s="3">
        <f>'BAU Scenario'!I65*(1-'ACC emissions benefits'!I38)</f>
        <v>1091.3135350511263</v>
      </c>
      <c r="J65" s="3">
        <f>D65+AC65</f>
        <v>7832057.9125075024</v>
      </c>
      <c r="L65" s="42">
        <f>'Fleet ZEV fractions'!AS27</f>
        <v>0.34665454802665241</v>
      </c>
      <c r="M65" s="42">
        <f>'ZEV efficiency'!L54</f>
        <v>4.0464389688696487</v>
      </c>
      <c r="O65" s="3">
        <f>E65*L65/M65</f>
        <v>20493416.967377063</v>
      </c>
      <c r="P65" s="133">
        <f>$O65*'GREET factors'!B107/454/2000</f>
        <v>1176.0880524687423</v>
      </c>
      <c r="Q65" s="133">
        <f>$O65*'GREET factors'!C107/454/2000</f>
        <v>130.51585487436978</v>
      </c>
      <c r="R65" s="133">
        <f>$O65*'GREET factors'!D107/454/2000</f>
        <v>191.11430852617062</v>
      </c>
      <c r="S65" s="133">
        <f>$O65*'GREET factors'!E107/454/2000</f>
        <v>26.952017869075341</v>
      </c>
      <c r="T65" s="133">
        <f>$O65*'GREET factors'!F107/454/2000</f>
        <v>1874510.3926107474</v>
      </c>
      <c r="U65" s="133">
        <f>$O65*'GREET factors'!G107/454/2000</f>
        <v>43.947487487095529</v>
      </c>
      <c r="V65" s="133">
        <f>$O65*'GREET factors'!H107/454/2000</f>
        <v>592.94439311965755</v>
      </c>
      <c r="W65" s="133">
        <f>$O65*'GREET factors'!I107/454/2000</f>
        <v>1887319.9516488858</v>
      </c>
      <c r="X65" s="3">
        <f>('Combined MOVES output'!D19/454/2000-D65)*'GREET factors'!V1</f>
        <v>3500918.3704063394</v>
      </c>
      <c r="Y65" s="262">
        <f>O65*M65*'GREET factors'!$J$7/454/2000</f>
        <v>873.0758038423005</v>
      </c>
      <c r="Z65" s="262">
        <f>O65*M65*'GREET factors'!K$7/454/2000</f>
        <v>109.49208450772269</v>
      </c>
      <c r="AA65" s="262"/>
      <c r="AB65" s="262"/>
      <c r="AC65" s="133">
        <f>T65-X65</f>
        <v>-1626407.977795592</v>
      </c>
      <c r="AD65" s="262">
        <f>P65-Y65</f>
        <v>303.01224862644176</v>
      </c>
      <c r="AE65" s="262">
        <f>Q65-Z65</f>
        <v>21.023770366647085</v>
      </c>
      <c r="AF65" s="262"/>
      <c r="AG65" s="262"/>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t="s">
        <v>8</v>
      </c>
      <c r="Z69" t="s">
        <v>10</v>
      </c>
      <c r="AC69" s="33" t="s">
        <v>47</v>
      </c>
      <c r="AD69" s="33" t="s">
        <v>8</v>
      </c>
      <c r="AE69" s="33" t="s">
        <v>10</v>
      </c>
    </row>
    <row r="70" spans="1:34">
      <c r="A70">
        <v>2036</v>
      </c>
      <c r="B70" t="s">
        <v>109</v>
      </c>
      <c r="C70" s="3">
        <f>'BAU Scenario'!C70*(1-'ACC emissions benefits'!C39)</f>
        <v>3720.9785966565964</v>
      </c>
      <c r="D70" s="3">
        <f>'BAU Scenario'!D70*(1-'ACC emissions benefits'!D39)</f>
        <v>8156491.2550131362</v>
      </c>
      <c r="E70" s="3">
        <f>'Combined MOVES output'!E20</f>
        <v>238542392.8259792</v>
      </c>
      <c r="F70" s="3">
        <f>'BAU Scenario'!F70*(1-'ACC emissions benefits'!F39)</f>
        <v>623.67343882705643</v>
      </c>
      <c r="G70" s="3">
        <f>'BAU Scenario'!G70*(1-'ACC emissions benefits'!G39)</f>
        <v>14311.698754107574</v>
      </c>
      <c r="H70" s="3">
        <f>'BAU Scenario'!H70*(1-'ACC emissions benefits'!H39)</f>
        <v>107.94833288823141</v>
      </c>
      <c r="I70" s="3">
        <f>'BAU Scenario'!I70*(1-'ACC emissions benefits'!I39)</f>
        <v>1013.9362957545236</v>
      </c>
      <c r="J70" s="3">
        <f>D70+AC70</f>
        <v>6430590.6038005259</v>
      </c>
      <c r="L70" s="42">
        <f>'Fleet ZEV fractions'!AS28</f>
        <v>0.39472732453272663</v>
      </c>
      <c r="M70" s="42">
        <f>'ZEV efficiency'!L55</f>
        <v>4.0378375834843245</v>
      </c>
      <c r="O70" s="3">
        <f>E70*L70/M70</f>
        <v>23319214.446109973</v>
      </c>
      <c r="P70" s="133">
        <f>$O70*'GREET factors'!B108/454/2000</f>
        <v>1338.2565507101276</v>
      </c>
      <c r="Q70" s="133">
        <f>$O70*'GREET factors'!C108/454/2000</f>
        <v>148.51243271328099</v>
      </c>
      <c r="R70" s="133">
        <f>$O70*'GREET factors'!D108/454/2000</f>
        <v>217.46668949039574</v>
      </c>
      <c r="S70" s="133">
        <f>$O70*'GREET factors'!E108/454/2000</f>
        <v>30.668379287107097</v>
      </c>
      <c r="T70" s="133">
        <f>$O70*'GREET factors'!F108/454/2000</f>
        <v>2132982.991383818</v>
      </c>
      <c r="U70" s="133">
        <f>$O70*'GREET factors'!G108/454/2000</f>
        <v>50.007321214939473</v>
      </c>
      <c r="V70" s="133">
        <f>$O70*'GREET factors'!H108/454/2000</f>
        <v>674.70434431635613</v>
      </c>
      <c r="W70" s="133">
        <f>$O70*'GREET factors'!I108/454/2000</f>
        <v>2147558.8356486359</v>
      </c>
      <c r="X70" s="3">
        <f>('Combined MOVES output'!D20/454/2000-D70)*'GREET factors'!V1</f>
        <v>3858883.6425964283</v>
      </c>
      <c r="Y70" s="262">
        <f>O70*M70*'GREET factors'!$J$7/454/2000</f>
        <v>991.35076000003301</v>
      </c>
      <c r="Z70" s="262">
        <f>O70*M70*'GREET factors'!K$7/454/2000</f>
        <v>124.32489906721169</v>
      </c>
      <c r="AA70" s="262"/>
      <c r="AB70" s="262"/>
      <c r="AC70" s="133">
        <f>T70-X70</f>
        <v>-1725900.6512126103</v>
      </c>
      <c r="AD70" s="262">
        <f>P70-Y70</f>
        <v>346.90579071009461</v>
      </c>
      <c r="AE70" s="262">
        <f>Q70-Z70</f>
        <v>24.187533646069298</v>
      </c>
      <c r="AF70" s="262"/>
      <c r="AG70" s="262"/>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t="s">
        <v>8</v>
      </c>
      <c r="Z74" t="s">
        <v>10</v>
      </c>
      <c r="AC74" s="33" t="s">
        <v>47</v>
      </c>
      <c r="AD74" s="33" t="s">
        <v>8</v>
      </c>
      <c r="AE74" s="33" t="s">
        <v>10</v>
      </c>
    </row>
    <row r="75" spans="1:34">
      <c r="A75">
        <v>2037</v>
      </c>
      <c r="B75" t="s">
        <v>109</v>
      </c>
      <c r="C75" s="3">
        <f>'BAU Scenario'!C75*(1-'ACC emissions benefits'!C40)</f>
        <v>3356.9869929875326</v>
      </c>
      <c r="D75" s="3">
        <f>'BAU Scenario'!D75*(1-'ACC emissions benefits'!D40)</f>
        <v>7034273.8955472903</v>
      </c>
      <c r="E75" s="3">
        <f>'Combined MOVES output'!E21</f>
        <v>237868651.04721838</v>
      </c>
      <c r="F75" s="3">
        <f>'BAU Scenario'!F75*(1-'ACC emissions benefits'!F40)</f>
        <v>615.26519181767173</v>
      </c>
      <c r="G75" s="3">
        <f>'BAU Scenario'!G75*(1-'ACC emissions benefits'!G40)</f>
        <v>13715.877544848945</v>
      </c>
      <c r="H75" s="3">
        <f>'BAU Scenario'!H75*(1-'ACC emissions benefits'!H40)</f>
        <v>97.474022419827932</v>
      </c>
      <c r="I75" s="3">
        <f>'BAU Scenario'!I75*(1-'ACC emissions benefits'!I40)</f>
        <v>945.02857868001809</v>
      </c>
      <c r="J75" s="3">
        <f>D75+AC75</f>
        <v>5254721.1269836565</v>
      </c>
      <c r="L75" s="42">
        <f>'Fleet ZEV fractions'!AS29</f>
        <v>0.44182186695669395</v>
      </c>
      <c r="M75" s="42">
        <f>'ZEV efficiency'!L56</f>
        <v>4.0295879456542387</v>
      </c>
      <c r="O75" s="3">
        <f>E75*L75/M75</f>
        <v>26080972.276456721</v>
      </c>
      <c r="P75" s="133">
        <f>$O75*'GREET factors'!B109/454/2000</f>
        <v>1496.7499046126675</v>
      </c>
      <c r="Q75" s="133">
        <f>$O75*'GREET factors'!C109/454/2000</f>
        <v>166.10116302396983</v>
      </c>
      <c r="R75" s="133">
        <f>$O75*'GREET factors'!D109/454/2000</f>
        <v>243.22185949955849</v>
      </c>
      <c r="S75" s="133">
        <f>$O75*'GREET factors'!E109/454/2000</f>
        <v>34.300518647373629</v>
      </c>
      <c r="T75" s="133">
        <f>$O75*'GREET factors'!F109/454/2000</f>
        <v>2385597.9536958681</v>
      </c>
      <c r="U75" s="133">
        <f>$O75*'GREET factors'!G109/454/2000</f>
        <v>55.929823932995774</v>
      </c>
      <c r="V75" s="133">
        <f>$O75*'GREET factors'!H109/454/2000</f>
        <v>754.61141024221979</v>
      </c>
      <c r="W75" s="133">
        <f>$O75*'GREET factors'!I109/454/2000</f>
        <v>2401900.0547402743</v>
      </c>
      <c r="X75" s="3">
        <f>('Combined MOVES output'!D21/454/2000-D75)*'GREET factors'!V1</f>
        <v>4165150.7222595019</v>
      </c>
      <c r="Y75" s="262">
        <f>O75*M75*'GREET factors'!$J$7/454/2000</f>
        <v>1106.4938329279971</v>
      </c>
      <c r="Z75" s="262">
        <f>O75*M75*'GREET factors'!K$7/454/2000</f>
        <v>138.76494541373114</v>
      </c>
      <c r="AA75" s="262"/>
      <c r="AB75" s="262"/>
      <c r="AC75" s="133">
        <f>T75-X75</f>
        <v>-1779552.7685636338</v>
      </c>
      <c r="AD75" s="262">
        <f>P75-Y75</f>
        <v>390.25607168467036</v>
      </c>
      <c r="AE75" s="262">
        <f>Q75-Z75</f>
        <v>27.336217610238691</v>
      </c>
      <c r="AF75" s="262"/>
      <c r="AG75" s="262"/>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t="s">
        <v>8</v>
      </c>
      <c r="Z79" t="s">
        <v>10</v>
      </c>
      <c r="AC79" s="33" t="s">
        <v>47</v>
      </c>
      <c r="AD79" s="33" t="s">
        <v>8</v>
      </c>
      <c r="AE79" s="33" t="s">
        <v>10</v>
      </c>
    </row>
    <row r="80" spans="1:34">
      <c r="A80">
        <v>2038</v>
      </c>
      <c r="B80" t="s">
        <v>109</v>
      </c>
      <c r="C80" s="3">
        <f>'BAU Scenario'!C80*(1-'ACC emissions benefits'!C41)</f>
        <v>3003.9444755240761</v>
      </c>
      <c r="D80" s="3">
        <f>'BAU Scenario'!D80*(1-'ACC emissions benefits'!D41)</f>
        <v>6062739.1378000425</v>
      </c>
      <c r="E80" s="3">
        <f>'Combined MOVES output'!E22</f>
        <v>237194909.26845753</v>
      </c>
      <c r="F80" s="3">
        <f>'BAU Scenario'!F80*(1-'ACC emissions benefits'!F41)</f>
        <v>606.78531260683769</v>
      </c>
      <c r="G80" s="3">
        <f>'BAU Scenario'!G80*(1-'ACC emissions benefits'!G41)</f>
        <v>13085.6397047234</v>
      </c>
      <c r="H80" s="3">
        <f>'BAU Scenario'!H80*(1-'ACC emissions benefits'!H41)</f>
        <v>88.363807249872593</v>
      </c>
      <c r="I80" s="3">
        <f>'BAU Scenario'!I80*(1-'ACC emissions benefits'!I41)</f>
        <v>882.91551833018934</v>
      </c>
      <c r="J80" s="3">
        <f>D80+AC80</f>
        <v>4267316.6002010517</v>
      </c>
      <c r="L80" s="42">
        <f>'Fleet ZEV fractions'!AS30</f>
        <v>0.48800688651495078</v>
      </c>
      <c r="M80" s="42">
        <f>'ZEV efficiency'!L57</f>
        <v>4.021704797126664</v>
      </c>
      <c r="O80" s="3">
        <f>E80*L80/M80</f>
        <v>28782010.368338469</v>
      </c>
      <c r="P80" s="133">
        <f>$O80*'GREET factors'!B110/454/2000</f>
        <v>1651.7586390849099</v>
      </c>
      <c r="Q80" s="133">
        <f>$O80*'GREET factors'!C110/454/2000</f>
        <v>183.30318922444991</v>
      </c>
      <c r="R80" s="133">
        <f>$O80*'GREET factors'!D110/454/2000</f>
        <v>268.41077885129778</v>
      </c>
      <c r="S80" s="133">
        <f>$O80*'GREET factors'!E110/454/2000</f>
        <v>37.852802145695847</v>
      </c>
      <c r="T80" s="133">
        <f>$O80*'GREET factors'!F110/454/2000</f>
        <v>2632658.9480693149</v>
      </c>
      <c r="U80" s="133">
        <f>$O80*'GREET factors'!G110/454/2000</f>
        <v>61.722115083568816</v>
      </c>
      <c r="V80" s="133">
        <f>$O80*'GREET factors'!H110/454/2000</f>
        <v>832.76164720530858</v>
      </c>
      <c r="W80" s="133">
        <f>$O80*'GREET factors'!I110/454/2000</f>
        <v>2650649.3525800146</v>
      </c>
      <c r="X80" s="3">
        <f>('Combined MOVES output'!D22/454/2000-D80)*'GREET factors'!V1</f>
        <v>4428081.4856683053</v>
      </c>
      <c r="Y80" s="262">
        <f>O80*M80*'GREET factors'!$J$7/454/2000</f>
        <v>1218.6974320319166</v>
      </c>
      <c r="Z80" s="262">
        <f>O80*M80*'GREET factors'!K$7/454/2000</f>
        <v>152.83635353326719</v>
      </c>
      <c r="AA80" s="262"/>
      <c r="AB80" s="262"/>
      <c r="AC80" s="133">
        <f>T80-X80</f>
        <v>-1795422.5375989904</v>
      </c>
      <c r="AD80" s="262">
        <f>P80-Y80</f>
        <v>433.06120705299327</v>
      </c>
      <c r="AE80" s="262">
        <f>Q80-Z80</f>
        <v>30.466835691182723</v>
      </c>
      <c r="AF80" s="262"/>
      <c r="AG80" s="262"/>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t="s">
        <v>8</v>
      </c>
      <c r="Z84" t="s">
        <v>10</v>
      </c>
      <c r="AC84" s="33" t="s">
        <v>47</v>
      </c>
      <c r="AD84" s="33" t="s">
        <v>8</v>
      </c>
      <c r="AE84" s="33" t="s">
        <v>10</v>
      </c>
    </row>
    <row r="85" spans="1:34">
      <c r="A85">
        <v>2039</v>
      </c>
      <c r="B85" t="s">
        <v>109</v>
      </c>
      <c r="C85" s="3">
        <f>'BAU Scenario'!C85*(1-'ACC emissions benefits'!C42)</f>
        <v>2663.252538136021</v>
      </c>
      <c r="D85" s="3">
        <f>'BAU Scenario'!D85*(1-'ACC emissions benefits'!D42)</f>
        <v>5228500.1434934828</v>
      </c>
      <c r="E85" s="3">
        <f>'Combined MOVES output'!E23</f>
        <v>236521167.48969671</v>
      </c>
      <c r="F85" s="3">
        <f>'BAU Scenario'!F85*(1-'ACC emissions benefits'!F42)</f>
        <v>599.58997005324363</v>
      </c>
      <c r="G85" s="3">
        <f>'BAU Scenario'!G85*(1-'ACC emissions benefits'!G42)</f>
        <v>12421.923668410944</v>
      </c>
      <c r="H85" s="3">
        <f>'BAU Scenario'!H85*(1-'ACC emissions benefits'!H42)</f>
        <v>80.446717206411435</v>
      </c>
      <c r="I85" s="3">
        <f>'BAU Scenario'!I85*(1-'ACC emissions benefits'!I42)</f>
        <v>827.16695746984249</v>
      </c>
      <c r="J85" s="3">
        <f>D85+AC85</f>
        <v>3451473.8741302625</v>
      </c>
      <c r="L85" s="42">
        <f>'Fleet ZEV fractions'!AS31</f>
        <v>0.53334480660329575</v>
      </c>
      <c r="M85" s="42">
        <f>'ZEV efficiency'!L58</f>
        <v>4.0141101927609322</v>
      </c>
      <c r="O85" s="3">
        <f>E85*L85/M85</f>
        <v>31425977.433273457</v>
      </c>
      <c r="P85" s="133">
        <f>$O85*'GREET factors'!B111/454/2000</f>
        <v>1803.4921484914121</v>
      </c>
      <c r="Q85" s="133">
        <f>$O85*'GREET factors'!C111/454/2000</f>
        <v>200.14174876232451</v>
      </c>
      <c r="R85" s="133">
        <f>$O85*'GREET factors'!D111/454/2000</f>
        <v>293.06747412985447</v>
      </c>
      <c r="S85" s="133">
        <f>$O85*'GREET factors'!E111/454/2000</f>
        <v>41.3300284029282</v>
      </c>
      <c r="T85" s="133">
        <f>$O85*'GREET factors'!F111/454/2000</f>
        <v>2874499.7181483465</v>
      </c>
      <c r="U85" s="133">
        <f>$O85*'GREET factors'!G111/454/2000</f>
        <v>67.392019213636146</v>
      </c>
      <c r="V85" s="133">
        <f>$O85*'GREET factors'!H111/454/2000</f>
        <v>909.26062486442027</v>
      </c>
      <c r="W85" s="133">
        <f>$O85*'GREET factors'!I111/454/2000</f>
        <v>2894142.753465666</v>
      </c>
      <c r="X85" s="3">
        <f>('Combined MOVES output'!D23/454/2000-D85)*'GREET factors'!V1</f>
        <v>4651525.9875115668</v>
      </c>
      <c r="Y85" s="262">
        <f>O85*M85*'GREET factors'!$J$7/454/2000</f>
        <v>1328.1363591726633</v>
      </c>
      <c r="Z85" s="262">
        <f>O85*M85*'GREET factors'!K$7/454/2000</f>
        <v>166.56104525670605</v>
      </c>
      <c r="AA85" s="262"/>
      <c r="AB85" s="262"/>
      <c r="AC85" s="133">
        <f>T85-X85</f>
        <v>-1777026.2693632203</v>
      </c>
      <c r="AD85" s="262">
        <f>P85-Y85</f>
        <v>475.35578931874875</v>
      </c>
      <c r="AE85" s="262">
        <f>Q85-Z85</f>
        <v>33.580703505618459</v>
      </c>
      <c r="AF85" s="262"/>
      <c r="AG85" s="262"/>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t="s">
        <v>8</v>
      </c>
      <c r="Z89" t="s">
        <v>10</v>
      </c>
      <c r="AA89" t="s">
        <v>115</v>
      </c>
      <c r="AB89" t="s">
        <v>116</v>
      </c>
      <c r="AC89" s="33" t="s">
        <v>47</v>
      </c>
      <c r="AD89" s="33" t="s">
        <v>8</v>
      </c>
      <c r="AE89" s="33" t="s">
        <v>10</v>
      </c>
      <c r="AF89" t="s">
        <v>115</v>
      </c>
      <c r="AG89" t="s">
        <v>116</v>
      </c>
    </row>
    <row r="90" spans="1:34">
      <c r="A90">
        <v>2040</v>
      </c>
      <c r="B90" s="8" t="s">
        <v>109</v>
      </c>
      <c r="C90" s="3">
        <f>'BAU Scenario'!C90*(1-'ACC emissions benefits'!C43)</f>
        <v>2343.4123130299909</v>
      </c>
      <c r="D90" s="3">
        <f>'BAU Scenario'!D90*(1-'ACC emissions benefits'!D43)</f>
        <v>4523757.5846806783</v>
      </c>
      <c r="E90" s="3">
        <f>'Combined MOVES output'!E24</f>
        <v>235847425.71093589</v>
      </c>
      <c r="F90" s="3">
        <f>'BAU Scenario'!F90*(1-'ACC emissions benefits'!F43)</f>
        <v>592.81735350293468</v>
      </c>
      <c r="G90" s="3">
        <f>'BAU Scenario'!G90*(1-'ACC emissions benefits'!G43)</f>
        <v>11719.424292564614</v>
      </c>
      <c r="H90" s="3">
        <f>'BAU Scenario'!H90*(1-'ACC emissions benefits'!H43)</f>
        <v>73.661267366254435</v>
      </c>
      <c r="I90" s="3">
        <f>'BAU Scenario'!I90*(1-'ACC emissions benefits'!I43)</f>
        <v>778.08399182991423</v>
      </c>
      <c r="J90" s="3">
        <f>D90+AC90</f>
        <v>2797410.704920237</v>
      </c>
      <c r="L90" s="42">
        <f>'Fleet ZEV fractions'!AS32</f>
        <v>0.57789246596468313</v>
      </c>
      <c r="M90" s="42">
        <f>'ZEV efficiency'!L59</f>
        <v>4.0068080026283281</v>
      </c>
      <c r="O90" s="3">
        <f>E90*L90/M90</f>
        <v>34015717.834772892</v>
      </c>
      <c r="P90" s="133">
        <f>$O90*'GREET factors'!B112/454/2000</f>
        <v>1952.113666808614</v>
      </c>
      <c r="Q90" s="133">
        <f>$O90*'GREET factors'!C112/454/2000</f>
        <v>216.63495645640742</v>
      </c>
      <c r="R90" s="133">
        <f>$O90*'GREET factors'!D112/454/2000</f>
        <v>317.21847085639979</v>
      </c>
      <c r="S90" s="133">
        <f>$O90*'GREET factors'!E112/454/2000</f>
        <v>44.735938197697408</v>
      </c>
      <c r="T90" s="133">
        <f>$O90*'GREET factors'!F112/454/2000</f>
        <v>3111380.4347463828</v>
      </c>
      <c r="U90" s="133">
        <f>$O90*'GREET factors'!G112/454/2000</f>
        <v>72.945635971197731</v>
      </c>
      <c r="V90" s="133">
        <f>$O90*'GREET factors'!H112/454/2000</f>
        <v>984.19064034934297</v>
      </c>
      <c r="W90" s="133">
        <f>$O90*'GREET factors'!I112/454/2000</f>
        <v>3132642.2061007065</v>
      </c>
      <c r="X90" s="3">
        <f>('Combined MOVES output'!D24/454/2000-D90)*'GREET factors'!V1</f>
        <v>4837727.3145068241</v>
      </c>
      <c r="Y90" s="262">
        <f>O90*M90*'GREET factors'!$J$7/454/2000</f>
        <v>1434.9697777201711</v>
      </c>
      <c r="Z90" s="262">
        <f>O90*M90*'GREET factors'!K$7/454/2000</f>
        <v>179.95898119809129</v>
      </c>
      <c r="AA90" s="262">
        <f>O90*M90*'GREET factors'!L7/454/2000</f>
        <v>3604.5166866118443</v>
      </c>
      <c r="AB90" s="262">
        <f>O90*M90*'GREET factors'!M7/454/2000</f>
        <v>537.95652837511011</v>
      </c>
      <c r="AC90" s="3">
        <f>T90-X90</f>
        <v>-1726346.8797604414</v>
      </c>
      <c r="AD90" s="262">
        <f>P90-Y90</f>
        <v>517.14388908844285</v>
      </c>
      <c r="AE90" s="262">
        <f>Q90-Z90</f>
        <v>36.675975258316129</v>
      </c>
      <c r="AF90" s="262">
        <f>U90-AA90</f>
        <v>-3531.5710506406467</v>
      </c>
      <c r="AG90" s="262">
        <f>V90-AB90</f>
        <v>446.23411197423286</v>
      </c>
      <c r="AH90">
        <v>2040</v>
      </c>
    </row>
    <row r="91" spans="1:34">
      <c r="O91" s="29"/>
    </row>
  </sheetData>
  <sheetProtection algorithmName="SHA-512" hashValue="eeI5tI6lzzKDlcC/xZqyTEJr5Vrn2cHa3bVEZXfamvX0vTs2K62pdlKqBPCub1X7a9ky0uNDvgROIvSl7SydFA==" saltValue="Cq2u2GsCDSbOOwZ1KrG2CA==" spinCount="100000" sheet="1" objects="1" scenarios="1"/>
  <mergeCells count="10">
    <mergeCell ref="AF10:AG10"/>
    <mergeCell ref="AC7:AG7"/>
    <mergeCell ref="C7:I9"/>
    <mergeCell ref="AA10:AB10"/>
    <mergeCell ref="X7:AB7"/>
    <mergeCell ref="C12:I14"/>
    <mergeCell ref="C17:I19"/>
    <mergeCell ref="P7:W7"/>
    <mergeCell ref="L5:L6"/>
    <mergeCell ref="M5:M6"/>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topLeftCell="F15" workbookViewId="0">
      <selection activeCell="H9" sqref="H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379</v>
      </c>
      <c r="E1" s="29"/>
      <c r="G1" s="30"/>
    </row>
    <row r="2" spans="1:26">
      <c r="A2" t="s">
        <v>393</v>
      </c>
    </row>
    <row r="3" spans="1:26">
      <c r="A3" t="s">
        <v>378</v>
      </c>
      <c r="L3" t="s">
        <v>384</v>
      </c>
    </row>
    <row r="4" spans="1:26" ht="16" thickBot="1">
      <c r="A4" t="s">
        <v>394</v>
      </c>
    </row>
    <row r="5" spans="1:26">
      <c r="L5" s="301" t="s">
        <v>398</v>
      </c>
      <c r="M5" s="302"/>
      <c r="N5" s="302"/>
      <c r="O5" s="303"/>
      <c r="P5" s="304" t="s">
        <v>399</v>
      </c>
      <c r="Q5" s="305"/>
      <c r="R5" s="305"/>
      <c r="S5" s="306"/>
    </row>
    <row r="6" spans="1:26">
      <c r="L6" s="77"/>
      <c r="M6" t="s">
        <v>122</v>
      </c>
      <c r="N6" t="s">
        <v>121</v>
      </c>
      <c r="O6" s="73" t="s">
        <v>49</v>
      </c>
      <c r="P6" s="146"/>
      <c r="Q6" s="29" t="s">
        <v>122</v>
      </c>
      <c r="R6" s="29" t="s">
        <v>121</v>
      </c>
      <c r="S6" s="176" t="s">
        <v>49</v>
      </c>
      <c r="V6" s="29" t="s">
        <v>462</v>
      </c>
    </row>
    <row r="7" spans="1:26">
      <c r="A7" t="s">
        <v>410</v>
      </c>
      <c r="L7" s="77">
        <v>2023</v>
      </c>
      <c r="M7" s="210">
        <v>7.0000000000000001E-3</v>
      </c>
      <c r="N7" s="210">
        <v>6.7000000000000004E-2</v>
      </c>
      <c r="O7" s="212">
        <f>M7+N7</f>
        <v>7.400000000000001E-2</v>
      </c>
      <c r="P7" s="146">
        <v>2023</v>
      </c>
      <c r="Q7" s="255">
        <v>5.6114228986727599E-3</v>
      </c>
      <c r="R7" s="255">
        <v>4.3245790694099603E-2</v>
      </c>
      <c r="S7" s="256">
        <f>Q7+R7</f>
        <v>4.8857213592772362E-2</v>
      </c>
      <c r="U7" s="165" t="s">
        <v>458</v>
      </c>
      <c r="Z7" t="s">
        <v>461</v>
      </c>
    </row>
    <row r="8" spans="1:26">
      <c r="C8" t="s">
        <v>376</v>
      </c>
      <c r="D8" t="s">
        <v>2</v>
      </c>
      <c r="E8" t="s">
        <v>116</v>
      </c>
      <c r="F8" s="29" t="s">
        <v>115</v>
      </c>
      <c r="G8" s="29" t="s">
        <v>47</v>
      </c>
      <c r="H8" s="145" t="s">
        <v>460</v>
      </c>
      <c r="I8" s="225"/>
      <c r="J8" s="231" t="str">
        <f>G8</f>
        <v>CO2e</v>
      </c>
      <c r="L8" s="77">
        <v>2024</v>
      </c>
      <c r="M8" s="210">
        <v>7.0000000000000001E-3</v>
      </c>
      <c r="N8" s="210">
        <v>9.5000000000000001E-2</v>
      </c>
      <c r="O8" s="212">
        <f t="shared" ref="O8:O10" si="0">M8+N8</f>
        <v>0.10200000000000001</v>
      </c>
      <c r="P8" s="146">
        <v>2024</v>
      </c>
      <c r="Q8" s="255">
        <v>5.5430895670552901E-3</v>
      </c>
      <c r="R8" s="255">
        <v>4.7553932131171699E-2</v>
      </c>
      <c r="S8" s="256">
        <f t="shared" ref="S8:S10" si="1">Q8+R8</f>
        <v>5.3097021698226991E-2</v>
      </c>
      <c r="U8" t="str">
        <f>'CARB ZEV counts'!A63</f>
        <v>CY</v>
      </c>
      <c r="V8" t="str">
        <f>'CARB ZEV counts'!B63</f>
        <v xml:space="preserve">PC </v>
      </c>
      <c r="W8" t="str">
        <f>'CARB ZEV counts'!C63</f>
        <v>LDT</v>
      </c>
      <c r="X8" t="s">
        <v>459</v>
      </c>
    </row>
    <row r="9" spans="1:26">
      <c r="B9">
        <v>2025</v>
      </c>
      <c r="C9" s="222">
        <f>C29*$P29*$Q29</f>
        <v>1.2539800146570254E-3</v>
      </c>
      <c r="D9" s="222">
        <f t="shared" ref="D9:F9" si="2">D29*$P29*$Q29</f>
        <v>6.0468110721099561E-3</v>
      </c>
      <c r="E9" s="222">
        <f t="shared" si="2"/>
        <v>-4.651762312278368E-2</v>
      </c>
      <c r="F9" s="222">
        <f t="shared" si="2"/>
        <v>7.3333535308963459E-3</v>
      </c>
      <c r="G9" s="227">
        <f>J29*P29*Q29</f>
        <v>-4.5789648923805028E-2</v>
      </c>
      <c r="H9" s="227">
        <f>(N29-Z9)*Q29</f>
        <v>-0.1292910505099461</v>
      </c>
      <c r="I9" s="226"/>
      <c r="J9" s="232">
        <f t="shared" ref="J9:J24" si="3">G9</f>
        <v>-4.5789648923805028E-2</v>
      </c>
      <c r="K9" s="140"/>
      <c r="L9" s="77">
        <v>2025</v>
      </c>
      <c r="M9" s="210">
        <v>7.0000000000000001E-3</v>
      </c>
      <c r="N9" s="210">
        <v>0.129</v>
      </c>
      <c r="O9" s="212">
        <f t="shared" si="0"/>
        <v>0.13600000000000001</v>
      </c>
      <c r="P9" s="146">
        <v>2025</v>
      </c>
      <c r="Q9" s="255">
        <v>5.1893396576929898E-3</v>
      </c>
      <c r="R9" s="255">
        <v>5.3288096549831299E-2</v>
      </c>
      <c r="S9" s="256">
        <f t="shared" si="1"/>
        <v>5.847743620752429E-2</v>
      </c>
      <c r="U9">
        <f>'CARB ZEV counts'!A64</f>
        <v>2025</v>
      </c>
      <c r="V9">
        <f>'CARB ZEV counts'!B64</f>
        <v>0.60000000000000009</v>
      </c>
      <c r="W9">
        <f>'CARB ZEV counts'!C64</f>
        <v>0.49</v>
      </c>
      <c r="X9" s="60">
        <f>V9*'Combined MOVES output'!AG$38+'Federal GHG Rule'!W9*(1-'Combined MOVES output'!AG$38)</f>
        <v>0.53882960816082459</v>
      </c>
      <c r="Z9" s="210">
        <f>M9*X9+N9</f>
        <v>0.13277180725712578</v>
      </c>
    </row>
    <row r="10" spans="1:26" ht="16" thickBot="1">
      <c r="B10">
        <v>2026</v>
      </c>
      <c r="C10" s="222">
        <f t="shared" ref="C10:F24" si="4">C30*$P30*$Q30</f>
        <v>4.554306076818965E-4</v>
      </c>
      <c r="D10" s="222">
        <f t="shared" si="4"/>
        <v>6.0420221665372538E-3</v>
      </c>
      <c r="E10" s="222">
        <f t="shared" si="4"/>
        <v>-5.2732410266791846E-2</v>
      </c>
      <c r="F10" s="222">
        <f t="shared" si="4"/>
        <v>7.380971391352513E-3</v>
      </c>
      <c r="G10" s="227">
        <f t="shared" ref="G10:G24" si="5">J30*P30*Q30</f>
        <v>-5.1962557665551669E-2</v>
      </c>
      <c r="H10" s="227">
        <f t="shared" ref="H10:H24" si="6">(N30-Z10)*Q30</f>
        <v>-0.16490693193145703</v>
      </c>
      <c r="I10" s="226"/>
      <c r="J10" s="232">
        <f t="shared" si="3"/>
        <v>-5.1962557665551669E-2</v>
      </c>
      <c r="K10" s="140"/>
      <c r="L10" s="228" t="s">
        <v>395</v>
      </c>
      <c r="M10" s="214">
        <v>6.0000000000000001E-3</v>
      </c>
      <c r="N10" s="214">
        <v>0.16600000000000001</v>
      </c>
      <c r="O10" s="215">
        <f t="shared" si="0"/>
        <v>0.17200000000000001</v>
      </c>
      <c r="P10" s="257" t="s">
        <v>395</v>
      </c>
      <c r="Q10" s="258">
        <v>4.4455139967337597E-3</v>
      </c>
      <c r="R10" s="258">
        <v>6.3294250609545702E-2</v>
      </c>
      <c r="S10" s="259">
        <f t="shared" si="1"/>
        <v>6.7739764606279465E-2</v>
      </c>
      <c r="U10">
        <f>'CARB ZEV counts'!A65</f>
        <v>2026</v>
      </c>
      <c r="V10">
        <f>'CARB ZEV counts'!B65</f>
        <v>0.60000000000000009</v>
      </c>
      <c r="W10">
        <f>'CARB ZEV counts'!C65</f>
        <v>0.49</v>
      </c>
      <c r="X10" s="60">
        <f>V10*'Combined MOVES output'!AG$38+'Federal GHG Rule'!W10*(1-'Combined MOVES output'!AG$38)</f>
        <v>0.53882960816082459</v>
      </c>
      <c r="Z10" s="210">
        <f>M10*X10+N10</f>
        <v>0.16923297764896494</v>
      </c>
    </row>
    <row r="11" spans="1:26">
      <c r="B11" s="8">
        <v>2027</v>
      </c>
      <c r="C11" s="222">
        <f t="shared" si="4"/>
        <v>-4.1745773703350377E-4</v>
      </c>
      <c r="D11" s="222">
        <f t="shared" si="4"/>
        <v>6.4687322396668303E-3</v>
      </c>
      <c r="E11" s="222">
        <f t="shared" si="4"/>
        <v>-6.4080396632089309E-2</v>
      </c>
      <c r="F11" s="222">
        <f t="shared" si="4"/>
        <v>8.0051020094413748E-3</v>
      </c>
      <c r="G11" s="227">
        <f t="shared" si="5"/>
        <v>-6.3200857275122299E-2</v>
      </c>
      <c r="H11" s="227">
        <f t="shared" si="6"/>
        <v>-0.16524741513995442</v>
      </c>
      <c r="I11" s="226"/>
      <c r="J11" s="232">
        <f t="shared" si="3"/>
        <v>-6.3200857275122299E-2</v>
      </c>
      <c r="K11" s="140"/>
      <c r="U11">
        <f>'CARB ZEV counts'!A66</f>
        <v>2027</v>
      </c>
      <c r="V11">
        <f>'CARB ZEV counts'!B66</f>
        <v>0.62999999999999989</v>
      </c>
      <c r="W11">
        <f>'CARB ZEV counts'!C66</f>
        <v>0.56499999999999995</v>
      </c>
      <c r="X11" s="60">
        <f>V11*'Combined MOVES output'!AG$38+'Federal GHG Rule'!W11*(1-'Combined MOVES output'!AG$38)</f>
        <v>0.59385385936775992</v>
      </c>
      <c r="Z11" s="210">
        <f>M$10*X11+N$10</f>
        <v>0.16956312315620656</v>
      </c>
    </row>
    <row r="12" spans="1:26">
      <c r="A12" s="6"/>
      <c r="B12">
        <v>2028</v>
      </c>
      <c r="C12" s="222">
        <f t="shared" si="4"/>
        <v>-2.2969364337695692E-3</v>
      </c>
      <c r="D12" s="222">
        <f t="shared" si="4"/>
        <v>6.769610329381062E-3</v>
      </c>
      <c r="E12" s="222">
        <f t="shared" si="4"/>
        <v>-8.0410151466428867E-2</v>
      </c>
      <c r="F12" s="222">
        <f t="shared" si="4"/>
        <v>8.5888589920830784E-3</v>
      </c>
      <c r="G12" s="227">
        <f t="shared" si="5"/>
        <v>-7.9366746823986395E-2</v>
      </c>
      <c r="H12" s="227">
        <f t="shared" si="6"/>
        <v>-0.16535343099385075</v>
      </c>
      <c r="I12" s="226"/>
      <c r="J12" s="232">
        <f t="shared" si="3"/>
        <v>-7.9366746823986395E-2</v>
      </c>
      <c r="K12" s="140"/>
      <c r="L12" t="s">
        <v>385</v>
      </c>
      <c r="U12">
        <f>'CARB ZEV counts'!A67</f>
        <v>2028</v>
      </c>
      <c r="V12">
        <f>'CARB ZEV counts'!B67</f>
        <v>0.64500000000000002</v>
      </c>
      <c r="W12">
        <f>'CARB ZEV counts'!C67</f>
        <v>0.58000000000000007</v>
      </c>
      <c r="X12" s="60">
        <f>V12*'Combined MOVES output'!AG$38+'Federal GHG Rule'!W12*(1-'Combined MOVES output'!AG$38)</f>
        <v>0.60885385936776004</v>
      </c>
      <c r="Z12" s="210">
        <f t="shared" ref="Z12:Z24" si="7">M$10*X12+N$10</f>
        <v>0.16965312315620656</v>
      </c>
    </row>
    <row r="13" spans="1:26">
      <c r="B13">
        <v>2029</v>
      </c>
      <c r="C13" s="222">
        <f t="shared" si="4"/>
        <v>-5.2815797877289201E-3</v>
      </c>
      <c r="D13" s="222">
        <f t="shared" si="4"/>
        <v>6.7297822388866823E-3</v>
      </c>
      <c r="E13" s="222">
        <f t="shared" si="4"/>
        <v>-0.10007175851546508</v>
      </c>
      <c r="F13" s="222">
        <f t="shared" si="4"/>
        <v>8.9119054043723805E-3</v>
      </c>
      <c r="G13" s="227">
        <f t="shared" si="5"/>
        <v>-9.8842541991936012E-2</v>
      </c>
      <c r="H13" s="227">
        <f t="shared" si="6"/>
        <v>-0.16581309598847663</v>
      </c>
      <c r="I13" s="226"/>
      <c r="J13" s="232">
        <f t="shared" si="3"/>
        <v>-9.8842541991936012E-2</v>
      </c>
      <c r="K13" s="140"/>
      <c r="L13" t="s">
        <v>396</v>
      </c>
      <c r="U13">
        <f>'CARB ZEV counts'!A68</f>
        <v>2029</v>
      </c>
      <c r="V13">
        <f>'CARB ZEV counts'!B68</f>
        <v>0.71700000000000008</v>
      </c>
      <c r="W13">
        <f>'CARB ZEV counts'!C68</f>
        <v>0.65800000000000014</v>
      </c>
      <c r="X13" s="60">
        <f>V13*'Combined MOVES output'!AG$38+'Federal GHG Rule'!W13*(1-'Combined MOVES output'!AG$38)</f>
        <v>0.68419042619535153</v>
      </c>
      <c r="Z13" s="210">
        <f t="shared" si="7"/>
        <v>0.17010514255717213</v>
      </c>
    </row>
    <row r="14" spans="1:26">
      <c r="B14">
        <v>2030</v>
      </c>
      <c r="C14" s="222">
        <f t="shared" si="4"/>
        <v>-9.5145141486734849E-3</v>
      </c>
      <c r="D14" s="222">
        <f t="shared" si="4"/>
        <v>5.7357158347989519E-3</v>
      </c>
      <c r="E14" s="222">
        <f t="shared" si="4"/>
        <v>-0.11964905718440808</v>
      </c>
      <c r="F14" s="222">
        <f t="shared" si="4"/>
        <v>8.290783428899209E-3</v>
      </c>
      <c r="G14" s="227">
        <f t="shared" si="5"/>
        <v>-0.11823178848142343</v>
      </c>
      <c r="H14" s="227">
        <f t="shared" si="6"/>
        <v>-0.1659485085540649</v>
      </c>
      <c r="I14" s="226"/>
      <c r="J14" s="232">
        <f t="shared" si="3"/>
        <v>-0.11823178848142343</v>
      </c>
      <c r="K14" s="140"/>
      <c r="U14">
        <f>'CARB ZEV counts'!A69</f>
        <v>2030</v>
      </c>
      <c r="V14">
        <f>'CARB ZEV counts'!B69</f>
        <v>0.7370000000000001</v>
      </c>
      <c r="W14">
        <f>'CARB ZEV counts'!C69</f>
        <v>0.67799999999999994</v>
      </c>
      <c r="X14" s="60">
        <f>V14*'Combined MOVES output'!AG$38+'Federal GHG Rule'!W14*(1-'Combined MOVES output'!AG$38)</f>
        <v>0.70419042619535144</v>
      </c>
      <c r="Z14" s="210">
        <f t="shared" si="7"/>
        <v>0.17022514255717211</v>
      </c>
    </row>
    <row r="15" spans="1:26">
      <c r="B15">
        <v>2031</v>
      </c>
      <c r="C15" s="222">
        <f t="shared" si="4"/>
        <v>-1.3967024920449021E-2</v>
      </c>
      <c r="D15" s="222">
        <f t="shared" si="4"/>
        <v>4.8020500866226149E-3</v>
      </c>
      <c r="E15" s="222">
        <f t="shared" si="4"/>
        <v>-0.1386213414045048</v>
      </c>
      <c r="F15" s="222">
        <f t="shared" si="4"/>
        <v>7.8172690611964211E-3</v>
      </c>
      <c r="G15" s="227">
        <f t="shared" si="5"/>
        <v>-0.1369973070098669</v>
      </c>
      <c r="H15" s="227">
        <f t="shared" si="6"/>
        <v>-0.16610802804113672</v>
      </c>
      <c r="I15" s="226"/>
      <c r="J15" s="232">
        <f t="shared" si="3"/>
        <v>-0.1369973070098669</v>
      </c>
      <c r="K15" s="140"/>
      <c r="L15" s="296"/>
      <c r="M15" s="296"/>
      <c r="U15">
        <f>'CARB ZEV counts'!A70</f>
        <v>2031</v>
      </c>
      <c r="V15">
        <f>'CARB ZEV counts'!B70</f>
        <v>0.75500000000000012</v>
      </c>
      <c r="W15">
        <f>'CARB ZEV counts'!C70</f>
        <v>0.70700000000000007</v>
      </c>
      <c r="X15" s="60">
        <f>V15*'Combined MOVES output'!AG$38+'Federal GHG Rule'!W15*(1-'Combined MOVES output'!AG$38)</f>
        <v>0.72830746537926905</v>
      </c>
      <c r="Z15" s="210">
        <f t="shared" si="7"/>
        <v>0.17036984479227563</v>
      </c>
    </row>
    <row r="16" spans="1:26">
      <c r="B16" s="8">
        <v>2032</v>
      </c>
      <c r="C16" s="222">
        <f t="shared" si="4"/>
        <v>-1.92575710254301E-2</v>
      </c>
      <c r="D16" s="222">
        <f t="shared" si="4"/>
        <v>3.2981789781448053E-3</v>
      </c>
      <c r="E16" s="222">
        <f t="shared" si="4"/>
        <v>-0.1575698361938252</v>
      </c>
      <c r="F16" s="222">
        <f t="shared" si="4"/>
        <v>6.8651368535245444E-3</v>
      </c>
      <c r="G16" s="227">
        <f t="shared" si="5"/>
        <v>-0.15573828117266394</v>
      </c>
      <c r="H16" s="227">
        <f t="shared" si="6"/>
        <v>-0.16624600258825356</v>
      </c>
      <c r="I16" s="226"/>
      <c r="J16" s="232">
        <f t="shared" si="3"/>
        <v>-0.15573828117266394</v>
      </c>
      <c r="K16" s="140"/>
      <c r="U16">
        <f>'CARB ZEV counts'!A71</f>
        <v>2032</v>
      </c>
      <c r="V16">
        <f>'CARB ZEV counts'!B71</f>
        <v>0.77600000000000002</v>
      </c>
      <c r="W16">
        <f>'CARB ZEV counts'!C71</f>
        <v>0.72700000000000009</v>
      </c>
      <c r="X16" s="60">
        <f>V16*'Combined MOVES output'!AG$38+'Federal GHG Rule'!W16*(1-'Combined MOVES output'!AG$38)</f>
        <v>0.74875137090800381</v>
      </c>
      <c r="Z16" s="210">
        <f t="shared" si="7"/>
        <v>0.17049250822544804</v>
      </c>
    </row>
    <row r="17" spans="1:26">
      <c r="B17">
        <v>2033</v>
      </c>
      <c r="C17" s="222">
        <f t="shared" si="4"/>
        <v>-2.5422168729281019E-2</v>
      </c>
      <c r="D17" s="222">
        <f t="shared" si="4"/>
        <v>1.2410434826085515E-3</v>
      </c>
      <c r="E17" s="222">
        <f t="shared" si="4"/>
        <v>-0.17583215632101754</v>
      </c>
      <c r="F17" s="222">
        <f t="shared" si="4"/>
        <v>5.4000301436672067E-3</v>
      </c>
      <c r="G17" s="227">
        <f t="shared" si="5"/>
        <v>-0.17380247777801477</v>
      </c>
      <c r="H17" s="227">
        <f t="shared" si="6"/>
        <v>-0.16626414515829407</v>
      </c>
      <c r="I17" s="226"/>
      <c r="J17" s="232">
        <f t="shared" si="3"/>
        <v>-0.17380247777801477</v>
      </c>
      <c r="K17" s="140"/>
      <c r="U17">
        <f>'CARB ZEV counts'!A72</f>
        <v>2033</v>
      </c>
      <c r="V17">
        <f>'CARB ZEV counts'!B72</f>
        <v>0.77600000000000002</v>
      </c>
      <c r="W17">
        <f>'CARB ZEV counts'!C72</f>
        <v>0.72700000000000009</v>
      </c>
      <c r="X17" s="60">
        <f>V17*'Combined MOVES output'!AG$38+'Federal GHG Rule'!W17*(1-'Combined MOVES output'!AG$38)</f>
        <v>0.74875137090800381</v>
      </c>
      <c r="Z17" s="210">
        <f t="shared" si="7"/>
        <v>0.17049250822544804</v>
      </c>
    </row>
    <row r="18" spans="1:26">
      <c r="B18">
        <v>2034</v>
      </c>
      <c r="C18" s="222">
        <f t="shared" si="4"/>
        <v>-3.2336889510637609E-2</v>
      </c>
      <c r="D18" s="222">
        <f t="shared" si="4"/>
        <v>-1.5277388870067895E-3</v>
      </c>
      <c r="E18" s="222">
        <f t="shared" si="4"/>
        <v>-0.19331835857202803</v>
      </c>
      <c r="F18" s="222">
        <f t="shared" si="4"/>
        <v>3.2687566930058353E-3</v>
      </c>
      <c r="G18" s="227">
        <f t="shared" si="5"/>
        <v>-0.19110952187645464</v>
      </c>
      <c r="H18" s="227">
        <f t="shared" si="6"/>
        <v>-0.1662822851624414</v>
      </c>
      <c r="I18" s="226"/>
      <c r="J18" s="232">
        <f t="shared" si="3"/>
        <v>-0.19110952187645464</v>
      </c>
      <c r="K18" s="140"/>
      <c r="U18">
        <f>'CARB ZEV counts'!A73</f>
        <v>2034</v>
      </c>
      <c r="V18">
        <f>'CARB ZEV counts'!B73</f>
        <v>0.77600000000000002</v>
      </c>
      <c r="W18">
        <f>'CARB ZEV counts'!C73</f>
        <v>0.72700000000000009</v>
      </c>
      <c r="X18" s="60">
        <f>V18*'Combined MOVES output'!AG$38+'Federal GHG Rule'!W18*(1-'Combined MOVES output'!AG$38)</f>
        <v>0.74875137090800381</v>
      </c>
      <c r="Z18" s="210">
        <f t="shared" si="7"/>
        <v>0.17049250822544804</v>
      </c>
    </row>
    <row r="19" spans="1:26">
      <c r="B19">
        <v>2035</v>
      </c>
      <c r="C19" s="222">
        <f t="shared" si="4"/>
        <v>-4.7008352117638069E-2</v>
      </c>
      <c r="D19" s="222">
        <f t="shared" si="4"/>
        <v>-9.0587662810206072E-3</v>
      </c>
      <c r="E19" s="222">
        <f t="shared" si="4"/>
        <v>-0.2095947800375591</v>
      </c>
      <c r="F19" s="222">
        <f t="shared" si="4"/>
        <v>-1.5141032653405141E-2</v>
      </c>
      <c r="G19" s="227">
        <f t="shared" si="5"/>
        <v>-0.20721654935353689</v>
      </c>
      <c r="H19" s="227">
        <f t="shared" si="6"/>
        <v>-0.16630042260069552</v>
      </c>
      <c r="I19" s="226"/>
      <c r="J19" s="232">
        <f t="shared" si="3"/>
        <v>-0.20721654935353689</v>
      </c>
      <c r="K19" s="140"/>
      <c r="U19">
        <f>'CARB ZEV counts'!A74</f>
        <v>2035</v>
      </c>
      <c r="V19">
        <f>'CARB ZEV counts'!B74</f>
        <v>0.77600000000000002</v>
      </c>
      <c r="W19">
        <f>'CARB ZEV counts'!C74</f>
        <v>0.72700000000000009</v>
      </c>
      <c r="X19" s="60">
        <f>V19*'Combined MOVES output'!AG$38+'Federal GHG Rule'!W19*(1-'Combined MOVES output'!AG$38)</f>
        <v>0.74875137090800381</v>
      </c>
      <c r="Z19" s="210">
        <f t="shared" si="7"/>
        <v>0.17049250822544804</v>
      </c>
    </row>
    <row r="20" spans="1:26">
      <c r="B20">
        <v>2036</v>
      </c>
      <c r="C20" s="222">
        <f t="shared" si="4"/>
        <v>-5.6128734226812527E-2</v>
      </c>
      <c r="D20" s="222">
        <f t="shared" si="4"/>
        <v>-1.4303837305036485E-2</v>
      </c>
      <c r="E20" s="222">
        <f t="shared" si="4"/>
        <v>-0.22451532045705475</v>
      </c>
      <c r="F20" s="222">
        <f t="shared" si="4"/>
        <v>-2.1847419366341422E-2</v>
      </c>
      <c r="G20" s="227">
        <f t="shared" si="5"/>
        <v>-0.2219720238421396</v>
      </c>
      <c r="H20" s="227">
        <f t="shared" si="6"/>
        <v>-0.16640059953972036</v>
      </c>
      <c r="I20" s="226"/>
      <c r="J20" s="232">
        <f t="shared" si="3"/>
        <v>-0.2219720238421396</v>
      </c>
      <c r="K20" s="140"/>
      <c r="U20">
        <f>'CARB ZEV counts'!A75</f>
        <v>2036</v>
      </c>
      <c r="V20">
        <f>'CARB ZEV counts'!B75</f>
        <v>0.79</v>
      </c>
      <c r="W20">
        <f>'CARB ZEV counts'!C75</f>
        <v>0.74</v>
      </c>
      <c r="X20" s="60">
        <f>V20*'Combined MOVES output'!AG$38+'Federal GHG Rule'!W20*(1-'Combined MOVES output'!AG$38)</f>
        <v>0.76219527643673846</v>
      </c>
      <c r="Z20" s="210">
        <f t="shared" si="7"/>
        <v>0.17057317165862043</v>
      </c>
    </row>
    <row r="21" spans="1:26">
      <c r="B21" s="8">
        <v>2037</v>
      </c>
      <c r="C21" s="222">
        <f t="shared" si="4"/>
        <v>-6.5412830370572245E-2</v>
      </c>
      <c r="D21" s="222">
        <f t="shared" si="4"/>
        <v>-2.0443926711315823E-2</v>
      </c>
      <c r="E21" s="222">
        <f t="shared" si="4"/>
        <v>-0.23795464497553073</v>
      </c>
      <c r="F21" s="222">
        <f t="shared" si="4"/>
        <v>-2.9746354244910563E-2</v>
      </c>
      <c r="G21" s="227">
        <f t="shared" si="5"/>
        <v>-0.23525744228477288</v>
      </c>
      <c r="H21" s="227">
        <f t="shared" si="6"/>
        <v>-0.16642199055685092</v>
      </c>
      <c r="I21" s="226"/>
      <c r="J21" s="232">
        <f t="shared" si="3"/>
        <v>-0.23525744228477288</v>
      </c>
      <c r="K21" s="140"/>
      <c r="U21">
        <f>'CARB ZEV counts'!A76</f>
        <v>2037</v>
      </c>
      <c r="V21">
        <f>'CARB ZEV counts'!B76</f>
        <v>0.79</v>
      </c>
      <c r="W21">
        <f>'CARB ZEV counts'!C76</f>
        <v>0.74</v>
      </c>
      <c r="X21" s="60">
        <f>V21*'Combined MOVES output'!AG$38+'Federal GHG Rule'!W21*(1-'Combined MOVES output'!AG$38)</f>
        <v>0.76219527643673846</v>
      </c>
      <c r="Z21" s="210">
        <f t="shared" si="7"/>
        <v>0.17057317165862043</v>
      </c>
    </row>
    <row r="22" spans="1:26">
      <c r="A22" s="6"/>
      <c r="B22">
        <v>2038</v>
      </c>
      <c r="C22" s="222">
        <f t="shared" si="4"/>
        <v>-7.5408684608558277E-2</v>
      </c>
      <c r="D22" s="222">
        <f t="shared" si="4"/>
        <v>-2.7622128312319798E-2</v>
      </c>
      <c r="E22" s="222">
        <f t="shared" si="4"/>
        <v>-0.25001330090361373</v>
      </c>
      <c r="F22" s="222">
        <f t="shared" si="4"/>
        <v>-3.8986092131479431E-2</v>
      </c>
      <c r="G22" s="227">
        <f t="shared" si="5"/>
        <v>-0.24717158759697969</v>
      </c>
      <c r="H22" s="227">
        <f t="shared" si="6"/>
        <v>-0.16644338003750042</v>
      </c>
      <c r="I22" s="226"/>
      <c r="J22" s="232">
        <f t="shared" si="3"/>
        <v>-0.24717158759697969</v>
      </c>
      <c r="K22" s="140"/>
      <c r="U22">
        <f>'CARB ZEV counts'!A77</f>
        <v>2038</v>
      </c>
      <c r="V22">
        <f>'CARB ZEV counts'!B77</f>
        <v>0.79</v>
      </c>
      <c r="W22">
        <f>'CARB ZEV counts'!C77</f>
        <v>0.74</v>
      </c>
      <c r="X22" s="60">
        <f>V22*'Combined MOVES output'!AG$38+'Federal GHG Rule'!W22*(1-'Combined MOVES output'!AG$38)</f>
        <v>0.76219527643673846</v>
      </c>
      <c r="Z22" s="210">
        <f t="shared" si="7"/>
        <v>0.17057317165862043</v>
      </c>
    </row>
    <row r="23" spans="1:26">
      <c r="B23">
        <v>2039</v>
      </c>
      <c r="C23" s="222">
        <f t="shared" si="4"/>
        <v>-8.5270476967040126E-2</v>
      </c>
      <c r="D23" s="222">
        <f t="shared" si="4"/>
        <v>-3.5670414806874516E-2</v>
      </c>
      <c r="E23" s="222">
        <f t="shared" si="4"/>
        <v>-0.26078974256826898</v>
      </c>
      <c r="F23" s="222">
        <f t="shared" si="4"/>
        <v>-4.9567280920485499E-2</v>
      </c>
      <c r="G23" s="227">
        <f t="shared" si="5"/>
        <v>-0.25781379068754606</v>
      </c>
      <c r="H23" s="227">
        <f t="shared" si="6"/>
        <v>-0.16646476798166895</v>
      </c>
      <c r="I23" s="226"/>
      <c r="J23" s="232">
        <f t="shared" si="3"/>
        <v>-0.25781379068754606</v>
      </c>
      <c r="K23" s="140"/>
      <c r="U23">
        <f>'CARB ZEV counts'!A78</f>
        <v>2039</v>
      </c>
      <c r="V23">
        <f>'CARB ZEV counts'!B78</f>
        <v>0.79</v>
      </c>
      <c r="W23">
        <f>'CARB ZEV counts'!C78</f>
        <v>0.74</v>
      </c>
      <c r="X23" s="60">
        <f>V23*'Combined MOVES output'!AG$38+'Federal GHG Rule'!W23*(1-'Combined MOVES output'!AG$38)</f>
        <v>0.76219527643673846</v>
      </c>
      <c r="Z23" s="210">
        <f t="shared" si="7"/>
        <v>0.17057317165862043</v>
      </c>
    </row>
    <row r="24" spans="1:26">
      <c r="B24">
        <v>2040</v>
      </c>
      <c r="C24" s="222">
        <f t="shared" si="4"/>
        <v>-9.5794542020975718E-2</v>
      </c>
      <c r="D24" s="222">
        <f t="shared" si="4"/>
        <v>-4.5077177715047989E-2</v>
      </c>
      <c r="E24" s="222">
        <f t="shared" si="4"/>
        <v>-0.27018323067097266</v>
      </c>
      <c r="F24" s="222">
        <f t="shared" si="4"/>
        <v>-6.1224901471698144E-2</v>
      </c>
      <c r="G24" s="227">
        <f t="shared" si="5"/>
        <v>-0.26707916477181776</v>
      </c>
      <c r="H24" s="227">
        <f t="shared" si="6"/>
        <v>-0.16648615438935643</v>
      </c>
      <c r="I24" s="226"/>
      <c r="J24" s="232">
        <f t="shared" si="3"/>
        <v>-0.26707916477181776</v>
      </c>
      <c r="K24" s="140"/>
      <c r="U24">
        <f>'CARB ZEV counts'!A79</f>
        <v>2040</v>
      </c>
      <c r="V24">
        <f>'CARB ZEV counts'!B79</f>
        <v>0.79</v>
      </c>
      <c r="W24">
        <f>'CARB ZEV counts'!C79</f>
        <v>0.74</v>
      </c>
      <c r="X24" s="60">
        <f>V24*'Combined MOVES output'!AG$38+'Federal GHG Rule'!W24*(1-'Combined MOVES output'!AG$38)</f>
        <v>0.76219527643673846</v>
      </c>
      <c r="Z24" s="210">
        <f t="shared" si="7"/>
        <v>0.17057317165862043</v>
      </c>
    </row>
    <row r="25" spans="1:26">
      <c r="C25" s="42"/>
      <c r="D25" s="3"/>
      <c r="E25" s="3"/>
      <c r="F25" s="102"/>
      <c r="G25" s="3"/>
      <c r="H25" s="3"/>
      <c r="I25" s="3"/>
      <c r="K25" s="3"/>
    </row>
    <row r="26" spans="1:26">
      <c r="C26" s="3"/>
      <c r="D26" s="3"/>
      <c r="E26" s="3"/>
      <c r="F26" s="102"/>
      <c r="G26" s="3"/>
      <c r="H26" s="3"/>
      <c r="I26" s="3"/>
    </row>
    <row r="27" spans="1:26">
      <c r="A27" t="s">
        <v>408</v>
      </c>
      <c r="C27" s="3"/>
      <c r="D27" s="3"/>
      <c r="E27" s="3"/>
      <c r="F27" s="102"/>
      <c r="G27" s="3"/>
      <c r="H27" s="3"/>
      <c r="I27" s="3"/>
      <c r="N27" s="6"/>
    </row>
    <row r="28" spans="1:26">
      <c r="C28" t="s">
        <v>376</v>
      </c>
      <c r="D28" t="s">
        <v>2</v>
      </c>
      <c r="E28" t="s">
        <v>116</v>
      </c>
      <c r="F28" s="29" t="s">
        <v>115</v>
      </c>
      <c r="G28" s="225" t="s">
        <v>3</v>
      </c>
      <c r="H28" s="225" t="s">
        <v>26</v>
      </c>
      <c r="I28" s="225" t="s">
        <v>21</v>
      </c>
      <c r="J28" s="145" t="s">
        <v>400</v>
      </c>
      <c r="K28" s="3"/>
      <c r="L28" s="29" t="s">
        <v>409</v>
      </c>
      <c r="M28" s="29" t="s">
        <v>411</v>
      </c>
      <c r="N28" s="29" t="s">
        <v>413</v>
      </c>
      <c r="O28" s="29" t="s">
        <v>412</v>
      </c>
      <c r="P28" s="29" t="s">
        <v>247</v>
      </c>
      <c r="Q28" s="29" t="s">
        <v>427</v>
      </c>
    </row>
    <row r="29" spans="1:26">
      <c r="B29">
        <v>2025</v>
      </c>
      <c r="C29" s="222">
        <v>4.3843912724878811E-4</v>
      </c>
      <c r="D29" s="222">
        <v>2.1141952328636699E-3</v>
      </c>
      <c r="E29" s="222">
        <v>-1.6264331046152738E-2</v>
      </c>
      <c r="F29" s="227">
        <v>2.5640194295858901E-3</v>
      </c>
      <c r="G29" s="226">
        <v>-1.6139560551236515E-2</v>
      </c>
      <c r="H29" s="226">
        <v>-2.1802198780865108E-3</v>
      </c>
      <c r="I29" s="226">
        <v>-6.375505763797207E-3</v>
      </c>
      <c r="J29" s="222">
        <f>(G29*'Combined MOVES output'!L9+'Federal GHG Rule'!H29*'Combined MOVES output'!M9+'Federal GHG Rule'!I29*'Combined MOVES output'!N9)/'Combined MOVES output'!D9</f>
        <v>-1.6009803566664052E-2</v>
      </c>
      <c r="L29" s="210">
        <f>O7-S7</f>
        <v>2.5142786407227648E-2</v>
      </c>
      <c r="M29" s="210">
        <f>O7</f>
        <v>7.400000000000001E-2</v>
      </c>
      <c r="N29" s="230">
        <f>'Fleet ZEV fractions'!AG44</f>
        <v>3.4502793561765093E-4</v>
      </c>
      <c r="O29" s="210">
        <f>M29-N29</f>
        <v>7.365497206438236E-2</v>
      </c>
      <c r="P29" s="229">
        <f>O29/L29</f>
        <v>2.9294673578107955</v>
      </c>
      <c r="Q29">
        <f>1-G69</f>
        <v>0.97632103697131356</v>
      </c>
    </row>
    <row r="30" spans="1:26">
      <c r="A30" s="6"/>
      <c r="B30">
        <v>2026</v>
      </c>
      <c r="C30" s="222">
        <v>2.2438498960867549E-4</v>
      </c>
      <c r="D30" s="222">
        <v>2.9768290891875855E-3</v>
      </c>
      <c r="E30" s="222">
        <v>-2.5980601940612261E-2</v>
      </c>
      <c r="F30" s="227">
        <v>3.6365127003219599E-3</v>
      </c>
      <c r="G30" s="226">
        <v>-2.5804091026653559E-2</v>
      </c>
      <c r="H30" s="226">
        <v>-3.8182050941960315E-3</v>
      </c>
      <c r="I30" s="226">
        <v>-1.0795175770601632E-2</v>
      </c>
      <c r="J30" s="222">
        <f>(G30*'Combined MOVES output'!L10+'Federal GHG Rule'!H30*'Combined MOVES output'!M10+'Federal GHG Rule'!I30*'Combined MOVES output'!N10)/'Combined MOVES output'!D10</f>
        <v>-2.5601305149804243E-2</v>
      </c>
      <c r="L30" s="210">
        <f>O8-S8</f>
        <v>4.8902978301773016E-2</v>
      </c>
      <c r="M30" s="210">
        <f>O8</f>
        <v>0.10200000000000001</v>
      </c>
      <c r="N30" s="230">
        <f>'Fleet ZEV fractions'!AG45</f>
        <v>3.4805648187503219E-4</v>
      </c>
      <c r="O30" s="210">
        <f t="shared" ref="O30:O44" si="8">M30-N30</f>
        <v>0.10165194351812498</v>
      </c>
      <c r="P30" s="229">
        <f t="shared" ref="P30:P44" si="9">O30/L30</f>
        <v>2.0786452491880132</v>
      </c>
      <c r="Q30">
        <f>Q29+1/5*(Q34-Q29)</f>
        <v>0.97644556300146435</v>
      </c>
    </row>
    <row r="31" spans="1:26">
      <c r="B31" s="8">
        <v>2027</v>
      </c>
      <c r="C31" s="222">
        <v>-2.4429855547648647E-4</v>
      </c>
      <c r="D31" s="222">
        <v>3.7855375567945313E-3</v>
      </c>
      <c r="E31" s="222">
        <v>-3.7500199284420811E-2</v>
      </c>
      <c r="F31" s="227">
        <v>4.6846295657265403E-3</v>
      </c>
      <c r="G31" s="226">
        <v>-3.7271503606420724E-2</v>
      </c>
      <c r="H31" s="226">
        <v>-5.96070491851209E-3</v>
      </c>
      <c r="I31" s="226">
        <v>-1.5820952986733923E-2</v>
      </c>
      <c r="J31" s="222">
        <f>(G31*'Combined MOVES output'!L11+'Federal GHG Rule'!H31*'Combined MOVES output'!M11+'Federal GHG Rule'!I31*'Combined MOVES output'!N11)/'Combined MOVES output'!D11</f>
        <v>-3.6985488032645598E-2</v>
      </c>
      <c r="L31" s="210">
        <f>O9-S9</f>
        <v>7.7522563792475713E-2</v>
      </c>
      <c r="M31" s="210">
        <f>O9</f>
        <v>0.13600000000000001</v>
      </c>
      <c r="N31" s="230">
        <f>'Fleet ZEV fractions'!AG46</f>
        <v>3.510850281324135E-4</v>
      </c>
      <c r="O31" s="210">
        <f t="shared" si="8"/>
        <v>0.1356489149718676</v>
      </c>
      <c r="P31" s="229">
        <f t="shared" si="9"/>
        <v>1.7497991337721159</v>
      </c>
      <c r="Q31">
        <f>Q29+2/5*(Q34-Q29)</f>
        <v>0.97657008903161513</v>
      </c>
      <c r="S31" s="8"/>
    </row>
    <row r="32" spans="1:26">
      <c r="B32">
        <v>2028</v>
      </c>
      <c r="C32" s="222">
        <v>-1.4284843428198999E-3</v>
      </c>
      <c r="D32" s="222">
        <v>4.2100783549514822E-3</v>
      </c>
      <c r="E32" s="222">
        <v>-5.0007758458105234E-2</v>
      </c>
      <c r="F32" s="227">
        <v>5.3414846020546965E-3</v>
      </c>
      <c r="G32" s="226">
        <v>-4.9731038597155039E-2</v>
      </c>
      <c r="H32" s="226">
        <v>-8.9785807848540775E-3</v>
      </c>
      <c r="I32" s="226">
        <v>-2.1731429741623499E-2</v>
      </c>
      <c r="J32" s="222">
        <f>(G32*'Combined MOVES output'!L12+'Federal GHG Rule'!H32*'Combined MOVES output'!M12+'Federal GHG Rule'!I32*'Combined MOVES output'!N12)/'Combined MOVES output'!D12</f>
        <v>-4.9358856219000345E-2</v>
      </c>
      <c r="L32" s="210">
        <f>O10-S10</f>
        <v>0.10426023539372055</v>
      </c>
      <c r="M32" s="210">
        <f>O10</f>
        <v>0.17200000000000001</v>
      </c>
      <c r="N32" s="230">
        <f>'Fleet ZEV fractions'!AG47</f>
        <v>3.5411357438979476E-4</v>
      </c>
      <c r="O32" s="210">
        <f t="shared" si="8"/>
        <v>0.17164588642561021</v>
      </c>
      <c r="P32" s="229">
        <f t="shared" si="9"/>
        <v>1.646321685131628</v>
      </c>
      <c r="Q32">
        <f>Q29+3/5*(Q34-Q29)</f>
        <v>0.97669461506176591</v>
      </c>
    </row>
    <row r="33" spans="1:19">
      <c r="B33">
        <v>2029</v>
      </c>
      <c r="C33" s="222">
        <v>-3.2842986964852681E-3</v>
      </c>
      <c r="D33" s="222">
        <v>4.1848492161678319E-3</v>
      </c>
      <c r="E33" s="222">
        <v>-6.2228643560576918E-2</v>
      </c>
      <c r="F33" s="227">
        <v>5.5417811486600764E-3</v>
      </c>
      <c r="G33" s="226">
        <v>-6.1915580079079512E-2</v>
      </c>
      <c r="H33" s="226">
        <v>-1.2721217084206149E-2</v>
      </c>
      <c r="I33" s="226">
        <v>-2.7901359951336194E-2</v>
      </c>
      <c r="J33" s="222">
        <f>(G33*'Combined MOVES output'!L13+'Federal GHG Rule'!H33*'Combined MOVES output'!M13+'Federal GHG Rule'!I33*'Combined MOVES output'!N13)/'Combined MOVES output'!D13</f>
        <v>-6.1464267296621876E-2</v>
      </c>
      <c r="L33" s="210">
        <f>L32</f>
        <v>0.10426023539372055</v>
      </c>
      <c r="M33" s="210">
        <f>M32</f>
        <v>0.17200000000000001</v>
      </c>
      <c r="N33" s="230">
        <f>'Fleet ZEV fractions'!AG48</f>
        <v>3.5714212064717608E-4</v>
      </c>
      <c r="O33" s="210">
        <f t="shared" si="8"/>
        <v>0.17164285787935285</v>
      </c>
      <c r="P33" s="229">
        <f t="shared" si="9"/>
        <v>1.6462926371801638</v>
      </c>
      <c r="Q33">
        <f>Q29+4/5*(Q34-Q29)</f>
        <v>0.9768191410919167</v>
      </c>
    </row>
    <row r="34" spans="1:19">
      <c r="B34">
        <v>2030</v>
      </c>
      <c r="C34" s="222">
        <v>-5.9158577332338105E-3</v>
      </c>
      <c r="D34" s="222">
        <v>3.5663070490738365E-3</v>
      </c>
      <c r="E34" s="222">
        <v>-7.4394424051300631E-2</v>
      </c>
      <c r="F34" s="227">
        <v>5.1549763336321561E-3</v>
      </c>
      <c r="G34" s="226">
        <v>-7.4038111335541765E-2</v>
      </c>
      <c r="H34" s="226">
        <v>-1.7161738138571359E-2</v>
      </c>
      <c r="I34" s="226">
        <v>-3.4462973225395703E-2</v>
      </c>
      <c r="J34" s="222">
        <f>(G34*'Combined MOVES output'!L14+'Federal GHG Rule'!H34*'Combined MOVES output'!M14+'Federal GHG Rule'!I34*'Combined MOVES output'!N14)/'Combined MOVES output'!D14</f>
        <v>-7.3513206168221351E-2</v>
      </c>
      <c r="L34" s="210">
        <f t="shared" ref="L34:L44" si="10">L33</f>
        <v>0.10426023539372055</v>
      </c>
      <c r="M34" s="210">
        <f t="shared" ref="M34:M44" si="11">M33</f>
        <v>0.17200000000000001</v>
      </c>
      <c r="N34" s="230">
        <f>'Fleet ZEV fractions'!AG49</f>
        <v>3.6017066690455734E-4</v>
      </c>
      <c r="O34" s="210">
        <f t="shared" si="8"/>
        <v>0.17163982933309546</v>
      </c>
      <c r="P34" s="229">
        <f t="shared" si="9"/>
        <v>1.6462635892286992</v>
      </c>
      <c r="Q34">
        <f>1-G76</f>
        <v>0.97694366712206748</v>
      </c>
    </row>
    <row r="35" spans="1:19">
      <c r="B35">
        <v>2031</v>
      </c>
      <c r="C35" s="222">
        <v>-8.6833678596257829E-3</v>
      </c>
      <c r="D35" s="222">
        <v>2.985458078580667E-3</v>
      </c>
      <c r="E35" s="222">
        <v>-8.6181567475243859E-2</v>
      </c>
      <c r="F35" s="227">
        <v>4.8600344957255058E-3</v>
      </c>
      <c r="G35" s="226">
        <v>-8.5782843860438954E-2</v>
      </c>
      <c r="H35" s="226">
        <v>-2.1848418679714418E-2</v>
      </c>
      <c r="I35" s="226">
        <v>-4.1078514557174227E-2</v>
      </c>
      <c r="J35" s="222">
        <f>(G35*'Combined MOVES output'!L15+'Federal GHG Rule'!H35*'Combined MOVES output'!M15+'Federal GHG Rule'!I35*'Combined MOVES output'!N15)/'Combined MOVES output'!D15</f>
        <v>-8.5171897331054541E-2</v>
      </c>
      <c r="L35" s="210">
        <f t="shared" si="10"/>
        <v>0.10426023539372055</v>
      </c>
      <c r="M35" s="210">
        <f t="shared" si="11"/>
        <v>0.17200000000000001</v>
      </c>
      <c r="N35" s="230">
        <f>'Fleet ZEV fractions'!AG50</f>
        <v>3.3328368553201801E-4</v>
      </c>
      <c r="O35" s="210">
        <f t="shared" si="8"/>
        <v>0.171666716314468</v>
      </c>
      <c r="P35" s="229">
        <f t="shared" si="9"/>
        <v>1.6465214726036121</v>
      </c>
      <c r="Q35">
        <f>Q34+1/5*(Q39-Q34)</f>
        <v>0.97689595084706116</v>
      </c>
    </row>
    <row r="36" spans="1:19">
      <c r="B36" s="8">
        <v>2032</v>
      </c>
      <c r="C36" s="222">
        <v>-1.1971236158820099E-2</v>
      </c>
      <c r="D36" s="222">
        <v>2.0502730790549219E-3</v>
      </c>
      <c r="E36" s="222">
        <v>-9.7951383281513899E-2</v>
      </c>
      <c r="F36" s="227">
        <v>4.2676293094095425E-3</v>
      </c>
      <c r="G36" s="226">
        <v>-9.7510500220374774E-2</v>
      </c>
      <c r="H36" s="226">
        <v>-2.7255901292055615E-2</v>
      </c>
      <c r="I36" s="226">
        <v>-4.8051717895765428E-2</v>
      </c>
      <c r="J36" s="222">
        <f>(G36*'Combined MOVES output'!L16+'Federal GHG Rule'!H36*'Combined MOVES output'!M16+'Federal GHG Rule'!I36*'Combined MOVES output'!N16)/'Combined MOVES output'!D16</f>
        <v>-9.6812819250399043E-2</v>
      </c>
      <c r="L36" s="210">
        <f t="shared" si="10"/>
        <v>0.10426023539372055</v>
      </c>
      <c r="M36" s="210">
        <f t="shared" si="11"/>
        <v>0.17200000000000001</v>
      </c>
      <c r="N36" s="230">
        <f>'Fleet ZEV fractions'!AG51</f>
        <v>3.0639670415947868E-4</v>
      </c>
      <c r="O36" s="210">
        <f t="shared" si="8"/>
        <v>0.17169360329584055</v>
      </c>
      <c r="P36" s="229">
        <f t="shared" si="9"/>
        <v>1.6467793559785251</v>
      </c>
      <c r="Q36">
        <f>Q34+2/5*(Q39-Q34)</f>
        <v>0.97684823457205472</v>
      </c>
      <c r="S36" s="8"/>
    </row>
    <row r="37" spans="1:19">
      <c r="B37">
        <v>2033</v>
      </c>
      <c r="C37" s="222">
        <v>-1.5801681243850191E-2</v>
      </c>
      <c r="D37" s="222">
        <v>7.713965606463304E-4</v>
      </c>
      <c r="E37" s="222">
        <v>-0.10929215820219822</v>
      </c>
      <c r="F37" s="227">
        <v>3.3565017975484509E-3</v>
      </c>
      <c r="G37" s="226">
        <v>-0.10881277687776238</v>
      </c>
      <c r="H37" s="226">
        <v>-3.3143844462513651E-2</v>
      </c>
      <c r="I37" s="226">
        <v>-5.5052327393082183E-2</v>
      </c>
      <c r="J37" s="222">
        <f>(G37*'Combined MOVES output'!L17+'Federal GHG Rule'!H37*'Combined MOVES output'!M17+'Federal GHG Rule'!I37*'Combined MOVES output'!N17)/'Combined MOVES output'!D17</f>
        <v>-0.10803056900791869</v>
      </c>
      <c r="L37" s="210">
        <f t="shared" si="10"/>
        <v>0.10426023539372055</v>
      </c>
      <c r="M37" s="210">
        <f t="shared" si="11"/>
        <v>0.17200000000000001</v>
      </c>
      <c r="N37" s="230">
        <f>'Fleet ZEV fractions'!AG52</f>
        <v>2.795097227869394E-4</v>
      </c>
      <c r="O37" s="210">
        <f t="shared" si="8"/>
        <v>0.17172049027721306</v>
      </c>
      <c r="P37" s="229">
        <f t="shared" si="9"/>
        <v>1.6470372393534376</v>
      </c>
      <c r="Q37">
        <f>Q34+3/5*(Q39-Q34)</f>
        <v>0.97680051829704839</v>
      </c>
    </row>
    <row r="38" spans="1:19">
      <c r="B38">
        <v>2034</v>
      </c>
      <c r="C38" s="222">
        <v>-2.0097505879815198E-2</v>
      </c>
      <c r="D38" s="222">
        <v>-9.4949581512287736E-4</v>
      </c>
      <c r="E38" s="222">
        <v>-0.12014813134081642</v>
      </c>
      <c r="F38" s="227">
        <v>2.0315453295456655E-3</v>
      </c>
      <c r="G38" s="226">
        <v>-0.11963947738095373</v>
      </c>
      <c r="H38" s="226">
        <v>-3.948802809727997E-2</v>
      </c>
      <c r="I38" s="226">
        <v>-6.2058769501049757E-2</v>
      </c>
      <c r="J38" s="222">
        <f>(G38*'Combined MOVES output'!L18+'Federal GHG Rule'!H38*'Combined MOVES output'!M18+'Federal GHG Rule'!I38*'Combined MOVES output'!N18)/'Combined MOVES output'!D18</f>
        <v>-0.11877533051956753</v>
      </c>
      <c r="K38" s="3"/>
      <c r="L38" s="210">
        <f t="shared" si="10"/>
        <v>0.10426023539372055</v>
      </c>
      <c r="M38" s="210">
        <f t="shared" si="11"/>
        <v>0.17200000000000001</v>
      </c>
      <c r="N38" s="230">
        <f>'Fleet ZEV fractions'!AG53</f>
        <v>2.5262274141440007E-4</v>
      </c>
      <c r="O38" s="210">
        <f t="shared" si="8"/>
        <v>0.1717473772585856</v>
      </c>
      <c r="P38" s="229">
        <f t="shared" si="9"/>
        <v>1.6472951227283505</v>
      </c>
      <c r="Q38">
        <f>Q34+4/5*(Q39-Q34)</f>
        <v>0.97675280202204195</v>
      </c>
    </row>
    <row r="39" spans="1:19">
      <c r="B39">
        <v>2035</v>
      </c>
      <c r="C39" s="222">
        <v>-2.9212732521398679E-2</v>
      </c>
      <c r="D39" s="222">
        <v>-5.6294531592828972E-3</v>
      </c>
      <c r="E39" s="222">
        <v>-0.13024996561879582</v>
      </c>
      <c r="F39" s="227">
        <v>-9.4091989418137387E-3</v>
      </c>
      <c r="G39" s="226">
        <v>-0.12971328528255432</v>
      </c>
      <c r="H39" s="226">
        <v>-5.0057024818928764E-2</v>
      </c>
      <c r="I39" s="226">
        <v>-6.881427523417849E-2</v>
      </c>
      <c r="J39" s="222">
        <f>(G39*'Combined MOVES output'!L19+'Federal GHG Rule'!H39*'Combined MOVES output'!M19+'Federal GHG Rule'!I39*'Combined MOVES output'!N19)/'Combined MOVES output'!D19</f>
        <v>-0.12877204491498845</v>
      </c>
      <c r="K39" s="3"/>
      <c r="L39" s="210">
        <f t="shared" si="10"/>
        <v>0.10426023539372055</v>
      </c>
      <c r="M39" s="210">
        <f t="shared" si="11"/>
        <v>0.17200000000000001</v>
      </c>
      <c r="N39" s="230">
        <f>'Fleet ZEV fractions'!AG54</f>
        <v>2.2573576004186074E-4</v>
      </c>
      <c r="O39" s="210">
        <f t="shared" si="8"/>
        <v>0.17177426423995815</v>
      </c>
      <c r="P39" s="229">
        <f t="shared" si="9"/>
        <v>1.6475530061032633</v>
      </c>
      <c r="Q39">
        <f>1-G83</f>
        <v>0.97670508574703563</v>
      </c>
    </row>
    <row r="40" spans="1:19">
      <c r="B40">
        <v>2036</v>
      </c>
      <c r="C40" s="222">
        <v>-3.4876037503987815E-2</v>
      </c>
      <c r="D40" s="222">
        <v>-8.8878036031514139E-3</v>
      </c>
      <c r="E40" s="222">
        <v>-0.13950438833768711</v>
      </c>
      <c r="F40" s="227">
        <v>-1.357506859333185E-2</v>
      </c>
      <c r="G40" s="226">
        <v>-0.13894643327782633</v>
      </c>
      <c r="H40" s="226">
        <v>-5.6822564123230133E-2</v>
      </c>
      <c r="I40" s="226">
        <v>-7.5280661392159762E-2</v>
      </c>
      <c r="J40" s="222">
        <f>(G40*'Combined MOVES output'!L20+'Federal GHG Rule'!H40*'Combined MOVES output'!M20+'Federal GHG Rule'!I40*'Combined MOVES output'!N20)/'Combined MOVES output'!D20</f>
        <v>-0.13792409066400158</v>
      </c>
      <c r="K40" s="6"/>
      <c r="L40" s="210">
        <f t="shared" si="10"/>
        <v>0.10426023539372055</v>
      </c>
      <c r="M40" s="210">
        <f t="shared" si="11"/>
        <v>0.17200000000000001</v>
      </c>
      <c r="N40" s="230">
        <f>'Fleet ZEV fractions'!AG55</f>
        <v>1.9884877866932144E-4</v>
      </c>
      <c r="O40" s="210">
        <f t="shared" si="8"/>
        <v>0.17180115122133069</v>
      </c>
      <c r="P40" s="229">
        <f t="shared" si="9"/>
        <v>1.6478108894781762</v>
      </c>
      <c r="Q40">
        <f>Q39+1/5*(Q44-Q39)</f>
        <v>0.9766765127921847</v>
      </c>
    </row>
    <row r="41" spans="1:19">
      <c r="A41" s="6"/>
      <c r="B41" s="8">
        <v>2037</v>
      </c>
      <c r="C41" s="222">
        <v>-4.0639613813002379E-2</v>
      </c>
      <c r="D41" s="222">
        <v>-1.2701381084756913E-2</v>
      </c>
      <c r="E41" s="222">
        <v>-0.14783620922732835</v>
      </c>
      <c r="F41" s="227">
        <v>-1.8480783387746166E-2</v>
      </c>
      <c r="G41" s="226">
        <v>-0.14725903294722856</v>
      </c>
      <c r="H41" s="226">
        <v>-6.3500401297167358E-2</v>
      </c>
      <c r="I41" s="226">
        <v>-8.1418831102806899E-2</v>
      </c>
      <c r="J41" s="222">
        <f>(G41*'Combined MOVES output'!L21+'Federal GHG Rule'!H41*'Combined MOVES output'!M21+'Federal GHG Rule'!I41*'Combined MOVES output'!N21)/'Combined MOVES output'!D21</f>
        <v>-0.14616049400285608</v>
      </c>
      <c r="L41" s="210">
        <f t="shared" si="10"/>
        <v>0.10426023539372055</v>
      </c>
      <c r="M41" s="210">
        <f t="shared" si="11"/>
        <v>0.17200000000000001</v>
      </c>
      <c r="N41" s="230">
        <f>'Fleet ZEV fractions'!AG56</f>
        <v>1.7196179729678211E-4</v>
      </c>
      <c r="O41" s="210">
        <f t="shared" si="8"/>
        <v>0.17182803820270323</v>
      </c>
      <c r="P41" s="229">
        <f t="shared" si="9"/>
        <v>1.6480687728530892</v>
      </c>
      <c r="Q41">
        <f>Q39+2/5*(Q44-Q39)</f>
        <v>0.97664793983733378</v>
      </c>
      <c r="S41" s="8"/>
    </row>
    <row r="42" spans="1:19">
      <c r="B42">
        <v>2038</v>
      </c>
      <c r="C42" s="222">
        <v>-4.6843868262445895E-2</v>
      </c>
      <c r="D42" s="222">
        <v>-1.7158863684035609E-2</v>
      </c>
      <c r="E42" s="222">
        <v>-0.15530824058505002</v>
      </c>
      <c r="F42" s="227">
        <v>-2.4218157011418488E-2</v>
      </c>
      <c r="G42" s="226">
        <v>-0.15471300460723958</v>
      </c>
      <c r="H42" s="226">
        <v>-7.00141431662544E-2</v>
      </c>
      <c r="I42" s="226">
        <v>-8.7050288573406909E-2</v>
      </c>
      <c r="J42" s="222">
        <f>(G42*'Combined MOVES output'!L22+'Federal GHG Rule'!H42*'Combined MOVES output'!M22+'Federal GHG Rule'!I42*'Combined MOVES output'!N22)/'Combined MOVES output'!D22</f>
        <v>-0.1535429685283021</v>
      </c>
      <c r="L42" s="210">
        <f t="shared" si="10"/>
        <v>0.10426023539372055</v>
      </c>
      <c r="M42" s="210">
        <f t="shared" si="11"/>
        <v>0.17200000000000001</v>
      </c>
      <c r="N42" s="230">
        <f>'Fleet ZEV fractions'!AG57</f>
        <v>1.4507481592424278E-4</v>
      </c>
      <c r="O42" s="210">
        <f t="shared" si="8"/>
        <v>0.17185492518407577</v>
      </c>
      <c r="P42" s="229">
        <f t="shared" si="9"/>
        <v>1.6483266562280019</v>
      </c>
      <c r="Q42">
        <f>Q39+3/5*(Q44-Q39)</f>
        <v>0.97661936688248285</v>
      </c>
    </row>
    <row r="43" spans="1:19">
      <c r="B43">
        <v>2039</v>
      </c>
      <c r="C43" s="222">
        <v>-5.296327640900339E-2</v>
      </c>
      <c r="D43" s="222">
        <v>-2.2155640571478796E-2</v>
      </c>
      <c r="E43" s="222">
        <v>-0.16198196270926188</v>
      </c>
      <c r="F43" s="227">
        <v>-3.0787274724042392E-2</v>
      </c>
      <c r="G43" s="226">
        <v>-0.16137060946241441</v>
      </c>
      <c r="H43" s="226">
        <v>-7.6111394543952424E-2</v>
      </c>
      <c r="I43" s="226">
        <v>-9.2196665492204843E-2</v>
      </c>
      <c r="J43" s="222">
        <f>(G43*'Combined MOVES output'!L23+'Federal GHG Rule'!H43*'Combined MOVES output'!M23+'Federal GHG Rule'!I43*'Combined MOVES output'!N23)/'Combined MOVES output'!D23</f>
        <v>-0.16013353676343836</v>
      </c>
      <c r="L43" s="210">
        <f t="shared" si="10"/>
        <v>0.10426023539372055</v>
      </c>
      <c r="M43" s="210">
        <f t="shared" si="11"/>
        <v>0.17200000000000001</v>
      </c>
      <c r="N43" s="230">
        <f>'Fleet ZEV fractions'!AG58</f>
        <v>1.1818783455170344E-4</v>
      </c>
      <c r="O43" s="210">
        <f t="shared" si="8"/>
        <v>0.17188181216544832</v>
      </c>
      <c r="P43" s="229">
        <f t="shared" si="9"/>
        <v>1.6485845396029148</v>
      </c>
      <c r="Q43">
        <f>Q39+4/5*(Q44-Q39)</f>
        <v>0.97659079392763193</v>
      </c>
    </row>
    <row r="44" spans="1:19">
      <c r="B44">
        <v>2040</v>
      </c>
      <c r="C44" s="222">
        <v>-5.9492427954404105E-2</v>
      </c>
      <c r="D44" s="222">
        <v>-2.7994817773784559E-2</v>
      </c>
      <c r="E44" s="222">
        <v>-0.1677951169875771</v>
      </c>
      <c r="F44" s="227">
        <v>-3.8023231417745364E-2</v>
      </c>
      <c r="G44" s="226">
        <v>-0.16716624392245472</v>
      </c>
      <c r="H44" s="226">
        <v>-8.2067464282356409E-2</v>
      </c>
      <c r="I44" s="226">
        <v>-9.6866515443365372E-2</v>
      </c>
      <c r="J44" s="222">
        <f>(G44*'Combined MOVES output'!L24+'Federal GHG Rule'!H44*'Combined MOVES output'!M24+'Federal GHG Rule'!I44*'Combined MOVES output'!N24)/'Combined MOVES output'!D24</f>
        <v>-0.16586736188822326</v>
      </c>
      <c r="L44" s="210">
        <f t="shared" si="10"/>
        <v>0.10426023539372055</v>
      </c>
      <c r="M44" s="210">
        <f t="shared" si="11"/>
        <v>0.17200000000000001</v>
      </c>
      <c r="N44" s="230">
        <f>'Fleet ZEV fractions'!AG59</f>
        <v>9.1300853179164128E-5</v>
      </c>
      <c r="O44" s="210">
        <f t="shared" si="8"/>
        <v>0.17190869914682086</v>
      </c>
      <c r="P44" s="229">
        <f t="shared" si="9"/>
        <v>1.6488424229778278</v>
      </c>
      <c r="Q44">
        <f>1-G90</f>
        <v>0.976562220972781</v>
      </c>
    </row>
    <row r="45" spans="1:19">
      <c r="A45" t="s">
        <v>377</v>
      </c>
      <c r="C45" s="3"/>
      <c r="D45" s="3"/>
      <c r="E45" s="3"/>
      <c r="F45" s="102"/>
      <c r="G45" s="3"/>
      <c r="H45" s="3"/>
      <c r="I45" s="3"/>
      <c r="L45" s="69" t="s">
        <v>416</v>
      </c>
    </row>
    <row r="46" spans="1:19">
      <c r="C46" s="3"/>
      <c r="D46" s="3"/>
      <c r="E46" s="3"/>
      <c r="F46" s="102"/>
      <c r="G46" s="3"/>
      <c r="H46" s="3"/>
      <c r="I46" s="3"/>
      <c r="L46" s="69" t="s">
        <v>417</v>
      </c>
    </row>
    <row r="47" spans="1:19">
      <c r="C47" s="3"/>
      <c r="D47" s="3"/>
      <c r="E47" s="3"/>
      <c r="F47" s="102"/>
      <c r="G47" s="3"/>
      <c r="H47" s="3"/>
      <c r="I47" s="3"/>
      <c r="L47" s="69" t="s">
        <v>418</v>
      </c>
    </row>
    <row r="48" spans="1:19">
      <c r="A48" t="s">
        <v>420</v>
      </c>
      <c r="C48" s="3"/>
      <c r="D48" s="3"/>
      <c r="E48" s="3"/>
      <c r="F48" s="102"/>
      <c r="G48" s="3"/>
      <c r="H48" s="3"/>
      <c r="I48" s="3"/>
    </row>
    <row r="49" spans="1:11">
      <c r="A49" s="69" t="s">
        <v>428</v>
      </c>
      <c r="C49" s="3"/>
      <c r="D49" s="3"/>
      <c r="E49" s="3"/>
      <c r="F49" s="102"/>
      <c r="G49" s="3"/>
      <c r="H49" s="3"/>
      <c r="I49" s="3"/>
    </row>
    <row r="50" spans="1:11">
      <c r="C50" s="3"/>
      <c r="D50" s="3"/>
      <c r="E50" s="3"/>
      <c r="F50" s="102"/>
      <c r="G50" s="3"/>
      <c r="H50" s="3"/>
      <c r="I50" s="3"/>
      <c r="K50" s="3"/>
    </row>
    <row r="51" spans="1:11">
      <c r="A51" t="s">
        <v>421</v>
      </c>
      <c r="B51" t="s">
        <v>422</v>
      </c>
      <c r="C51" t="s">
        <v>423</v>
      </c>
      <c r="D51" t="s">
        <v>424</v>
      </c>
      <c r="E51" s="3" t="s">
        <v>425</v>
      </c>
      <c r="F51"/>
      <c r="G51" s="237" t="s">
        <v>426</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hCFEyZoBR2dKWsu8Fr/lVT11Qj5kRkr7v4Izdp+P7TMVsR3X1/h6URg7EEF2y2lOmTrRkCiV3SgYJj4n02iNVw==" saltValue="Ya6XW3aVEV6R59mQNCd6KQ=="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6E37A0-0B41-48E8-B83B-F1C58675561C}"/>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08CFA44-0EE6-4317-A7F7-B00A0A35D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2023-05-23T22:10:19Z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db167226-685e-4e11-ad61-ea5ad5343ffc</vt:lpwstr>
  </property>
  <property fmtid="{D5CDD505-2E9C-101B-9397-08002B2CF9AE}" pid="10" name="MSIP_Label_edb26152-23a6-4a6e-8fcb-d99d6e3b8e71_ContentBits">
    <vt:lpwstr>0</vt:lpwstr>
  </property>
  <property fmtid="{D5CDD505-2E9C-101B-9397-08002B2CF9AE}" pid="11" name="Order">
    <vt:r8>1796800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