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514"/>
  <workbookPr updateLinks="never" codeName="ThisWorkbook"/>
  <mc:AlternateContent xmlns:mc="http://schemas.openxmlformats.org/markup-compatibility/2006">
    <mc:Choice Requires="x15">
      <x15ac:absPath xmlns:x15ac="http://schemas.microsoft.com/office/spreadsheetml/2010/11/ac" url="/Users/pslowik/Desktop/ACCII summary reports_pwd-protected/"/>
    </mc:Choice>
  </mc:AlternateContent>
  <xr:revisionPtr revIDLastSave="0" documentId="13_ncr:1_{D3D08C6D-9899-0C4D-8EE7-FCF923F4461F}" xr6:coauthVersionLast="47" xr6:coauthVersionMax="47" xr10:uidLastSave="{00000000-0000-0000-0000-000000000000}"/>
  <bookViews>
    <workbookView xWindow="0" yWindow="500" windowWidth="28800" windowHeight="16300" tabRatio="767" firstSheet="1" activeTab="1" xr2:uid="{00000000-000D-0000-FFFF-FFFF00000000}"/>
  </bookViews>
  <sheets>
    <sheet name="Table of Contents" sheetId="29" r:id="rId1"/>
    <sheet name="Key" sheetId="13" r:id="rId2"/>
    <sheet name="Tables" sheetId="15" r:id="rId3"/>
    <sheet name="COBRA Summary" sheetId="36" r:id="rId4"/>
    <sheet name="Emissions Summary" sheetId="11" r:id="rId5"/>
    <sheet name="BAU Scenario" sheetId="5" r:id="rId6"/>
    <sheet name="ACC II - MY2026" sheetId="26" state="hidden" r:id="rId7"/>
    <sheet name="ACC II - MY2027" sheetId="6" r:id="rId8"/>
    <sheet name="Federal GHG Rule" sheetId="35" r:id="rId9"/>
    <sheet name="ACC emissions benefits" sheetId="34" r:id="rId10"/>
    <sheet name="Fleet ZEV fractions" sheetId="2" r:id="rId11"/>
    <sheet name="CARB ZEV counts" sheetId="40" r:id="rId12"/>
    <sheet name="ZEV efficiency" sheetId="39" r:id="rId13"/>
    <sheet name="ZEV Population" sheetId="17" r:id="rId14"/>
    <sheet name="ZEV Sales" sheetId="37" r:id="rId15"/>
    <sheet name="Combined MOVES output" sheetId="1" r:id="rId16"/>
    <sheet name="2040-2050 extrapolation" sheetId="41" r:id="rId17"/>
    <sheet name="County Scale Output 2017-2040" sheetId="20" r:id="rId18"/>
    <sheet name="Default Output 2017-2040" sheetId="21" r:id="rId19"/>
    <sheet name="Output Interpolation" sheetId="22" r:id="rId20"/>
    <sheet name="GREET factors" sheetId="9" r:id="rId21"/>
    <sheet name="State grid data" sheetId="31" r:id="rId22"/>
    <sheet name="Regional GREET factors" sheetId="23" r:id="rId23"/>
  </sheets>
  <externalReferences>
    <externalReference r:id="rId24"/>
    <externalReference r:id="rId25"/>
    <externalReference r:id="rId26"/>
  </externalReferences>
  <definedNames>
    <definedName name="_xlnm._FilterDatabase" localSheetId="15" hidden="1">'Combined MOVES output'!$P$1:$BA$36</definedName>
    <definedName name="BEV_Annual_Efficiency_Improvement">'[1]Vehicle Attributes Overview'!$A$8</definedName>
    <definedName name="kWh2BTU">[2]Fuel_Specs!$F$181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L6" i="11" l="1"/>
  <c r="K6" i="11"/>
  <c r="N9" i="15"/>
  <c r="T4" i="15"/>
  <c r="AW15" i="15"/>
  <c r="AG29" i="15"/>
  <c r="AG19" i="15"/>
  <c r="AG9" i="15"/>
  <c r="L146" i="11"/>
  <c r="L147" i="11"/>
  <c r="L148" i="11"/>
  <c r="L145" i="11"/>
  <c r="B147" i="11" s="1"/>
  <c r="K148" i="11"/>
  <c r="J148" i="11"/>
  <c r="K147" i="11"/>
  <c r="J147" i="11"/>
  <c r="K146" i="11"/>
  <c r="J146" i="11"/>
  <c r="K145" i="11"/>
  <c r="J145" i="11"/>
  <c r="D149" i="11"/>
  <c r="D147" i="11"/>
  <c r="D145" i="11"/>
  <c r="C149" i="11"/>
  <c r="C147" i="11"/>
  <c r="C145" i="11"/>
  <c r="AE11" i="1"/>
  <c r="B148" i="11"/>
  <c r="B146" i="11"/>
  <c r="B144" i="11"/>
  <c r="D148" i="11"/>
  <c r="D146" i="11"/>
  <c r="D144" i="11"/>
  <c r="C148" i="11"/>
  <c r="C146" i="11"/>
  <c r="C144" i="11"/>
  <c r="E144" i="11"/>
  <c r="Z32" i="2"/>
  <c r="AA32" i="2"/>
  <c r="V32" i="2"/>
  <c r="U32" i="2"/>
  <c r="Q11" i="41"/>
  <c r="Q16" i="41"/>
  <c r="Q21" i="41"/>
  <c r="Q29" i="41"/>
  <c r="Q30" i="41"/>
  <c r="Q31" i="41"/>
  <c r="Q28" i="41"/>
  <c r="Q25" i="41"/>
  <c r="Q26" i="41"/>
  <c r="Q27" i="41"/>
  <c r="Q24" i="41"/>
  <c r="B149" i="11" l="1"/>
  <c r="B145" i="11"/>
  <c r="N15" i="20"/>
  <c r="N16" i="20"/>
  <c r="N14" i="20"/>
  <c r="N10" i="20"/>
  <c r="N11" i="20"/>
  <c r="N9" i="20"/>
  <c r="R43" i="41"/>
  <c r="R38" i="41"/>
  <c r="R33" i="41"/>
  <c r="R35" i="41" s="1"/>
  <c r="R28" i="41"/>
  <c r="R29" i="41"/>
  <c r="R30" i="41"/>
  <c r="R31" i="41"/>
  <c r="R24" i="41"/>
  <c r="R25" i="41"/>
  <c r="R26" i="41"/>
  <c r="R27" i="41"/>
  <c r="T20" i="15"/>
  <c r="T21" i="15"/>
  <c r="T22" i="15" s="1"/>
  <c r="R42" i="41" l="1"/>
  <c r="R34" i="41"/>
  <c r="R36" i="41"/>
  <c r="R37" i="41"/>
  <c r="R39" i="41"/>
  <c r="R40" i="41"/>
  <c r="R41" i="41"/>
  <c r="T23" i="15"/>
  <c r="P59" i="9"/>
  <c r="Q59" i="9"/>
  <c r="T24" i="15" l="1"/>
  <c r="H9" i="31"/>
  <c r="I9" i="31"/>
  <c r="L140" i="6"/>
  <c r="L135" i="6"/>
  <c r="L130" i="6"/>
  <c r="L125" i="6"/>
  <c r="AS42" i="2"/>
  <c r="AS41" i="2"/>
  <c r="AS40" i="2"/>
  <c r="AS39" i="2"/>
  <c r="AT20" i="2"/>
  <c r="AT21" i="2"/>
  <c r="AT22" i="2"/>
  <c r="AT23" i="2"/>
  <c r="AT24" i="2"/>
  <c r="AT25" i="2"/>
  <c r="AT26" i="2"/>
  <c r="AT27" i="2"/>
  <c r="AT28" i="2"/>
  <c r="AT29" i="2"/>
  <c r="AT30" i="2"/>
  <c r="AT31" i="2"/>
  <c r="AT32" i="2"/>
  <c r="AT33" i="2"/>
  <c r="AT34" i="2"/>
  <c r="AT35" i="2"/>
  <c r="AT36" i="2"/>
  <c r="AT37" i="2"/>
  <c r="AT38" i="2"/>
  <c r="AT39" i="2"/>
  <c r="AT40" i="2"/>
  <c r="AT41" i="2"/>
  <c r="AT42" i="2"/>
  <c r="AT19" i="2"/>
  <c r="Y58" i="34"/>
  <c r="Y57" i="34"/>
  <c r="Y64" i="34"/>
  <c r="Y63" i="34"/>
  <c r="Y62" i="34"/>
  <c r="Y61" i="34"/>
  <c r="Y60" i="34"/>
  <c r="Y59" i="34"/>
  <c r="Y56" i="34"/>
  <c r="Y55" i="34"/>
  <c r="U813" i="34"/>
  <c r="U782" i="34"/>
  <c r="U751" i="34"/>
  <c r="U720" i="34"/>
  <c r="U689" i="34"/>
  <c r="U658" i="34"/>
  <c r="U627" i="34"/>
  <c r="U596" i="34"/>
  <c r="U565" i="34"/>
  <c r="U534" i="34"/>
  <c r="T813" i="34"/>
  <c r="T782" i="34"/>
  <c r="T751" i="34"/>
  <c r="T720" i="34"/>
  <c r="T689" i="34"/>
  <c r="T658" i="34"/>
  <c r="T627" i="34"/>
  <c r="T596" i="34"/>
  <c r="T565" i="34"/>
  <c r="T534" i="34"/>
  <c r="S813" i="34"/>
  <c r="S782" i="34"/>
  <c r="S751" i="34"/>
  <c r="S720" i="34"/>
  <c r="S689" i="34"/>
  <c r="S658" i="34"/>
  <c r="S627" i="34"/>
  <c r="S596" i="34"/>
  <c r="S565" i="34"/>
  <c r="S534" i="34"/>
  <c r="E54" i="34"/>
  <c r="E56" i="34"/>
  <c r="E60" i="34"/>
  <c r="E61" i="34"/>
  <c r="E62" i="34"/>
  <c r="E63" i="34"/>
  <c r="K25" i="34"/>
  <c r="K26" i="34"/>
  <c r="K27" i="34"/>
  <c r="K28" i="34"/>
  <c r="K29" i="34"/>
  <c r="K30" i="34"/>
  <c r="K31" i="34"/>
  <c r="K32" i="34"/>
  <c r="K33" i="34"/>
  <c r="K34" i="34"/>
  <c r="Q111" i="40"/>
  <c r="Q112" i="40"/>
  <c r="Q113" i="40"/>
  <c r="Q114" i="40"/>
  <c r="Q115" i="40"/>
  <c r="Q116" i="40"/>
  <c r="Q117" i="40"/>
  <c r="Q118" i="40"/>
  <c r="Q119" i="40"/>
  <c r="Q120" i="40"/>
  <c r="N111" i="40"/>
  <c r="N112" i="40"/>
  <c r="N113" i="40"/>
  <c r="N114" i="40"/>
  <c r="N115" i="40"/>
  <c r="N116" i="40"/>
  <c r="N117" i="40"/>
  <c r="N118" i="40"/>
  <c r="N119" i="40"/>
  <c r="N120" i="40"/>
  <c r="B111" i="40"/>
  <c r="C111" i="40"/>
  <c r="C112" i="40" s="1"/>
  <c r="C113" i="40" s="1"/>
  <c r="C114" i="40" s="1"/>
  <c r="C115" i="40" s="1"/>
  <c r="C116" i="40" s="1"/>
  <c r="C117" i="40" s="1"/>
  <c r="C118" i="40" s="1"/>
  <c r="C119" i="40" s="1"/>
  <c r="C120" i="40" s="1"/>
  <c r="B112" i="40"/>
  <c r="B113" i="40" s="1"/>
  <c r="B114" i="40" s="1"/>
  <c r="B115" i="40" s="1"/>
  <c r="B116" i="40" s="1"/>
  <c r="B117" i="40" s="1"/>
  <c r="B118" i="40" s="1"/>
  <c r="B119" i="40" s="1"/>
  <c r="B120" i="40" s="1"/>
  <c r="B81" i="40"/>
  <c r="B82" i="40"/>
  <c r="B83" i="40"/>
  <c r="B84" i="40"/>
  <c r="B85" i="40"/>
  <c r="B86" i="40"/>
  <c r="B87" i="40"/>
  <c r="B88" i="40"/>
  <c r="B89" i="40"/>
  <c r="B90" i="40"/>
  <c r="E81" i="40"/>
  <c r="F81" i="40"/>
  <c r="J81" i="40" s="1"/>
  <c r="M81" i="40" s="1"/>
  <c r="G81" i="40"/>
  <c r="H81" i="40"/>
  <c r="I81" i="40"/>
  <c r="K81" i="40"/>
  <c r="L81" i="40"/>
  <c r="E82" i="40"/>
  <c r="F82" i="40"/>
  <c r="G82" i="40"/>
  <c r="H82" i="40"/>
  <c r="I82" i="40"/>
  <c r="J82" i="40"/>
  <c r="M82" i="40" s="1"/>
  <c r="K82" i="40"/>
  <c r="L82" i="40"/>
  <c r="E83" i="40"/>
  <c r="F83" i="40"/>
  <c r="G83" i="40"/>
  <c r="H83" i="40"/>
  <c r="I83" i="40"/>
  <c r="J83" i="40"/>
  <c r="M83" i="40" s="1"/>
  <c r="K83" i="40"/>
  <c r="L83" i="40"/>
  <c r="E84" i="40"/>
  <c r="F84" i="40"/>
  <c r="G84" i="40"/>
  <c r="J84" i="40" s="1"/>
  <c r="H84" i="40"/>
  <c r="I84" i="40"/>
  <c r="K84" i="40"/>
  <c r="L84" i="40"/>
  <c r="E85" i="40"/>
  <c r="F85" i="40"/>
  <c r="J85" i="40" s="1"/>
  <c r="G85" i="40"/>
  <c r="M85" i="40" s="1"/>
  <c r="H85" i="40"/>
  <c r="I85" i="40"/>
  <c r="K85" i="40"/>
  <c r="L85" i="40"/>
  <c r="E86" i="40"/>
  <c r="J86" i="40" s="1"/>
  <c r="F86" i="40"/>
  <c r="G86" i="40"/>
  <c r="M86" i="40" s="1"/>
  <c r="H86" i="40"/>
  <c r="I86" i="40"/>
  <c r="K86" i="40"/>
  <c r="L86" i="40"/>
  <c r="E87" i="40"/>
  <c r="J87" i="40" s="1"/>
  <c r="M87" i="40" s="1"/>
  <c r="F87" i="40"/>
  <c r="G87" i="40"/>
  <c r="H87" i="40"/>
  <c r="I87" i="40"/>
  <c r="K87" i="40"/>
  <c r="L87" i="40"/>
  <c r="E88" i="40"/>
  <c r="J88" i="40" s="1"/>
  <c r="M88" i="40" s="1"/>
  <c r="F88" i="40"/>
  <c r="G88" i="40"/>
  <c r="H88" i="40"/>
  <c r="I88" i="40"/>
  <c r="K88" i="40"/>
  <c r="L88" i="40"/>
  <c r="E89" i="40"/>
  <c r="J89" i="40" s="1"/>
  <c r="M89" i="40" s="1"/>
  <c r="F89" i="40"/>
  <c r="G89" i="40"/>
  <c r="H89" i="40"/>
  <c r="I89" i="40"/>
  <c r="K89" i="40"/>
  <c r="L89" i="40"/>
  <c r="E90" i="40"/>
  <c r="F90" i="40"/>
  <c r="G90" i="40"/>
  <c r="H90" i="40"/>
  <c r="I90" i="40"/>
  <c r="J90" i="40"/>
  <c r="M90" i="40" s="1"/>
  <c r="K90" i="40"/>
  <c r="L90" i="40"/>
  <c r="N50" i="40"/>
  <c r="N51" i="40"/>
  <c r="N52" i="40"/>
  <c r="N53" i="40"/>
  <c r="N54" i="40"/>
  <c r="N55" i="40"/>
  <c r="N56" i="40"/>
  <c r="N57" i="40"/>
  <c r="N58" i="40"/>
  <c r="N59" i="40"/>
  <c r="B50" i="40"/>
  <c r="C50" i="40"/>
  <c r="C51" i="40" s="1"/>
  <c r="C52" i="40" s="1"/>
  <c r="C53" i="40" s="1"/>
  <c r="C54" i="40" s="1"/>
  <c r="C55" i="40" s="1"/>
  <c r="C56" i="40" s="1"/>
  <c r="C57" i="40" s="1"/>
  <c r="C58" i="40" s="1"/>
  <c r="C59" i="40" s="1"/>
  <c r="B51" i="40"/>
  <c r="B52" i="40" s="1"/>
  <c r="B53" i="40" s="1"/>
  <c r="B54" i="40" s="1"/>
  <c r="B55" i="40" s="1"/>
  <c r="B56" i="40" s="1"/>
  <c r="B57" i="40" s="1"/>
  <c r="B58" i="40" s="1"/>
  <c r="B59" i="40" s="1"/>
  <c r="B21" i="40"/>
  <c r="B22" i="40"/>
  <c r="B23" i="40"/>
  <c r="B24" i="40"/>
  <c r="B25" i="40"/>
  <c r="B26" i="40"/>
  <c r="B27" i="40"/>
  <c r="B28" i="40"/>
  <c r="B29" i="40"/>
  <c r="B30" i="40"/>
  <c r="E21" i="40"/>
  <c r="F21" i="40"/>
  <c r="J21" i="40" s="1"/>
  <c r="G21" i="40"/>
  <c r="H21" i="40"/>
  <c r="I21" i="40"/>
  <c r="K21" i="40"/>
  <c r="L21" i="40"/>
  <c r="E22" i="40"/>
  <c r="F22" i="40"/>
  <c r="J22" i="40" s="1"/>
  <c r="M22" i="40" s="1"/>
  <c r="G22" i="40"/>
  <c r="H22" i="40"/>
  <c r="I22" i="40"/>
  <c r="K22" i="40"/>
  <c r="L22" i="40"/>
  <c r="E23" i="40"/>
  <c r="F23" i="40"/>
  <c r="G23" i="40"/>
  <c r="H23" i="40"/>
  <c r="I23" i="40"/>
  <c r="J23" i="40"/>
  <c r="M23" i="40" s="1"/>
  <c r="K23" i="40"/>
  <c r="L23" i="40"/>
  <c r="E24" i="40"/>
  <c r="F24" i="40"/>
  <c r="G24" i="40"/>
  <c r="J24" i="40" s="1"/>
  <c r="H24" i="40"/>
  <c r="I24" i="40"/>
  <c r="K24" i="40"/>
  <c r="L24" i="40"/>
  <c r="E25" i="40"/>
  <c r="F25" i="40"/>
  <c r="J25" i="40" s="1"/>
  <c r="G25" i="40"/>
  <c r="M25" i="40" s="1"/>
  <c r="H25" i="40"/>
  <c r="I25" i="40"/>
  <c r="K25" i="40"/>
  <c r="L25" i="40"/>
  <c r="E26" i="40"/>
  <c r="F26" i="40"/>
  <c r="J26" i="40" s="1"/>
  <c r="G26" i="40"/>
  <c r="H26" i="40"/>
  <c r="I26" i="40"/>
  <c r="K26" i="40"/>
  <c r="L26" i="40"/>
  <c r="E27" i="40"/>
  <c r="J27" i="40" s="1"/>
  <c r="M27" i="40" s="1"/>
  <c r="F27" i="40"/>
  <c r="G27" i="40"/>
  <c r="H27" i="40"/>
  <c r="I27" i="40"/>
  <c r="K27" i="40"/>
  <c r="L27" i="40"/>
  <c r="E28" i="40"/>
  <c r="J28" i="40" s="1"/>
  <c r="M28" i="40" s="1"/>
  <c r="F28" i="40"/>
  <c r="G28" i="40"/>
  <c r="H28" i="40"/>
  <c r="I28" i="40"/>
  <c r="K28" i="40"/>
  <c r="L28" i="40"/>
  <c r="E29" i="40"/>
  <c r="F29" i="40"/>
  <c r="J29" i="40" s="1"/>
  <c r="G29" i="40"/>
  <c r="H29" i="40"/>
  <c r="I29" i="40"/>
  <c r="K29" i="40"/>
  <c r="L29" i="40"/>
  <c r="E30" i="40"/>
  <c r="F30" i="40"/>
  <c r="J30" i="40" s="1"/>
  <c r="M30" i="40" s="1"/>
  <c r="G30" i="40"/>
  <c r="H30" i="40"/>
  <c r="I30" i="40"/>
  <c r="K30" i="40"/>
  <c r="L30" i="40"/>
  <c r="M11" i="41"/>
  <c r="F56" i="41"/>
  <c r="L21" i="41" s="1"/>
  <c r="L25" i="41" s="1"/>
  <c r="F53" i="41"/>
  <c r="M21" i="41" s="1"/>
  <c r="F50" i="41"/>
  <c r="N21" i="41" s="1"/>
  <c r="F47" i="41"/>
  <c r="L16" i="41" s="1"/>
  <c r="F44" i="41"/>
  <c r="M16" i="41" s="1"/>
  <c r="F41" i="41"/>
  <c r="N16" i="41" s="1"/>
  <c r="F38" i="41"/>
  <c r="L11" i="41" s="1"/>
  <c r="F35" i="41"/>
  <c r="F32" i="41"/>
  <c r="N11" i="41" s="1"/>
  <c r="M24" i="41" l="1"/>
  <c r="N24" i="41"/>
  <c r="N25" i="41"/>
  <c r="M25" i="41"/>
  <c r="L24" i="41"/>
  <c r="T25" i="15"/>
  <c r="E59" i="34"/>
  <c r="E58" i="34"/>
  <c r="E57" i="34"/>
  <c r="E55" i="34"/>
  <c r="M84" i="40"/>
  <c r="M26" i="40"/>
  <c r="M29" i="40"/>
  <c r="M21" i="40"/>
  <c r="M24" i="40"/>
  <c r="T26" i="15" l="1"/>
  <c r="T27" i="15" l="1"/>
  <c r="V21" i="41"/>
  <c r="V16" i="41"/>
  <c r="V11" i="41"/>
  <c r="R21" i="41"/>
  <c r="J21" i="41"/>
  <c r="I21" i="41"/>
  <c r="H21" i="41"/>
  <c r="G21" i="41"/>
  <c r="F21" i="41"/>
  <c r="E21" i="41"/>
  <c r="D21" i="41"/>
  <c r="C21" i="41"/>
  <c r="R16" i="41"/>
  <c r="J16" i="41"/>
  <c r="I16" i="41"/>
  <c r="H16" i="41"/>
  <c r="G16" i="41"/>
  <c r="F16" i="41"/>
  <c r="E16" i="41"/>
  <c r="D16" i="41"/>
  <c r="D24" i="41" s="1"/>
  <c r="C16" i="41"/>
  <c r="D11" i="41"/>
  <c r="E11" i="41"/>
  <c r="F11" i="41"/>
  <c r="G11" i="41"/>
  <c r="H11" i="41"/>
  <c r="I11" i="41"/>
  <c r="J11" i="41"/>
  <c r="R11" i="41"/>
  <c r="C11" i="41"/>
  <c r="E24" i="41" l="1"/>
  <c r="F24" i="41"/>
  <c r="D25" i="41"/>
  <c r="E25" i="41"/>
  <c r="F25" i="41"/>
  <c r="T28" i="15"/>
  <c r="K11" i="41"/>
  <c r="C24" i="41"/>
  <c r="G25" i="41"/>
  <c r="K16" i="41"/>
  <c r="G24" i="41"/>
  <c r="V25" i="41"/>
  <c r="K21" i="41"/>
  <c r="V24" i="41"/>
  <c r="C25" i="41"/>
  <c r="B26" i="36"/>
  <c r="B25" i="36"/>
  <c r="B24" i="36"/>
  <c r="B23" i="36"/>
  <c r="B22" i="36"/>
  <c r="D13" i="2"/>
  <c r="T29" i="15" l="1"/>
  <c r="K24" i="41"/>
  <c r="K25" i="41"/>
  <c r="D9" i="31"/>
  <c r="E9" i="31"/>
  <c r="F9" i="31"/>
  <c r="G9" i="31"/>
  <c r="C9" i="31"/>
  <c r="D28" i="31"/>
  <c r="G27" i="31"/>
  <c r="F27" i="31"/>
  <c r="H26" i="31"/>
  <c r="H28" i="31" s="1"/>
  <c r="G26" i="31"/>
  <c r="G28" i="31" s="1"/>
  <c r="F26" i="31"/>
  <c r="F28" i="31" s="1"/>
  <c r="E26" i="31"/>
  <c r="E28" i="31" s="1"/>
  <c r="D26" i="31"/>
  <c r="H24" i="31"/>
  <c r="H27" i="31" s="1"/>
  <c r="G24" i="31"/>
  <c r="F24" i="31"/>
  <c r="E24" i="31"/>
  <c r="E27" i="31" s="1"/>
  <c r="D24" i="31"/>
  <c r="D27" i="31" s="1"/>
  <c r="G103" i="23" l="1"/>
  <c r="E103" i="23"/>
  <c r="D103" i="23"/>
  <c r="C103" i="23"/>
  <c r="A103" i="23"/>
  <c r="AA78" i="2" l="1"/>
  <c r="Z78" i="2"/>
  <c r="Y78" i="2"/>
  <c r="X78" i="2"/>
  <c r="W78" i="2"/>
  <c r="AA77" i="2"/>
  <c r="Z77" i="2"/>
  <c r="Y77" i="2"/>
  <c r="X77" i="2"/>
  <c r="W77" i="2"/>
  <c r="AA76" i="2"/>
  <c r="Z76" i="2"/>
  <c r="Y76" i="2"/>
  <c r="X76" i="2"/>
  <c r="W76" i="2"/>
  <c r="AA75" i="2"/>
  <c r="Z75" i="2"/>
  <c r="Y75" i="2"/>
  <c r="X75" i="2"/>
  <c r="W75" i="2"/>
  <c r="AA74" i="2"/>
  <c r="Z74" i="2"/>
  <c r="Y74" i="2"/>
  <c r="X74" i="2"/>
  <c r="W74" i="2"/>
  <c r="AA73" i="2"/>
  <c r="Z73" i="2"/>
  <c r="Y73" i="2"/>
  <c r="X73" i="2"/>
  <c r="W73" i="2"/>
  <c r="AA72" i="2"/>
  <c r="Z72" i="2"/>
  <c r="Y72" i="2"/>
  <c r="X72" i="2"/>
  <c r="W72" i="2"/>
  <c r="AA71" i="2"/>
  <c r="Z71" i="2"/>
  <c r="Y71" i="2"/>
  <c r="X71" i="2"/>
  <c r="W71" i="2"/>
  <c r="AA70" i="2"/>
  <c r="Z70" i="2"/>
  <c r="Y70" i="2"/>
  <c r="X70" i="2"/>
  <c r="W70" i="2"/>
  <c r="AA69" i="2"/>
  <c r="Z69" i="2"/>
  <c r="Y69" i="2"/>
  <c r="X69" i="2"/>
  <c r="W69" i="2"/>
  <c r="AA68" i="2"/>
  <c r="Z68" i="2"/>
  <c r="Y68" i="2"/>
  <c r="X68" i="2"/>
  <c r="W68" i="2"/>
  <c r="AA67" i="2"/>
  <c r="Z67" i="2"/>
  <c r="Y67" i="2"/>
  <c r="X67" i="2"/>
  <c r="W67" i="2"/>
  <c r="AA66" i="2"/>
  <c r="Z66" i="2"/>
  <c r="Y66" i="2"/>
  <c r="X66" i="2"/>
  <c r="W66" i="2"/>
  <c r="AA65" i="2"/>
  <c r="Z65" i="2"/>
  <c r="Y65" i="2"/>
  <c r="X65" i="2"/>
  <c r="W65" i="2"/>
  <c r="AA64" i="2"/>
  <c r="Z64" i="2"/>
  <c r="Y64" i="2"/>
  <c r="X64" i="2"/>
  <c r="W64" i="2"/>
  <c r="AA63" i="2"/>
  <c r="Z63" i="2"/>
  <c r="Y63" i="2"/>
  <c r="X63" i="2"/>
  <c r="W63" i="2"/>
  <c r="AA62" i="2"/>
  <c r="Z62" i="2"/>
  <c r="Y62" i="2"/>
  <c r="X62" i="2"/>
  <c r="W62" i="2"/>
  <c r="AA61" i="2"/>
  <c r="Z61" i="2"/>
  <c r="Y61" i="2"/>
  <c r="X61" i="2"/>
  <c r="W61" i="2"/>
  <c r="AA60" i="2"/>
  <c r="Z60" i="2"/>
  <c r="Y60" i="2"/>
  <c r="X60" i="2"/>
  <c r="W60" i="2"/>
  <c r="AA59" i="2"/>
  <c r="Z59" i="2"/>
  <c r="Y59" i="2"/>
  <c r="X59" i="2"/>
  <c r="W59" i="2"/>
  <c r="AA58" i="2"/>
  <c r="Z58" i="2"/>
  <c r="Y58" i="2"/>
  <c r="X58" i="2"/>
  <c r="W58" i="2"/>
  <c r="AA57" i="2"/>
  <c r="Z57" i="2"/>
  <c r="Y57" i="2"/>
  <c r="X57" i="2"/>
  <c r="W57" i="2"/>
  <c r="AA56" i="2"/>
  <c r="Z56" i="2"/>
  <c r="Y56" i="2"/>
  <c r="X56" i="2"/>
  <c r="W56" i="2"/>
  <c r="AA55" i="2"/>
  <c r="Z55" i="2"/>
  <c r="Y55" i="2"/>
  <c r="X55" i="2"/>
  <c r="W55" i="2"/>
  <c r="AA54" i="2"/>
  <c r="Z54" i="2"/>
  <c r="Y54" i="2"/>
  <c r="X54" i="2"/>
  <c r="W54" i="2"/>
  <c r="AA53" i="2"/>
  <c r="Z53" i="2"/>
  <c r="Y53" i="2"/>
  <c r="X53" i="2"/>
  <c r="W53" i="2"/>
  <c r="AA52" i="2"/>
  <c r="Z52" i="2"/>
  <c r="Y52" i="2"/>
  <c r="X52" i="2"/>
  <c r="W52" i="2"/>
  <c r="AA51" i="2"/>
  <c r="Z51" i="2"/>
  <c r="Y51" i="2"/>
  <c r="X51" i="2"/>
  <c r="W51" i="2"/>
  <c r="AA50" i="2"/>
  <c r="Z50" i="2"/>
  <c r="Y50" i="2"/>
  <c r="X50" i="2"/>
  <c r="W50" i="2"/>
  <c r="AA49" i="2"/>
  <c r="Z49" i="2"/>
  <c r="Y49" i="2"/>
  <c r="X49" i="2"/>
  <c r="W49" i="2"/>
  <c r="AA48" i="2"/>
  <c r="Z48" i="2"/>
  <c r="Y48" i="2"/>
  <c r="X48" i="2"/>
  <c r="W48" i="2"/>
  <c r="B137" i="9"/>
  <c r="AB68" i="2" l="1"/>
  <c r="AC68" i="2"/>
  <c r="AB78" i="2"/>
  <c r="AC58" i="2"/>
  <c r="AC78" i="2"/>
  <c r="AB58" i="2"/>
  <c r="J5" i="9"/>
  <c r="M4" i="9"/>
  <c r="L4" i="9"/>
  <c r="K4" i="9"/>
  <c r="J4" i="9"/>
  <c r="K134" i="9"/>
  <c r="L6" i="9" s="1"/>
  <c r="J128" i="9"/>
  <c r="J129" i="9"/>
  <c r="K5" i="9" s="1"/>
  <c r="J130" i="9"/>
  <c r="M5" i="9" s="1"/>
  <c r="J131" i="9"/>
  <c r="J132" i="9"/>
  <c r="J133" i="9"/>
  <c r="J127" i="9"/>
  <c r="L5" i="9" s="1"/>
  <c r="D128" i="9"/>
  <c r="J3" i="9" s="1"/>
  <c r="D129" i="9"/>
  <c r="K3" i="9" s="1"/>
  <c r="D130" i="9"/>
  <c r="M3" i="9" s="1"/>
  <c r="D131" i="9"/>
  <c r="D132" i="9"/>
  <c r="D133" i="9"/>
  <c r="D127" i="9"/>
  <c r="L3" i="9" s="1"/>
  <c r="K7" i="9" l="1"/>
  <c r="M7" i="9"/>
  <c r="J7" i="9"/>
  <c r="AD68" i="2"/>
  <c r="AG59" i="2" s="1"/>
  <c r="AD78" i="2"/>
  <c r="AD58" i="2"/>
  <c r="L7" i="9"/>
  <c r="AG67" i="2" l="1"/>
  <c r="AG69" i="2"/>
  <c r="AG60" i="2"/>
  <c r="AG65" i="2"/>
  <c r="AG63" i="2"/>
  <c r="AG66" i="2"/>
  <c r="AG62" i="2"/>
  <c r="AG68" i="2"/>
  <c r="AG61" i="2"/>
  <c r="AG58" i="2"/>
  <c r="AG55" i="2"/>
  <c r="AG53" i="2"/>
  <c r="AG52" i="2"/>
  <c r="AG51" i="2"/>
  <c r="AG57" i="2"/>
  <c r="AG54" i="2"/>
  <c r="AG49" i="2"/>
  <c r="AG50" i="2"/>
  <c r="AG56" i="2"/>
  <c r="AG64" i="2"/>
  <c r="U9" i="35" l="1"/>
  <c r="U10" i="35"/>
  <c r="U11" i="35"/>
  <c r="U12" i="35"/>
  <c r="U13" i="35"/>
  <c r="U14" i="35"/>
  <c r="U15" i="35"/>
  <c r="U16" i="35"/>
  <c r="U17" i="35"/>
  <c r="U18" i="35"/>
  <c r="U19" i="35"/>
  <c r="U20" i="35"/>
  <c r="U21" i="35"/>
  <c r="U22" i="35"/>
  <c r="U23" i="35"/>
  <c r="U24" i="35"/>
  <c r="V8" i="35"/>
  <c r="W8" i="35"/>
  <c r="U8" i="35"/>
  <c r="L17" i="9"/>
  <c r="M17" i="9"/>
  <c r="N17" i="9"/>
  <c r="O17" i="9"/>
  <c r="K17" i="9"/>
  <c r="L38" i="9"/>
  <c r="M38" i="9"/>
  <c r="N38" i="9"/>
  <c r="O38" i="9"/>
  <c r="K38" i="9"/>
  <c r="L59" i="9"/>
  <c r="M59" i="9"/>
  <c r="N59" i="9"/>
  <c r="O59" i="9"/>
  <c r="K59" i="9"/>
  <c r="L80" i="9"/>
  <c r="M80" i="9"/>
  <c r="N80" i="9"/>
  <c r="O80" i="9"/>
  <c r="K80" i="9"/>
  <c r="F110" i="35" l="1"/>
  <c r="G110" i="35" s="1"/>
  <c r="Q54" i="35" s="1"/>
  <c r="Q55" i="35" s="1"/>
  <c r="Q56" i="35" s="1"/>
  <c r="Q57" i="35" s="1"/>
  <c r="Q58" i="35" s="1"/>
  <c r="Q59" i="35" s="1"/>
  <c r="Q60" i="35" s="1"/>
  <c r="Q61" i="35" s="1"/>
  <c r="Q62" i="35" s="1"/>
  <c r="Q63" i="35" s="1"/>
  <c r="Q64" i="35" s="1"/>
  <c r="F103" i="35"/>
  <c r="G103" i="35" s="1"/>
  <c r="Q49" i="35" s="1"/>
  <c r="F96" i="35"/>
  <c r="G96" i="35" s="1"/>
  <c r="Q44" i="35" s="1"/>
  <c r="F89" i="35"/>
  <c r="F80" i="35"/>
  <c r="G80" i="35" s="1"/>
  <c r="Q46" i="35" l="1"/>
  <c r="Q53" i="35"/>
  <c r="Q48" i="35"/>
  <c r="Q47" i="35"/>
  <c r="G89" i="35"/>
  <c r="Q39" i="35" s="1"/>
  <c r="Q51" i="35"/>
  <c r="Q45" i="35"/>
  <c r="Q52" i="35"/>
  <c r="Q50" i="35"/>
  <c r="N54" i="35"/>
  <c r="N55" i="35" s="1"/>
  <c r="N56" i="35" l="1"/>
  <c r="Q41" i="35"/>
  <c r="Q40" i="35"/>
  <c r="Q43" i="35"/>
  <c r="Q42" i="35"/>
  <c r="N48" i="35"/>
  <c r="N47" i="35"/>
  <c r="N44" i="35"/>
  <c r="N46" i="35"/>
  <c r="N53" i="35"/>
  <c r="N45" i="35"/>
  <c r="N52" i="35"/>
  <c r="N51" i="35"/>
  <c r="N49" i="35"/>
  <c r="N50" i="35"/>
  <c r="J8" i="35"/>
  <c r="N57" i="35" l="1"/>
  <c r="N39" i="35"/>
  <c r="N43" i="35"/>
  <c r="N42" i="35"/>
  <c r="N41" i="35"/>
  <c r="N40" i="35"/>
  <c r="N58" i="35" l="1"/>
  <c r="T503" i="34"/>
  <c r="T472" i="34"/>
  <c r="T441" i="34"/>
  <c r="T410" i="34"/>
  <c r="T379" i="34"/>
  <c r="T348" i="34"/>
  <c r="T317" i="34"/>
  <c r="T286" i="34"/>
  <c r="T255" i="34"/>
  <c r="T224" i="34"/>
  <c r="T193" i="34"/>
  <c r="T162" i="34"/>
  <c r="T131" i="34"/>
  <c r="T100" i="34"/>
  <c r="T69" i="34"/>
  <c r="S503" i="34"/>
  <c r="S472" i="34"/>
  <c r="S441" i="34"/>
  <c r="S410" i="34"/>
  <c r="S379" i="34"/>
  <c r="S348" i="34"/>
  <c r="S317" i="34"/>
  <c r="S286" i="34"/>
  <c r="S255" i="34"/>
  <c r="S224" i="34"/>
  <c r="S193" i="34"/>
  <c r="S162" i="34"/>
  <c r="S131" i="34"/>
  <c r="S100" i="34"/>
  <c r="S69" i="34"/>
  <c r="S10" i="35"/>
  <c r="S9" i="35"/>
  <c r="S8" i="35"/>
  <c r="S7" i="35"/>
  <c r="U193" i="34" l="1"/>
  <c r="Y44" i="34" s="1"/>
  <c r="E43" i="34" s="1"/>
  <c r="U441" i="34"/>
  <c r="Y52" i="34" s="1"/>
  <c r="E51" i="34" s="1"/>
  <c r="N59" i="35"/>
  <c r="U162" i="34"/>
  <c r="Y43" i="34" s="1"/>
  <c r="E42" i="34" s="1"/>
  <c r="U69" i="34"/>
  <c r="Y40" i="34" s="1"/>
  <c r="U317" i="34"/>
  <c r="Y48" i="34" s="1"/>
  <c r="E47" i="34" s="1"/>
  <c r="U255" i="34"/>
  <c r="Y46" i="34" s="1"/>
  <c r="E45" i="34" s="1"/>
  <c r="U410" i="34"/>
  <c r="Y51" i="34" s="1"/>
  <c r="E50" i="34" s="1"/>
  <c r="U286" i="34"/>
  <c r="Y47" i="34" s="1"/>
  <c r="E46" i="34" s="1"/>
  <c r="U224" i="34"/>
  <c r="Y45" i="34" s="1"/>
  <c r="E44" i="34" s="1"/>
  <c r="U472" i="34"/>
  <c r="Y53" i="34" s="1"/>
  <c r="E52" i="34" s="1"/>
  <c r="U379" i="34"/>
  <c r="Y50" i="34" s="1"/>
  <c r="E49" i="34" s="1"/>
  <c r="U503" i="34"/>
  <c r="Y54" i="34" s="1"/>
  <c r="E53" i="34" s="1"/>
  <c r="U131" i="34"/>
  <c r="Y42" i="34" s="1"/>
  <c r="E41" i="34" s="1"/>
  <c r="U100" i="34"/>
  <c r="Y41" i="34" s="1"/>
  <c r="E40" i="34" s="1"/>
  <c r="U348" i="34"/>
  <c r="Y49" i="34" s="1"/>
  <c r="E48" i="34" s="1"/>
  <c r="F16" i="2"/>
  <c r="C16" i="2" s="1"/>
  <c r="F17" i="2"/>
  <c r="C17" i="2" s="1"/>
  <c r="F18" i="2"/>
  <c r="F19" i="2" s="1"/>
  <c r="F20" i="2" s="1"/>
  <c r="F21" i="2" s="1"/>
  <c r="F22" i="2" s="1"/>
  <c r="F23" i="2" s="1"/>
  <c r="F24" i="2" s="1"/>
  <c r="F25" i="2" s="1"/>
  <c r="F26" i="2" s="1"/>
  <c r="F27" i="2" s="1"/>
  <c r="F28" i="2" s="1"/>
  <c r="F29" i="2" s="1"/>
  <c r="F30" i="2" s="1"/>
  <c r="F31" i="2" s="1"/>
  <c r="F32" i="2" s="1"/>
  <c r="C32" i="2" s="1"/>
  <c r="F15" i="2"/>
  <c r="C15" i="2" s="1"/>
  <c r="E16" i="2"/>
  <c r="E17" i="2"/>
  <c r="B17" i="2" s="1"/>
  <c r="E18" i="2"/>
  <c r="E15" i="2"/>
  <c r="O8" i="35"/>
  <c r="O9" i="35"/>
  <c r="O10" i="35"/>
  <c r="O7" i="35"/>
  <c r="I19" i="2"/>
  <c r="H19" i="2" s="1"/>
  <c r="I20" i="2"/>
  <c r="H20" i="2" s="1"/>
  <c r="I21" i="2"/>
  <c r="H21" i="2" s="1"/>
  <c r="I22" i="2"/>
  <c r="H22" i="2" s="1"/>
  <c r="I18" i="2"/>
  <c r="H18" i="2" s="1"/>
  <c r="N60" i="35" l="1"/>
  <c r="G18" i="2"/>
  <c r="G19" i="2" s="1"/>
  <c r="G20" i="2" s="1"/>
  <c r="G21" i="2" s="1"/>
  <c r="G22" i="2" s="1"/>
  <c r="G23" i="2" s="1"/>
  <c r="G24" i="2" s="1"/>
  <c r="G25" i="2" s="1"/>
  <c r="G26" i="2" s="1"/>
  <c r="G27" i="2" s="1"/>
  <c r="G28" i="2" s="1"/>
  <c r="G29" i="2" s="1"/>
  <c r="G30" i="2" s="1"/>
  <c r="G31" i="2" s="1"/>
  <c r="G32" i="2" s="1"/>
  <c r="G15" i="2"/>
  <c r="D15" i="2" s="1"/>
  <c r="D14" i="2" s="1"/>
  <c r="L40" i="35"/>
  <c r="M40" i="35"/>
  <c r="O40" i="35" s="1"/>
  <c r="M42" i="35"/>
  <c r="L42" i="35"/>
  <c r="L43" i="35" s="1"/>
  <c r="L44" i="35" s="1"/>
  <c r="L45" i="35" s="1"/>
  <c r="L46" i="35" s="1"/>
  <c r="L47" i="35" s="1"/>
  <c r="L48" i="35" s="1"/>
  <c r="L49" i="35" s="1"/>
  <c r="L50" i="35" s="1"/>
  <c r="L51" i="35" s="1"/>
  <c r="L52" i="35" s="1"/>
  <c r="L53" i="35" s="1"/>
  <c r="L54" i="35" s="1"/>
  <c r="L55" i="35" s="1"/>
  <c r="L56" i="35" s="1"/>
  <c r="L57" i="35" s="1"/>
  <c r="L58" i="35" s="1"/>
  <c r="L59" i="35" s="1"/>
  <c r="L60" i="35" s="1"/>
  <c r="L61" i="35" s="1"/>
  <c r="L62" i="35" s="1"/>
  <c r="L63" i="35" s="1"/>
  <c r="L64" i="35" s="1"/>
  <c r="L39" i="35"/>
  <c r="M39" i="35"/>
  <c r="O39" i="35" s="1"/>
  <c r="P39" i="35" s="1"/>
  <c r="M41" i="35"/>
  <c r="O41" i="35" s="1"/>
  <c r="L41" i="35"/>
  <c r="C22" i="2"/>
  <c r="C31" i="2"/>
  <c r="C30" i="2"/>
  <c r="C25" i="2"/>
  <c r="C23" i="2"/>
  <c r="B18" i="2"/>
  <c r="B15" i="2"/>
  <c r="C28" i="2"/>
  <c r="C20" i="2"/>
  <c r="G16" i="2"/>
  <c r="D16" i="2" s="1"/>
  <c r="C27" i="2"/>
  <c r="C19" i="2"/>
  <c r="C24" i="2"/>
  <c r="C29" i="2"/>
  <c r="C21" i="2"/>
  <c r="B16" i="2"/>
  <c r="C26" i="2"/>
  <c r="C18" i="2"/>
  <c r="G17" i="2"/>
  <c r="D17" i="2" s="1"/>
  <c r="E19" i="2"/>
  <c r="E110" i="2"/>
  <c r="D110" i="2"/>
  <c r="C110" i="2"/>
  <c r="G107" i="2"/>
  <c r="G106" i="2"/>
  <c r="G105" i="2"/>
  <c r="G104" i="2"/>
  <c r="G103" i="2"/>
  <c r="G102" i="2"/>
  <c r="G101" i="2"/>
  <c r="G100" i="2"/>
  <c r="G99" i="2"/>
  <c r="G98" i="2"/>
  <c r="G97" i="2"/>
  <c r="G96" i="2"/>
  <c r="G95" i="2"/>
  <c r="G94" i="2"/>
  <c r="G93" i="2"/>
  <c r="G92" i="2"/>
  <c r="G91" i="2"/>
  <c r="G90" i="2"/>
  <c r="G89" i="2"/>
  <c r="G88" i="2"/>
  <c r="G87" i="2"/>
  <c r="G86" i="2"/>
  <c r="G85" i="2"/>
  <c r="G84" i="2"/>
  <c r="G83" i="2"/>
  <c r="G82" i="2"/>
  <c r="G81" i="2"/>
  <c r="G80" i="2"/>
  <c r="G79" i="2"/>
  <c r="G78" i="2"/>
  <c r="G77" i="2"/>
  <c r="G76" i="2"/>
  <c r="G75" i="2"/>
  <c r="G74" i="2"/>
  <c r="G73" i="2"/>
  <c r="G72" i="2"/>
  <c r="G71" i="2"/>
  <c r="G70" i="2"/>
  <c r="G69" i="2"/>
  <c r="G68" i="2"/>
  <c r="G67" i="2"/>
  <c r="G66" i="2"/>
  <c r="G65" i="2"/>
  <c r="G64" i="2"/>
  <c r="G63" i="2"/>
  <c r="G62" i="2"/>
  <c r="G61" i="2"/>
  <c r="G60" i="2"/>
  <c r="G59" i="2"/>
  <c r="G58" i="2"/>
  <c r="G57" i="2"/>
  <c r="D32" i="2" l="1"/>
  <c r="G33" i="2"/>
  <c r="N61" i="35"/>
  <c r="D20" i="2"/>
  <c r="D18" i="2"/>
  <c r="D24" i="2"/>
  <c r="D29" i="2"/>
  <c r="D25" i="2"/>
  <c r="D27" i="2"/>
  <c r="D23" i="2"/>
  <c r="D19" i="2"/>
  <c r="D22" i="2"/>
  <c r="D21" i="2"/>
  <c r="D28" i="2"/>
  <c r="D31" i="2"/>
  <c r="D30" i="2"/>
  <c r="D26" i="2"/>
  <c r="C9" i="35"/>
  <c r="E9" i="35"/>
  <c r="F9" i="35"/>
  <c r="D9" i="35"/>
  <c r="P41" i="35"/>
  <c r="O42" i="35"/>
  <c r="P42" i="35" s="1"/>
  <c r="M43" i="35"/>
  <c r="P40" i="35"/>
  <c r="E20" i="2"/>
  <c r="B19" i="2"/>
  <c r="G110" i="2"/>
  <c r="F110" i="2" s="1"/>
  <c r="D114" i="23"/>
  <c r="D113" i="23"/>
  <c r="D112" i="23"/>
  <c r="D111" i="23"/>
  <c r="D110" i="23"/>
  <c r="E109" i="23"/>
  <c r="D109" i="23"/>
  <c r="E94" i="23"/>
  <c r="D94" i="23"/>
  <c r="E93" i="23"/>
  <c r="D93" i="23"/>
  <c r="E92" i="23"/>
  <c r="D92" i="23"/>
  <c r="E91" i="23"/>
  <c r="D91" i="23"/>
  <c r="E90" i="23"/>
  <c r="D90" i="23"/>
  <c r="E89" i="23"/>
  <c r="D89" i="23"/>
  <c r="E74" i="23"/>
  <c r="D74" i="23"/>
  <c r="E73" i="23"/>
  <c r="D73" i="23"/>
  <c r="E72" i="23"/>
  <c r="D72" i="23"/>
  <c r="E71" i="23"/>
  <c r="D71" i="23"/>
  <c r="E70" i="23"/>
  <c r="D70" i="23"/>
  <c r="E69" i="23"/>
  <c r="D69" i="23"/>
  <c r="G34" i="2" l="1"/>
  <c r="D33" i="2"/>
  <c r="N62" i="35"/>
  <c r="E115" i="23"/>
  <c r="E114" i="23"/>
  <c r="E11" i="35"/>
  <c r="C11" i="35"/>
  <c r="F11" i="35"/>
  <c r="D11" i="35"/>
  <c r="F10" i="35"/>
  <c r="C10" i="35"/>
  <c r="D10" i="35"/>
  <c r="E10" i="35"/>
  <c r="D12" i="35"/>
  <c r="E12" i="35"/>
  <c r="C12" i="35"/>
  <c r="F12" i="35"/>
  <c r="O43" i="35"/>
  <c r="P43" i="35" s="1"/>
  <c r="M44" i="35"/>
  <c r="E21" i="2"/>
  <c r="B20" i="2"/>
  <c r="D75" i="23"/>
  <c r="B79" i="23" s="1"/>
  <c r="L13" i="9" s="1"/>
  <c r="C28" i="9" s="1"/>
  <c r="F103" i="23"/>
  <c r="B103" i="23"/>
  <c r="G83" i="23"/>
  <c r="F83" i="23"/>
  <c r="E83" i="23"/>
  <c r="D83" i="23"/>
  <c r="C83" i="23"/>
  <c r="B83" i="23"/>
  <c r="A83" i="23"/>
  <c r="G63" i="23"/>
  <c r="F63" i="23"/>
  <c r="E63" i="23"/>
  <c r="D63" i="23"/>
  <c r="C63" i="23"/>
  <c r="B63" i="23"/>
  <c r="A63" i="23"/>
  <c r="D115" i="23"/>
  <c r="D95" i="23"/>
  <c r="H44" i="39"/>
  <c r="C106" i="40"/>
  <c r="B106" i="40"/>
  <c r="C102" i="40"/>
  <c r="B102" i="40"/>
  <c r="C101" i="40"/>
  <c r="W15" i="35" s="1"/>
  <c r="B101" i="40"/>
  <c r="V15" i="35" s="1"/>
  <c r="C100" i="40"/>
  <c r="W14" i="35" s="1"/>
  <c r="B100" i="40"/>
  <c r="V14" i="35" s="1"/>
  <c r="C99" i="40"/>
  <c r="W13" i="35" s="1"/>
  <c r="B99" i="40"/>
  <c r="V13" i="35" s="1"/>
  <c r="C98" i="40"/>
  <c r="W12" i="35" s="1"/>
  <c r="B98" i="40"/>
  <c r="V12" i="35" s="1"/>
  <c r="C97" i="40"/>
  <c r="W11" i="35" s="1"/>
  <c r="B97" i="40"/>
  <c r="V11" i="35" s="1"/>
  <c r="C96" i="40"/>
  <c r="W10" i="35" s="1"/>
  <c r="B96" i="40"/>
  <c r="V10" i="35" s="1"/>
  <c r="L80" i="40"/>
  <c r="K80" i="40"/>
  <c r="I80" i="40"/>
  <c r="H80" i="40"/>
  <c r="G80" i="40"/>
  <c r="F80" i="40"/>
  <c r="E80" i="40"/>
  <c r="L79" i="40"/>
  <c r="K79" i="40"/>
  <c r="I79" i="40"/>
  <c r="H79" i="40"/>
  <c r="G79" i="40"/>
  <c r="F79" i="40"/>
  <c r="E79" i="40"/>
  <c r="L78" i="40"/>
  <c r="K78" i="40"/>
  <c r="I78" i="40"/>
  <c r="H78" i="40"/>
  <c r="G78" i="40"/>
  <c r="F78" i="40"/>
  <c r="E78" i="40"/>
  <c r="L77" i="40"/>
  <c r="K77" i="40"/>
  <c r="I77" i="40"/>
  <c r="H77" i="40"/>
  <c r="G77" i="40"/>
  <c r="F77" i="40"/>
  <c r="E77" i="40"/>
  <c r="L76" i="40"/>
  <c r="K76" i="40"/>
  <c r="I76" i="40"/>
  <c r="H76" i="40"/>
  <c r="G76" i="40"/>
  <c r="F76" i="40"/>
  <c r="E76" i="40"/>
  <c r="L75" i="40"/>
  <c r="K75" i="40"/>
  <c r="I75" i="40"/>
  <c r="H75" i="40"/>
  <c r="G75" i="40"/>
  <c r="F75" i="40"/>
  <c r="E75" i="40"/>
  <c r="L74" i="40"/>
  <c r="K74" i="40"/>
  <c r="I74" i="40"/>
  <c r="H74" i="40"/>
  <c r="G74" i="40"/>
  <c r="F74" i="40"/>
  <c r="E74" i="40"/>
  <c r="L73" i="40"/>
  <c r="K73" i="40"/>
  <c r="I73" i="40"/>
  <c r="H73" i="40"/>
  <c r="G73" i="40"/>
  <c r="F73" i="40"/>
  <c r="E73" i="40"/>
  <c r="L72" i="40"/>
  <c r="K72" i="40"/>
  <c r="I72" i="40"/>
  <c r="H72" i="40"/>
  <c r="G72" i="40"/>
  <c r="F72" i="40"/>
  <c r="E72" i="40"/>
  <c r="L71" i="40"/>
  <c r="K71" i="40"/>
  <c r="I71" i="40"/>
  <c r="H71" i="40"/>
  <c r="G71" i="40"/>
  <c r="F71" i="40"/>
  <c r="E71" i="40"/>
  <c r="L70" i="40"/>
  <c r="K70" i="40"/>
  <c r="I70" i="40"/>
  <c r="H70" i="40"/>
  <c r="G70" i="40"/>
  <c r="F70" i="40"/>
  <c r="E70" i="40"/>
  <c r="L69" i="40"/>
  <c r="K69" i="40"/>
  <c r="I69" i="40"/>
  <c r="H69" i="40"/>
  <c r="G69" i="40"/>
  <c r="F69" i="40"/>
  <c r="E69" i="40"/>
  <c r="L68" i="40"/>
  <c r="K68" i="40"/>
  <c r="I68" i="40"/>
  <c r="H68" i="40"/>
  <c r="G68" i="40"/>
  <c r="F68" i="40"/>
  <c r="E68" i="40"/>
  <c r="L67" i="40"/>
  <c r="K67" i="40"/>
  <c r="I67" i="40"/>
  <c r="H67" i="40"/>
  <c r="G67" i="40"/>
  <c r="F67" i="40"/>
  <c r="E67" i="40"/>
  <c r="L66" i="40"/>
  <c r="K66" i="40"/>
  <c r="I66" i="40"/>
  <c r="H66" i="40"/>
  <c r="G66" i="40"/>
  <c r="F66" i="40"/>
  <c r="E66" i="40"/>
  <c r="L65" i="40"/>
  <c r="K65" i="40"/>
  <c r="I65" i="40"/>
  <c r="H65" i="40"/>
  <c r="G65" i="40"/>
  <c r="F65" i="40"/>
  <c r="E65" i="40"/>
  <c r="C45" i="40"/>
  <c r="C46" i="40" s="1"/>
  <c r="C47" i="40" s="1"/>
  <c r="C48" i="40" s="1"/>
  <c r="C49" i="40" s="1"/>
  <c r="B45" i="40"/>
  <c r="B46" i="40" s="1"/>
  <c r="B47" i="40" s="1"/>
  <c r="B48" i="40" s="1"/>
  <c r="B49" i="40" s="1"/>
  <c r="C41" i="40"/>
  <c r="C42" i="40" s="1"/>
  <c r="C43" i="40" s="1"/>
  <c r="C44" i="40" s="1"/>
  <c r="B41" i="40"/>
  <c r="B42" i="40" s="1"/>
  <c r="B43" i="40" s="1"/>
  <c r="B44" i="40" s="1"/>
  <c r="C40" i="40"/>
  <c r="B40" i="40"/>
  <c r="C39" i="40"/>
  <c r="B39" i="40"/>
  <c r="C38" i="40"/>
  <c r="B38" i="40"/>
  <c r="C37" i="40"/>
  <c r="B37" i="40"/>
  <c r="C36" i="40"/>
  <c r="B36" i="40"/>
  <c r="C35" i="40"/>
  <c r="C34" i="40" s="1"/>
  <c r="B35" i="40"/>
  <c r="B34" i="40" s="1"/>
  <c r="L20" i="40"/>
  <c r="K20" i="40"/>
  <c r="I20" i="40"/>
  <c r="H20" i="40"/>
  <c r="G20" i="40"/>
  <c r="F20" i="40"/>
  <c r="E20" i="40"/>
  <c r="L19" i="40"/>
  <c r="K19" i="40"/>
  <c r="I19" i="40"/>
  <c r="H19" i="40"/>
  <c r="G19" i="40"/>
  <c r="F19" i="40"/>
  <c r="E19" i="40"/>
  <c r="L18" i="40"/>
  <c r="K18" i="40"/>
  <c r="I18" i="40"/>
  <c r="H18" i="40"/>
  <c r="G18" i="40"/>
  <c r="F18" i="40"/>
  <c r="E18" i="40"/>
  <c r="L17" i="40"/>
  <c r="K17" i="40"/>
  <c r="I17" i="40"/>
  <c r="H17" i="40"/>
  <c r="G17" i="40"/>
  <c r="F17" i="40"/>
  <c r="E17" i="40"/>
  <c r="L16" i="40"/>
  <c r="K16" i="40"/>
  <c r="I16" i="40"/>
  <c r="H16" i="40"/>
  <c r="G16" i="40"/>
  <c r="F16" i="40"/>
  <c r="E16" i="40"/>
  <c r="L15" i="40"/>
  <c r="K15" i="40"/>
  <c r="I15" i="40"/>
  <c r="H15" i="40"/>
  <c r="G15" i="40"/>
  <c r="F15" i="40"/>
  <c r="E15" i="40"/>
  <c r="L14" i="40"/>
  <c r="K14" i="40"/>
  <c r="I14" i="40"/>
  <c r="H14" i="40"/>
  <c r="G14" i="40"/>
  <c r="F14" i="40"/>
  <c r="E14" i="40"/>
  <c r="L13" i="40"/>
  <c r="K13" i="40"/>
  <c r="I13" i="40"/>
  <c r="H13" i="40"/>
  <c r="G13" i="40"/>
  <c r="F13" i="40"/>
  <c r="E13" i="40"/>
  <c r="L12" i="40"/>
  <c r="K12" i="40"/>
  <c r="I12" i="40"/>
  <c r="H12" i="40"/>
  <c r="G12" i="40"/>
  <c r="F12" i="40"/>
  <c r="E12" i="40"/>
  <c r="L11" i="40"/>
  <c r="K11" i="40"/>
  <c r="I11" i="40"/>
  <c r="H11" i="40"/>
  <c r="G11" i="40"/>
  <c r="F11" i="40"/>
  <c r="E11" i="40"/>
  <c r="L10" i="40"/>
  <c r="K10" i="40"/>
  <c r="I10" i="40"/>
  <c r="H10" i="40"/>
  <c r="G10" i="40"/>
  <c r="F10" i="40"/>
  <c r="E10" i="40"/>
  <c r="L9" i="40"/>
  <c r="K9" i="40"/>
  <c r="I9" i="40"/>
  <c r="H9" i="40"/>
  <c r="G9" i="40"/>
  <c r="F9" i="40"/>
  <c r="E9" i="40"/>
  <c r="L8" i="40"/>
  <c r="K8" i="40"/>
  <c r="I8" i="40"/>
  <c r="H8" i="40"/>
  <c r="G8" i="40"/>
  <c r="F8" i="40"/>
  <c r="E8" i="40"/>
  <c r="L7" i="40"/>
  <c r="K7" i="40"/>
  <c r="I7" i="40"/>
  <c r="H7" i="40"/>
  <c r="G7" i="40"/>
  <c r="F7" i="40"/>
  <c r="E7" i="40"/>
  <c r="L6" i="40"/>
  <c r="K6" i="40"/>
  <c r="I6" i="40"/>
  <c r="H6" i="40"/>
  <c r="G6" i="40"/>
  <c r="F6" i="40"/>
  <c r="E6" i="40"/>
  <c r="L5" i="40"/>
  <c r="K5" i="40"/>
  <c r="I5" i="40"/>
  <c r="H5" i="40"/>
  <c r="G5" i="40"/>
  <c r="F5" i="40"/>
  <c r="E5" i="40"/>
  <c r="G35" i="2" l="1"/>
  <c r="D34" i="2"/>
  <c r="B95" i="40"/>
  <c r="V9" i="35" s="1"/>
  <c r="C95" i="40"/>
  <c r="W9" i="35" s="1"/>
  <c r="B107" i="40"/>
  <c r="V20" i="35"/>
  <c r="B103" i="40"/>
  <c r="V16" i="35"/>
  <c r="C107" i="40"/>
  <c r="W20" i="35"/>
  <c r="C103" i="40"/>
  <c r="W16" i="35"/>
  <c r="N63" i="35"/>
  <c r="G119" i="23"/>
  <c r="Q55" i="9" s="1"/>
  <c r="A119" i="23"/>
  <c r="K55" i="9" s="1"/>
  <c r="E119" i="23"/>
  <c r="O55" i="9" s="1"/>
  <c r="D119" i="23"/>
  <c r="N55" i="9" s="1"/>
  <c r="C119" i="23"/>
  <c r="E13" i="35"/>
  <c r="F13" i="35"/>
  <c r="C13" i="35"/>
  <c r="D13" i="35"/>
  <c r="M45" i="35"/>
  <c r="O44" i="35"/>
  <c r="P44" i="35" s="1"/>
  <c r="E22" i="2"/>
  <c r="B21" i="2"/>
  <c r="E79" i="23"/>
  <c r="O13" i="9" s="1"/>
  <c r="F12" i="9" s="1"/>
  <c r="F13" i="9" s="1"/>
  <c r="A79" i="23"/>
  <c r="K13" i="9" s="1"/>
  <c r="B23" i="9" s="1"/>
  <c r="G79" i="23"/>
  <c r="Q13" i="9" s="1"/>
  <c r="H12" i="9" s="1"/>
  <c r="F79" i="23"/>
  <c r="P13" i="9" s="1"/>
  <c r="G18" i="9" s="1"/>
  <c r="D79" i="23"/>
  <c r="N13" i="9" s="1"/>
  <c r="C79" i="23"/>
  <c r="M13" i="9" s="1"/>
  <c r="C12" i="9"/>
  <c r="G99" i="23"/>
  <c r="Q34" i="9" s="1"/>
  <c r="F99" i="23"/>
  <c r="P34" i="9" s="1"/>
  <c r="E99" i="23"/>
  <c r="O34" i="9" s="1"/>
  <c r="D99" i="23"/>
  <c r="N34" i="9" s="1"/>
  <c r="A99" i="23"/>
  <c r="K34" i="9" s="1"/>
  <c r="C99" i="23"/>
  <c r="M34" i="9" s="1"/>
  <c r="B99" i="23"/>
  <c r="L34" i="9" s="1"/>
  <c r="B119" i="23"/>
  <c r="L55" i="9" s="1"/>
  <c r="M55" i="9"/>
  <c r="F119" i="23"/>
  <c r="P55" i="9" s="1"/>
  <c r="C23" i="9"/>
  <c r="C18" i="9"/>
  <c r="J69" i="40"/>
  <c r="J79" i="40"/>
  <c r="J77" i="40"/>
  <c r="J68" i="40"/>
  <c r="N98" i="40" s="1"/>
  <c r="J67" i="40"/>
  <c r="B67" i="40" s="1"/>
  <c r="J76" i="40"/>
  <c r="N106" i="40" s="1"/>
  <c r="J78" i="40"/>
  <c r="J70" i="40"/>
  <c r="B70" i="40" s="1"/>
  <c r="J9" i="40"/>
  <c r="B9" i="40" s="1"/>
  <c r="J66" i="40"/>
  <c r="N96" i="40" s="1"/>
  <c r="J75" i="40"/>
  <c r="B75" i="40" s="1"/>
  <c r="J13" i="40"/>
  <c r="M13" i="40" s="1"/>
  <c r="I52" i="39" s="1"/>
  <c r="J74" i="40"/>
  <c r="B74" i="40" s="1"/>
  <c r="J73" i="40"/>
  <c r="B73" i="40" s="1"/>
  <c r="J65" i="40"/>
  <c r="B65" i="40" s="1"/>
  <c r="J71" i="40"/>
  <c r="J72" i="40"/>
  <c r="N102" i="40" s="1"/>
  <c r="J80" i="40"/>
  <c r="J12" i="40"/>
  <c r="J20" i="40"/>
  <c r="J8" i="40"/>
  <c r="J7" i="40"/>
  <c r="B7" i="40" s="1"/>
  <c r="J6" i="40"/>
  <c r="N35" i="40" s="1"/>
  <c r="K10" i="34" s="1"/>
  <c r="J15" i="40"/>
  <c r="B15" i="40" s="1"/>
  <c r="J18" i="40"/>
  <c r="B18" i="40" s="1"/>
  <c r="J17" i="40"/>
  <c r="B17" i="40" s="1"/>
  <c r="J11" i="40"/>
  <c r="N40" i="40" s="1"/>
  <c r="K15" i="34" s="1"/>
  <c r="J16" i="40"/>
  <c r="J5" i="40"/>
  <c r="J10" i="40"/>
  <c r="N39" i="40" s="1"/>
  <c r="K14" i="34" s="1"/>
  <c r="J14" i="40"/>
  <c r="B14" i="40" s="1"/>
  <c r="J19" i="40"/>
  <c r="N48" i="40" s="1"/>
  <c r="K23" i="34" s="1"/>
  <c r="F117" i="9" l="1"/>
  <c r="F122" i="9"/>
  <c r="I122" i="9" s="1"/>
  <c r="H117" i="9"/>
  <c r="H122" i="9"/>
  <c r="B122" i="9"/>
  <c r="B117" i="9"/>
  <c r="D117" i="9"/>
  <c r="D122" i="9"/>
  <c r="C117" i="9"/>
  <c r="C122" i="9"/>
  <c r="G117" i="9"/>
  <c r="G122" i="9"/>
  <c r="E117" i="9"/>
  <c r="E122" i="9"/>
  <c r="G36" i="2"/>
  <c r="D35" i="2"/>
  <c r="N97" i="40"/>
  <c r="N42" i="40"/>
  <c r="K17" i="34" s="1"/>
  <c r="B13" i="40"/>
  <c r="B68" i="40"/>
  <c r="M10" i="40"/>
  <c r="I49" i="39" s="1"/>
  <c r="C104" i="40"/>
  <c r="W17" i="35"/>
  <c r="C108" i="40"/>
  <c r="W21" i="35"/>
  <c r="B104" i="40"/>
  <c r="V17" i="35"/>
  <c r="B108" i="40"/>
  <c r="V21" i="35"/>
  <c r="N64" i="35"/>
  <c r="D14" i="35"/>
  <c r="E14" i="35"/>
  <c r="F14" i="35"/>
  <c r="C14" i="35"/>
  <c r="H18" i="9"/>
  <c r="F28" i="9"/>
  <c r="M46" i="35"/>
  <c r="O45" i="35"/>
  <c r="P45" i="35" s="1"/>
  <c r="F18" i="9"/>
  <c r="H28" i="9"/>
  <c r="F23" i="9"/>
  <c r="E23" i="2"/>
  <c r="B22" i="2"/>
  <c r="B28" i="9"/>
  <c r="M76" i="40"/>
  <c r="J55" i="39" s="1"/>
  <c r="N95" i="40"/>
  <c r="M73" i="40"/>
  <c r="J52" i="39" s="1"/>
  <c r="B66" i="40"/>
  <c r="M78" i="40"/>
  <c r="J57" i="39" s="1"/>
  <c r="Q96" i="40"/>
  <c r="M70" i="40"/>
  <c r="J49" i="39" s="1"/>
  <c r="M18" i="40"/>
  <c r="I57" i="39" s="1"/>
  <c r="M17" i="40"/>
  <c r="I56" i="39" s="1"/>
  <c r="M65" i="40"/>
  <c r="J44" i="39" s="1"/>
  <c r="L44" i="39" s="1"/>
  <c r="N101" i="40"/>
  <c r="Q101" i="40" s="1"/>
  <c r="C73" i="34" s="1"/>
  <c r="M71" i="40"/>
  <c r="J50" i="39" s="1"/>
  <c r="N99" i="40"/>
  <c r="M69" i="40"/>
  <c r="J48" i="39" s="1"/>
  <c r="M74" i="40"/>
  <c r="J53" i="39" s="1"/>
  <c r="M72" i="40"/>
  <c r="J51" i="39" s="1"/>
  <c r="M66" i="40"/>
  <c r="J45" i="39" s="1"/>
  <c r="M67" i="40"/>
  <c r="J46" i="39" s="1"/>
  <c r="M75" i="40"/>
  <c r="J54" i="39" s="1"/>
  <c r="N107" i="40"/>
  <c r="M77" i="40"/>
  <c r="J56" i="39" s="1"/>
  <c r="B79" i="40"/>
  <c r="M79" i="40"/>
  <c r="J58" i="39" s="1"/>
  <c r="M80" i="40"/>
  <c r="J59" i="39" s="1"/>
  <c r="M68" i="40"/>
  <c r="J47" i="39" s="1"/>
  <c r="M6" i="40"/>
  <c r="I45" i="39" s="1"/>
  <c r="B5" i="40"/>
  <c r="M5" i="40"/>
  <c r="I44" i="39" s="1"/>
  <c r="K44" i="39" s="1"/>
  <c r="B16" i="40"/>
  <c r="M16" i="40"/>
  <c r="I55" i="39" s="1"/>
  <c r="B8" i="40"/>
  <c r="M8" i="40"/>
  <c r="I47" i="39" s="1"/>
  <c r="N34" i="40"/>
  <c r="N44" i="40"/>
  <c r="N41" i="40"/>
  <c r="M12" i="40"/>
  <c r="I51" i="39" s="1"/>
  <c r="M15" i="40"/>
  <c r="I54" i="39" s="1"/>
  <c r="M19" i="40"/>
  <c r="I58" i="39" s="1"/>
  <c r="B20" i="40"/>
  <c r="M20" i="40"/>
  <c r="I59" i="39" s="1"/>
  <c r="M7" i="40"/>
  <c r="I46" i="39" s="1"/>
  <c r="M11" i="40"/>
  <c r="I50" i="39" s="1"/>
  <c r="M9" i="40"/>
  <c r="I48" i="39" s="1"/>
  <c r="M14" i="40"/>
  <c r="I53" i="39" s="1"/>
  <c r="H13" i="9"/>
  <c r="G23" i="9"/>
  <c r="B12" i="9"/>
  <c r="B18" i="9"/>
  <c r="B22" i="9" s="1"/>
  <c r="H23" i="9"/>
  <c r="D23" i="9"/>
  <c r="D12" i="9"/>
  <c r="D18" i="9"/>
  <c r="D28" i="9"/>
  <c r="E28" i="9"/>
  <c r="E23" i="9"/>
  <c r="E12" i="9"/>
  <c r="E18" i="9"/>
  <c r="G28" i="9"/>
  <c r="G12" i="9"/>
  <c r="C22" i="9"/>
  <c r="C13" i="9"/>
  <c r="C27" i="9"/>
  <c r="C24" i="9"/>
  <c r="C26" i="9"/>
  <c r="C25" i="9"/>
  <c r="B60" i="9"/>
  <c r="B102" i="9" s="1"/>
  <c r="B65" i="9"/>
  <c r="B107" i="9" s="1"/>
  <c r="B54" i="9"/>
  <c r="B70" i="9"/>
  <c r="B112" i="9" s="1"/>
  <c r="H44" i="9"/>
  <c r="H49" i="9"/>
  <c r="H33" i="9"/>
  <c r="H34" i="9" s="1"/>
  <c r="H39" i="9"/>
  <c r="C70" i="9"/>
  <c r="C112" i="9" s="1"/>
  <c r="C65" i="9"/>
  <c r="C107" i="9" s="1"/>
  <c r="C54" i="9"/>
  <c r="C60" i="9"/>
  <c r="C102" i="9" s="1"/>
  <c r="G44" i="9"/>
  <c r="G39" i="9"/>
  <c r="G49" i="9"/>
  <c r="G33" i="9"/>
  <c r="G34" i="9" s="1"/>
  <c r="C19" i="9"/>
  <c r="F60" i="9"/>
  <c r="F102" i="9" s="1"/>
  <c r="F70" i="9"/>
  <c r="F112" i="9" s="1"/>
  <c r="F54" i="9"/>
  <c r="F96" i="9" s="1"/>
  <c r="F65" i="9"/>
  <c r="F107" i="9" s="1"/>
  <c r="C20" i="9"/>
  <c r="E65" i="9"/>
  <c r="E107" i="9" s="1"/>
  <c r="E70" i="9"/>
  <c r="E112" i="9" s="1"/>
  <c r="E54" i="9"/>
  <c r="E60" i="9"/>
  <c r="E102" i="9" s="1"/>
  <c r="C33" i="9"/>
  <c r="C34" i="9" s="1"/>
  <c r="C39" i="9"/>
  <c r="C44" i="9"/>
  <c r="C49" i="9"/>
  <c r="F39" i="9"/>
  <c r="F44" i="9"/>
  <c r="F33" i="9"/>
  <c r="F49" i="9"/>
  <c r="C21" i="9"/>
  <c r="H54" i="9"/>
  <c r="H65" i="9"/>
  <c r="H107" i="9" s="1"/>
  <c r="H70" i="9"/>
  <c r="H112" i="9" s="1"/>
  <c r="H60" i="9"/>
  <c r="H102" i="9" s="1"/>
  <c r="D49" i="9"/>
  <c r="D33" i="9"/>
  <c r="D34" i="9" s="1"/>
  <c r="D39" i="9"/>
  <c r="D44" i="9"/>
  <c r="G70" i="9"/>
  <c r="G112" i="9" s="1"/>
  <c r="G60" i="9"/>
  <c r="G102" i="9" s="1"/>
  <c r="G54" i="9"/>
  <c r="G65" i="9"/>
  <c r="G107" i="9" s="1"/>
  <c r="B33" i="9"/>
  <c r="B34" i="9" s="1"/>
  <c r="B39" i="9"/>
  <c r="B44" i="9"/>
  <c r="B49" i="9"/>
  <c r="D60" i="9"/>
  <c r="D102" i="9" s="1"/>
  <c r="D65" i="9"/>
  <c r="D107" i="9" s="1"/>
  <c r="D70" i="9"/>
  <c r="D112" i="9" s="1"/>
  <c r="D54" i="9"/>
  <c r="E33" i="9"/>
  <c r="E34" i="9" s="1"/>
  <c r="E39" i="9"/>
  <c r="E49" i="9"/>
  <c r="E44" i="9"/>
  <c r="N103" i="40"/>
  <c r="B69" i="40"/>
  <c r="B77" i="40"/>
  <c r="B11" i="40"/>
  <c r="B78" i="40"/>
  <c r="B12" i="40"/>
  <c r="N49" i="40"/>
  <c r="B19" i="40"/>
  <c r="B10" i="40"/>
  <c r="B71" i="40"/>
  <c r="N100" i="40"/>
  <c r="Q100" i="40" s="1"/>
  <c r="N38" i="40"/>
  <c r="B76" i="40"/>
  <c r="B80" i="40"/>
  <c r="B72" i="40"/>
  <c r="N37" i="40"/>
  <c r="N47" i="40"/>
  <c r="B6" i="40"/>
  <c r="N36" i="40"/>
  <c r="N46" i="40"/>
  <c r="K21" i="34" s="1"/>
  <c r="N45" i="40"/>
  <c r="N43" i="40"/>
  <c r="D119" i="9" l="1"/>
  <c r="D120" i="9"/>
  <c r="D121" i="9"/>
  <c r="D118" i="9"/>
  <c r="C113" i="9"/>
  <c r="C116" i="9"/>
  <c r="C115" i="9"/>
  <c r="C114" i="9"/>
  <c r="B118" i="9"/>
  <c r="B119" i="9"/>
  <c r="B120" i="9"/>
  <c r="B121" i="9"/>
  <c r="E116" i="9"/>
  <c r="E115" i="9"/>
  <c r="E114" i="9"/>
  <c r="E113" i="9"/>
  <c r="E120" i="9"/>
  <c r="E121" i="9"/>
  <c r="E119" i="9"/>
  <c r="E118" i="9"/>
  <c r="F116" i="9"/>
  <c r="F115" i="9"/>
  <c r="F114" i="9"/>
  <c r="F113" i="9"/>
  <c r="H115" i="9"/>
  <c r="H113" i="9"/>
  <c r="H116" i="9"/>
  <c r="H114" i="9"/>
  <c r="G121" i="9"/>
  <c r="G118" i="9"/>
  <c r="G119" i="9"/>
  <c r="G120" i="9"/>
  <c r="H118" i="9"/>
  <c r="H119" i="9"/>
  <c r="H120" i="9"/>
  <c r="H121" i="9"/>
  <c r="D116" i="9"/>
  <c r="I116" i="9" s="1"/>
  <c r="D115" i="9"/>
  <c r="D114" i="9"/>
  <c r="D113" i="9"/>
  <c r="G116" i="9"/>
  <c r="G115" i="9"/>
  <c r="G114" i="9"/>
  <c r="G113" i="9"/>
  <c r="B116" i="9"/>
  <c r="B115" i="9"/>
  <c r="B114" i="9"/>
  <c r="B113" i="9"/>
  <c r="C118" i="9"/>
  <c r="C119" i="9"/>
  <c r="C120" i="9"/>
  <c r="C121" i="9"/>
  <c r="F121" i="9"/>
  <c r="I121" i="9" s="1"/>
  <c r="I117" i="9"/>
  <c r="F118" i="9"/>
  <c r="I118" i="9" s="1"/>
  <c r="F119" i="9"/>
  <c r="I119" i="9" s="1"/>
  <c r="F120" i="9"/>
  <c r="D36" i="2"/>
  <c r="G37" i="2"/>
  <c r="N104" i="40"/>
  <c r="Q104" i="40" s="1"/>
  <c r="C76" i="34" s="1"/>
  <c r="Q103" i="40"/>
  <c r="K18" i="34"/>
  <c r="Q106" i="40"/>
  <c r="C78" i="34" s="1"/>
  <c r="K20" i="34"/>
  <c r="Q97" i="40"/>
  <c r="C69" i="34" s="1"/>
  <c r="K11" i="34"/>
  <c r="B109" i="40"/>
  <c r="V22" i="35"/>
  <c r="C105" i="40"/>
  <c r="W19" i="35" s="1"/>
  <c r="W18" i="35"/>
  <c r="Q99" i="40"/>
  <c r="C71" i="34" s="1"/>
  <c r="K13" i="34"/>
  <c r="Q102" i="40"/>
  <c r="C74" i="34" s="1"/>
  <c r="K16" i="34"/>
  <c r="V18" i="35"/>
  <c r="B105" i="40"/>
  <c r="K22" i="34"/>
  <c r="C109" i="40"/>
  <c r="W22" i="35"/>
  <c r="K19" i="34"/>
  <c r="Q95" i="40"/>
  <c r="K9" i="34"/>
  <c r="Q98" i="40"/>
  <c r="C70" i="34" s="1"/>
  <c r="K12" i="34"/>
  <c r="N108" i="40"/>
  <c r="Q108" i="40" s="1"/>
  <c r="C80" i="34" s="1"/>
  <c r="K24" i="34"/>
  <c r="H55" i="9"/>
  <c r="H97" i="9" s="1"/>
  <c r="H96" i="9"/>
  <c r="C55" i="9"/>
  <c r="C97" i="9" s="1"/>
  <c r="C96" i="9"/>
  <c r="B55" i="9"/>
  <c r="B97" i="9" s="1"/>
  <c r="B96" i="9"/>
  <c r="E55" i="9"/>
  <c r="E97" i="9" s="1"/>
  <c r="E96" i="9"/>
  <c r="D55" i="9"/>
  <c r="D97" i="9" s="1"/>
  <c r="D96" i="9"/>
  <c r="G55" i="9"/>
  <c r="G97" i="9" s="1"/>
  <c r="G96" i="9"/>
  <c r="D15" i="35"/>
  <c r="C15" i="35"/>
  <c r="E15" i="35"/>
  <c r="F15" i="35"/>
  <c r="F17" i="9"/>
  <c r="H21" i="9"/>
  <c r="F16" i="9"/>
  <c r="F14" i="9"/>
  <c r="F15" i="9"/>
  <c r="H16" i="9"/>
  <c r="G19" i="9"/>
  <c r="H14" i="9"/>
  <c r="H17" i="9"/>
  <c r="H15" i="9"/>
  <c r="B20" i="9"/>
  <c r="F19" i="9"/>
  <c r="M47" i="35"/>
  <c r="O46" i="35"/>
  <c r="P46" i="35" s="1"/>
  <c r="B27" i="9"/>
  <c r="H20" i="9"/>
  <c r="F24" i="9"/>
  <c r="F27" i="9"/>
  <c r="F26" i="9"/>
  <c r="F20" i="9"/>
  <c r="F21" i="9"/>
  <c r="B24" i="9"/>
  <c r="F25" i="9"/>
  <c r="B26" i="9"/>
  <c r="F22" i="9"/>
  <c r="B25" i="9"/>
  <c r="E24" i="2"/>
  <c r="B23" i="2"/>
  <c r="C68" i="34"/>
  <c r="C72" i="34"/>
  <c r="C75" i="34"/>
  <c r="M10" i="26"/>
  <c r="M15" i="6"/>
  <c r="M10" i="6"/>
  <c r="M15" i="26"/>
  <c r="Q107" i="40"/>
  <c r="C79" i="34" s="1"/>
  <c r="M15" i="5"/>
  <c r="M10" i="5"/>
  <c r="C14" i="9"/>
  <c r="G22" i="9"/>
  <c r="G20" i="9"/>
  <c r="C16" i="9"/>
  <c r="B19" i="9"/>
  <c r="B21" i="9"/>
  <c r="B13" i="9"/>
  <c r="G21" i="9"/>
  <c r="H22" i="9"/>
  <c r="C17" i="9"/>
  <c r="C15" i="9"/>
  <c r="I23" i="9"/>
  <c r="H19" i="9"/>
  <c r="I18" i="9"/>
  <c r="G13" i="9"/>
  <c r="I28" i="9"/>
  <c r="G24" i="9"/>
  <c r="G26" i="9"/>
  <c r="D13" i="9"/>
  <c r="I12" i="9"/>
  <c r="E20" i="9"/>
  <c r="E21" i="9"/>
  <c r="E22" i="9"/>
  <c r="E19" i="9"/>
  <c r="D26" i="9"/>
  <c r="D25" i="9"/>
  <c r="D27" i="9"/>
  <c r="D24" i="9"/>
  <c r="H45" i="9"/>
  <c r="G27" i="9"/>
  <c r="G25" i="9"/>
  <c r="E13" i="9"/>
  <c r="H27" i="9"/>
  <c r="H25" i="9"/>
  <c r="H24" i="9"/>
  <c r="H26" i="9"/>
  <c r="D19" i="9"/>
  <c r="D22" i="9"/>
  <c r="D21" i="9"/>
  <c r="D20" i="9"/>
  <c r="E26" i="9"/>
  <c r="E27" i="9"/>
  <c r="E25" i="9"/>
  <c r="E24" i="9"/>
  <c r="G48" i="9"/>
  <c r="D45" i="9"/>
  <c r="D62" i="9"/>
  <c r="D104" i="9" s="1"/>
  <c r="D68" i="9"/>
  <c r="D110" i="9" s="1"/>
  <c r="D67" i="9"/>
  <c r="D109" i="9" s="1"/>
  <c r="D66" i="9"/>
  <c r="D108" i="9" s="1"/>
  <c r="D69" i="9"/>
  <c r="D111" i="9" s="1"/>
  <c r="F43" i="9"/>
  <c r="F42" i="9"/>
  <c r="F41" i="9"/>
  <c r="F40" i="9"/>
  <c r="I39" i="9"/>
  <c r="C38" i="9"/>
  <c r="C41" i="9"/>
  <c r="C43" i="9"/>
  <c r="C40" i="9"/>
  <c r="C42" i="9"/>
  <c r="F55" i="9"/>
  <c r="F97" i="9" s="1"/>
  <c r="I54" i="9"/>
  <c r="I96" i="9" s="1"/>
  <c r="G41" i="9"/>
  <c r="G43" i="9"/>
  <c r="G42" i="9"/>
  <c r="G40" i="9"/>
  <c r="F48" i="9"/>
  <c r="F47" i="9"/>
  <c r="F46" i="9"/>
  <c r="F45" i="9"/>
  <c r="I44" i="9"/>
  <c r="H36" i="9"/>
  <c r="H38" i="9"/>
  <c r="H35" i="9"/>
  <c r="H37" i="9"/>
  <c r="G64" i="9"/>
  <c r="G106" i="9" s="1"/>
  <c r="G63" i="9"/>
  <c r="G105" i="9" s="1"/>
  <c r="G62" i="9"/>
  <c r="G104" i="9" s="1"/>
  <c r="G61" i="9"/>
  <c r="G103" i="9" s="1"/>
  <c r="D63" i="9"/>
  <c r="D105" i="9" s="1"/>
  <c r="D64" i="9"/>
  <c r="D106" i="9" s="1"/>
  <c r="D61" i="9"/>
  <c r="D103" i="9" s="1"/>
  <c r="H68" i="9"/>
  <c r="H110" i="9" s="1"/>
  <c r="H67" i="9"/>
  <c r="H109" i="9" s="1"/>
  <c r="H66" i="9"/>
  <c r="H108" i="9" s="1"/>
  <c r="H69" i="9"/>
  <c r="H111" i="9" s="1"/>
  <c r="C36" i="9"/>
  <c r="C35" i="9"/>
  <c r="C37" i="9"/>
  <c r="I70" i="9"/>
  <c r="I112" i="9" s="1"/>
  <c r="G46" i="9"/>
  <c r="G45" i="9"/>
  <c r="G47" i="9"/>
  <c r="H48" i="9"/>
  <c r="H46" i="9"/>
  <c r="H47" i="9"/>
  <c r="E48" i="9"/>
  <c r="E47" i="9"/>
  <c r="E46" i="9"/>
  <c r="E45" i="9"/>
  <c r="E61" i="9"/>
  <c r="E103" i="9" s="1"/>
  <c r="E63" i="9"/>
  <c r="E105" i="9" s="1"/>
  <c r="E62" i="9"/>
  <c r="E104" i="9" s="1"/>
  <c r="E64" i="9"/>
  <c r="E106" i="9" s="1"/>
  <c r="F63" i="9"/>
  <c r="F105" i="9" s="1"/>
  <c r="F62" i="9"/>
  <c r="F104" i="9" s="1"/>
  <c r="F61" i="9"/>
  <c r="F103" i="9" s="1"/>
  <c r="I60" i="9"/>
  <c r="I102" i="9" s="1"/>
  <c r="F64" i="9"/>
  <c r="F106" i="9" s="1"/>
  <c r="C61" i="9"/>
  <c r="C103" i="9" s="1"/>
  <c r="C64" i="9"/>
  <c r="C106" i="9" s="1"/>
  <c r="C62" i="9"/>
  <c r="C104" i="9" s="1"/>
  <c r="C63" i="9"/>
  <c r="C105" i="9" s="1"/>
  <c r="C48" i="9"/>
  <c r="C47" i="9"/>
  <c r="C46" i="9"/>
  <c r="C45" i="9"/>
  <c r="B45" i="9"/>
  <c r="B46" i="9"/>
  <c r="B48" i="9"/>
  <c r="B47" i="9"/>
  <c r="D47" i="9"/>
  <c r="D48" i="9"/>
  <c r="D46" i="9"/>
  <c r="H64" i="9"/>
  <c r="H106" i="9" s="1"/>
  <c r="H63" i="9"/>
  <c r="H105" i="9" s="1"/>
  <c r="H62" i="9"/>
  <c r="H104" i="9" s="1"/>
  <c r="H61" i="9"/>
  <c r="H103" i="9" s="1"/>
  <c r="E41" i="9"/>
  <c r="E40" i="9"/>
  <c r="E43" i="9"/>
  <c r="E42" i="9"/>
  <c r="B36" i="9"/>
  <c r="B43" i="9"/>
  <c r="B42" i="9"/>
  <c r="B40" i="9"/>
  <c r="B41" i="9"/>
  <c r="D40" i="9"/>
  <c r="D43" i="9"/>
  <c r="D41" i="9"/>
  <c r="D42" i="9"/>
  <c r="C67" i="9"/>
  <c r="C109" i="9" s="1"/>
  <c r="C66" i="9"/>
  <c r="C108" i="9" s="1"/>
  <c r="C68" i="9"/>
  <c r="C110" i="9" s="1"/>
  <c r="C69" i="9"/>
  <c r="C111" i="9" s="1"/>
  <c r="I65" i="9"/>
  <c r="I107" i="9" s="1"/>
  <c r="F69" i="9"/>
  <c r="F111" i="9" s="1"/>
  <c r="F68" i="9"/>
  <c r="F110" i="9" s="1"/>
  <c r="F66" i="9"/>
  <c r="F108" i="9" s="1"/>
  <c r="F67" i="9"/>
  <c r="F109" i="9" s="1"/>
  <c r="E38" i="9"/>
  <c r="E37" i="9"/>
  <c r="E36" i="9"/>
  <c r="E35" i="9"/>
  <c r="B37" i="9"/>
  <c r="B35" i="9"/>
  <c r="B38" i="9"/>
  <c r="D35" i="9"/>
  <c r="D37" i="9"/>
  <c r="D36" i="9"/>
  <c r="D38" i="9"/>
  <c r="I49" i="9"/>
  <c r="E68" i="9"/>
  <c r="E110" i="9" s="1"/>
  <c r="E66" i="9"/>
  <c r="E108" i="9" s="1"/>
  <c r="E67" i="9"/>
  <c r="E109" i="9" s="1"/>
  <c r="E69" i="9"/>
  <c r="E111" i="9" s="1"/>
  <c r="B66" i="9"/>
  <c r="B108" i="9" s="1"/>
  <c r="B68" i="9"/>
  <c r="B110" i="9" s="1"/>
  <c r="B69" i="9"/>
  <c r="B111" i="9" s="1"/>
  <c r="B67" i="9"/>
  <c r="B109" i="9" s="1"/>
  <c r="G66" i="9"/>
  <c r="G108" i="9" s="1"/>
  <c r="G69" i="9"/>
  <c r="G111" i="9" s="1"/>
  <c r="G67" i="9"/>
  <c r="G109" i="9" s="1"/>
  <c r="G68" i="9"/>
  <c r="G110" i="9" s="1"/>
  <c r="F34" i="9"/>
  <c r="F38" i="9" s="1"/>
  <c r="I33" i="9"/>
  <c r="G37" i="9"/>
  <c r="G36" i="9"/>
  <c r="G35" i="9"/>
  <c r="G38" i="9"/>
  <c r="H43" i="9"/>
  <c r="H41" i="9"/>
  <c r="H40" i="9"/>
  <c r="H42" i="9"/>
  <c r="B61" i="9"/>
  <c r="B103" i="9" s="1"/>
  <c r="B64" i="9"/>
  <c r="B106" i="9" s="1"/>
  <c r="B63" i="9"/>
  <c r="B105" i="9" s="1"/>
  <c r="B62" i="9"/>
  <c r="B104" i="9" s="1"/>
  <c r="E57" i="39"/>
  <c r="D57" i="39"/>
  <c r="C57" i="39"/>
  <c r="D52" i="39"/>
  <c r="C52" i="39"/>
  <c r="E52" i="39" s="1"/>
  <c r="E47" i="39"/>
  <c r="D47" i="39"/>
  <c r="C47" i="39"/>
  <c r="C37" i="39"/>
  <c r="C34" i="39"/>
  <c r="C39" i="39" s="1"/>
  <c r="C29" i="39"/>
  <c r="C38" i="39" s="1"/>
  <c r="C28" i="39"/>
  <c r="C27" i="39"/>
  <c r="C26" i="39"/>
  <c r="C25" i="39"/>
  <c r="C36" i="39" s="1"/>
  <c r="C24" i="39"/>
  <c r="C22" i="39"/>
  <c r="C23" i="39" s="1"/>
  <c r="C35" i="39" s="1"/>
  <c r="C21" i="39"/>
  <c r="C20" i="39"/>
  <c r="D15" i="39"/>
  <c r="E15" i="39" s="1"/>
  <c r="F15" i="39" s="1"/>
  <c r="G15" i="39" s="1"/>
  <c r="H15" i="39" s="1"/>
  <c r="I15" i="39" s="1"/>
  <c r="J15" i="39" s="1"/>
  <c r="K15" i="39" s="1"/>
  <c r="L15" i="39" s="1"/>
  <c r="M15" i="39" s="1"/>
  <c r="D14" i="39"/>
  <c r="D13" i="39"/>
  <c r="E13" i="39" s="1"/>
  <c r="F13" i="39" s="1"/>
  <c r="G13" i="39" s="1"/>
  <c r="H13" i="39" s="1"/>
  <c r="I13" i="39" s="1"/>
  <c r="J13" i="39" s="1"/>
  <c r="K13" i="39" s="1"/>
  <c r="L13" i="39" s="1"/>
  <c r="M13" i="39" s="1"/>
  <c r="D12" i="39"/>
  <c r="D11" i="39"/>
  <c r="E11" i="39" s="1"/>
  <c r="F11" i="39" s="1"/>
  <c r="G11" i="39" s="1"/>
  <c r="H11" i="39" s="1"/>
  <c r="I11" i="39" s="1"/>
  <c r="J11" i="39" s="1"/>
  <c r="K11" i="39" s="1"/>
  <c r="L11" i="39" s="1"/>
  <c r="M11" i="39" s="1"/>
  <c r="D10" i="39"/>
  <c r="D9" i="39"/>
  <c r="E9" i="39" s="1"/>
  <c r="F9" i="39" s="1"/>
  <c r="G9" i="39" s="1"/>
  <c r="H9" i="39" s="1"/>
  <c r="I9" i="39" s="1"/>
  <c r="J9" i="39" s="1"/>
  <c r="K9" i="39" s="1"/>
  <c r="L9" i="39" s="1"/>
  <c r="M9" i="39" s="1"/>
  <c r="D8" i="39"/>
  <c r="E8" i="39" s="1"/>
  <c r="D7" i="39"/>
  <c r="E7" i="39" s="1"/>
  <c r="F7" i="39" s="1"/>
  <c r="G7" i="39" s="1"/>
  <c r="H7" i="39" s="1"/>
  <c r="I7" i="39" s="1"/>
  <c r="J7" i="39" s="1"/>
  <c r="K7" i="39" s="1"/>
  <c r="L7" i="39" s="1"/>
  <c r="M7" i="39" s="1"/>
  <c r="D6" i="39"/>
  <c r="I120" i="9" l="1"/>
  <c r="I113" i="9"/>
  <c r="I114" i="9"/>
  <c r="I115" i="9"/>
  <c r="G38" i="2"/>
  <c r="D37" i="2"/>
  <c r="N105" i="40"/>
  <c r="Q105" i="40" s="1"/>
  <c r="C77" i="34" s="1"/>
  <c r="V19" i="35"/>
  <c r="B110" i="40"/>
  <c r="V23" i="35"/>
  <c r="N109" i="40"/>
  <c r="Q109" i="40" s="1"/>
  <c r="C81" i="34" s="1"/>
  <c r="C110" i="40"/>
  <c r="W24" i="35" s="1"/>
  <c r="W25" i="35" s="1"/>
  <c r="W26" i="35" s="1"/>
  <c r="W27" i="35" s="1"/>
  <c r="W28" i="35" s="1"/>
  <c r="W29" i="35" s="1"/>
  <c r="W30" i="35" s="1"/>
  <c r="W31" i="35" s="1"/>
  <c r="W32" i="35" s="1"/>
  <c r="W33" i="35" s="1"/>
  <c r="W34" i="35" s="1"/>
  <c r="W23" i="35"/>
  <c r="E58" i="9"/>
  <c r="E100" i="9" s="1"/>
  <c r="E56" i="9"/>
  <c r="E98" i="9" s="1"/>
  <c r="C57" i="9"/>
  <c r="C99" i="9" s="1"/>
  <c r="G58" i="9"/>
  <c r="G100" i="9" s="1"/>
  <c r="C59" i="9"/>
  <c r="C101" i="9" s="1"/>
  <c r="G59" i="9"/>
  <c r="G101" i="9" s="1"/>
  <c r="E59" i="9"/>
  <c r="E101" i="9" s="1"/>
  <c r="H56" i="9"/>
  <c r="H98" i="9" s="1"/>
  <c r="B57" i="9"/>
  <c r="B99" i="9" s="1"/>
  <c r="D57" i="9"/>
  <c r="D99" i="9" s="1"/>
  <c r="E57" i="9"/>
  <c r="E99" i="9" s="1"/>
  <c r="B59" i="9"/>
  <c r="B101" i="9" s="1"/>
  <c r="C56" i="9"/>
  <c r="C98" i="9" s="1"/>
  <c r="C58" i="9"/>
  <c r="C100" i="9" s="1"/>
  <c r="G57" i="9"/>
  <c r="G99" i="9" s="1"/>
  <c r="B56" i="9"/>
  <c r="B98" i="9" s="1"/>
  <c r="D58" i="9"/>
  <c r="D100" i="9" s="1"/>
  <c r="G56" i="9"/>
  <c r="G98" i="9" s="1"/>
  <c r="B58" i="9"/>
  <c r="B100" i="9" s="1"/>
  <c r="D59" i="9"/>
  <c r="D101" i="9" s="1"/>
  <c r="D56" i="9"/>
  <c r="D98" i="9" s="1"/>
  <c r="H57" i="9"/>
  <c r="H99" i="9" s="1"/>
  <c r="H59" i="9"/>
  <c r="H101" i="9" s="1"/>
  <c r="H58" i="9"/>
  <c r="H100" i="9" s="1"/>
  <c r="E16" i="35"/>
  <c r="C16" i="35"/>
  <c r="F16" i="35"/>
  <c r="D16" i="35"/>
  <c r="M48" i="35"/>
  <c r="O47" i="35"/>
  <c r="P47" i="35" s="1"/>
  <c r="E25" i="2"/>
  <c r="B24" i="2"/>
  <c r="B14" i="9"/>
  <c r="B15" i="9"/>
  <c r="B16" i="9"/>
  <c r="B17" i="9"/>
  <c r="D26" i="39"/>
  <c r="D27" i="39" s="1"/>
  <c r="D37" i="39" s="1"/>
  <c r="I19" i="9"/>
  <c r="I27" i="9"/>
  <c r="I26" i="9"/>
  <c r="I24" i="9"/>
  <c r="D16" i="9"/>
  <c r="D17" i="9"/>
  <c r="D14" i="9"/>
  <c r="D15" i="9"/>
  <c r="I13" i="9"/>
  <c r="I20" i="9"/>
  <c r="I21" i="9"/>
  <c r="I22" i="9"/>
  <c r="G16" i="9"/>
  <c r="G17" i="9"/>
  <c r="G14" i="9"/>
  <c r="G15" i="9"/>
  <c r="E16" i="9"/>
  <c r="E14" i="9"/>
  <c r="E17" i="9"/>
  <c r="E15" i="9"/>
  <c r="I25" i="9"/>
  <c r="I67" i="9"/>
  <c r="I109" i="9" s="1"/>
  <c r="I38" i="9"/>
  <c r="I62" i="9"/>
  <c r="I104" i="9" s="1"/>
  <c r="I46" i="9"/>
  <c r="I64" i="9"/>
  <c r="I106" i="9" s="1"/>
  <c r="I48" i="9"/>
  <c r="I43" i="9"/>
  <c r="I47" i="9"/>
  <c r="I42" i="9"/>
  <c r="D20" i="39"/>
  <c r="D21" i="39" s="1"/>
  <c r="D34" i="39" s="1"/>
  <c r="D28" i="39"/>
  <c r="D29" i="39" s="1"/>
  <c r="D38" i="39" s="1"/>
  <c r="I34" i="9"/>
  <c r="I61" i="9"/>
  <c r="I103" i="9" s="1"/>
  <c r="I66" i="9"/>
  <c r="I108" i="9" s="1"/>
  <c r="I63" i="9"/>
  <c r="I105" i="9" s="1"/>
  <c r="F37" i="9"/>
  <c r="I37" i="9" s="1"/>
  <c r="F36" i="9"/>
  <c r="I36" i="9" s="1"/>
  <c r="F35" i="9"/>
  <c r="I35" i="9" s="1"/>
  <c r="I68" i="9"/>
  <c r="I110" i="9" s="1"/>
  <c r="I69" i="9"/>
  <c r="I111" i="9" s="1"/>
  <c r="I45" i="9"/>
  <c r="I40" i="9"/>
  <c r="I55" i="9"/>
  <c r="I97" i="9" s="1"/>
  <c r="F58" i="9"/>
  <c r="F57" i="9"/>
  <c r="F59" i="9"/>
  <c r="F56" i="9"/>
  <c r="I41" i="9"/>
  <c r="D24" i="39"/>
  <c r="D25" i="39" s="1"/>
  <c r="D36" i="39" s="1"/>
  <c r="C40" i="39"/>
  <c r="F8" i="39"/>
  <c r="E22" i="39"/>
  <c r="E23" i="39" s="1"/>
  <c r="E35" i="39" s="1"/>
  <c r="E6" i="39"/>
  <c r="E10" i="39"/>
  <c r="E14" i="39"/>
  <c r="D22" i="39"/>
  <c r="D23" i="39" s="1"/>
  <c r="D35" i="39" s="1"/>
  <c r="E12" i="39"/>
  <c r="G39" i="2" l="1"/>
  <c r="D38" i="2"/>
  <c r="V24" i="35"/>
  <c r="V25" i="35" s="1"/>
  <c r="V26" i="35" s="1"/>
  <c r="V27" i="35" s="1"/>
  <c r="V28" i="35" s="1"/>
  <c r="V29" i="35" s="1"/>
  <c r="V30" i="35" s="1"/>
  <c r="V31" i="35" s="1"/>
  <c r="V32" i="35" s="1"/>
  <c r="V33" i="35" s="1"/>
  <c r="V34" i="35" s="1"/>
  <c r="N110" i="40"/>
  <c r="Q110" i="40" s="1"/>
  <c r="C82" i="34" s="1"/>
  <c r="I56" i="9"/>
  <c r="I98" i="9" s="1"/>
  <c r="F98" i="9"/>
  <c r="I59" i="9"/>
  <c r="I101" i="9" s="1"/>
  <c r="F101" i="9"/>
  <c r="I57" i="9"/>
  <c r="I99" i="9" s="1"/>
  <c r="F99" i="9"/>
  <c r="I58" i="9"/>
  <c r="I100" i="9" s="1"/>
  <c r="F100" i="9"/>
  <c r="C17" i="35"/>
  <c r="E17" i="35"/>
  <c r="D17" i="35"/>
  <c r="F17" i="35"/>
  <c r="M49" i="35"/>
  <c r="O48" i="35"/>
  <c r="P48" i="35" s="1"/>
  <c r="E26" i="2"/>
  <c r="B25" i="2"/>
  <c r="I15" i="9"/>
  <c r="I14" i="9"/>
  <c r="I17" i="9"/>
  <c r="I16" i="9"/>
  <c r="D39" i="39"/>
  <c r="E28" i="39"/>
  <c r="E29" i="39" s="1"/>
  <c r="E38" i="39" s="1"/>
  <c r="F14" i="39"/>
  <c r="F6" i="39"/>
  <c r="E20" i="39"/>
  <c r="E21" i="39" s="1"/>
  <c r="E34" i="39" s="1"/>
  <c r="G8" i="39"/>
  <c r="F22" i="39"/>
  <c r="F23" i="39" s="1"/>
  <c r="F35" i="39" s="1"/>
  <c r="F10" i="39"/>
  <c r="E24" i="39"/>
  <c r="E25" i="39" s="1"/>
  <c r="E36" i="39" s="1"/>
  <c r="F12" i="39"/>
  <c r="E26" i="39"/>
  <c r="E27" i="39" s="1"/>
  <c r="E37" i="39" s="1"/>
  <c r="G40" i="2" l="1"/>
  <c r="D39" i="2"/>
  <c r="C18" i="35"/>
  <c r="F18" i="35"/>
  <c r="D18" i="35"/>
  <c r="E18" i="35"/>
  <c r="M50" i="35"/>
  <c r="O49" i="35"/>
  <c r="P49" i="35" s="1"/>
  <c r="E27" i="2"/>
  <c r="B26" i="2"/>
  <c r="F24" i="39"/>
  <c r="F25" i="39" s="1"/>
  <c r="F36" i="39" s="1"/>
  <c r="G10" i="39"/>
  <c r="G22" i="39"/>
  <c r="G23" i="39" s="1"/>
  <c r="G35" i="39" s="1"/>
  <c r="H8" i="39"/>
  <c r="E39" i="39"/>
  <c r="F28" i="39"/>
  <c r="F29" i="39" s="1"/>
  <c r="F38" i="39" s="1"/>
  <c r="G14" i="39"/>
  <c r="G12" i="39"/>
  <c r="F26" i="39"/>
  <c r="F27" i="39" s="1"/>
  <c r="F37" i="39" s="1"/>
  <c r="F20" i="39"/>
  <c r="F21" i="39" s="1"/>
  <c r="F34" i="39" s="1"/>
  <c r="G6" i="39"/>
  <c r="D40" i="2" l="1"/>
  <c r="G41" i="2"/>
  <c r="E19" i="35"/>
  <c r="F19" i="35"/>
  <c r="C19" i="35"/>
  <c r="D19" i="35"/>
  <c r="M51" i="35"/>
  <c r="O50" i="35"/>
  <c r="P50" i="35" s="1"/>
  <c r="E28" i="2"/>
  <c r="B27" i="2"/>
  <c r="F39" i="39"/>
  <c r="G26" i="39"/>
  <c r="G27" i="39" s="1"/>
  <c r="G37" i="39" s="1"/>
  <c r="H12" i="39"/>
  <c r="H10" i="39"/>
  <c r="G24" i="39"/>
  <c r="G25" i="39" s="1"/>
  <c r="G36" i="39" s="1"/>
  <c r="H14" i="39"/>
  <c r="G28" i="39"/>
  <c r="G29" i="39" s="1"/>
  <c r="G38" i="39" s="1"/>
  <c r="H22" i="39"/>
  <c r="H23" i="39" s="1"/>
  <c r="H35" i="39" s="1"/>
  <c r="I8" i="39"/>
  <c r="H6" i="39"/>
  <c r="G20" i="39"/>
  <c r="G21" i="39" s="1"/>
  <c r="G34" i="39" s="1"/>
  <c r="G42" i="2" l="1"/>
  <c r="D42" i="2" s="1"/>
  <c r="D41" i="2"/>
  <c r="E20" i="35"/>
  <c r="C20" i="35"/>
  <c r="D20" i="35"/>
  <c r="F20" i="35"/>
  <c r="M52" i="35"/>
  <c r="O51" i="35"/>
  <c r="P51" i="35" s="1"/>
  <c r="E29" i="2"/>
  <c r="B28" i="2"/>
  <c r="G39" i="39"/>
  <c r="H26" i="39"/>
  <c r="H27" i="39" s="1"/>
  <c r="H37" i="39" s="1"/>
  <c r="I12" i="39"/>
  <c r="J8" i="39"/>
  <c r="I22" i="39"/>
  <c r="I23" i="39" s="1"/>
  <c r="I35" i="39" s="1"/>
  <c r="I14" i="39"/>
  <c r="H28" i="39"/>
  <c r="H29" i="39" s="1"/>
  <c r="H38" i="39" s="1"/>
  <c r="I6" i="39"/>
  <c r="H20" i="39"/>
  <c r="H21" i="39" s="1"/>
  <c r="H34" i="39" s="1"/>
  <c r="H24" i="39"/>
  <c r="H25" i="39" s="1"/>
  <c r="H36" i="39" s="1"/>
  <c r="I10" i="39"/>
  <c r="C21" i="35" l="1"/>
  <c r="D21" i="35"/>
  <c r="E21" i="35"/>
  <c r="F21" i="35"/>
  <c r="M53" i="35"/>
  <c r="O52" i="35"/>
  <c r="P52" i="35" s="1"/>
  <c r="E30" i="2"/>
  <c r="B29" i="2"/>
  <c r="J6" i="39"/>
  <c r="I20" i="39"/>
  <c r="I21" i="39" s="1"/>
  <c r="I34" i="39" s="1"/>
  <c r="H39" i="39"/>
  <c r="H40" i="39" s="1"/>
  <c r="H49" i="39" s="1"/>
  <c r="J14" i="39"/>
  <c r="I28" i="39"/>
  <c r="I29" i="39" s="1"/>
  <c r="I38" i="39" s="1"/>
  <c r="I26" i="39"/>
  <c r="I27" i="39" s="1"/>
  <c r="I37" i="39" s="1"/>
  <c r="J12" i="39"/>
  <c r="J10" i="39"/>
  <c r="I24" i="39"/>
  <c r="I25" i="39" s="1"/>
  <c r="I36" i="39" s="1"/>
  <c r="K8" i="39"/>
  <c r="J22" i="39"/>
  <c r="J23" i="39" s="1"/>
  <c r="J35" i="39" s="1"/>
  <c r="D22" i="35" l="1"/>
  <c r="E22" i="35"/>
  <c r="F22" i="35"/>
  <c r="C22" i="35"/>
  <c r="M54" i="35"/>
  <c r="O53" i="35"/>
  <c r="P53" i="35" s="1"/>
  <c r="E31" i="2"/>
  <c r="B30" i="2"/>
  <c r="H48" i="39"/>
  <c r="H47" i="39"/>
  <c r="L49" i="39"/>
  <c r="H46" i="39"/>
  <c r="H45" i="39"/>
  <c r="K49" i="39"/>
  <c r="M40" i="5" s="1"/>
  <c r="I39" i="39"/>
  <c r="K6" i="39"/>
  <c r="J20" i="39"/>
  <c r="J21" i="39" s="1"/>
  <c r="J34" i="39" s="1"/>
  <c r="L8" i="39"/>
  <c r="K22" i="39"/>
  <c r="K23" i="39" s="1"/>
  <c r="K35" i="39" s="1"/>
  <c r="J26" i="39"/>
  <c r="J27" i="39" s="1"/>
  <c r="J37" i="39" s="1"/>
  <c r="K12" i="39"/>
  <c r="J24" i="39"/>
  <c r="J25" i="39" s="1"/>
  <c r="J36" i="39" s="1"/>
  <c r="K10" i="39"/>
  <c r="K14" i="39"/>
  <c r="J28" i="39"/>
  <c r="J29" i="39" s="1"/>
  <c r="J38" i="39" s="1"/>
  <c r="O54" i="35" l="1"/>
  <c r="M55" i="35"/>
  <c r="M56" i="35" s="1"/>
  <c r="M57" i="35" s="1"/>
  <c r="M58" i="35" s="1"/>
  <c r="M59" i="35" s="1"/>
  <c r="M60" i="35" s="1"/>
  <c r="M61" i="35" s="1"/>
  <c r="M62" i="35" s="1"/>
  <c r="M63" i="35" s="1"/>
  <c r="M64" i="35" s="1"/>
  <c r="D23" i="35"/>
  <c r="C23" i="35"/>
  <c r="E23" i="35"/>
  <c r="F23" i="35"/>
  <c r="E32" i="2"/>
  <c r="B31" i="2"/>
  <c r="L45" i="39"/>
  <c r="K45" i="39"/>
  <c r="M20" i="5" s="1"/>
  <c r="L46" i="39"/>
  <c r="K46" i="39"/>
  <c r="M25" i="5" s="1"/>
  <c r="M40" i="6"/>
  <c r="M40" i="26"/>
  <c r="L47" i="39"/>
  <c r="K47" i="39"/>
  <c r="M30" i="5" s="1"/>
  <c r="L48" i="39"/>
  <c r="K48" i="39"/>
  <c r="M35" i="5" s="1"/>
  <c r="L10" i="39"/>
  <c r="K24" i="39"/>
  <c r="K25" i="39" s="1"/>
  <c r="K36" i="39" s="1"/>
  <c r="M8" i="39"/>
  <c r="M22" i="39" s="1"/>
  <c r="M23" i="39" s="1"/>
  <c r="M35" i="39" s="1"/>
  <c r="L22" i="39"/>
  <c r="L23" i="39" s="1"/>
  <c r="L35" i="39" s="1"/>
  <c r="J39" i="39"/>
  <c r="K26" i="39"/>
  <c r="K27" i="39" s="1"/>
  <c r="K37" i="39" s="1"/>
  <c r="L12" i="39"/>
  <c r="K28" i="39"/>
  <c r="K29" i="39" s="1"/>
  <c r="K38" i="39" s="1"/>
  <c r="L14" i="39"/>
  <c r="K20" i="39"/>
  <c r="K21" i="39" s="1"/>
  <c r="K34" i="39" s="1"/>
  <c r="L6" i="39"/>
  <c r="B32" i="2" l="1"/>
  <c r="E33" i="2"/>
  <c r="E34" i="2" s="1"/>
  <c r="E35" i="2" s="1"/>
  <c r="E36" i="2" s="1"/>
  <c r="E37" i="2" s="1"/>
  <c r="E38" i="2" s="1"/>
  <c r="E39" i="2" s="1"/>
  <c r="E40" i="2" s="1"/>
  <c r="E41" i="2" s="1"/>
  <c r="E42" i="2" s="1"/>
  <c r="P54" i="35"/>
  <c r="O55" i="35"/>
  <c r="O56" i="35" s="1"/>
  <c r="O57" i="35" s="1"/>
  <c r="O58" i="35" s="1"/>
  <c r="O59" i="35" s="1"/>
  <c r="O60" i="35" s="1"/>
  <c r="O61" i="35" s="1"/>
  <c r="O62" i="35" s="1"/>
  <c r="O63" i="35" s="1"/>
  <c r="O64" i="35" s="1"/>
  <c r="M20" i="26"/>
  <c r="M20" i="6"/>
  <c r="M30" i="6"/>
  <c r="M30" i="26"/>
  <c r="M35" i="6"/>
  <c r="M35" i="26"/>
  <c r="M25" i="6"/>
  <c r="M25" i="26"/>
  <c r="L24" i="39"/>
  <c r="L25" i="39" s="1"/>
  <c r="L36" i="39" s="1"/>
  <c r="M10" i="39"/>
  <c r="M24" i="39" s="1"/>
  <c r="M25" i="39" s="1"/>
  <c r="M36" i="39" s="1"/>
  <c r="L28" i="39"/>
  <c r="L29" i="39" s="1"/>
  <c r="L38" i="39" s="1"/>
  <c r="M14" i="39"/>
  <c r="M28" i="39" s="1"/>
  <c r="M29" i="39" s="1"/>
  <c r="M38" i="39" s="1"/>
  <c r="L26" i="39"/>
  <c r="L27" i="39" s="1"/>
  <c r="L37" i="39" s="1"/>
  <c r="M12" i="39"/>
  <c r="M26" i="39" s="1"/>
  <c r="M27" i="39" s="1"/>
  <c r="M37" i="39" s="1"/>
  <c r="L20" i="39"/>
  <c r="L21" i="39" s="1"/>
  <c r="L34" i="39" s="1"/>
  <c r="M6" i="39"/>
  <c r="M20" i="39" s="1"/>
  <c r="M21" i="39" s="1"/>
  <c r="M34" i="39" s="1"/>
  <c r="K39" i="39"/>
  <c r="P55" i="35" l="1"/>
  <c r="D24" i="35"/>
  <c r="C24" i="35"/>
  <c r="F24" i="35"/>
  <c r="E24" i="35"/>
  <c r="L39" i="39"/>
  <c r="M39" i="39"/>
  <c r="M40" i="39" s="1"/>
  <c r="H54" i="39" s="1"/>
  <c r="P28" i="2"/>
  <c r="P29" i="2"/>
  <c r="P30" i="2"/>
  <c r="P31" i="2"/>
  <c r="P32" i="2"/>
  <c r="P7" i="1"/>
  <c r="Q7" i="1"/>
  <c r="R7" i="1"/>
  <c r="S7" i="1"/>
  <c r="T7" i="1"/>
  <c r="T5" i="15"/>
  <c r="T6" i="15" s="1"/>
  <c r="T7" i="15" s="1"/>
  <c r="T8" i="15" s="1"/>
  <c r="T9" i="15" s="1"/>
  <c r="T10" i="15" s="1"/>
  <c r="T11" i="15" s="1"/>
  <c r="T12" i="15" s="1"/>
  <c r="T13" i="15" s="1"/>
  <c r="T14" i="15" s="1"/>
  <c r="T15" i="15" s="1"/>
  <c r="T16" i="15" s="1"/>
  <c r="T17" i="15" s="1"/>
  <c r="T18" i="15" s="1"/>
  <c r="T19" i="15" s="1"/>
  <c r="P56" i="35" l="1"/>
  <c r="C25" i="35"/>
  <c r="D25" i="35"/>
  <c r="E25" i="35"/>
  <c r="F25" i="35"/>
  <c r="L54" i="39"/>
  <c r="K54" i="39"/>
  <c r="M65" i="5" s="1"/>
  <c r="H55" i="39"/>
  <c r="H51" i="39"/>
  <c r="H50" i="39"/>
  <c r="H53" i="39"/>
  <c r="H52" i="39"/>
  <c r="AB4" i="15"/>
  <c r="B4" i="15"/>
  <c r="H4" i="15" s="1"/>
  <c r="O4" i="15" s="1"/>
  <c r="P57" i="35" l="1"/>
  <c r="E26" i="35"/>
  <c r="D26" i="35"/>
  <c r="F26" i="35"/>
  <c r="C26" i="35"/>
  <c r="L50" i="39"/>
  <c r="K50" i="39"/>
  <c r="M45" i="5" s="1"/>
  <c r="K53" i="39"/>
  <c r="M60" i="5" s="1"/>
  <c r="L53" i="39"/>
  <c r="L51" i="39"/>
  <c r="K51" i="39"/>
  <c r="M50" i="5" s="1"/>
  <c r="L52" i="39"/>
  <c r="K52" i="39"/>
  <c r="M55" i="5" s="1"/>
  <c r="H56" i="39"/>
  <c r="L55" i="39"/>
  <c r="K55" i="39"/>
  <c r="M70" i="5" s="1"/>
  <c r="M65" i="6"/>
  <c r="M65" i="26"/>
  <c r="B18" i="17"/>
  <c r="B17" i="17"/>
  <c r="B16" i="17"/>
  <c r="B14" i="17"/>
  <c r="B13" i="17"/>
  <c r="B12" i="17"/>
  <c r="B10" i="17"/>
  <c r="B9" i="17"/>
  <c r="B8" i="17"/>
  <c r="B6" i="17"/>
  <c r="A6" i="17"/>
  <c r="A7" i="17" s="1"/>
  <c r="B5" i="17"/>
  <c r="A5" i="17"/>
  <c r="B4" i="17"/>
  <c r="A4" i="17"/>
  <c r="X10" i="37"/>
  <c r="AB10" i="37" s="1"/>
  <c r="X11" i="37"/>
  <c r="AB15" i="37" s="1"/>
  <c r="X12" i="37"/>
  <c r="AB16" i="37" s="1"/>
  <c r="X13" i="37"/>
  <c r="AB25" i="37" s="1"/>
  <c r="X14" i="37"/>
  <c r="AF10" i="37" s="1"/>
  <c r="X15" i="37"/>
  <c r="AF19" i="37" s="1"/>
  <c r="X16" i="37"/>
  <c r="AF12" i="37" s="1"/>
  <c r="X17" i="37"/>
  <c r="AF17" i="37" s="1"/>
  <c r="B18" i="37"/>
  <c r="B17" i="37"/>
  <c r="B16" i="37"/>
  <c r="B14" i="37"/>
  <c r="B13" i="37"/>
  <c r="B12" i="37"/>
  <c r="B10" i="37"/>
  <c r="B9" i="37"/>
  <c r="B8" i="37"/>
  <c r="B6" i="37"/>
  <c r="A6" i="37"/>
  <c r="A7" i="37" s="1"/>
  <c r="B5" i="37"/>
  <c r="A5" i="37"/>
  <c r="B4" i="37"/>
  <c r="A4" i="37"/>
  <c r="P58" i="35" l="1"/>
  <c r="C27" i="35"/>
  <c r="E27" i="35"/>
  <c r="D27" i="35"/>
  <c r="F27" i="35"/>
  <c r="M55" i="6"/>
  <c r="M55" i="26"/>
  <c r="M70" i="6"/>
  <c r="M70" i="26"/>
  <c r="M50" i="6"/>
  <c r="M50" i="26"/>
  <c r="H57" i="39"/>
  <c r="L56" i="39"/>
  <c r="K56" i="39"/>
  <c r="M75" i="5" s="1"/>
  <c r="M60" i="6"/>
  <c r="M60" i="26"/>
  <c r="M45" i="6"/>
  <c r="M45" i="26"/>
  <c r="AF23" i="37"/>
  <c r="AB17" i="37"/>
  <c r="AF14" i="37"/>
  <c r="AB23" i="37"/>
  <c r="AF22" i="37"/>
  <c r="AF13" i="37"/>
  <c r="AF18" i="37"/>
  <c r="AB13" i="37"/>
  <c r="AB22" i="37"/>
  <c r="AF15" i="37"/>
  <c r="AB21" i="37"/>
  <c r="AF11" i="37"/>
  <c r="AB14" i="37"/>
  <c r="AB18" i="37"/>
  <c r="AB19" i="37"/>
  <c r="AF25" i="37"/>
  <c r="AF21" i="37"/>
  <c r="AB12" i="37"/>
  <c r="AF24" i="37"/>
  <c r="AF20" i="37"/>
  <c r="AB24" i="37"/>
  <c r="AB20" i="37"/>
  <c r="AF16" i="37"/>
  <c r="AB11" i="37"/>
  <c r="G43" i="23"/>
  <c r="F43" i="23"/>
  <c r="AX27" i="1"/>
  <c r="AY27" i="1"/>
  <c r="AW27" i="1"/>
  <c r="AX17" i="1"/>
  <c r="AY17" i="1"/>
  <c r="AW17" i="1"/>
  <c r="AX12" i="1"/>
  <c r="AY12" i="1"/>
  <c r="AW12" i="1"/>
  <c r="AB34" i="1"/>
  <c r="AC34" i="1"/>
  <c r="AD34" i="1"/>
  <c r="AB35" i="1"/>
  <c r="AC35" i="1"/>
  <c r="AD35" i="1"/>
  <c r="AC33" i="1"/>
  <c r="AD33" i="1"/>
  <c r="AB33" i="1"/>
  <c r="AB24" i="1"/>
  <c r="AC24" i="1"/>
  <c r="AD24" i="1"/>
  <c r="AB25" i="1"/>
  <c r="AC25" i="1"/>
  <c r="AD25" i="1"/>
  <c r="AC23" i="1"/>
  <c r="AD23" i="1"/>
  <c r="AB23" i="1"/>
  <c r="AB8" i="1"/>
  <c r="AC8" i="1"/>
  <c r="AD8" i="1"/>
  <c r="AB9" i="1"/>
  <c r="AC9" i="1"/>
  <c r="AD9" i="1"/>
  <c r="AC7" i="1"/>
  <c r="AD7" i="1"/>
  <c r="AB7" i="1"/>
  <c r="M31" i="22"/>
  <c r="L31" i="22"/>
  <c r="K31" i="22"/>
  <c r="M30" i="22"/>
  <c r="L30" i="22"/>
  <c r="K30" i="22"/>
  <c r="M29" i="22"/>
  <c r="L29" i="22"/>
  <c r="K29" i="22"/>
  <c r="M26" i="22"/>
  <c r="L26" i="22"/>
  <c r="K26" i="22"/>
  <c r="M25" i="22"/>
  <c r="L25" i="22"/>
  <c r="K25" i="22"/>
  <c r="M24" i="22"/>
  <c r="L24" i="22"/>
  <c r="K24" i="22"/>
  <c r="M21" i="22"/>
  <c r="L21" i="22"/>
  <c r="K21" i="22"/>
  <c r="M20" i="22"/>
  <c r="L20" i="22"/>
  <c r="K20" i="22"/>
  <c r="M19" i="22"/>
  <c r="L19" i="22"/>
  <c r="K19" i="22"/>
  <c r="M16" i="22"/>
  <c r="L16" i="22"/>
  <c r="K16" i="22"/>
  <c r="M15" i="22"/>
  <c r="L15" i="22"/>
  <c r="K15" i="22"/>
  <c r="M14" i="22"/>
  <c r="L14" i="22"/>
  <c r="K14" i="22"/>
  <c r="M11" i="22"/>
  <c r="L11" i="22"/>
  <c r="K11" i="22"/>
  <c r="M10" i="22"/>
  <c r="L10" i="22"/>
  <c r="K10" i="22"/>
  <c r="M9" i="22"/>
  <c r="L9" i="22"/>
  <c r="K9" i="22"/>
  <c r="K6" i="22"/>
  <c r="L6" i="22"/>
  <c r="M6" i="22"/>
  <c r="K5" i="22"/>
  <c r="L5" i="22"/>
  <c r="M5" i="22"/>
  <c r="K4" i="22"/>
  <c r="L4" i="22"/>
  <c r="M4" i="22"/>
  <c r="K19" i="2"/>
  <c r="L19" i="2"/>
  <c r="K20" i="2"/>
  <c r="L20" i="2"/>
  <c r="K21" i="2"/>
  <c r="L21" i="2"/>
  <c r="K22" i="2"/>
  <c r="L22" i="2"/>
  <c r="K23" i="2"/>
  <c r="L23" i="2"/>
  <c r="K24" i="2"/>
  <c r="L24" i="2"/>
  <c r="K25" i="2"/>
  <c r="L25" i="2"/>
  <c r="K26" i="2"/>
  <c r="L26" i="2"/>
  <c r="K27" i="2"/>
  <c r="L27" i="2"/>
  <c r="K28" i="2"/>
  <c r="L28" i="2"/>
  <c r="K29" i="2"/>
  <c r="L29" i="2"/>
  <c r="K30" i="2"/>
  <c r="L30" i="2"/>
  <c r="K31" i="2"/>
  <c r="L31" i="2"/>
  <c r="K32" i="2"/>
  <c r="K33" i="2" s="1"/>
  <c r="K34" i="2" s="1"/>
  <c r="K35" i="2" s="1"/>
  <c r="K36" i="2" s="1"/>
  <c r="K37" i="2" s="1"/>
  <c r="K38" i="2" s="1"/>
  <c r="K39" i="2" s="1"/>
  <c r="K40" i="2" s="1"/>
  <c r="K41" i="2" s="1"/>
  <c r="K42" i="2" s="1"/>
  <c r="L32" i="2"/>
  <c r="L33" i="2" s="1"/>
  <c r="L34" i="2" s="1"/>
  <c r="L35" i="2" s="1"/>
  <c r="L36" i="2" s="1"/>
  <c r="L37" i="2" s="1"/>
  <c r="L38" i="2" s="1"/>
  <c r="L39" i="2" s="1"/>
  <c r="L40" i="2" s="1"/>
  <c r="L41" i="2" s="1"/>
  <c r="L42" i="2" s="1"/>
  <c r="L18" i="2"/>
  <c r="K18" i="2"/>
  <c r="J24" i="2"/>
  <c r="J25" i="2"/>
  <c r="J26" i="2"/>
  <c r="J27" i="2"/>
  <c r="P19" i="2"/>
  <c r="P20" i="2"/>
  <c r="P21" i="2"/>
  <c r="P22" i="2"/>
  <c r="P23" i="2"/>
  <c r="P24" i="2"/>
  <c r="P25" i="2"/>
  <c r="P26" i="2"/>
  <c r="P27" i="2"/>
  <c r="P18" i="2"/>
  <c r="P59" i="35" l="1"/>
  <c r="F28" i="35"/>
  <c r="C28" i="35"/>
  <c r="D28" i="35"/>
  <c r="E28" i="35"/>
  <c r="M75" i="6"/>
  <c r="M75" i="26"/>
  <c r="H58" i="39"/>
  <c r="L57" i="39"/>
  <c r="K57" i="39"/>
  <c r="M80" i="5" s="1"/>
  <c r="AM26" i="22"/>
  <c r="AY30" i="1" s="1"/>
  <c r="AD30" i="1" s="1"/>
  <c r="AB10" i="1"/>
  <c r="AB36" i="1"/>
  <c r="AB26" i="1"/>
  <c r="M26" i="2"/>
  <c r="M25" i="2"/>
  <c r="M23" i="2"/>
  <c r="M21" i="2"/>
  <c r="M18" i="2"/>
  <c r="M22" i="2"/>
  <c r="M24" i="2"/>
  <c r="M20" i="2"/>
  <c r="M27" i="2"/>
  <c r="M19" i="2"/>
  <c r="AM25" i="22"/>
  <c r="AY29" i="1" s="1"/>
  <c r="AD29" i="1" s="1"/>
  <c r="AM24" i="22"/>
  <c r="AY28" i="1" s="1"/>
  <c r="AD28" i="1" s="1"/>
  <c r="AC10" i="1"/>
  <c r="AD26" i="1"/>
  <c r="AD36" i="1"/>
  <c r="AC26" i="1"/>
  <c r="AD10" i="1"/>
  <c r="AC36" i="1"/>
  <c r="P60" i="35" l="1"/>
  <c r="C29" i="35"/>
  <c r="D29" i="35"/>
  <c r="E29" i="35"/>
  <c r="F29" i="35"/>
  <c r="M80" i="26"/>
  <c r="M80" i="6"/>
  <c r="H59" i="39"/>
  <c r="L58" i="39"/>
  <c r="K58" i="39"/>
  <c r="M85" i="5" s="1"/>
  <c r="G10" i="11"/>
  <c r="G24" i="1"/>
  <c r="I8" i="11"/>
  <c r="I14" i="1"/>
  <c r="H8" i="11"/>
  <c r="H14" i="1"/>
  <c r="H40" i="5" s="1"/>
  <c r="G8" i="11"/>
  <c r="G14" i="1"/>
  <c r="G40" i="5" s="1"/>
  <c r="H10" i="11"/>
  <c r="H24" i="1"/>
  <c r="I10" i="11"/>
  <c r="I24" i="1"/>
  <c r="AD31" i="1"/>
  <c r="E43" i="23"/>
  <c r="D43" i="23"/>
  <c r="C43" i="23"/>
  <c r="B43" i="23"/>
  <c r="A43" i="23"/>
  <c r="I34" i="1" l="1"/>
  <c r="I12" i="11" s="1"/>
  <c r="I29" i="1"/>
  <c r="I27" i="1" s="1"/>
  <c r="I25" i="1"/>
  <c r="H90" i="5"/>
  <c r="H29" i="1"/>
  <c r="H34" i="1"/>
  <c r="H12" i="11" s="1"/>
  <c r="H27" i="1"/>
  <c r="H105" i="5" s="1"/>
  <c r="H35" i="11" s="1"/>
  <c r="H26" i="1"/>
  <c r="H100" i="5" s="1"/>
  <c r="H34" i="11" s="1"/>
  <c r="H28" i="1"/>
  <c r="H110" i="5" s="1"/>
  <c r="H36" i="11" s="1"/>
  <c r="G90" i="5"/>
  <c r="G34" i="1"/>
  <c r="G12" i="11" s="1"/>
  <c r="G29" i="1"/>
  <c r="G26" i="1"/>
  <c r="G100" i="5" s="1"/>
  <c r="G34" i="11" s="1"/>
  <c r="G28" i="1"/>
  <c r="G110" i="5" s="1"/>
  <c r="G36" i="11" s="1"/>
  <c r="G27" i="1"/>
  <c r="G105" i="5" s="1"/>
  <c r="G35" i="11" s="1"/>
  <c r="G25" i="1"/>
  <c r="G95" i="5" s="1"/>
  <c r="G33" i="11" s="1"/>
  <c r="P61" i="35"/>
  <c r="E30" i="35"/>
  <c r="F30" i="35"/>
  <c r="D30" i="35"/>
  <c r="C30" i="35"/>
  <c r="L59" i="39"/>
  <c r="K59" i="39"/>
  <c r="M90" i="5" s="1"/>
  <c r="M95" i="5" s="1"/>
  <c r="M85" i="6"/>
  <c r="M85" i="26"/>
  <c r="I9" i="11"/>
  <c r="I19" i="1"/>
  <c r="D55" i="23"/>
  <c r="I11" i="11" l="1"/>
  <c r="I31" i="1"/>
  <c r="I30" i="1"/>
  <c r="I32" i="1"/>
  <c r="I33" i="1"/>
  <c r="G11" i="11"/>
  <c r="G31" i="1"/>
  <c r="G32" i="1"/>
  <c r="G30" i="1"/>
  <c r="G33" i="1"/>
  <c r="H11" i="11"/>
  <c r="H32" i="1"/>
  <c r="H31" i="1"/>
  <c r="H30" i="1"/>
  <c r="H120" i="5" s="1"/>
  <c r="H38" i="11" s="1"/>
  <c r="H33" i="1"/>
  <c r="G120" i="5"/>
  <c r="G38" i="11" s="1"/>
  <c r="I28" i="1"/>
  <c r="H115" i="5"/>
  <c r="H37" i="11" s="1"/>
  <c r="H25" i="1"/>
  <c r="H95" i="5" s="1"/>
  <c r="H33" i="11" s="1"/>
  <c r="I26" i="1"/>
  <c r="G115" i="5"/>
  <c r="G37" i="11" s="1"/>
  <c r="M100" i="5"/>
  <c r="P62" i="35"/>
  <c r="F31" i="35"/>
  <c r="G125" i="5" s="1"/>
  <c r="G39" i="11" s="1"/>
  <c r="D31" i="35"/>
  <c r="C31" i="35"/>
  <c r="E31" i="35"/>
  <c r="I17" i="1"/>
  <c r="M90" i="6"/>
  <c r="M95" i="6" s="1"/>
  <c r="M90" i="26"/>
  <c r="C59" i="23"/>
  <c r="M76" i="9" s="1"/>
  <c r="F59" i="23"/>
  <c r="P76" i="9" s="1"/>
  <c r="G59" i="23"/>
  <c r="Q76" i="9" s="1"/>
  <c r="I23" i="1"/>
  <c r="I22" i="1"/>
  <c r="I21" i="1"/>
  <c r="I20" i="1"/>
  <c r="I18" i="1"/>
  <c r="I16" i="1"/>
  <c r="I15" i="1"/>
  <c r="A59" i="23"/>
  <c r="K76" i="9" s="1"/>
  <c r="D59" i="23"/>
  <c r="N76" i="9" s="1"/>
  <c r="E59" i="23"/>
  <c r="O76" i="9" s="1"/>
  <c r="B59" i="23"/>
  <c r="L76" i="9" s="1"/>
  <c r="H125" i="5" l="1"/>
  <c r="H39" i="11" s="1"/>
  <c r="M100" i="6"/>
  <c r="M105" i="5"/>
  <c r="P63" i="35"/>
  <c r="C32" i="35"/>
  <c r="E32" i="35"/>
  <c r="H130" i="5" s="1"/>
  <c r="H40" i="11" s="1"/>
  <c r="D32" i="35"/>
  <c r="F32" i="35"/>
  <c r="G130" i="5" s="1"/>
  <c r="G40" i="11" s="1"/>
  <c r="B76" i="9"/>
  <c r="B91" i="9"/>
  <c r="B75" i="9"/>
  <c r="B81" i="9"/>
  <c r="B86" i="9"/>
  <c r="G91" i="9"/>
  <c r="G76" i="9"/>
  <c r="G75" i="9"/>
  <c r="G81" i="9"/>
  <c r="G86" i="9"/>
  <c r="F91" i="9"/>
  <c r="F86" i="9"/>
  <c r="F75" i="9"/>
  <c r="F81" i="9"/>
  <c r="F76" i="9"/>
  <c r="D81" i="9"/>
  <c r="D86" i="9"/>
  <c r="D75" i="9"/>
  <c r="D76" i="9"/>
  <c r="D91" i="9"/>
  <c r="E76" i="9"/>
  <c r="E75" i="9"/>
  <c r="E86" i="9"/>
  <c r="E81" i="9"/>
  <c r="E91" i="9"/>
  <c r="H75" i="9"/>
  <c r="H81" i="9"/>
  <c r="H86" i="9"/>
  <c r="H91" i="9"/>
  <c r="H76" i="9"/>
  <c r="C81" i="9"/>
  <c r="C75" i="9"/>
  <c r="C91" i="9"/>
  <c r="C86" i="9"/>
  <c r="C76" i="9"/>
  <c r="AN14" i="22"/>
  <c r="AO14" i="22"/>
  <c r="AP14" i="22"/>
  <c r="AQ14" i="22"/>
  <c r="AN15" i="22"/>
  <c r="AO15" i="22"/>
  <c r="AP15" i="22"/>
  <c r="AQ15" i="22"/>
  <c r="AN16" i="22"/>
  <c r="AO16" i="22"/>
  <c r="AP16" i="22"/>
  <c r="AQ16" i="22"/>
  <c r="AN9" i="22"/>
  <c r="AO9" i="22"/>
  <c r="AP9" i="22"/>
  <c r="AQ9" i="22"/>
  <c r="AN10" i="22"/>
  <c r="AO10" i="22"/>
  <c r="AP10" i="22"/>
  <c r="AQ10" i="22"/>
  <c r="AN11" i="22"/>
  <c r="AO11" i="22"/>
  <c r="AP11" i="22"/>
  <c r="AQ11" i="22"/>
  <c r="M105" i="6" l="1"/>
  <c r="M110" i="5"/>
  <c r="P64" i="35"/>
  <c r="C33" i="35"/>
  <c r="D33" i="35"/>
  <c r="E33" i="35"/>
  <c r="H135" i="5" s="1"/>
  <c r="H41" i="11" s="1"/>
  <c r="F33" i="35"/>
  <c r="G135" i="5" s="1"/>
  <c r="G41" i="11" s="1"/>
  <c r="G80" i="9"/>
  <c r="G78" i="9"/>
  <c r="G77" i="9"/>
  <c r="G79" i="9"/>
  <c r="D84" i="9"/>
  <c r="D83" i="9"/>
  <c r="D82" i="9"/>
  <c r="D85" i="9"/>
  <c r="C84" i="9"/>
  <c r="C83" i="9"/>
  <c r="C85" i="9"/>
  <c r="C82" i="9"/>
  <c r="H79" i="9"/>
  <c r="H78" i="9"/>
  <c r="H77" i="9"/>
  <c r="H80" i="9"/>
  <c r="F82" i="9"/>
  <c r="F85" i="9"/>
  <c r="F83" i="9"/>
  <c r="I81" i="9"/>
  <c r="F84" i="9"/>
  <c r="E80" i="9"/>
  <c r="E79" i="9"/>
  <c r="E78" i="9"/>
  <c r="E77" i="9"/>
  <c r="H89" i="9"/>
  <c r="H88" i="9"/>
  <c r="H87" i="9"/>
  <c r="H90" i="9"/>
  <c r="F90" i="9"/>
  <c r="F88" i="9"/>
  <c r="I86" i="9"/>
  <c r="F89" i="9"/>
  <c r="F87" i="9"/>
  <c r="B85" i="9"/>
  <c r="B83" i="9"/>
  <c r="B84" i="9"/>
  <c r="B82" i="9"/>
  <c r="E84" i="9"/>
  <c r="E82" i="9"/>
  <c r="E85" i="9"/>
  <c r="E83" i="9"/>
  <c r="E90" i="9"/>
  <c r="E88" i="9"/>
  <c r="E89" i="9"/>
  <c r="E87" i="9"/>
  <c r="C80" i="9"/>
  <c r="C79" i="9"/>
  <c r="C78" i="9"/>
  <c r="C77" i="9"/>
  <c r="D78" i="9"/>
  <c r="D77" i="9"/>
  <c r="D79" i="9"/>
  <c r="D80" i="9"/>
  <c r="I91" i="9"/>
  <c r="I75" i="9"/>
  <c r="C88" i="9"/>
  <c r="C90" i="9"/>
  <c r="C87" i="9"/>
  <c r="C89" i="9"/>
  <c r="G88" i="9"/>
  <c r="G87" i="9"/>
  <c r="G89" i="9"/>
  <c r="G90" i="9"/>
  <c r="I76" i="9"/>
  <c r="F79" i="9"/>
  <c r="F80" i="9"/>
  <c r="F78" i="9"/>
  <c r="F77" i="9"/>
  <c r="B90" i="9"/>
  <c r="B87" i="9"/>
  <c r="B89" i="9"/>
  <c r="B88" i="9"/>
  <c r="H82" i="9"/>
  <c r="H83" i="9"/>
  <c r="H85" i="9"/>
  <c r="H84" i="9"/>
  <c r="D90" i="9"/>
  <c r="D89" i="9"/>
  <c r="D88" i="9"/>
  <c r="D87" i="9"/>
  <c r="G85" i="9"/>
  <c r="G84" i="9"/>
  <c r="G82" i="9"/>
  <c r="G83" i="9"/>
  <c r="B78" i="9"/>
  <c r="B77" i="9"/>
  <c r="B79" i="9"/>
  <c r="B80" i="9"/>
  <c r="P33" i="1"/>
  <c r="Q33" i="1"/>
  <c r="R33" i="1"/>
  <c r="S33" i="1"/>
  <c r="T33" i="1"/>
  <c r="U33" i="1"/>
  <c r="W33" i="1"/>
  <c r="X33" i="1"/>
  <c r="Y33" i="1"/>
  <c r="Z33" i="1"/>
  <c r="AE33" i="1"/>
  <c r="AF33" i="1"/>
  <c r="W19" i="15" s="1"/>
  <c r="P34" i="1"/>
  <c r="Q34" i="1"/>
  <c r="R34" i="1"/>
  <c r="S34" i="1"/>
  <c r="T34" i="1"/>
  <c r="U34" i="1"/>
  <c r="W34" i="1"/>
  <c r="X34" i="1"/>
  <c r="Y34" i="1"/>
  <c r="Z34" i="1"/>
  <c r="AE34" i="1"/>
  <c r="AF34" i="1"/>
  <c r="X19" i="15" s="1"/>
  <c r="P35" i="1"/>
  <c r="Q35" i="1"/>
  <c r="R35" i="1"/>
  <c r="S35" i="1"/>
  <c r="T35" i="1"/>
  <c r="U35" i="1"/>
  <c r="W35" i="1"/>
  <c r="X35" i="1"/>
  <c r="Y35" i="1"/>
  <c r="Z35" i="1"/>
  <c r="AE35" i="1"/>
  <c r="AF35" i="1"/>
  <c r="Y19" i="15" s="1"/>
  <c r="P23" i="1"/>
  <c r="Q23" i="1"/>
  <c r="R23" i="1"/>
  <c r="S23" i="1"/>
  <c r="T23" i="1"/>
  <c r="U23" i="1"/>
  <c r="W23" i="1"/>
  <c r="X23" i="1"/>
  <c r="Y23" i="1"/>
  <c r="Z23" i="1"/>
  <c r="AE23" i="1"/>
  <c r="AF23" i="1"/>
  <c r="W9" i="15" s="1"/>
  <c r="P24" i="1"/>
  <c r="Q24" i="1"/>
  <c r="R24" i="1"/>
  <c r="S24" i="1"/>
  <c r="T24" i="1"/>
  <c r="U24" i="1"/>
  <c r="W24" i="1"/>
  <c r="X24" i="1"/>
  <c r="Y24" i="1"/>
  <c r="Z24" i="1"/>
  <c r="AE24" i="1"/>
  <c r="AF24" i="1"/>
  <c r="X9" i="15" s="1"/>
  <c r="P25" i="1"/>
  <c r="R25" i="1"/>
  <c r="S25" i="1"/>
  <c r="T25" i="1"/>
  <c r="U25" i="1"/>
  <c r="W25" i="1"/>
  <c r="X25" i="1"/>
  <c r="Y25" i="1"/>
  <c r="Z25" i="1"/>
  <c r="AE25" i="1"/>
  <c r="AF25" i="1"/>
  <c r="Y9" i="15" s="1"/>
  <c r="U7" i="1"/>
  <c r="W7" i="1"/>
  <c r="X7" i="1"/>
  <c r="Y7" i="1"/>
  <c r="Z7" i="1"/>
  <c r="AE7" i="1"/>
  <c r="AF7" i="1"/>
  <c r="P8" i="1"/>
  <c r="Q8" i="1"/>
  <c r="R8" i="1"/>
  <c r="S8" i="1"/>
  <c r="T8" i="1"/>
  <c r="U8" i="1"/>
  <c r="W8" i="1"/>
  <c r="X8" i="1"/>
  <c r="Y8" i="1"/>
  <c r="Z8" i="1"/>
  <c r="AE8" i="1"/>
  <c r="AF8" i="1"/>
  <c r="P9" i="1"/>
  <c r="P10" i="1" s="1"/>
  <c r="Q9" i="1"/>
  <c r="R9" i="1"/>
  <c r="S9" i="1"/>
  <c r="T9" i="1"/>
  <c r="U9" i="1"/>
  <c r="W9" i="1"/>
  <c r="X9" i="1"/>
  <c r="Y9" i="1"/>
  <c r="Z9" i="1"/>
  <c r="AE9" i="1"/>
  <c r="AF9" i="1"/>
  <c r="Q6" i="1"/>
  <c r="R6" i="1"/>
  <c r="S6" i="1"/>
  <c r="T6" i="1"/>
  <c r="U6" i="1"/>
  <c r="W6" i="1"/>
  <c r="X6" i="1"/>
  <c r="Y6" i="1"/>
  <c r="Z6" i="1"/>
  <c r="AE6" i="1"/>
  <c r="AF6" i="1"/>
  <c r="P6" i="1"/>
  <c r="X24" i="15" l="1"/>
  <c r="X29" i="15"/>
  <c r="Y29" i="15"/>
  <c r="Y24" i="15"/>
  <c r="W24" i="15"/>
  <c r="W29" i="15"/>
  <c r="W26" i="15" s="1"/>
  <c r="AE37" i="1"/>
  <c r="X20" i="15"/>
  <c r="X22" i="15"/>
  <c r="X23" i="15"/>
  <c r="X21" i="15"/>
  <c r="W21" i="15"/>
  <c r="Y22" i="15"/>
  <c r="Y20" i="15"/>
  <c r="Y23" i="15"/>
  <c r="M110" i="6"/>
  <c r="I77" i="9"/>
  <c r="M115" i="5"/>
  <c r="E34" i="35"/>
  <c r="H140" i="5" s="1"/>
  <c r="H42" i="11" s="1"/>
  <c r="F34" i="35"/>
  <c r="G140" i="5" s="1"/>
  <c r="G42" i="11" s="1"/>
  <c r="C34" i="35"/>
  <c r="D34" i="35"/>
  <c r="I88" i="9"/>
  <c r="I90" i="9"/>
  <c r="I78" i="9"/>
  <c r="I80" i="9"/>
  <c r="I83" i="9"/>
  <c r="I79" i="9"/>
  <c r="I87" i="9"/>
  <c r="I85" i="9"/>
  <c r="I84" i="9"/>
  <c r="I89" i="9"/>
  <c r="I82" i="9"/>
  <c r="AG24" i="1"/>
  <c r="AG34" i="1"/>
  <c r="AJ9" i="1"/>
  <c r="V9" i="1" s="1"/>
  <c r="AC9" i="15"/>
  <c r="C24" i="37"/>
  <c r="C24" i="17"/>
  <c r="AD19" i="15"/>
  <c r="C49" i="17"/>
  <c r="C49" i="37"/>
  <c r="D49" i="37" s="1"/>
  <c r="D49" i="17" s="1"/>
  <c r="AD9" i="15"/>
  <c r="C25" i="37"/>
  <c r="C25" i="17"/>
  <c r="AE19" i="15"/>
  <c r="C50" i="37"/>
  <c r="D50" i="37" s="1"/>
  <c r="D50" i="17" s="1"/>
  <c r="AC19" i="15"/>
  <c r="C48" i="17"/>
  <c r="C51" i="17" s="1"/>
  <c r="C48" i="37"/>
  <c r="D48" i="37" s="1"/>
  <c r="AE9" i="15"/>
  <c r="C26" i="37"/>
  <c r="AJ8" i="1"/>
  <c r="V8" i="1" s="1"/>
  <c r="AJ7" i="1"/>
  <c r="V7" i="1" s="1"/>
  <c r="AA24" i="1"/>
  <c r="AA23" i="1"/>
  <c r="AA35" i="1"/>
  <c r="AA34" i="1"/>
  <c r="AA33" i="1"/>
  <c r="AA9" i="1"/>
  <c r="AA8" i="1"/>
  <c r="AA7" i="1"/>
  <c r="AA25" i="1"/>
  <c r="AF36" i="1"/>
  <c r="K24" i="1" s="1"/>
  <c r="AF26" i="1"/>
  <c r="K14" i="1" s="1"/>
  <c r="AE26" i="1"/>
  <c r="J14" i="1" s="1"/>
  <c r="AE36" i="1"/>
  <c r="J24" i="1" s="1"/>
  <c r="X10" i="1"/>
  <c r="W10" i="1"/>
  <c r="U10" i="1"/>
  <c r="T10" i="1"/>
  <c r="AF10" i="1"/>
  <c r="S10" i="1"/>
  <c r="R10" i="1"/>
  <c r="AE10" i="1"/>
  <c r="Z10" i="1"/>
  <c r="Y10" i="1"/>
  <c r="A4" i="22"/>
  <c r="B4" i="22"/>
  <c r="C4" i="22"/>
  <c r="D4" i="22"/>
  <c r="E4" i="22"/>
  <c r="F4" i="22"/>
  <c r="H4" i="22"/>
  <c r="I4" i="22"/>
  <c r="J4" i="22"/>
  <c r="N4" i="22"/>
  <c r="O4" i="22"/>
  <c r="A5" i="22"/>
  <c r="B5" i="22"/>
  <c r="C5" i="22"/>
  <c r="D5" i="22"/>
  <c r="E5" i="22"/>
  <c r="F5" i="22"/>
  <c r="H5" i="22"/>
  <c r="I5" i="22"/>
  <c r="J5" i="22"/>
  <c r="N5" i="22"/>
  <c r="O5" i="22"/>
  <c r="A6" i="22"/>
  <c r="B6" i="22"/>
  <c r="C6" i="22"/>
  <c r="D6" i="22"/>
  <c r="E6" i="22"/>
  <c r="F6" i="22"/>
  <c r="H6" i="22"/>
  <c r="I6" i="22"/>
  <c r="J6" i="22"/>
  <c r="N6" i="22"/>
  <c r="O6" i="22"/>
  <c r="A8" i="22"/>
  <c r="AC8" i="22" s="1"/>
  <c r="AM12" i="1" s="1"/>
  <c r="B8" i="22"/>
  <c r="AD8" i="22" s="1"/>
  <c r="AN12" i="1" s="1"/>
  <c r="C8" i="22"/>
  <c r="AE8" i="22" s="1"/>
  <c r="AO12" i="1" s="1"/>
  <c r="D8" i="22"/>
  <c r="AF8" i="22" s="1"/>
  <c r="AP12" i="1" s="1"/>
  <c r="E8" i="22"/>
  <c r="AG8" i="22" s="1"/>
  <c r="AQ12" i="1" s="1"/>
  <c r="F8" i="22"/>
  <c r="AH8" i="22" s="1"/>
  <c r="AR12" i="1" s="1"/>
  <c r="G8" i="22"/>
  <c r="AI8" i="22" s="1"/>
  <c r="AS12" i="1" s="1"/>
  <c r="H8" i="22"/>
  <c r="AJ8" i="22" s="1"/>
  <c r="AT12" i="1" s="1"/>
  <c r="I8" i="22"/>
  <c r="AN8" i="22" s="1"/>
  <c r="AU12" i="1" s="1"/>
  <c r="J8" i="22"/>
  <c r="AO8" i="22" s="1"/>
  <c r="AV12" i="1" s="1"/>
  <c r="N8" i="22"/>
  <c r="AP8" i="22" s="1"/>
  <c r="AZ12" i="1" s="1"/>
  <c r="O8" i="22"/>
  <c r="AQ8" i="22" s="1"/>
  <c r="BA12" i="1" s="1"/>
  <c r="A9" i="22"/>
  <c r="AC9" i="22" s="1"/>
  <c r="AM13" i="1" s="1"/>
  <c r="P13" i="1" s="1"/>
  <c r="B9" i="22"/>
  <c r="AD9" i="22" s="1"/>
  <c r="AN13" i="1" s="1"/>
  <c r="Q13" i="1" s="1"/>
  <c r="C9" i="22"/>
  <c r="D9" i="22"/>
  <c r="E9" i="22"/>
  <c r="F9" i="22"/>
  <c r="G9" i="22"/>
  <c r="H9" i="22"/>
  <c r="I9" i="22"/>
  <c r="J9" i="22"/>
  <c r="N9" i="22"/>
  <c r="O9" i="22"/>
  <c r="A10" i="22"/>
  <c r="AC10" i="22" s="1"/>
  <c r="AM14" i="1" s="1"/>
  <c r="P14" i="1" s="1"/>
  <c r="B10" i="22"/>
  <c r="AD10" i="22" s="1"/>
  <c r="AN14" i="1" s="1"/>
  <c r="Q14" i="1" s="1"/>
  <c r="C10" i="22"/>
  <c r="D10" i="22"/>
  <c r="E10" i="22"/>
  <c r="F10" i="22"/>
  <c r="G10" i="22"/>
  <c r="H10" i="22"/>
  <c r="I10" i="22"/>
  <c r="J10" i="22"/>
  <c r="N10" i="22"/>
  <c r="O10" i="22"/>
  <c r="A11" i="22"/>
  <c r="AC11" i="22" s="1"/>
  <c r="AM15" i="1" s="1"/>
  <c r="P15" i="1" s="1"/>
  <c r="B11" i="22"/>
  <c r="AD11" i="22" s="1"/>
  <c r="AN15" i="1" s="1"/>
  <c r="Q15" i="1" s="1"/>
  <c r="C11" i="22"/>
  <c r="D11" i="22"/>
  <c r="E11" i="22"/>
  <c r="F11" i="22"/>
  <c r="G11" i="22"/>
  <c r="H11" i="22"/>
  <c r="I11" i="22"/>
  <c r="J11" i="22"/>
  <c r="N11" i="22"/>
  <c r="O11" i="22"/>
  <c r="A13" i="22"/>
  <c r="AC13" i="22" s="1"/>
  <c r="AM17" i="1" s="1"/>
  <c r="B13" i="22"/>
  <c r="AD13" i="22" s="1"/>
  <c r="AN17" i="1" s="1"/>
  <c r="C13" i="22"/>
  <c r="AE13" i="22" s="1"/>
  <c r="AO17" i="1" s="1"/>
  <c r="D13" i="22"/>
  <c r="AF13" i="22" s="1"/>
  <c r="AP17" i="1" s="1"/>
  <c r="E13" i="22"/>
  <c r="AG13" i="22" s="1"/>
  <c r="AQ17" i="1" s="1"/>
  <c r="F13" i="22"/>
  <c r="AH13" i="22" s="1"/>
  <c r="AR17" i="1" s="1"/>
  <c r="G13" i="22"/>
  <c r="AI13" i="22" s="1"/>
  <c r="AS17" i="1" s="1"/>
  <c r="H13" i="22"/>
  <c r="AJ13" i="22" s="1"/>
  <c r="AT17" i="1" s="1"/>
  <c r="I13" i="22"/>
  <c r="AN13" i="22" s="1"/>
  <c r="AU17" i="1" s="1"/>
  <c r="J13" i="22"/>
  <c r="AO13" i="22" s="1"/>
  <c r="AV17" i="1" s="1"/>
  <c r="N13" i="22"/>
  <c r="AP13" i="22" s="1"/>
  <c r="AZ17" i="1" s="1"/>
  <c r="O13" i="22"/>
  <c r="AQ13" i="22" s="1"/>
  <c r="BA17" i="1" s="1"/>
  <c r="A14" i="22"/>
  <c r="AC14" i="22" s="1"/>
  <c r="AM18" i="1" s="1"/>
  <c r="B14" i="22"/>
  <c r="AD14" i="22" s="1"/>
  <c r="AN18" i="1" s="1"/>
  <c r="C14" i="22"/>
  <c r="D14" i="22"/>
  <c r="E14" i="22"/>
  <c r="F14" i="22"/>
  <c r="G14" i="22"/>
  <c r="H14" i="22"/>
  <c r="I14" i="22"/>
  <c r="J14" i="22"/>
  <c r="N14" i="22"/>
  <c r="O14" i="22"/>
  <c r="A15" i="22"/>
  <c r="AC15" i="22" s="1"/>
  <c r="AM19" i="1" s="1"/>
  <c r="B15" i="22"/>
  <c r="AD15" i="22" s="1"/>
  <c r="AN19" i="1" s="1"/>
  <c r="C15" i="22"/>
  <c r="D15" i="22"/>
  <c r="E15" i="22"/>
  <c r="F15" i="22"/>
  <c r="G15" i="22"/>
  <c r="H15" i="22"/>
  <c r="I15" i="22"/>
  <c r="J15" i="22"/>
  <c r="N15" i="22"/>
  <c r="O15" i="22"/>
  <c r="A16" i="22"/>
  <c r="AC16" i="22" s="1"/>
  <c r="AM20" i="1" s="1"/>
  <c r="B16" i="22"/>
  <c r="AD16" i="22" s="1"/>
  <c r="AN20" i="1" s="1"/>
  <c r="C16" i="22"/>
  <c r="D16" i="22"/>
  <c r="E16" i="22"/>
  <c r="F16" i="22"/>
  <c r="G16" i="22"/>
  <c r="H16" i="22"/>
  <c r="I16" i="22"/>
  <c r="J16" i="22"/>
  <c r="N16" i="22"/>
  <c r="O16" i="22"/>
  <c r="A18" i="22"/>
  <c r="B18" i="22"/>
  <c r="C18" i="22"/>
  <c r="D18" i="22"/>
  <c r="E18" i="22"/>
  <c r="F18" i="22"/>
  <c r="G18" i="22"/>
  <c r="H18" i="22"/>
  <c r="I18" i="22"/>
  <c r="J18" i="22"/>
  <c r="N18" i="22"/>
  <c r="O18" i="22"/>
  <c r="A19" i="22"/>
  <c r="B19" i="22"/>
  <c r="C19" i="22"/>
  <c r="D19" i="22"/>
  <c r="E19" i="22"/>
  <c r="F19" i="22"/>
  <c r="G19" i="22"/>
  <c r="H19" i="22"/>
  <c r="I19" i="22"/>
  <c r="J19" i="22"/>
  <c r="N19" i="22"/>
  <c r="O19" i="22"/>
  <c r="A20" i="22"/>
  <c r="B20" i="22"/>
  <c r="C20" i="22"/>
  <c r="D20" i="22"/>
  <c r="E20" i="22"/>
  <c r="F20" i="22"/>
  <c r="G20" i="22"/>
  <c r="H20" i="22"/>
  <c r="I20" i="22"/>
  <c r="J20" i="22"/>
  <c r="N20" i="22"/>
  <c r="O20" i="22"/>
  <c r="A21" i="22"/>
  <c r="B21" i="22"/>
  <c r="C21" i="22"/>
  <c r="D21" i="22"/>
  <c r="E21" i="22"/>
  <c r="F21" i="22"/>
  <c r="G21" i="22"/>
  <c r="H21" i="22"/>
  <c r="I21" i="22"/>
  <c r="J21" i="22"/>
  <c r="N21" i="22"/>
  <c r="O21" i="22"/>
  <c r="A23" i="22"/>
  <c r="AC23" i="22" s="1"/>
  <c r="AM27" i="1" s="1"/>
  <c r="B23" i="22"/>
  <c r="AD23" i="22" s="1"/>
  <c r="AN27" i="1" s="1"/>
  <c r="C23" i="22"/>
  <c r="AE23" i="22" s="1"/>
  <c r="AO27" i="1" s="1"/>
  <c r="D23" i="22"/>
  <c r="AF23" i="22" s="1"/>
  <c r="AP27" i="1" s="1"/>
  <c r="E23" i="22"/>
  <c r="AG23" i="22" s="1"/>
  <c r="AQ27" i="1" s="1"/>
  <c r="F23" i="22"/>
  <c r="AH23" i="22" s="1"/>
  <c r="AR27" i="1" s="1"/>
  <c r="G23" i="22"/>
  <c r="AI23" i="22" s="1"/>
  <c r="AS27" i="1" s="1"/>
  <c r="H23" i="22"/>
  <c r="AJ23" i="22" s="1"/>
  <c r="AT27" i="1" s="1"/>
  <c r="I23" i="22"/>
  <c r="AN23" i="22" s="1"/>
  <c r="AU27" i="1" s="1"/>
  <c r="J23" i="22"/>
  <c r="AO23" i="22" s="1"/>
  <c r="AV27" i="1" s="1"/>
  <c r="N23" i="22"/>
  <c r="AP23" i="22" s="1"/>
  <c r="AZ27" i="1" s="1"/>
  <c r="O23" i="22"/>
  <c r="AQ23" i="22" s="1"/>
  <c r="BA27" i="1" s="1"/>
  <c r="A24" i="22"/>
  <c r="AC24" i="22" s="1"/>
  <c r="AM28" i="1" s="1"/>
  <c r="B24" i="22"/>
  <c r="AD24" i="22" s="1"/>
  <c r="AN28" i="1" s="1"/>
  <c r="C24" i="22"/>
  <c r="D24" i="22"/>
  <c r="E24" i="22"/>
  <c r="F24" i="22"/>
  <c r="G24" i="22"/>
  <c r="H24" i="22"/>
  <c r="I24" i="22"/>
  <c r="J24" i="22"/>
  <c r="N24" i="22"/>
  <c r="O24" i="22"/>
  <c r="A25" i="22"/>
  <c r="AC25" i="22" s="1"/>
  <c r="AM29" i="1" s="1"/>
  <c r="B25" i="22"/>
  <c r="AD25" i="22" s="1"/>
  <c r="AN29" i="1" s="1"/>
  <c r="C25" i="22"/>
  <c r="D25" i="22"/>
  <c r="E25" i="22"/>
  <c r="F25" i="22"/>
  <c r="G25" i="22"/>
  <c r="H25" i="22"/>
  <c r="I25" i="22"/>
  <c r="J25" i="22"/>
  <c r="N25" i="22"/>
  <c r="O25" i="22"/>
  <c r="A26" i="22"/>
  <c r="AC26" i="22" s="1"/>
  <c r="AM30" i="1" s="1"/>
  <c r="B26" i="22"/>
  <c r="AD26" i="22" s="1"/>
  <c r="AN30" i="1" s="1"/>
  <c r="C26" i="22"/>
  <c r="D26" i="22"/>
  <c r="E26" i="22"/>
  <c r="F26" i="22"/>
  <c r="G26" i="22"/>
  <c r="H26" i="22"/>
  <c r="I26" i="22"/>
  <c r="J26" i="22"/>
  <c r="N26" i="22"/>
  <c r="O26" i="22"/>
  <c r="A28" i="22"/>
  <c r="B28" i="22"/>
  <c r="C28" i="22"/>
  <c r="D28" i="22"/>
  <c r="E28" i="22"/>
  <c r="F28" i="22"/>
  <c r="G28" i="22"/>
  <c r="H28" i="22"/>
  <c r="I28" i="22"/>
  <c r="J28" i="22"/>
  <c r="N28" i="22"/>
  <c r="O28" i="22"/>
  <c r="A29" i="22"/>
  <c r="B29" i="22"/>
  <c r="C29" i="22"/>
  <c r="D29" i="22"/>
  <c r="E29" i="22"/>
  <c r="F29" i="22"/>
  <c r="G29" i="22"/>
  <c r="H29" i="22"/>
  <c r="I29" i="22"/>
  <c r="J29" i="22"/>
  <c r="N29" i="22"/>
  <c r="O29" i="22"/>
  <c r="A30" i="22"/>
  <c r="B30" i="22"/>
  <c r="C30" i="22"/>
  <c r="D30" i="22"/>
  <c r="E30" i="22"/>
  <c r="F30" i="22"/>
  <c r="G30" i="22"/>
  <c r="H30" i="22"/>
  <c r="I30" i="22"/>
  <c r="J30" i="22"/>
  <c r="N30" i="22"/>
  <c r="O30" i="22"/>
  <c r="A31" i="22"/>
  <c r="B31" i="22"/>
  <c r="C31" i="22"/>
  <c r="D31" i="22"/>
  <c r="E31" i="22"/>
  <c r="F31" i="22"/>
  <c r="G31" i="22"/>
  <c r="H31" i="22"/>
  <c r="I31" i="22"/>
  <c r="J31" i="22"/>
  <c r="N31" i="22"/>
  <c r="O31" i="22"/>
  <c r="B3" i="22"/>
  <c r="C3" i="22"/>
  <c r="D3" i="22"/>
  <c r="E3" i="22"/>
  <c r="F3" i="22"/>
  <c r="G3" i="22"/>
  <c r="H3" i="22"/>
  <c r="I3" i="22"/>
  <c r="J3" i="22"/>
  <c r="N3" i="22"/>
  <c r="O3" i="22"/>
  <c r="A3" i="22"/>
  <c r="AJ23" i="1"/>
  <c r="V23" i="1" s="1"/>
  <c r="AJ24" i="1"/>
  <c r="V24" i="1" s="1"/>
  <c r="AJ25" i="1"/>
  <c r="V25" i="1" s="1"/>
  <c r="AJ33" i="1"/>
  <c r="V33" i="1" s="1"/>
  <c r="AJ34" i="1"/>
  <c r="V34" i="1" s="1"/>
  <c r="AJ35" i="1"/>
  <c r="V35" i="1" s="1"/>
  <c r="J34" i="1" l="1"/>
  <c r="T42" i="2" s="1"/>
  <c r="J29" i="1"/>
  <c r="W28" i="15"/>
  <c r="Z28" i="15" s="1"/>
  <c r="W25" i="15"/>
  <c r="W27" i="15"/>
  <c r="W22" i="15"/>
  <c r="Y25" i="15"/>
  <c r="Y26" i="15"/>
  <c r="Y28" i="15"/>
  <c r="Y27" i="15"/>
  <c r="K28" i="1"/>
  <c r="K34" i="1"/>
  <c r="K29" i="1"/>
  <c r="K26" i="1"/>
  <c r="K27" i="1"/>
  <c r="AC24" i="15"/>
  <c r="AC22" i="15" s="1"/>
  <c r="AC29" i="15"/>
  <c r="AD24" i="15"/>
  <c r="AD23" i="15" s="1"/>
  <c r="AD29" i="15"/>
  <c r="W20" i="15"/>
  <c r="W23" i="15"/>
  <c r="Z23" i="15" s="1"/>
  <c r="AE29" i="15"/>
  <c r="AE24" i="15"/>
  <c r="Y21" i="15"/>
  <c r="X25" i="15"/>
  <c r="X28" i="15"/>
  <c r="X26" i="15"/>
  <c r="X27" i="15"/>
  <c r="Z21" i="15"/>
  <c r="Z22" i="15"/>
  <c r="Z20" i="15"/>
  <c r="M115" i="6"/>
  <c r="M120" i="5"/>
  <c r="C27" i="17"/>
  <c r="AK24" i="22"/>
  <c r="AW28" i="1" s="1"/>
  <c r="AB28" i="1" s="1"/>
  <c r="AJ26" i="22"/>
  <c r="AL25" i="22"/>
  <c r="AX29" i="1" s="1"/>
  <c r="AC29" i="1" s="1"/>
  <c r="AK26" i="22"/>
  <c r="AW30" i="1" s="1"/>
  <c r="AB30" i="1" s="1"/>
  <c r="AK25" i="22"/>
  <c r="AW29" i="1" s="1"/>
  <c r="AB29" i="1" s="1"/>
  <c r="AJ25" i="22"/>
  <c r="AT29" i="1" s="1"/>
  <c r="X29" i="1" s="1"/>
  <c r="X5" i="22"/>
  <c r="AL26" i="22"/>
  <c r="AX30" i="1" s="1"/>
  <c r="AC30" i="1" s="1"/>
  <c r="AL24" i="22"/>
  <c r="AX28" i="1" s="1"/>
  <c r="AC28" i="1" s="1"/>
  <c r="D48" i="17"/>
  <c r="E49" i="17" s="1"/>
  <c r="E49" i="37"/>
  <c r="E51" i="37" s="1"/>
  <c r="C27" i="37"/>
  <c r="C51" i="37"/>
  <c r="D51" i="37" s="1"/>
  <c r="T32" i="2"/>
  <c r="D26" i="37"/>
  <c r="D26" i="17" s="1"/>
  <c r="D25" i="37"/>
  <c r="D25" i="17" s="1"/>
  <c r="D24" i="37"/>
  <c r="AA19" i="22"/>
  <c r="Y19" i="22"/>
  <c r="Z19" i="22"/>
  <c r="AA4" i="22"/>
  <c r="Z4" i="22"/>
  <c r="Y4" i="22"/>
  <c r="Z14" i="22"/>
  <c r="AA14" i="22"/>
  <c r="Y14" i="22"/>
  <c r="Y21" i="22"/>
  <c r="AA21" i="22"/>
  <c r="Z21" i="22"/>
  <c r="AA9" i="22"/>
  <c r="Y9" i="22"/>
  <c r="Z9" i="22"/>
  <c r="Z20" i="22"/>
  <c r="Y20" i="22"/>
  <c r="AA20" i="22"/>
  <c r="Z15" i="22"/>
  <c r="AA15" i="22"/>
  <c r="Y15" i="22"/>
  <c r="AA10" i="22"/>
  <c r="Z10" i="22"/>
  <c r="Y10" i="22"/>
  <c r="X6" i="22"/>
  <c r="Z5" i="22"/>
  <c r="Y5" i="22"/>
  <c r="AA5" i="22"/>
  <c r="Y16" i="22"/>
  <c r="Z16" i="22"/>
  <c r="AA16" i="22"/>
  <c r="Z11" i="22"/>
  <c r="AA11" i="22"/>
  <c r="Y11" i="22"/>
  <c r="AA6" i="22"/>
  <c r="Z6" i="22"/>
  <c r="Y6" i="22"/>
  <c r="AJ10" i="1"/>
  <c r="V10" i="1" s="1"/>
  <c r="AA10" i="1"/>
  <c r="V6" i="22"/>
  <c r="V4" i="22"/>
  <c r="V20" i="22"/>
  <c r="V11" i="22"/>
  <c r="V9" i="22"/>
  <c r="U20" i="22"/>
  <c r="U21" i="22"/>
  <c r="U19" i="22"/>
  <c r="X4" i="22"/>
  <c r="W21" i="22"/>
  <c r="W19" i="22"/>
  <c r="W16" i="22"/>
  <c r="W14" i="22"/>
  <c r="W11" i="22"/>
  <c r="W9" i="22"/>
  <c r="W6" i="22"/>
  <c r="W4" i="22"/>
  <c r="S20" i="22"/>
  <c r="S15" i="22"/>
  <c r="S10" i="22"/>
  <c r="S5" i="22"/>
  <c r="X20" i="22"/>
  <c r="X15" i="22"/>
  <c r="W20" i="22"/>
  <c r="W15" i="22"/>
  <c r="V15" i="22"/>
  <c r="V10" i="22"/>
  <c r="V5" i="22"/>
  <c r="U15" i="22"/>
  <c r="U10" i="22"/>
  <c r="U5" i="22"/>
  <c r="X10" i="22"/>
  <c r="W10" i="22"/>
  <c r="X21" i="22"/>
  <c r="T20" i="22"/>
  <c r="X19" i="22"/>
  <c r="X16" i="22"/>
  <c r="T15" i="22"/>
  <c r="X14" i="22"/>
  <c r="X11" i="22"/>
  <c r="T10" i="22"/>
  <c r="X9" i="22"/>
  <c r="T5" i="22"/>
  <c r="V21" i="22"/>
  <c r="V19" i="22"/>
  <c r="V16" i="22"/>
  <c r="V14" i="22"/>
  <c r="U16" i="22"/>
  <c r="U14" i="22"/>
  <c r="U11" i="22"/>
  <c r="U9" i="22"/>
  <c r="U6" i="22"/>
  <c r="U4" i="22"/>
  <c r="T21" i="22"/>
  <c r="T19" i="22"/>
  <c r="T16" i="22"/>
  <c r="T14" i="22"/>
  <c r="T11" i="22"/>
  <c r="T9" i="22"/>
  <c r="T6" i="22"/>
  <c r="T4" i="22"/>
  <c r="S21" i="22"/>
  <c r="S19" i="22"/>
  <c r="S16" i="22"/>
  <c r="S14" i="22"/>
  <c r="S11" i="22"/>
  <c r="S9" i="22"/>
  <c r="S6" i="22"/>
  <c r="W5" i="22"/>
  <c r="S4" i="22"/>
  <c r="Z19" i="15"/>
  <c r="Z9" i="15"/>
  <c r="AI26" i="22"/>
  <c r="AS30" i="1" s="1"/>
  <c r="W30" i="1" s="1"/>
  <c r="AE25" i="22"/>
  <c r="AO29" i="1" s="1"/>
  <c r="R29" i="1" s="1"/>
  <c r="AI24" i="22"/>
  <c r="AS28" i="1" s="1"/>
  <c r="W28" i="1" s="1"/>
  <c r="AH26" i="22"/>
  <c r="AR30" i="1" s="1"/>
  <c r="U30" i="1" s="1"/>
  <c r="AO25" i="22"/>
  <c r="AV29" i="1" s="1"/>
  <c r="Z29" i="1" s="1"/>
  <c r="AH24" i="22"/>
  <c r="AR28" i="1" s="1"/>
  <c r="U28" i="1" s="1"/>
  <c r="AQ25" i="22"/>
  <c r="BA29" i="1" s="1"/>
  <c r="AF29" i="1" s="1"/>
  <c r="X14" i="15" s="1"/>
  <c r="AF25" i="22"/>
  <c r="AP25" i="22"/>
  <c r="AZ29" i="1" s="1"/>
  <c r="AG26" i="22"/>
  <c r="AQ30" i="1" s="1"/>
  <c r="T30" i="1" s="1"/>
  <c r="AN25" i="22"/>
  <c r="AU29" i="1" s="1"/>
  <c r="Y29" i="1" s="1"/>
  <c r="AG24" i="22"/>
  <c r="AQ28" i="1" s="1"/>
  <c r="T28" i="1" s="1"/>
  <c r="AT30" i="1"/>
  <c r="X30" i="1" s="1"/>
  <c r="AF26" i="22"/>
  <c r="AP30" i="1" s="1"/>
  <c r="S30" i="1" s="1"/>
  <c r="AQ24" i="22"/>
  <c r="BA28" i="1" s="1"/>
  <c r="AF28" i="1" s="1"/>
  <c r="W14" i="15" s="1"/>
  <c r="AF24" i="22"/>
  <c r="AP28" i="1" s="1"/>
  <c r="S28" i="1" s="1"/>
  <c r="AP26" i="22"/>
  <c r="AZ30" i="1" s="1"/>
  <c r="AE30" i="1" s="1"/>
  <c r="AE26" i="22"/>
  <c r="AO30" i="1" s="1"/>
  <c r="R30" i="1" s="1"/>
  <c r="AI25" i="22"/>
  <c r="AS29" i="1" s="1"/>
  <c r="W29" i="1" s="1"/>
  <c r="AP24" i="22"/>
  <c r="AZ28" i="1" s="1"/>
  <c r="AE24" i="22"/>
  <c r="AO28" i="1" s="1"/>
  <c r="R28" i="1" s="1"/>
  <c r="AJ24" i="22"/>
  <c r="AT28" i="1" s="1"/>
  <c r="X28" i="1" s="1"/>
  <c r="AQ26" i="22"/>
  <c r="BA30" i="1" s="1"/>
  <c r="AF30" i="1" s="1"/>
  <c r="Y14" i="15" s="1"/>
  <c r="AO26" i="22"/>
  <c r="AV30" i="1" s="1"/>
  <c r="Z30" i="1" s="1"/>
  <c r="AH25" i="22"/>
  <c r="AR29" i="1" s="1"/>
  <c r="U29" i="1" s="1"/>
  <c r="AO24" i="22"/>
  <c r="AV28" i="1" s="1"/>
  <c r="Z28" i="1" s="1"/>
  <c r="AN26" i="22"/>
  <c r="AU30" i="1" s="1"/>
  <c r="Y30" i="1" s="1"/>
  <c r="AG25" i="22"/>
  <c r="AQ29" i="1" s="1"/>
  <c r="T29" i="1" s="1"/>
  <c r="AN24" i="22"/>
  <c r="AU28" i="1" s="1"/>
  <c r="Y28" i="1" s="1"/>
  <c r="AU15" i="1"/>
  <c r="Y15" i="1" s="1"/>
  <c r="AU13" i="1"/>
  <c r="Y13" i="1" s="1"/>
  <c r="AP29" i="1"/>
  <c r="S29" i="1" s="1"/>
  <c r="BA14" i="1"/>
  <c r="AF14" i="1" s="1"/>
  <c r="AV15" i="1"/>
  <c r="Z15" i="1" s="1"/>
  <c r="AV13" i="1"/>
  <c r="Z13" i="1" s="1"/>
  <c r="AZ14" i="1"/>
  <c r="AE14" i="1" s="1"/>
  <c r="AV14" i="1"/>
  <c r="Z14" i="1" s="1"/>
  <c r="AU14" i="1"/>
  <c r="Y14" i="1" s="1"/>
  <c r="BA15" i="1"/>
  <c r="BA13" i="1"/>
  <c r="AF13" i="1" s="1"/>
  <c r="AZ15" i="1"/>
  <c r="AE15" i="1" s="1"/>
  <c r="AZ13" i="1"/>
  <c r="AE13" i="1" s="1"/>
  <c r="AJ36" i="1"/>
  <c r="V36" i="1" s="1"/>
  <c r="BA20" i="1"/>
  <c r="BA18" i="1"/>
  <c r="AF18" i="1" s="1"/>
  <c r="W4" i="15" s="1"/>
  <c r="W30" i="15" s="1"/>
  <c r="AZ18" i="1"/>
  <c r="AE18" i="1" s="1"/>
  <c r="AV20" i="1"/>
  <c r="Z20" i="1" s="1"/>
  <c r="AV18" i="1"/>
  <c r="Z18" i="1" s="1"/>
  <c r="AU20" i="1"/>
  <c r="Y20" i="1" s="1"/>
  <c r="AU18" i="1"/>
  <c r="Y18" i="1" s="1"/>
  <c r="BA19" i="1"/>
  <c r="AF19" i="1" s="1"/>
  <c r="X4" i="15" s="1"/>
  <c r="X30" i="15" s="1"/>
  <c r="AZ19" i="1"/>
  <c r="AE19" i="1" s="1"/>
  <c r="AD4" i="15" s="1"/>
  <c r="AV19" i="1"/>
  <c r="Z19" i="1" s="1"/>
  <c r="AZ20" i="1"/>
  <c r="AE20" i="1" s="1"/>
  <c r="AE4" i="15" s="1"/>
  <c r="AU19" i="1"/>
  <c r="Y19" i="1" s="1"/>
  <c r="AJ26" i="1"/>
  <c r="V26" i="1" s="1"/>
  <c r="AD21" i="15" l="1"/>
  <c r="AD22" i="15"/>
  <c r="AC23" i="15"/>
  <c r="AE28" i="15"/>
  <c r="AE27" i="15"/>
  <c r="AE26" i="15"/>
  <c r="AE25" i="15"/>
  <c r="AD30" i="15"/>
  <c r="AE30" i="15"/>
  <c r="J33" i="1"/>
  <c r="T41" i="2" s="1"/>
  <c r="J30" i="1"/>
  <c r="T38" i="2" s="1"/>
  <c r="T37" i="2"/>
  <c r="J31" i="1"/>
  <c r="T39" i="2" s="1"/>
  <c r="J32" i="1"/>
  <c r="T40" i="2" s="1"/>
  <c r="AE22" i="15"/>
  <c r="AF22" i="15" s="1"/>
  <c r="AC26" i="15"/>
  <c r="AC25" i="15"/>
  <c r="AC27" i="15"/>
  <c r="AC28" i="15"/>
  <c r="AE20" i="15"/>
  <c r="Z26" i="15"/>
  <c r="J26" i="1"/>
  <c r="T34" i="2" s="1"/>
  <c r="AE21" i="15"/>
  <c r="AD26" i="15"/>
  <c r="AD25" i="15"/>
  <c r="AD27" i="15"/>
  <c r="AD28" i="15"/>
  <c r="J27" i="1"/>
  <c r="T35" i="2" s="1"/>
  <c r="K33" i="1"/>
  <c r="K32" i="1"/>
  <c r="K30" i="1"/>
  <c r="K31" i="1"/>
  <c r="J25" i="1"/>
  <c r="T33" i="2" s="1"/>
  <c r="U33" i="2" s="1"/>
  <c r="AC20" i="15"/>
  <c r="K25" i="1"/>
  <c r="Z27" i="15"/>
  <c r="J28" i="1"/>
  <c r="T36" i="2" s="1"/>
  <c r="Z29" i="15"/>
  <c r="Z24" i="15"/>
  <c r="AE23" i="15"/>
  <c r="AF23" i="15" s="1"/>
  <c r="AD20" i="15"/>
  <c r="AC21" i="15"/>
  <c r="Z25" i="15"/>
  <c r="M120" i="6"/>
  <c r="M125" i="5"/>
  <c r="K51" i="37"/>
  <c r="I51" i="37"/>
  <c r="F51" i="37" s="1"/>
  <c r="G51" i="37"/>
  <c r="L51" i="37"/>
  <c r="H51" i="37"/>
  <c r="P51" i="37"/>
  <c r="O51" i="37"/>
  <c r="AC4" i="15"/>
  <c r="AC30" i="15" s="1"/>
  <c r="AG19" i="1"/>
  <c r="AE17" i="1"/>
  <c r="T12" i="2" s="1"/>
  <c r="AG16" i="1"/>
  <c r="AC31" i="1"/>
  <c r="H9" i="11" s="1"/>
  <c r="AB31" i="1"/>
  <c r="G9" i="11" s="1"/>
  <c r="D24" i="17"/>
  <c r="E25" i="17" s="1"/>
  <c r="U22" i="2" s="1"/>
  <c r="E25" i="37"/>
  <c r="E27" i="37" s="1"/>
  <c r="D8" i="11"/>
  <c r="D14" i="1"/>
  <c r="D10" i="11"/>
  <c r="D24" i="1"/>
  <c r="D27" i="37"/>
  <c r="AE14" i="15"/>
  <c r="C46" i="37"/>
  <c r="C38" i="37" s="1"/>
  <c r="D51" i="17"/>
  <c r="T22" i="2"/>
  <c r="C4" i="37"/>
  <c r="C16" i="37" s="1"/>
  <c r="C4" i="17"/>
  <c r="C16" i="17" s="1"/>
  <c r="C5" i="17"/>
  <c r="C17" i="17" s="1"/>
  <c r="C5" i="37"/>
  <c r="C17" i="37" s="1"/>
  <c r="C6" i="37"/>
  <c r="C18" i="37" s="1"/>
  <c r="AK9" i="22"/>
  <c r="AW13" i="1" s="1"/>
  <c r="AB13" i="1" s="1"/>
  <c r="AK14" i="22"/>
  <c r="AW18" i="1" s="1"/>
  <c r="AK11" i="22"/>
  <c r="AW15" i="1" s="1"/>
  <c r="AB15" i="1" s="1"/>
  <c r="AK16" i="22"/>
  <c r="AW20" i="1" s="1"/>
  <c r="AK10" i="22"/>
  <c r="AW14" i="1" s="1"/>
  <c r="AB14" i="1" s="1"/>
  <c r="AK15" i="22"/>
  <c r="AW19" i="1" s="1"/>
  <c r="AL14" i="22"/>
  <c r="AX18" i="1" s="1"/>
  <c r="AL9" i="22"/>
  <c r="AX13" i="1" s="1"/>
  <c r="AC13" i="1" s="1"/>
  <c r="AL11" i="22"/>
  <c r="AX15" i="1" s="1"/>
  <c r="AC15" i="1" s="1"/>
  <c r="AL16" i="22"/>
  <c r="AX20" i="1" s="1"/>
  <c r="AL15" i="22"/>
  <c r="AX19" i="1" s="1"/>
  <c r="AL10" i="22"/>
  <c r="AX14" i="1" s="1"/>
  <c r="AC14" i="1" s="1"/>
  <c r="AM14" i="22"/>
  <c r="AY18" i="1" s="1"/>
  <c r="AM9" i="22"/>
  <c r="AY13" i="1" s="1"/>
  <c r="AD13" i="1" s="1"/>
  <c r="AM16" i="22"/>
  <c r="AY20" i="1" s="1"/>
  <c r="AM11" i="22"/>
  <c r="AY15" i="1" s="1"/>
  <c r="AD15" i="1" s="1"/>
  <c r="AM15" i="22"/>
  <c r="AY19" i="1" s="1"/>
  <c r="AM10" i="22"/>
  <c r="AY14" i="1" s="1"/>
  <c r="AD14" i="1" s="1"/>
  <c r="AA30" i="1"/>
  <c r="AA29" i="1"/>
  <c r="AA28" i="1"/>
  <c r="AG10" i="22"/>
  <c r="AQ14" i="1" s="1"/>
  <c r="T14" i="1" s="1"/>
  <c r="AI9" i="22"/>
  <c r="AS13" i="1" s="1"/>
  <c r="W13" i="1" s="1"/>
  <c r="AH11" i="22"/>
  <c r="AR15" i="1" s="1"/>
  <c r="U15" i="1" s="1"/>
  <c r="AE10" i="22"/>
  <c r="AO14" i="1" s="1"/>
  <c r="R14" i="1" s="1"/>
  <c r="AI16" i="22"/>
  <c r="AS20" i="1" s="1"/>
  <c r="AH9" i="22"/>
  <c r="AR13" i="1" s="1"/>
  <c r="U13" i="1" s="1"/>
  <c r="AJ11" i="22"/>
  <c r="AT15" i="1" s="1"/>
  <c r="X15" i="1" s="1"/>
  <c r="AA15" i="1" s="1"/>
  <c r="AI14" i="22"/>
  <c r="AS18" i="1" s="1"/>
  <c r="AH15" i="22"/>
  <c r="AR19" i="1" s="1"/>
  <c r="AI11" i="22"/>
  <c r="AS15" i="1" s="1"/>
  <c r="W15" i="1" s="1"/>
  <c r="AJ10" i="22"/>
  <c r="AT14" i="1" s="1"/>
  <c r="X14" i="1" s="1"/>
  <c r="AA14" i="1" s="1"/>
  <c r="AE15" i="22"/>
  <c r="AO19" i="1" s="1"/>
  <c r="AH14" i="22"/>
  <c r="AR18" i="1" s="1"/>
  <c r="AH10" i="22"/>
  <c r="AR14" i="1" s="1"/>
  <c r="U14" i="1" s="1"/>
  <c r="AG15" i="22"/>
  <c r="AQ19" i="1" s="1"/>
  <c r="AF15" i="22"/>
  <c r="AP19" i="1" s="1"/>
  <c r="AG16" i="22"/>
  <c r="AQ20" i="1" s="1"/>
  <c r="AF9" i="22"/>
  <c r="AP13" i="1" s="1"/>
  <c r="S13" i="1" s="1"/>
  <c r="AI10" i="22"/>
  <c r="AS14" i="1" s="1"/>
  <c r="W14" i="1" s="1"/>
  <c r="W16" i="15"/>
  <c r="AG14" i="22"/>
  <c r="AQ18" i="1" s="1"/>
  <c r="AJ16" i="22"/>
  <c r="AT20" i="1" s="1"/>
  <c r="AJ9" i="22"/>
  <c r="AT13" i="1" s="1"/>
  <c r="X13" i="1" s="1"/>
  <c r="AA13" i="1" s="1"/>
  <c r="AF20" i="1"/>
  <c r="Y4" i="15" s="1"/>
  <c r="Y30" i="15" s="1"/>
  <c r="X6" i="15"/>
  <c r="AF15" i="1"/>
  <c r="AE14" i="22"/>
  <c r="AO18" i="1" s="1"/>
  <c r="AJ15" i="22"/>
  <c r="AT19" i="1" s="1"/>
  <c r="AH16" i="22"/>
  <c r="AR20" i="1" s="1"/>
  <c r="Y13" i="15"/>
  <c r="X15" i="15"/>
  <c r="AE11" i="22"/>
  <c r="AO15" i="1" s="1"/>
  <c r="R15" i="1" s="1"/>
  <c r="AI15" i="22"/>
  <c r="AS19" i="1" s="1"/>
  <c r="AE16" i="22"/>
  <c r="AO20" i="1" s="1"/>
  <c r="AF14" i="22"/>
  <c r="AP18" i="1" s="1"/>
  <c r="AF11" i="22"/>
  <c r="AP15" i="1" s="1"/>
  <c r="S15" i="1" s="1"/>
  <c r="AF16" i="22"/>
  <c r="AP20" i="1" s="1"/>
  <c r="AG9" i="22"/>
  <c r="AQ13" i="1" s="1"/>
  <c r="T13" i="1" s="1"/>
  <c r="AE9" i="22"/>
  <c r="AO13" i="1" s="1"/>
  <c r="R13" i="1" s="1"/>
  <c r="AG11" i="22"/>
  <c r="AQ15" i="1" s="1"/>
  <c r="T15" i="1" s="1"/>
  <c r="AF10" i="22"/>
  <c r="AP14" i="1" s="1"/>
  <c r="S14" i="1" s="1"/>
  <c r="AJ14" i="22"/>
  <c r="AT18" i="1" s="1"/>
  <c r="AE28" i="1"/>
  <c r="AE29" i="1"/>
  <c r="AJ30" i="1"/>
  <c r="V30" i="1" s="1"/>
  <c r="AJ29" i="1"/>
  <c r="V29" i="1" s="1"/>
  <c r="AJ28" i="1"/>
  <c r="V28" i="1" s="1"/>
  <c r="AF31" i="1"/>
  <c r="K19" i="1" s="1"/>
  <c r="AF21" i="15" l="1"/>
  <c r="AF20" i="15"/>
  <c r="AF25" i="15"/>
  <c r="AF26" i="15"/>
  <c r="AF28" i="15"/>
  <c r="D34" i="1"/>
  <c r="D28" i="1"/>
  <c r="D27" i="1"/>
  <c r="D26" i="1"/>
  <c r="D25" i="1"/>
  <c r="D29" i="1"/>
  <c r="AF27" i="15"/>
  <c r="M125" i="6"/>
  <c r="U34" i="2"/>
  <c r="M130" i="5"/>
  <c r="AP49" i="2"/>
  <c r="AA12" i="2" s="1"/>
  <c r="L10" i="5" s="1"/>
  <c r="L27" i="37"/>
  <c r="G27" i="37"/>
  <c r="M27" i="37"/>
  <c r="J27" i="37" s="1"/>
  <c r="K27" i="37"/>
  <c r="P27" i="37"/>
  <c r="O27" i="37"/>
  <c r="H27" i="37"/>
  <c r="I27" i="37"/>
  <c r="F27" i="37" s="1"/>
  <c r="Q27" i="37"/>
  <c r="N27" i="37" s="1"/>
  <c r="AG29" i="1"/>
  <c r="AG38" i="1" s="1"/>
  <c r="C7" i="17"/>
  <c r="C15" i="17" s="1"/>
  <c r="H19" i="1"/>
  <c r="H18" i="1" s="1"/>
  <c r="H60" i="5" s="1"/>
  <c r="G19" i="1"/>
  <c r="K23" i="1"/>
  <c r="K22" i="1"/>
  <c r="K21" i="1"/>
  <c r="K20" i="1"/>
  <c r="K18" i="1"/>
  <c r="K17" i="1"/>
  <c r="K15" i="1"/>
  <c r="K16" i="1"/>
  <c r="D46" i="37"/>
  <c r="D46" i="17" s="1"/>
  <c r="D38" i="37"/>
  <c r="D38" i="17" s="1"/>
  <c r="C30" i="37"/>
  <c r="D30" i="37" s="1"/>
  <c r="D30" i="17" s="1"/>
  <c r="C42" i="37"/>
  <c r="D42" i="37" s="1"/>
  <c r="D42" i="17" s="1"/>
  <c r="C34" i="37"/>
  <c r="D34" i="37" s="1"/>
  <c r="D34" i="17" s="1"/>
  <c r="D27" i="17"/>
  <c r="AD14" i="15"/>
  <c r="C45" i="37"/>
  <c r="C37" i="37" s="1"/>
  <c r="C45" i="17"/>
  <c r="C37" i="17" s="1"/>
  <c r="AC14" i="15"/>
  <c r="C44" i="37"/>
  <c r="C36" i="37" s="1"/>
  <c r="C44" i="17"/>
  <c r="C36" i="17" s="1"/>
  <c r="Y6" i="15"/>
  <c r="AD19" i="1"/>
  <c r="D5" i="37"/>
  <c r="D5" i="17" s="1"/>
  <c r="C13" i="37"/>
  <c r="D13" i="37" s="1"/>
  <c r="D13" i="17" s="1"/>
  <c r="C21" i="37"/>
  <c r="D21" i="37" s="1"/>
  <c r="D21" i="17" s="1"/>
  <c r="C9" i="37"/>
  <c r="D9" i="37" s="1"/>
  <c r="D9" i="17" s="1"/>
  <c r="D17" i="37"/>
  <c r="D17" i="17" s="1"/>
  <c r="C21" i="17"/>
  <c r="C13" i="17"/>
  <c r="C9" i="17"/>
  <c r="D6" i="37"/>
  <c r="D6" i="17" s="1"/>
  <c r="C14" i="37"/>
  <c r="D14" i="37" s="1"/>
  <c r="D14" i="17" s="1"/>
  <c r="C10" i="37"/>
  <c r="D10" i="37" s="1"/>
  <c r="D10" i="17" s="1"/>
  <c r="C22" i="37"/>
  <c r="D22" i="37" s="1"/>
  <c r="D22" i="17" s="1"/>
  <c r="D18" i="37"/>
  <c r="D18" i="17" s="1"/>
  <c r="C12" i="17"/>
  <c r="C8" i="17"/>
  <c r="C20" i="17"/>
  <c r="AC19" i="1"/>
  <c r="C12" i="37"/>
  <c r="D12" i="37" s="1"/>
  <c r="C20" i="37"/>
  <c r="D20" i="37" s="1"/>
  <c r="D16" i="37"/>
  <c r="D4" i="37"/>
  <c r="C8" i="37"/>
  <c r="D8" i="37" s="1"/>
  <c r="AB20" i="1"/>
  <c r="AB19" i="1"/>
  <c r="AB16" i="1"/>
  <c r="AB18" i="1"/>
  <c r="AC20" i="1"/>
  <c r="AC16" i="1"/>
  <c r="AC18" i="1"/>
  <c r="AD20" i="1"/>
  <c r="AD16" i="1"/>
  <c r="AD18" i="1"/>
  <c r="U20" i="1"/>
  <c r="T19" i="1"/>
  <c r="W18" i="1"/>
  <c r="U18" i="1"/>
  <c r="T20" i="1"/>
  <c r="W20" i="1"/>
  <c r="AJ13" i="1"/>
  <c r="V13" i="1" s="1"/>
  <c r="AF21" i="1"/>
  <c r="K9" i="1" s="1"/>
  <c r="X20" i="1"/>
  <c r="AA20" i="1" s="1"/>
  <c r="R19" i="1"/>
  <c r="Y12" i="15"/>
  <c r="S18" i="1"/>
  <c r="S19" i="1"/>
  <c r="X19" i="1"/>
  <c r="AA19" i="1" s="1"/>
  <c r="Y17" i="15"/>
  <c r="Y18" i="15"/>
  <c r="U19" i="1"/>
  <c r="W19" i="1"/>
  <c r="W11" i="15"/>
  <c r="W17" i="15"/>
  <c r="W18" i="15"/>
  <c r="W13" i="15"/>
  <c r="W10" i="15"/>
  <c r="W12" i="15"/>
  <c r="Y16" i="15"/>
  <c r="W15" i="15"/>
  <c r="Y15" i="15"/>
  <c r="Y10" i="15"/>
  <c r="R18" i="1"/>
  <c r="Y11" i="15"/>
  <c r="X18" i="15"/>
  <c r="AJ14" i="1"/>
  <c r="V14" i="1" s="1"/>
  <c r="Y8" i="15"/>
  <c r="Y5" i="15"/>
  <c r="W7" i="15"/>
  <c r="W8" i="15"/>
  <c r="W6" i="15"/>
  <c r="X13" i="15"/>
  <c r="X10" i="15"/>
  <c r="X18" i="1"/>
  <c r="AA18" i="1" s="1"/>
  <c r="X11" i="15"/>
  <c r="X12" i="15"/>
  <c r="X8" i="15"/>
  <c r="X17" i="15"/>
  <c r="X16" i="15"/>
  <c r="AF16" i="1"/>
  <c r="K8" i="1" s="1"/>
  <c r="Y7" i="15"/>
  <c r="W5" i="15"/>
  <c r="Z14" i="15"/>
  <c r="X7" i="15"/>
  <c r="T18" i="1"/>
  <c r="Z4" i="15"/>
  <c r="Z30" i="15" s="1"/>
  <c r="X5" i="15"/>
  <c r="R20" i="1"/>
  <c r="AJ15" i="1"/>
  <c r="V15" i="1" s="1"/>
  <c r="S20" i="1"/>
  <c r="AE31" i="1"/>
  <c r="J19" i="1" s="1"/>
  <c r="AE16" i="1"/>
  <c r="AG17" i="1" s="1"/>
  <c r="AE21" i="1"/>
  <c r="J9" i="1" s="1"/>
  <c r="AJ31" i="1"/>
  <c r="V31" i="1" s="1"/>
  <c r="D12" i="11" l="1"/>
  <c r="D11" i="11"/>
  <c r="D32" i="1"/>
  <c r="D30" i="1"/>
  <c r="D33" i="1"/>
  <c r="D31" i="1"/>
  <c r="M130" i="6"/>
  <c r="U35" i="2"/>
  <c r="M135" i="5"/>
  <c r="E5" i="37"/>
  <c r="E7" i="37" s="1"/>
  <c r="H7" i="37" s="1"/>
  <c r="L10" i="6"/>
  <c r="L10" i="26"/>
  <c r="I10" i="5"/>
  <c r="C23" i="17"/>
  <c r="X16" i="35"/>
  <c r="Z16" i="35" s="1"/>
  <c r="H16" i="35" s="1"/>
  <c r="I50" i="5" s="1"/>
  <c r="X24" i="35"/>
  <c r="X17" i="35"/>
  <c r="Z17" i="35" s="1"/>
  <c r="H17" i="35" s="1"/>
  <c r="I55" i="5" s="1"/>
  <c r="X9" i="35"/>
  <c r="Z9" i="35" s="1"/>
  <c r="H9" i="35" s="1"/>
  <c r="X10" i="35"/>
  <c r="Z10" i="35" s="1"/>
  <c r="H10" i="35" s="1"/>
  <c r="X18" i="35"/>
  <c r="Z18" i="35" s="1"/>
  <c r="H18" i="35" s="1"/>
  <c r="I60" i="5" s="1"/>
  <c r="X15" i="35"/>
  <c r="Z15" i="35" s="1"/>
  <c r="H15" i="35" s="1"/>
  <c r="I45" i="5" s="1"/>
  <c r="X11" i="35"/>
  <c r="Z11" i="35" s="1"/>
  <c r="H11" i="35" s="1"/>
  <c r="X19" i="35"/>
  <c r="Z19" i="35" s="1"/>
  <c r="H19" i="35" s="1"/>
  <c r="I65" i="5" s="1"/>
  <c r="X12" i="35"/>
  <c r="Z12" i="35" s="1"/>
  <c r="H12" i="35" s="1"/>
  <c r="X20" i="35"/>
  <c r="Z20" i="35" s="1"/>
  <c r="H20" i="35" s="1"/>
  <c r="I70" i="5" s="1"/>
  <c r="X14" i="35"/>
  <c r="Z14" i="35" s="1"/>
  <c r="H14" i="35" s="1"/>
  <c r="I40" i="5" s="1"/>
  <c r="X23" i="35"/>
  <c r="Z23" i="35" s="1"/>
  <c r="H23" i="35" s="1"/>
  <c r="I85" i="5" s="1"/>
  <c r="X13" i="35"/>
  <c r="Z13" i="35" s="1"/>
  <c r="H13" i="35" s="1"/>
  <c r="X21" i="35"/>
  <c r="Z21" i="35" s="1"/>
  <c r="H21" i="35" s="1"/>
  <c r="I75" i="5" s="1"/>
  <c r="X22" i="35"/>
  <c r="Z22" i="35" s="1"/>
  <c r="H22" i="35" s="1"/>
  <c r="I80" i="5" s="1"/>
  <c r="C11" i="17"/>
  <c r="G16" i="1"/>
  <c r="G50" i="5" s="1"/>
  <c r="G65" i="5"/>
  <c r="H15" i="1"/>
  <c r="H45" i="5" s="1"/>
  <c r="H65" i="5"/>
  <c r="C19" i="17"/>
  <c r="H23" i="1"/>
  <c r="H85" i="5" s="1"/>
  <c r="H20" i="1"/>
  <c r="H70" i="5" s="1"/>
  <c r="H21" i="1"/>
  <c r="H75" i="5" s="1"/>
  <c r="H17" i="1"/>
  <c r="H55" i="5" s="1"/>
  <c r="H16" i="1"/>
  <c r="H50" i="5" s="1"/>
  <c r="C47" i="17"/>
  <c r="C39" i="17" s="1"/>
  <c r="H22" i="1"/>
  <c r="H80" i="5" s="1"/>
  <c r="G18" i="1"/>
  <c r="G60" i="5" s="1"/>
  <c r="G23" i="1"/>
  <c r="G85" i="5" s="1"/>
  <c r="G15" i="1"/>
  <c r="G45" i="5" s="1"/>
  <c r="G22" i="1"/>
  <c r="G80" i="5" s="1"/>
  <c r="G20" i="1"/>
  <c r="G70" i="5" s="1"/>
  <c r="G17" i="1"/>
  <c r="G55" i="5" s="1"/>
  <c r="G21" i="1"/>
  <c r="G75" i="5" s="1"/>
  <c r="D16" i="17"/>
  <c r="E17" i="17" s="1"/>
  <c r="U20" i="2" s="1"/>
  <c r="E17" i="37"/>
  <c r="E19" i="37" s="1"/>
  <c r="D20" i="17"/>
  <c r="E21" i="17" s="1"/>
  <c r="U21" i="2" s="1"/>
  <c r="E21" i="37"/>
  <c r="E23" i="37" s="1"/>
  <c r="D4" i="17"/>
  <c r="E5" i="17" s="1"/>
  <c r="U17" i="2" s="1"/>
  <c r="D12" i="17"/>
  <c r="E13" i="17" s="1"/>
  <c r="U19" i="2" s="1"/>
  <c r="E13" i="37"/>
  <c r="E15" i="37" s="1"/>
  <c r="D8" i="17"/>
  <c r="E9" i="17" s="1"/>
  <c r="U18" i="2" s="1"/>
  <c r="E9" i="37"/>
  <c r="E11" i="37" s="1"/>
  <c r="J20" i="1"/>
  <c r="J23" i="1"/>
  <c r="J22" i="1"/>
  <c r="J21" i="1"/>
  <c r="J18" i="1"/>
  <c r="J17" i="1"/>
  <c r="J16" i="1"/>
  <c r="J15" i="1"/>
  <c r="K13" i="1"/>
  <c r="K12" i="1"/>
  <c r="K11" i="1"/>
  <c r="K10" i="1"/>
  <c r="J10" i="1"/>
  <c r="J11" i="1"/>
  <c r="J13" i="1"/>
  <c r="J12" i="1"/>
  <c r="D9" i="11"/>
  <c r="D19" i="1"/>
  <c r="H6" i="11"/>
  <c r="H8" i="1"/>
  <c r="I6" i="11"/>
  <c r="I8" i="1"/>
  <c r="J8" i="1"/>
  <c r="G6" i="11"/>
  <c r="G8" i="1"/>
  <c r="Z6" i="15"/>
  <c r="C47" i="37"/>
  <c r="C39" i="37" s="1"/>
  <c r="C32" i="17"/>
  <c r="C40" i="17"/>
  <c r="C28" i="17"/>
  <c r="C29" i="17"/>
  <c r="C41" i="17"/>
  <c r="C33" i="17"/>
  <c r="D44" i="37"/>
  <c r="C28" i="37"/>
  <c r="D28" i="37" s="1"/>
  <c r="C32" i="37"/>
  <c r="D32" i="37" s="1"/>
  <c r="D36" i="37"/>
  <c r="C40" i="37"/>
  <c r="D40" i="37" s="1"/>
  <c r="D45" i="37"/>
  <c r="D45" i="17" s="1"/>
  <c r="C41" i="37"/>
  <c r="D41" i="37" s="1"/>
  <c r="D41" i="17" s="1"/>
  <c r="C33" i="37"/>
  <c r="D33" i="37" s="1"/>
  <c r="D33" i="17" s="1"/>
  <c r="D37" i="37"/>
  <c r="D37" i="17" s="1"/>
  <c r="C29" i="37"/>
  <c r="D29" i="37" s="1"/>
  <c r="D29" i="17" s="1"/>
  <c r="C7" i="37"/>
  <c r="AB21" i="1"/>
  <c r="AC21" i="1"/>
  <c r="AD21" i="1"/>
  <c r="AJ18" i="1"/>
  <c r="V18" i="1" s="1"/>
  <c r="AJ20" i="1"/>
  <c r="V20" i="1" s="1"/>
  <c r="Z5" i="15"/>
  <c r="Z8" i="15"/>
  <c r="Z7" i="15"/>
  <c r="AJ19" i="1"/>
  <c r="V19" i="1" s="1"/>
  <c r="Z17" i="15"/>
  <c r="Z18" i="15"/>
  <c r="Z15" i="15"/>
  <c r="Z13" i="15"/>
  <c r="Z11" i="15"/>
  <c r="Z16" i="15"/>
  <c r="Z12" i="15"/>
  <c r="Z10" i="15"/>
  <c r="AJ16" i="1"/>
  <c r="V16" i="1" s="1"/>
  <c r="M135" i="6" l="1"/>
  <c r="U36" i="2"/>
  <c r="Z24" i="35"/>
  <c r="X25" i="35"/>
  <c r="X26" i="35" s="1"/>
  <c r="X27" i="35" s="1"/>
  <c r="X28" i="35" s="1"/>
  <c r="X29" i="35" s="1"/>
  <c r="X30" i="35" s="1"/>
  <c r="X31" i="35" s="1"/>
  <c r="X32" i="35" s="1"/>
  <c r="X33" i="35" s="1"/>
  <c r="X34" i="35" s="1"/>
  <c r="M140" i="5"/>
  <c r="G7" i="37"/>
  <c r="O7" i="37" s="1"/>
  <c r="I7" i="37"/>
  <c r="F7" i="37" s="1"/>
  <c r="J7" i="37" s="1"/>
  <c r="L7" i="37"/>
  <c r="P7" i="37"/>
  <c r="Q15" i="37"/>
  <c r="N15" i="37" s="1"/>
  <c r="L15" i="37"/>
  <c r="G15" i="37"/>
  <c r="O15" i="37"/>
  <c r="M15" i="37"/>
  <c r="J15" i="37" s="1"/>
  <c r="K15" i="37"/>
  <c r="H15" i="37"/>
  <c r="P15" i="37"/>
  <c r="I15" i="37"/>
  <c r="F15" i="37" s="1"/>
  <c r="P11" i="37"/>
  <c r="I11" i="37"/>
  <c r="F11" i="37" s="1"/>
  <c r="Q11" i="37"/>
  <c r="N11" i="37" s="1"/>
  <c r="G11" i="37"/>
  <c r="O11" i="37"/>
  <c r="H11" i="37"/>
  <c r="L11" i="37"/>
  <c r="K11" i="37"/>
  <c r="M11" i="37"/>
  <c r="J11" i="37" s="1"/>
  <c r="Q23" i="37"/>
  <c r="N23" i="37" s="1"/>
  <c r="O23" i="37"/>
  <c r="H23" i="37"/>
  <c r="I23" i="37"/>
  <c r="F23" i="37" s="1"/>
  <c r="L23" i="37"/>
  <c r="G23" i="37"/>
  <c r="M23" i="37"/>
  <c r="J23" i="37" s="1"/>
  <c r="K23" i="37"/>
  <c r="P23" i="37"/>
  <c r="K19" i="37"/>
  <c r="P19" i="37"/>
  <c r="Q19" i="37"/>
  <c r="N19" i="37" s="1"/>
  <c r="L19" i="37"/>
  <c r="O19" i="37"/>
  <c r="M19" i="37"/>
  <c r="J19" i="37" s="1"/>
  <c r="G19" i="37"/>
  <c r="H19" i="37"/>
  <c r="I19" i="37"/>
  <c r="F19" i="37" s="1"/>
  <c r="C35" i="17"/>
  <c r="T24" i="2" s="1"/>
  <c r="T25" i="2"/>
  <c r="C43" i="17"/>
  <c r="C31" i="17"/>
  <c r="T23" i="2" s="1"/>
  <c r="AM12" i="2"/>
  <c r="D40" i="17"/>
  <c r="E41" i="17" s="1"/>
  <c r="U26" i="2" s="1"/>
  <c r="E41" i="37"/>
  <c r="E43" i="37" s="1"/>
  <c r="D36" i="17"/>
  <c r="E37" i="17" s="1"/>
  <c r="U25" i="2" s="1"/>
  <c r="E37" i="37"/>
  <c r="E39" i="37" s="1"/>
  <c r="D32" i="17"/>
  <c r="E33" i="17" s="1"/>
  <c r="U24" i="2" s="1"/>
  <c r="E33" i="37"/>
  <c r="E35" i="37" s="1"/>
  <c r="D28" i="17"/>
  <c r="E29" i="17" s="1"/>
  <c r="U23" i="2" s="1"/>
  <c r="E29" i="37"/>
  <c r="E31" i="37" s="1"/>
  <c r="D44" i="17"/>
  <c r="E45" i="17" s="1"/>
  <c r="U27" i="2" s="1"/>
  <c r="E45" i="37"/>
  <c r="E47" i="37" s="1"/>
  <c r="D20" i="1"/>
  <c r="D23" i="1"/>
  <c r="D21" i="1"/>
  <c r="D22" i="1"/>
  <c r="D18" i="1"/>
  <c r="D17" i="1"/>
  <c r="D16" i="1"/>
  <c r="D15" i="1"/>
  <c r="I7" i="11"/>
  <c r="I9" i="1"/>
  <c r="I15" i="5" s="1"/>
  <c r="D6" i="11"/>
  <c r="D8" i="1"/>
  <c r="D10" i="5" s="1"/>
  <c r="X10" i="5" s="1"/>
  <c r="H7" i="11"/>
  <c r="H9" i="1"/>
  <c r="H15" i="5" s="1"/>
  <c r="G7" i="11"/>
  <c r="G9" i="1"/>
  <c r="G15" i="5" s="1"/>
  <c r="AS12" i="2"/>
  <c r="D47" i="37"/>
  <c r="C43" i="37"/>
  <c r="D43" i="37" s="1"/>
  <c r="C31" i="37"/>
  <c r="D31" i="37" s="1"/>
  <c r="D39" i="37"/>
  <c r="C35" i="37"/>
  <c r="D35" i="37" s="1"/>
  <c r="T27" i="2"/>
  <c r="T17" i="2"/>
  <c r="T13" i="2" s="1"/>
  <c r="AP50" i="2" s="1"/>
  <c r="T18" i="2"/>
  <c r="T19" i="2"/>
  <c r="D7" i="37"/>
  <c r="C11" i="37"/>
  <c r="D11" i="37" s="1"/>
  <c r="C19" i="37"/>
  <c r="D19" i="37" s="1"/>
  <c r="C15" i="37"/>
  <c r="D15" i="37" s="1"/>
  <c r="C23" i="37"/>
  <c r="D23" i="37" s="1"/>
  <c r="AJ21" i="1"/>
  <c r="V21" i="1" s="1"/>
  <c r="M140" i="6" l="1"/>
  <c r="U37" i="2"/>
  <c r="H24" i="35"/>
  <c r="I90" i="5" s="1"/>
  <c r="Z25" i="35"/>
  <c r="K7" i="37"/>
  <c r="Q7" i="37"/>
  <c r="N7" i="37"/>
  <c r="M7" i="37"/>
  <c r="X10" i="6"/>
  <c r="L47" i="37"/>
  <c r="M47" i="37"/>
  <c r="J47" i="37" s="1"/>
  <c r="H47" i="37"/>
  <c r="K47" i="37"/>
  <c r="I47" i="37"/>
  <c r="F47" i="37" s="1"/>
  <c r="G47" i="37"/>
  <c r="P47" i="37"/>
  <c r="Q47" i="37"/>
  <c r="N47" i="37" s="1"/>
  <c r="O47" i="37"/>
  <c r="P43" i="37"/>
  <c r="Q43" i="37"/>
  <c r="N43" i="37" s="1"/>
  <c r="O43" i="37"/>
  <c r="K43" i="37"/>
  <c r="L43" i="37"/>
  <c r="M43" i="37"/>
  <c r="J43" i="37" s="1"/>
  <c r="H43" i="37"/>
  <c r="I43" i="37"/>
  <c r="F43" i="37" s="1"/>
  <c r="G43" i="37"/>
  <c r="M39" i="37"/>
  <c r="J39" i="37" s="1"/>
  <c r="K39" i="37"/>
  <c r="P39" i="37"/>
  <c r="Q39" i="37"/>
  <c r="N39" i="37" s="1"/>
  <c r="L39" i="37"/>
  <c r="O39" i="37"/>
  <c r="K31" i="37"/>
  <c r="P31" i="37"/>
  <c r="Q31" i="37"/>
  <c r="N31" i="37" s="1"/>
  <c r="O31" i="37"/>
  <c r="H31" i="37"/>
  <c r="I31" i="37"/>
  <c r="F31" i="37" s="1"/>
  <c r="L31" i="37"/>
  <c r="G31" i="37"/>
  <c r="M31" i="37"/>
  <c r="J31" i="37" s="1"/>
  <c r="Q35" i="37"/>
  <c r="N35" i="37" s="1"/>
  <c r="O35" i="37"/>
  <c r="H35" i="37"/>
  <c r="I35" i="37"/>
  <c r="F35" i="37" s="1"/>
  <c r="L35" i="37"/>
  <c r="G35" i="37"/>
  <c r="M35" i="37"/>
  <c r="J35" i="37" s="1"/>
  <c r="P35" i="37"/>
  <c r="K35" i="37"/>
  <c r="H39" i="37"/>
  <c r="I39" i="37"/>
  <c r="F39" i="37" s="1"/>
  <c r="G39" i="37"/>
  <c r="U13" i="2"/>
  <c r="T15" i="2"/>
  <c r="U15" i="2" s="1"/>
  <c r="U12" i="2"/>
  <c r="T16" i="2"/>
  <c r="U16" i="2" s="1"/>
  <c r="T14" i="2"/>
  <c r="U14" i="2" s="1"/>
  <c r="I10" i="6"/>
  <c r="I66" i="11" s="1"/>
  <c r="H10" i="5"/>
  <c r="H10" i="6" s="1"/>
  <c r="H66" i="11" s="1"/>
  <c r="G10" i="5"/>
  <c r="G10" i="26" s="1"/>
  <c r="G46" i="11" s="1"/>
  <c r="D10" i="6"/>
  <c r="G13" i="1"/>
  <c r="G35" i="5" s="1"/>
  <c r="G12" i="1"/>
  <c r="G30" i="5" s="1"/>
  <c r="G11" i="1"/>
  <c r="G25" i="5" s="1"/>
  <c r="G10" i="1"/>
  <c r="G20" i="5" s="1"/>
  <c r="H10" i="1"/>
  <c r="H20" i="5" s="1"/>
  <c r="H13" i="1"/>
  <c r="H35" i="5" s="1"/>
  <c r="H11" i="1"/>
  <c r="H25" i="5" s="1"/>
  <c r="H12" i="1"/>
  <c r="H30" i="5" s="1"/>
  <c r="I13" i="1"/>
  <c r="I35" i="5" s="1"/>
  <c r="I12" i="1"/>
  <c r="I30" i="5" s="1"/>
  <c r="I11" i="1"/>
  <c r="I25" i="5" s="1"/>
  <c r="I10" i="1"/>
  <c r="I20" i="5" s="1"/>
  <c r="D7" i="11"/>
  <c r="D9" i="1"/>
  <c r="D39" i="17"/>
  <c r="D35" i="17"/>
  <c r="D31" i="17"/>
  <c r="D43" i="17"/>
  <c r="D47" i="17"/>
  <c r="T29" i="2"/>
  <c r="T30" i="2"/>
  <c r="T31" i="2"/>
  <c r="T28" i="2"/>
  <c r="T26" i="2"/>
  <c r="D23" i="17"/>
  <c r="D15" i="17"/>
  <c r="T20" i="2"/>
  <c r="D19" i="17"/>
  <c r="D11" i="17"/>
  <c r="D7" i="17"/>
  <c r="T21" i="2"/>
  <c r="U38" i="2" l="1"/>
  <c r="Z26" i="35"/>
  <c r="H25" i="35"/>
  <c r="I95" i="5" s="1"/>
  <c r="I33" i="11" s="1"/>
  <c r="Z14" i="2"/>
  <c r="Z15" i="2" s="1"/>
  <c r="Z16" i="2" s="1"/>
  <c r="Z17" i="2" s="1"/>
  <c r="G10" i="6"/>
  <c r="G66" i="11" s="1"/>
  <c r="D16" i="11"/>
  <c r="D10" i="26"/>
  <c r="D46" i="11" s="1"/>
  <c r="I10" i="26"/>
  <c r="I46" i="11" s="1"/>
  <c r="X10" i="26"/>
  <c r="H10" i="26"/>
  <c r="H46" i="11" s="1"/>
  <c r="I16" i="11"/>
  <c r="G16" i="11"/>
  <c r="H16" i="11"/>
  <c r="D10" i="1"/>
  <c r="D13" i="1"/>
  <c r="D11" i="1"/>
  <c r="D12" i="1"/>
  <c r="D66" i="11"/>
  <c r="U39" i="2" l="1"/>
  <c r="Z27" i="35"/>
  <c r="H26" i="35"/>
  <c r="I100" i="5" s="1"/>
  <c r="I34" i="11" s="1"/>
  <c r="AA17" i="2"/>
  <c r="I7" i="17"/>
  <c r="AI4" i="15"/>
  <c r="Z18" i="2"/>
  <c r="I11" i="17" s="1"/>
  <c r="F11" i="17" s="1"/>
  <c r="AL17" i="2"/>
  <c r="AJ4" i="15" s="1"/>
  <c r="V17" i="2"/>
  <c r="G7" i="17" s="1"/>
  <c r="AF17" i="2"/>
  <c r="AF18" i="2" s="1"/>
  <c r="AR17" i="2"/>
  <c r="AK4" i="15" s="1"/>
  <c r="U40" i="2" l="1"/>
  <c r="Z28" i="35"/>
  <c r="H27" i="35"/>
  <c r="I105" i="5" s="1"/>
  <c r="I35" i="11" s="1"/>
  <c r="L15" i="5"/>
  <c r="L15" i="26" s="1"/>
  <c r="L9" i="34"/>
  <c r="M9" i="34" s="1"/>
  <c r="K7" i="17"/>
  <c r="O7" i="17"/>
  <c r="AG18" i="2"/>
  <c r="M11" i="17"/>
  <c r="J11" i="17" s="1"/>
  <c r="Q7" i="17"/>
  <c r="M7" i="17"/>
  <c r="F7" i="17"/>
  <c r="AA18" i="2"/>
  <c r="AS18" i="2" s="1"/>
  <c r="X17" i="2"/>
  <c r="V18" i="2"/>
  <c r="W17" i="2"/>
  <c r="AS17" i="2"/>
  <c r="G17" i="11"/>
  <c r="Z19" i="2"/>
  <c r="AI5" i="15"/>
  <c r="I17" i="11"/>
  <c r="H15" i="6"/>
  <c r="H67" i="11" s="1"/>
  <c r="AM17" i="2"/>
  <c r="AG17" i="2"/>
  <c r="AR18" i="2"/>
  <c r="AR19" i="2" s="1"/>
  <c r="AN17" i="2"/>
  <c r="AO17" i="2" s="1"/>
  <c r="AB17" i="2"/>
  <c r="AC17" i="2" s="1"/>
  <c r="AL18" i="2"/>
  <c r="AH17" i="2"/>
  <c r="AH18" i="2" s="1"/>
  <c r="O11" i="17" s="1"/>
  <c r="AF19" i="2"/>
  <c r="U41" i="2" l="1"/>
  <c r="Z29" i="35"/>
  <c r="H28" i="35"/>
  <c r="I110" i="5" s="1"/>
  <c r="I36" i="11" s="1"/>
  <c r="L15" i="6"/>
  <c r="L20" i="5"/>
  <c r="L20" i="6" s="1"/>
  <c r="L10" i="34"/>
  <c r="M10" i="34" s="1"/>
  <c r="AN18" i="2"/>
  <c r="AN19" i="2" s="1"/>
  <c r="AN20" i="2" s="1"/>
  <c r="G11" i="17"/>
  <c r="Y17" i="2"/>
  <c r="H7" i="17"/>
  <c r="AL19" i="2"/>
  <c r="AM19" i="2" s="1"/>
  <c r="L25" i="26" s="1"/>
  <c r="Q11" i="17"/>
  <c r="N11" i="17" s="1"/>
  <c r="N7" i="17"/>
  <c r="J7" i="17"/>
  <c r="AG19" i="2"/>
  <c r="M15" i="17"/>
  <c r="J15" i="17" s="1"/>
  <c r="AA19" i="2"/>
  <c r="I15" i="17"/>
  <c r="F15" i="17" s="1"/>
  <c r="AP17" i="2"/>
  <c r="AQ17" i="2" s="1"/>
  <c r="AJ17" i="2"/>
  <c r="AJ18" i="2" s="1"/>
  <c r="P11" i="17" s="1"/>
  <c r="AD17" i="2"/>
  <c r="AD18" i="2" s="1"/>
  <c r="L11" i="17" s="1"/>
  <c r="AI6" i="15"/>
  <c r="AB18" i="2"/>
  <c r="AI17" i="2"/>
  <c r="W18" i="2"/>
  <c r="V19" i="2"/>
  <c r="G15" i="17" s="1"/>
  <c r="I15" i="6"/>
  <c r="I67" i="11" s="1"/>
  <c r="Z20" i="2"/>
  <c r="Z21" i="2" s="1"/>
  <c r="I15" i="26"/>
  <c r="I47" i="11" s="1"/>
  <c r="H17" i="11"/>
  <c r="H15" i="26"/>
  <c r="H47" i="11" s="1"/>
  <c r="G15" i="26"/>
  <c r="G47" i="11" s="1"/>
  <c r="G15" i="6"/>
  <c r="G67" i="11" s="1"/>
  <c r="AK5" i="15"/>
  <c r="X18" i="2"/>
  <c r="H11" i="17" s="1"/>
  <c r="AJ5" i="15"/>
  <c r="AM18" i="2"/>
  <c r="L20" i="26" s="1"/>
  <c r="AI18" i="2"/>
  <c r="AH19" i="2"/>
  <c r="O15" i="17" s="1"/>
  <c r="AK6" i="15"/>
  <c r="AS19" i="2"/>
  <c r="AR20" i="2"/>
  <c r="AF20" i="2"/>
  <c r="AC11" i="15"/>
  <c r="AC16" i="15"/>
  <c r="AC17" i="15"/>
  <c r="AC12" i="15"/>
  <c r="AC6" i="15"/>
  <c r="AC7" i="15"/>
  <c r="AC8" i="15"/>
  <c r="AC13" i="15"/>
  <c r="AC18" i="15"/>
  <c r="AC5" i="15"/>
  <c r="AC10" i="15"/>
  <c r="AC15" i="15"/>
  <c r="U42" i="2" l="1"/>
  <c r="Z30" i="35"/>
  <c r="H29" i="35"/>
  <c r="I115" i="5" s="1"/>
  <c r="I37" i="11" s="1"/>
  <c r="L25" i="5"/>
  <c r="L11" i="34"/>
  <c r="M11" i="34" s="1"/>
  <c r="F10" i="34"/>
  <c r="F68" i="34" s="1"/>
  <c r="D10" i="34"/>
  <c r="E68" i="34" s="1"/>
  <c r="C10" i="34"/>
  <c r="D68" i="34" s="1"/>
  <c r="H10" i="34"/>
  <c r="I10" i="34" s="1"/>
  <c r="G10" i="34"/>
  <c r="G68" i="34" s="1"/>
  <c r="AO18" i="2"/>
  <c r="AO19" i="2"/>
  <c r="AE17" i="2"/>
  <c r="AJ6" i="15"/>
  <c r="Q15" i="17"/>
  <c r="N15" i="17" s="1"/>
  <c r="P7" i="17"/>
  <c r="L7" i="17"/>
  <c r="AL20" i="2"/>
  <c r="Q19" i="17" s="1"/>
  <c r="N19" i="17" s="1"/>
  <c r="AC18" i="2"/>
  <c r="K11" i="17"/>
  <c r="AA20" i="2"/>
  <c r="L12" i="34" s="1"/>
  <c r="M12" i="34" s="1"/>
  <c r="I19" i="17"/>
  <c r="F19" i="17" s="1"/>
  <c r="AG20" i="2"/>
  <c r="M19" i="17"/>
  <c r="J19" i="17" s="1"/>
  <c r="AA21" i="2"/>
  <c r="L13" i="34" s="1"/>
  <c r="M13" i="34" s="1"/>
  <c r="I23" i="17"/>
  <c r="F23" i="17" s="1"/>
  <c r="AB19" i="2"/>
  <c r="K15" i="17" s="1"/>
  <c r="AK17" i="2"/>
  <c r="V20" i="2"/>
  <c r="W19" i="2"/>
  <c r="AI8" i="15"/>
  <c r="X19" i="2"/>
  <c r="AP18" i="2"/>
  <c r="AP19" i="2" s="1"/>
  <c r="AP20" i="2" s="1"/>
  <c r="AQ20" i="2" s="1"/>
  <c r="Y18" i="2"/>
  <c r="AI7" i="15"/>
  <c r="Z22" i="2"/>
  <c r="AH20" i="2"/>
  <c r="O19" i="17" s="1"/>
  <c r="AI19" i="2"/>
  <c r="AO20" i="2"/>
  <c r="AN21" i="2"/>
  <c r="AD19" i="2"/>
  <c r="L15" i="17" s="1"/>
  <c r="AE18" i="2"/>
  <c r="AJ19" i="2"/>
  <c r="P15" i="17" s="1"/>
  <c r="AK18" i="2"/>
  <c r="L25" i="6"/>
  <c r="AK7" i="15"/>
  <c r="AS20" i="2"/>
  <c r="AR21" i="2"/>
  <c r="AF21" i="2"/>
  <c r="Z31" i="35" l="1"/>
  <c r="H30" i="35"/>
  <c r="I120" i="5" s="1"/>
  <c r="I38" i="11" s="1"/>
  <c r="L30" i="5"/>
  <c r="G13" i="34"/>
  <c r="H13" i="34"/>
  <c r="C13" i="34"/>
  <c r="F13" i="34"/>
  <c r="D13" i="34"/>
  <c r="F12" i="34"/>
  <c r="H12" i="34"/>
  <c r="D12" i="34"/>
  <c r="G12" i="34"/>
  <c r="C12" i="34"/>
  <c r="H11" i="34"/>
  <c r="G11" i="34"/>
  <c r="D11" i="34"/>
  <c r="F11" i="34"/>
  <c r="C11" i="34"/>
  <c r="AJ7" i="15"/>
  <c r="AC19" i="2"/>
  <c r="Y19" i="2"/>
  <c r="H15" i="17"/>
  <c r="AB20" i="2"/>
  <c r="K19" i="17" s="1"/>
  <c r="AL21" i="2"/>
  <c r="AJ8" i="15" s="1"/>
  <c r="AM20" i="2"/>
  <c r="L30" i="26" s="1"/>
  <c r="AA22" i="2"/>
  <c r="L14" i="34" s="1"/>
  <c r="M14" i="34" s="1"/>
  <c r="I27" i="17"/>
  <c r="F27" i="17" s="1"/>
  <c r="AF22" i="2"/>
  <c r="M27" i="17" s="1"/>
  <c r="J27" i="17" s="1"/>
  <c r="M23" i="17"/>
  <c r="J23" i="17" s="1"/>
  <c r="X20" i="2"/>
  <c r="G19" i="17"/>
  <c r="AP21" i="2"/>
  <c r="AP22" i="2" s="1"/>
  <c r="AQ18" i="2"/>
  <c r="AI9" i="15"/>
  <c r="V21" i="2"/>
  <c r="G23" i="17" s="1"/>
  <c r="W20" i="2"/>
  <c r="AQ19" i="2"/>
  <c r="Z23" i="2"/>
  <c r="AI20" i="2"/>
  <c r="AH21" i="2"/>
  <c r="O23" i="17" s="1"/>
  <c r="AD20" i="2"/>
  <c r="L19" i="17" s="1"/>
  <c r="AE19" i="2"/>
  <c r="AJ20" i="2"/>
  <c r="P19" i="17" s="1"/>
  <c r="AK19" i="2"/>
  <c r="AN22" i="2"/>
  <c r="AO21" i="2"/>
  <c r="L30" i="6"/>
  <c r="AG21" i="2"/>
  <c r="AK8" i="15"/>
  <c r="AR22" i="2"/>
  <c r="AS21" i="2"/>
  <c r="L35" i="5"/>
  <c r="AB5" i="15"/>
  <c r="AH4" i="15"/>
  <c r="AN4" i="15" s="1"/>
  <c r="O5" i="15"/>
  <c r="O6" i="15" s="1"/>
  <c r="O7" i="15" s="1"/>
  <c r="O8" i="15" s="1"/>
  <c r="O9" i="15" s="1"/>
  <c r="O10" i="15" s="1"/>
  <c r="O11" i="15" s="1"/>
  <c r="O12" i="15" s="1"/>
  <c r="O13" i="15" s="1"/>
  <c r="O14" i="15" s="1"/>
  <c r="O15" i="15" s="1"/>
  <c r="O16" i="15" s="1"/>
  <c r="O17" i="15" s="1"/>
  <c r="O18" i="15" s="1"/>
  <c r="O19" i="15" s="1"/>
  <c r="H5" i="15"/>
  <c r="H6" i="15" s="1"/>
  <c r="H7" i="15" s="1"/>
  <c r="H8" i="15" s="1"/>
  <c r="H9" i="15" s="1"/>
  <c r="H10" i="15" s="1"/>
  <c r="H11" i="15" s="1"/>
  <c r="H12" i="15" s="1"/>
  <c r="H13" i="15" s="1"/>
  <c r="H14" i="15" s="1"/>
  <c r="H15" i="15" s="1"/>
  <c r="H16" i="15" s="1"/>
  <c r="H17" i="15" s="1"/>
  <c r="H18" i="15" s="1"/>
  <c r="H19" i="15" s="1"/>
  <c r="B5" i="15"/>
  <c r="B6" i="15" s="1"/>
  <c r="B7" i="15" s="1"/>
  <c r="B8" i="15" s="1"/>
  <c r="B9" i="15" s="1"/>
  <c r="B10" i="15" s="1"/>
  <c r="B11" i="15" s="1"/>
  <c r="B12" i="15" s="1"/>
  <c r="B13" i="15" s="1"/>
  <c r="B14" i="15" s="1"/>
  <c r="B15" i="15" s="1"/>
  <c r="B16" i="15" s="1"/>
  <c r="B17" i="15" s="1"/>
  <c r="B18" i="15" s="1"/>
  <c r="B19" i="15" s="1"/>
  <c r="Z32" i="35" l="1"/>
  <c r="H31" i="35"/>
  <c r="I125" i="5" s="1"/>
  <c r="I39" i="11" s="1"/>
  <c r="G41" i="34"/>
  <c r="G70" i="34"/>
  <c r="D41" i="34"/>
  <c r="E70" i="34"/>
  <c r="F14" i="34"/>
  <c r="C14" i="34"/>
  <c r="H14" i="34"/>
  <c r="D14" i="34"/>
  <c r="G14" i="34"/>
  <c r="C40" i="34"/>
  <c r="D69" i="34"/>
  <c r="I12" i="34"/>
  <c r="I41" i="34" s="1"/>
  <c r="H41" i="34"/>
  <c r="G42" i="34"/>
  <c r="G71" i="34"/>
  <c r="F40" i="34"/>
  <c r="F69" i="34"/>
  <c r="F41" i="34"/>
  <c r="F70" i="34"/>
  <c r="D40" i="34"/>
  <c r="E69" i="34"/>
  <c r="D42" i="34"/>
  <c r="E71" i="34"/>
  <c r="AG22" i="2"/>
  <c r="G40" i="34"/>
  <c r="G69" i="34"/>
  <c r="F42" i="34"/>
  <c r="F71" i="34"/>
  <c r="AF23" i="2"/>
  <c r="M31" i="17" s="1"/>
  <c r="J31" i="17" s="1"/>
  <c r="I11" i="34"/>
  <c r="I40" i="34" s="1"/>
  <c r="H40" i="34"/>
  <c r="C42" i="34"/>
  <c r="D71" i="34"/>
  <c r="C41" i="34"/>
  <c r="D70" i="34"/>
  <c r="I13" i="34"/>
  <c r="I42" i="34" s="1"/>
  <c r="H42" i="34"/>
  <c r="AC20" i="2"/>
  <c r="AB21" i="2"/>
  <c r="K23" i="17" s="1"/>
  <c r="AL22" i="2"/>
  <c r="AJ9" i="15" s="1"/>
  <c r="AM21" i="2"/>
  <c r="L35" i="26" s="1"/>
  <c r="Q23" i="17"/>
  <c r="N23" i="17" s="1"/>
  <c r="Y20" i="2"/>
  <c r="H19" i="17"/>
  <c r="AA23" i="2"/>
  <c r="L15" i="34" s="1"/>
  <c r="M15" i="34" s="1"/>
  <c r="I31" i="17"/>
  <c r="F31" i="17" s="1"/>
  <c r="AQ21" i="2"/>
  <c r="AI10" i="15"/>
  <c r="V22" i="2"/>
  <c r="G27" i="17" s="1"/>
  <c r="W21" i="2"/>
  <c r="X21" i="2"/>
  <c r="Z24" i="2"/>
  <c r="AP23" i="2"/>
  <c r="AQ22" i="2"/>
  <c r="AN23" i="2"/>
  <c r="AO22" i="2"/>
  <c r="AD21" i="2"/>
  <c r="L23" i="17" s="1"/>
  <c r="AE20" i="2"/>
  <c r="AJ21" i="2"/>
  <c r="P23" i="17" s="1"/>
  <c r="AK20" i="2"/>
  <c r="AH22" i="2"/>
  <c r="O27" i="17" s="1"/>
  <c r="AI21" i="2"/>
  <c r="L35" i="6"/>
  <c r="AK9" i="15"/>
  <c r="AS22" i="2"/>
  <c r="AR23" i="2"/>
  <c r="L40" i="5"/>
  <c r="AB6" i="15"/>
  <c r="AH5" i="15"/>
  <c r="AN5" i="15" s="1"/>
  <c r="Z33" i="35" l="1"/>
  <c r="H32" i="35"/>
  <c r="I130" i="5" s="1"/>
  <c r="I40" i="11" s="1"/>
  <c r="AF24" i="2"/>
  <c r="M35" i="17" s="1"/>
  <c r="J35" i="17" s="1"/>
  <c r="AG23" i="2"/>
  <c r="AC21" i="2"/>
  <c r="AB22" i="2"/>
  <c r="K27" i="17" s="1"/>
  <c r="I14" i="34"/>
  <c r="I43" i="34" s="1"/>
  <c r="H43" i="34"/>
  <c r="C43" i="34"/>
  <c r="D72" i="34"/>
  <c r="D43" i="34"/>
  <c r="E72" i="34"/>
  <c r="F43" i="34"/>
  <c r="F72" i="34"/>
  <c r="F15" i="34"/>
  <c r="G15" i="34"/>
  <c r="H15" i="34"/>
  <c r="D15" i="34"/>
  <c r="C15" i="34"/>
  <c r="G43" i="34"/>
  <c r="G72" i="34"/>
  <c r="Q27" i="17"/>
  <c r="N27" i="17" s="1"/>
  <c r="AL23" i="2"/>
  <c r="AM22" i="2"/>
  <c r="L40" i="26" s="1"/>
  <c r="AA24" i="2"/>
  <c r="L16" i="34" s="1"/>
  <c r="M16" i="34" s="1"/>
  <c r="I35" i="17"/>
  <c r="F35" i="17" s="1"/>
  <c r="Y21" i="2"/>
  <c r="H23" i="17"/>
  <c r="AI11" i="15"/>
  <c r="V23" i="2"/>
  <c r="G31" i="17" s="1"/>
  <c r="W22" i="2"/>
  <c r="X22" i="2"/>
  <c r="Z25" i="2"/>
  <c r="AD22" i="2"/>
  <c r="L27" i="17" s="1"/>
  <c r="AE21" i="2"/>
  <c r="AH23" i="2"/>
  <c r="O31" i="17" s="1"/>
  <c r="AI22" i="2"/>
  <c r="AN24" i="2"/>
  <c r="AO23" i="2"/>
  <c r="AJ22" i="2"/>
  <c r="P27" i="17" s="1"/>
  <c r="AK21" i="2"/>
  <c r="AP24" i="2"/>
  <c r="AQ23" i="2"/>
  <c r="L40" i="6"/>
  <c r="AK10" i="15"/>
  <c r="AS23" i="2"/>
  <c r="AR24" i="2"/>
  <c r="L45" i="5"/>
  <c r="AB7" i="15"/>
  <c r="AH6" i="15"/>
  <c r="AN6" i="15" s="1"/>
  <c r="Z34" i="35" l="1"/>
  <c r="H34" i="35" s="1"/>
  <c r="I140" i="5" s="1"/>
  <c r="I42" i="11" s="1"/>
  <c r="H33" i="35"/>
  <c r="I135" i="5" s="1"/>
  <c r="I41" i="11" s="1"/>
  <c r="AB23" i="2"/>
  <c r="K31" i="17" s="1"/>
  <c r="AG24" i="2"/>
  <c r="AC22" i="2"/>
  <c r="AF25" i="2"/>
  <c r="M39" i="17" s="1"/>
  <c r="J39" i="17" s="1"/>
  <c r="C44" i="34"/>
  <c r="D73" i="34"/>
  <c r="D44" i="34"/>
  <c r="E73" i="34"/>
  <c r="F16" i="34"/>
  <c r="D16" i="34"/>
  <c r="H16" i="34"/>
  <c r="G16" i="34"/>
  <c r="C16" i="34"/>
  <c r="I15" i="34"/>
  <c r="I44" i="34" s="1"/>
  <c r="H44" i="34"/>
  <c r="F44" i="34"/>
  <c r="F73" i="34"/>
  <c r="G44" i="34"/>
  <c r="G73" i="34"/>
  <c r="AM23" i="2"/>
  <c r="L45" i="26" s="1"/>
  <c r="AL24" i="2"/>
  <c r="AJ10" i="15"/>
  <c r="Q31" i="17"/>
  <c r="N31" i="17" s="1"/>
  <c r="AA25" i="2"/>
  <c r="L17" i="34" s="1"/>
  <c r="M17" i="34" s="1"/>
  <c r="I39" i="17"/>
  <c r="F39" i="17" s="1"/>
  <c r="Y22" i="2"/>
  <c r="H27" i="17"/>
  <c r="AI12" i="15"/>
  <c r="V24" i="2"/>
  <c r="G35" i="17" s="1"/>
  <c r="W23" i="2"/>
  <c r="X23" i="2"/>
  <c r="Z26" i="2"/>
  <c r="I43" i="17" s="1"/>
  <c r="F43" i="17" s="1"/>
  <c r="AN25" i="2"/>
  <c r="AO24" i="2"/>
  <c r="AP25" i="2"/>
  <c r="AQ24" i="2"/>
  <c r="AH24" i="2"/>
  <c r="O35" i="17" s="1"/>
  <c r="AI23" i="2"/>
  <c r="AJ23" i="2"/>
  <c r="P31" i="17" s="1"/>
  <c r="AK22" i="2"/>
  <c r="AD23" i="2"/>
  <c r="L31" i="17" s="1"/>
  <c r="AE22" i="2"/>
  <c r="H20" i="11"/>
  <c r="H40" i="6"/>
  <c r="H72" i="11" s="1"/>
  <c r="H40" i="26"/>
  <c r="H52" i="11" s="1"/>
  <c r="I19" i="11"/>
  <c r="I40" i="26"/>
  <c r="I52" i="11" s="1"/>
  <c r="G21" i="11"/>
  <c r="G40" i="26"/>
  <c r="G52" i="11" s="1"/>
  <c r="G40" i="6"/>
  <c r="G72" i="11" s="1"/>
  <c r="L45" i="6"/>
  <c r="AK11" i="15"/>
  <c r="AR25" i="2"/>
  <c r="AS24" i="2"/>
  <c r="L50" i="5"/>
  <c r="I22" i="11"/>
  <c r="G22" i="11"/>
  <c r="H22" i="11"/>
  <c r="AB8" i="15"/>
  <c r="AH7" i="15"/>
  <c r="AN7" i="15" s="1"/>
  <c r="AC23" i="2" l="1"/>
  <c r="AB24" i="2"/>
  <c r="K35" i="17" s="1"/>
  <c r="AG25" i="2"/>
  <c r="AF26" i="2"/>
  <c r="M43" i="17" s="1"/>
  <c r="J43" i="17" s="1"/>
  <c r="I16" i="34"/>
  <c r="I45" i="34" s="1"/>
  <c r="H45" i="34"/>
  <c r="D45" i="34"/>
  <c r="E74" i="34"/>
  <c r="F45" i="34"/>
  <c r="F74" i="34"/>
  <c r="F17" i="34"/>
  <c r="G17" i="34"/>
  <c r="H17" i="34"/>
  <c r="C17" i="34"/>
  <c r="D17" i="34"/>
  <c r="G45" i="34"/>
  <c r="G74" i="34"/>
  <c r="C45" i="34"/>
  <c r="D74" i="34"/>
  <c r="AL25" i="2"/>
  <c r="AM24" i="2"/>
  <c r="L50" i="26" s="1"/>
  <c r="AJ11" i="15"/>
  <c r="Q35" i="17"/>
  <c r="N35" i="17" s="1"/>
  <c r="Y23" i="2"/>
  <c r="H31" i="17"/>
  <c r="AI13" i="15"/>
  <c r="AA26" i="2"/>
  <c r="L18" i="34" s="1"/>
  <c r="M18" i="34" s="1"/>
  <c r="V25" i="2"/>
  <c r="G39" i="17" s="1"/>
  <c r="W24" i="2"/>
  <c r="X24" i="2"/>
  <c r="Z27" i="2"/>
  <c r="I40" i="6"/>
  <c r="I72" i="11" s="1"/>
  <c r="I118" i="11" s="1"/>
  <c r="AH25" i="2"/>
  <c r="O39" i="17" s="1"/>
  <c r="AI24" i="2"/>
  <c r="AP26" i="2"/>
  <c r="AQ25" i="2"/>
  <c r="AD24" i="2"/>
  <c r="L35" i="17" s="1"/>
  <c r="AE23" i="2"/>
  <c r="AJ24" i="2"/>
  <c r="P35" i="17" s="1"/>
  <c r="AK23" i="2"/>
  <c r="AN26" i="2"/>
  <c r="AO25" i="2"/>
  <c r="H19" i="11"/>
  <c r="H25" i="6"/>
  <c r="H69" i="11" s="1"/>
  <c r="H25" i="26"/>
  <c r="H49" i="11" s="1"/>
  <c r="G30" i="26"/>
  <c r="G50" i="11" s="1"/>
  <c r="G30" i="6"/>
  <c r="G70" i="11" s="1"/>
  <c r="H20" i="26"/>
  <c r="H48" i="11" s="1"/>
  <c r="G18" i="11"/>
  <c r="G20" i="26"/>
  <c r="G48" i="11" s="1"/>
  <c r="I30" i="26"/>
  <c r="I50" i="11" s="1"/>
  <c r="I30" i="6"/>
  <c r="I70" i="11" s="1"/>
  <c r="I35" i="26"/>
  <c r="I51" i="11" s="1"/>
  <c r="I35" i="6"/>
  <c r="I71" i="11" s="1"/>
  <c r="H21" i="11"/>
  <c r="H35" i="26"/>
  <c r="H51" i="11" s="1"/>
  <c r="H35" i="6"/>
  <c r="H71" i="11" s="1"/>
  <c r="I18" i="11"/>
  <c r="I20" i="26"/>
  <c r="I25" i="6"/>
  <c r="I69" i="11" s="1"/>
  <c r="I115" i="11" s="1"/>
  <c r="I25" i="26"/>
  <c r="I49" i="11" s="1"/>
  <c r="I97" i="11" s="1"/>
  <c r="G35" i="26"/>
  <c r="G51" i="11" s="1"/>
  <c r="G99" i="11" s="1"/>
  <c r="G35" i="6"/>
  <c r="G71" i="11" s="1"/>
  <c r="G117" i="11" s="1"/>
  <c r="G25" i="26"/>
  <c r="G49" i="11" s="1"/>
  <c r="G25" i="6"/>
  <c r="G69" i="11" s="1"/>
  <c r="H30" i="26"/>
  <c r="H50" i="11" s="1"/>
  <c r="H98" i="11" s="1"/>
  <c r="H30" i="6"/>
  <c r="H70" i="11" s="1"/>
  <c r="H116" i="11" s="1"/>
  <c r="L50" i="6"/>
  <c r="I21" i="11"/>
  <c r="I20" i="11"/>
  <c r="I100" i="11"/>
  <c r="G19" i="11"/>
  <c r="L55" i="5"/>
  <c r="I20" i="6"/>
  <c r="I68" i="11" s="1"/>
  <c r="AK12" i="15"/>
  <c r="AR26" i="2"/>
  <c r="AS25" i="2"/>
  <c r="H20" i="6"/>
  <c r="H68" i="11" s="1"/>
  <c r="G20" i="6"/>
  <c r="G68" i="11" s="1"/>
  <c r="H18" i="11"/>
  <c r="G100" i="11"/>
  <c r="G118" i="11"/>
  <c r="H100" i="11"/>
  <c r="G20" i="11"/>
  <c r="H118" i="11"/>
  <c r="AB9" i="15"/>
  <c r="AH8" i="15"/>
  <c r="AN8" i="15" s="1"/>
  <c r="AB25" i="2" l="1"/>
  <c r="K39" i="17" s="1"/>
  <c r="AC24" i="2"/>
  <c r="AG26" i="2"/>
  <c r="AF27" i="2"/>
  <c r="M47" i="17" s="1"/>
  <c r="J47" i="17" s="1"/>
  <c r="C46" i="34"/>
  <c r="D75" i="34"/>
  <c r="F18" i="34"/>
  <c r="D18" i="34"/>
  <c r="C18" i="34"/>
  <c r="H18" i="34"/>
  <c r="G18" i="34"/>
  <c r="F46" i="34"/>
  <c r="F75" i="34"/>
  <c r="G46" i="34"/>
  <c r="G75" i="34"/>
  <c r="D46" i="34"/>
  <c r="E75" i="34"/>
  <c r="I17" i="34"/>
  <c r="I46" i="34" s="1"/>
  <c r="H46" i="34"/>
  <c r="AM25" i="2"/>
  <c r="L55" i="26" s="1"/>
  <c r="AL26" i="2"/>
  <c r="AJ12" i="15"/>
  <c r="Q39" i="17"/>
  <c r="N39" i="17" s="1"/>
  <c r="AA27" i="2"/>
  <c r="L19" i="34" s="1"/>
  <c r="M19" i="34" s="1"/>
  <c r="I47" i="17"/>
  <c r="F47" i="17" s="1"/>
  <c r="Y24" i="2"/>
  <c r="H35" i="17"/>
  <c r="AI14" i="15"/>
  <c r="V26" i="2"/>
  <c r="G43" i="17" s="1"/>
  <c r="W25" i="2"/>
  <c r="X25" i="2"/>
  <c r="G96" i="11"/>
  <c r="AD25" i="2"/>
  <c r="L39" i="17" s="1"/>
  <c r="AE24" i="2"/>
  <c r="AN27" i="2"/>
  <c r="AO26" i="2"/>
  <c r="AP27" i="2"/>
  <c r="AQ26" i="2"/>
  <c r="AJ25" i="2"/>
  <c r="P39" i="17" s="1"/>
  <c r="AK24" i="2"/>
  <c r="AH26" i="2"/>
  <c r="O43" i="17" s="1"/>
  <c r="AI25" i="2"/>
  <c r="G114" i="11"/>
  <c r="I114" i="11"/>
  <c r="H99" i="11"/>
  <c r="H115" i="11"/>
  <c r="H117" i="11"/>
  <c r="H97" i="11"/>
  <c r="I116" i="11"/>
  <c r="I99" i="11"/>
  <c r="G97" i="11"/>
  <c r="H96" i="11"/>
  <c r="L55" i="6"/>
  <c r="I117" i="11"/>
  <c r="G115" i="11"/>
  <c r="I98" i="11"/>
  <c r="L60" i="5"/>
  <c r="AK13" i="15"/>
  <c r="AS26" i="2"/>
  <c r="AR27" i="2"/>
  <c r="H114" i="11"/>
  <c r="G116" i="11"/>
  <c r="G98" i="11"/>
  <c r="AB10" i="15"/>
  <c r="AH9" i="15"/>
  <c r="AN9" i="15" s="1"/>
  <c r="AB26" i="2" l="1"/>
  <c r="K43" i="17" s="1"/>
  <c r="AC25" i="2"/>
  <c r="AG27" i="2"/>
  <c r="I18" i="34"/>
  <c r="I47" i="34" s="1"/>
  <c r="H47" i="34"/>
  <c r="G47" i="34"/>
  <c r="G76" i="34"/>
  <c r="C47" i="34"/>
  <c r="D76" i="34"/>
  <c r="F47" i="34"/>
  <c r="F76" i="34"/>
  <c r="H19" i="34"/>
  <c r="G19" i="34"/>
  <c r="F19" i="34"/>
  <c r="D19" i="34"/>
  <c r="C19" i="34"/>
  <c r="D47" i="34"/>
  <c r="E76" i="34"/>
  <c r="AL27" i="2"/>
  <c r="AM26" i="2"/>
  <c r="L60" i="26" s="1"/>
  <c r="AJ13" i="15"/>
  <c r="Q43" i="17"/>
  <c r="N43" i="17" s="1"/>
  <c r="Y25" i="2"/>
  <c r="H39" i="17"/>
  <c r="V27" i="2"/>
  <c r="G47" i="17" s="1"/>
  <c r="W26" i="2"/>
  <c r="X26" i="2"/>
  <c r="AQ27" i="2"/>
  <c r="AO27" i="2"/>
  <c r="AH27" i="2"/>
  <c r="O47" i="17" s="1"/>
  <c r="AI26" i="2"/>
  <c r="AD26" i="2"/>
  <c r="L43" i="17" s="1"/>
  <c r="AE25" i="2"/>
  <c r="AJ26" i="2"/>
  <c r="P43" i="17" s="1"/>
  <c r="AK25" i="2"/>
  <c r="L60" i="6"/>
  <c r="AK14" i="15"/>
  <c r="AS27" i="2"/>
  <c r="L65" i="5"/>
  <c r="AB11" i="15"/>
  <c r="AH10" i="15"/>
  <c r="AN10" i="15" s="1"/>
  <c r="AB27" i="2" l="1"/>
  <c r="K47" i="17" s="1"/>
  <c r="AC26" i="2"/>
  <c r="I19" i="34"/>
  <c r="I48" i="34" s="1"/>
  <c r="H48" i="34"/>
  <c r="F48" i="34"/>
  <c r="F77" i="34"/>
  <c r="C48" i="34"/>
  <c r="D77" i="34"/>
  <c r="G48" i="34"/>
  <c r="G77" i="34"/>
  <c r="D48" i="34"/>
  <c r="E77" i="34"/>
  <c r="AM27" i="2"/>
  <c r="L65" i="26" s="1"/>
  <c r="AJ14" i="15"/>
  <c r="Q47" i="17"/>
  <c r="N47" i="17" s="1"/>
  <c r="Y26" i="2"/>
  <c r="H43" i="17"/>
  <c r="W27" i="2"/>
  <c r="X27" i="2"/>
  <c r="AD27" i="2"/>
  <c r="L47" i="17" s="1"/>
  <c r="AE26" i="2"/>
  <c r="AI27" i="2"/>
  <c r="AJ27" i="2"/>
  <c r="P47" i="17" s="1"/>
  <c r="AK26" i="2"/>
  <c r="L65" i="6"/>
  <c r="AB12" i="15"/>
  <c r="AH11" i="15"/>
  <c r="AN11" i="15" s="1"/>
  <c r="AC27" i="2" l="1"/>
  <c r="Y27" i="2"/>
  <c r="H47" i="17"/>
  <c r="AK27" i="2"/>
  <c r="AE27" i="2"/>
  <c r="G24" i="11"/>
  <c r="G65" i="26"/>
  <c r="G57" i="11" s="1"/>
  <c r="G65" i="6"/>
  <c r="G77" i="11" s="1"/>
  <c r="I27" i="11"/>
  <c r="I65" i="26"/>
  <c r="I57" i="11" s="1"/>
  <c r="H25" i="11"/>
  <c r="H65" i="6"/>
  <c r="H77" i="11" s="1"/>
  <c r="H65" i="26"/>
  <c r="H57" i="11" s="1"/>
  <c r="H27" i="11"/>
  <c r="G27" i="11"/>
  <c r="AB13" i="15"/>
  <c r="AH12" i="15"/>
  <c r="AN12" i="15" s="1"/>
  <c r="A8" i="11"/>
  <c r="A6" i="11"/>
  <c r="I65" i="6" l="1"/>
  <c r="I77" i="11" s="1"/>
  <c r="I123" i="11" s="1"/>
  <c r="I105" i="11"/>
  <c r="G55" i="26"/>
  <c r="G55" i="11" s="1"/>
  <c r="G55" i="6"/>
  <c r="G75" i="11" s="1"/>
  <c r="H60" i="6"/>
  <c r="H76" i="11" s="1"/>
  <c r="H60" i="26"/>
  <c r="H56" i="11" s="1"/>
  <c r="I55" i="26"/>
  <c r="I55" i="11" s="1"/>
  <c r="I55" i="6"/>
  <c r="I75" i="11" s="1"/>
  <c r="I45" i="6"/>
  <c r="I73" i="11" s="1"/>
  <c r="I45" i="26"/>
  <c r="I53" i="11" s="1"/>
  <c r="H55" i="26"/>
  <c r="H55" i="11" s="1"/>
  <c r="H103" i="11" s="1"/>
  <c r="H55" i="6"/>
  <c r="H75" i="11" s="1"/>
  <c r="H121" i="11" s="1"/>
  <c r="H50" i="26"/>
  <c r="H54" i="11" s="1"/>
  <c r="H50" i="6"/>
  <c r="H74" i="11" s="1"/>
  <c r="I50" i="26"/>
  <c r="I54" i="11" s="1"/>
  <c r="I50" i="6"/>
  <c r="I74" i="11" s="1"/>
  <c r="G23" i="11"/>
  <c r="G45" i="26"/>
  <c r="G53" i="11" s="1"/>
  <c r="G45" i="6"/>
  <c r="G73" i="11" s="1"/>
  <c r="H45" i="6"/>
  <c r="H73" i="11" s="1"/>
  <c r="H45" i="26"/>
  <c r="H53" i="11" s="1"/>
  <c r="G50" i="26"/>
  <c r="G54" i="11" s="1"/>
  <c r="G102" i="11" s="1"/>
  <c r="G50" i="6"/>
  <c r="G74" i="11" s="1"/>
  <c r="G120" i="11" s="1"/>
  <c r="I60" i="6"/>
  <c r="I76" i="11" s="1"/>
  <c r="I60" i="26"/>
  <c r="I56" i="11" s="1"/>
  <c r="G60" i="26"/>
  <c r="G56" i="11" s="1"/>
  <c r="G60" i="6"/>
  <c r="G76" i="11" s="1"/>
  <c r="I24" i="11"/>
  <c r="I23" i="11"/>
  <c r="H24" i="11"/>
  <c r="H105" i="11"/>
  <c r="H23" i="11"/>
  <c r="G25" i="11"/>
  <c r="I25" i="11"/>
  <c r="H26" i="11"/>
  <c r="G105" i="11"/>
  <c r="H123" i="11"/>
  <c r="I26" i="11"/>
  <c r="G123" i="11"/>
  <c r="G26" i="11"/>
  <c r="AB14" i="15"/>
  <c r="AH13" i="15"/>
  <c r="AN13" i="15" s="1"/>
  <c r="AA33" i="2" l="1"/>
  <c r="H122" i="11"/>
  <c r="G101" i="11"/>
  <c r="H102" i="11"/>
  <c r="I101" i="11"/>
  <c r="I122" i="11"/>
  <c r="G119" i="11"/>
  <c r="H119" i="11"/>
  <c r="G122" i="11"/>
  <c r="G121" i="11"/>
  <c r="I102" i="11"/>
  <c r="I120" i="11"/>
  <c r="I119" i="11"/>
  <c r="I103" i="11"/>
  <c r="I121" i="11"/>
  <c r="H120" i="11"/>
  <c r="H101" i="11"/>
  <c r="H104" i="11"/>
  <c r="G103" i="11"/>
  <c r="I104" i="11"/>
  <c r="G104" i="11"/>
  <c r="AB15" i="15"/>
  <c r="AH14" i="15"/>
  <c r="AN14" i="15" s="1"/>
  <c r="Z26" i="1"/>
  <c r="Y26" i="1"/>
  <c r="X26" i="1"/>
  <c r="D47" i="1" s="1"/>
  <c r="W26" i="1"/>
  <c r="U26" i="1"/>
  <c r="L14" i="1" s="1"/>
  <c r="T26" i="1"/>
  <c r="N14" i="1" s="1"/>
  <c r="S26" i="1"/>
  <c r="M14" i="1" s="1"/>
  <c r="R26" i="1"/>
  <c r="R16" i="1"/>
  <c r="S16" i="1"/>
  <c r="T16" i="1"/>
  <c r="U16" i="1"/>
  <c r="W16" i="1"/>
  <c r="X16" i="1"/>
  <c r="D41" i="1" s="1"/>
  <c r="Y16" i="1"/>
  <c r="Z16" i="1"/>
  <c r="L25" i="34" l="1"/>
  <c r="M25" i="34" s="1"/>
  <c r="AA34" i="2"/>
  <c r="Z33" i="2"/>
  <c r="AI20" i="15" s="1"/>
  <c r="AO20" i="15" s="1"/>
  <c r="L90" i="5"/>
  <c r="L95" i="5" s="1"/>
  <c r="L24" i="34"/>
  <c r="M24" i="34" s="1"/>
  <c r="J44" i="35"/>
  <c r="G14" i="35" s="1"/>
  <c r="J14" i="35" s="1"/>
  <c r="D40" i="5" s="1"/>
  <c r="C14" i="1"/>
  <c r="C40" i="5" s="1"/>
  <c r="E8" i="1"/>
  <c r="E10" i="5" s="1"/>
  <c r="O10" i="5" s="1"/>
  <c r="E14" i="1"/>
  <c r="E40" i="5" s="1"/>
  <c r="O40" i="5" s="1"/>
  <c r="C8" i="1"/>
  <c r="C10" i="5" s="1"/>
  <c r="C10" i="26" s="1"/>
  <c r="C46" i="11" s="1"/>
  <c r="E8" i="11"/>
  <c r="C6" i="11"/>
  <c r="C8" i="11"/>
  <c r="E6" i="11"/>
  <c r="AA16" i="1"/>
  <c r="F8" i="1" s="1"/>
  <c r="AA26" i="1"/>
  <c r="F14" i="1" s="1"/>
  <c r="F40" i="5" s="1"/>
  <c r="AB16" i="15"/>
  <c r="AH15" i="15"/>
  <c r="AN15" i="15" s="1"/>
  <c r="U36" i="1"/>
  <c r="L24" i="1" s="1"/>
  <c r="U31" i="1"/>
  <c r="L19" i="1" s="1"/>
  <c r="L18" i="1" s="1"/>
  <c r="R31" i="1"/>
  <c r="R36" i="1"/>
  <c r="W36" i="1"/>
  <c r="W31" i="1"/>
  <c r="T31" i="1"/>
  <c r="N19" i="1" s="1"/>
  <c r="N16" i="1" s="1"/>
  <c r="T36" i="1"/>
  <c r="N24" i="1" s="1"/>
  <c r="X31" i="1"/>
  <c r="D52" i="1" s="1"/>
  <c r="X36" i="1"/>
  <c r="D57" i="1" s="1"/>
  <c r="Y36" i="1"/>
  <c r="Y31" i="1"/>
  <c r="Z31" i="1"/>
  <c r="Z36" i="1"/>
  <c r="U21" i="1"/>
  <c r="L9" i="1" s="1"/>
  <c r="Y21" i="1"/>
  <c r="R21" i="1"/>
  <c r="Z21" i="1"/>
  <c r="W21" i="1"/>
  <c r="T21" i="1"/>
  <c r="N9" i="1" s="1"/>
  <c r="X21" i="1"/>
  <c r="D42" i="1" s="1"/>
  <c r="L29" i="1" l="1"/>
  <c r="L34" i="1"/>
  <c r="L27" i="1"/>
  <c r="L26" i="1"/>
  <c r="L25" i="1"/>
  <c r="N34" i="1"/>
  <c r="N27" i="1"/>
  <c r="N29" i="1"/>
  <c r="N25" i="1"/>
  <c r="N26" i="1"/>
  <c r="N28" i="1"/>
  <c r="L26" i="34"/>
  <c r="M26" i="34" s="1"/>
  <c r="AA35" i="2"/>
  <c r="Z34" i="2"/>
  <c r="AI21" i="15" s="1"/>
  <c r="AO21" i="15" s="1"/>
  <c r="D25" i="34"/>
  <c r="D54" i="34" s="1"/>
  <c r="G25" i="34"/>
  <c r="G54" i="34" s="1"/>
  <c r="G95" i="6" s="1"/>
  <c r="G83" i="11" s="1"/>
  <c r="G129" i="11" s="1"/>
  <c r="C25" i="34"/>
  <c r="C54" i="34" s="1"/>
  <c r="H25" i="34"/>
  <c r="F25" i="34"/>
  <c r="F54" i="34" s="1"/>
  <c r="L100" i="5"/>
  <c r="Y10" i="5"/>
  <c r="Z10" i="5"/>
  <c r="Z40" i="5"/>
  <c r="Y40" i="5"/>
  <c r="F24" i="34"/>
  <c r="D24" i="34"/>
  <c r="H24" i="34"/>
  <c r="G24" i="34"/>
  <c r="C24" i="34"/>
  <c r="L15" i="1"/>
  <c r="L17" i="1"/>
  <c r="L16" i="1"/>
  <c r="N20" i="1"/>
  <c r="N21" i="1"/>
  <c r="N22" i="1"/>
  <c r="N23" i="1"/>
  <c r="L13" i="1"/>
  <c r="L12" i="1"/>
  <c r="L11" i="1"/>
  <c r="L10" i="1"/>
  <c r="N18" i="1"/>
  <c r="X40" i="5"/>
  <c r="D40" i="6"/>
  <c r="D22" i="11"/>
  <c r="D40" i="26"/>
  <c r="N15" i="1"/>
  <c r="N10" i="1"/>
  <c r="N12" i="1"/>
  <c r="N11" i="1"/>
  <c r="N13" i="1"/>
  <c r="L23" i="1"/>
  <c r="L22" i="1"/>
  <c r="L20" i="1"/>
  <c r="L21" i="1"/>
  <c r="N17" i="1"/>
  <c r="C41" i="1"/>
  <c r="E41" i="1" s="1"/>
  <c r="F10" i="5" s="1"/>
  <c r="F10" i="26" s="1"/>
  <c r="F46" i="11" s="1"/>
  <c r="C47" i="1"/>
  <c r="E47" i="1" s="1"/>
  <c r="C19" i="1"/>
  <c r="C18" i="1" s="1"/>
  <c r="C60" i="5" s="1"/>
  <c r="C9" i="1"/>
  <c r="D54" i="1"/>
  <c r="D53" i="1"/>
  <c r="D56" i="1"/>
  <c r="D55" i="1"/>
  <c r="D49" i="1"/>
  <c r="D50" i="1"/>
  <c r="D51" i="1"/>
  <c r="E19" i="1"/>
  <c r="E65" i="5" s="1"/>
  <c r="O65" i="5" s="1"/>
  <c r="D44" i="1"/>
  <c r="D43" i="1"/>
  <c r="D46" i="1"/>
  <c r="D45" i="1"/>
  <c r="E40" i="6"/>
  <c r="O40" i="6" s="1"/>
  <c r="E40" i="26"/>
  <c r="O40" i="26" s="1"/>
  <c r="E9" i="1"/>
  <c r="D48" i="1"/>
  <c r="C40" i="26"/>
  <c r="C52" i="11" s="1"/>
  <c r="C40" i="6"/>
  <c r="C72" i="11" s="1"/>
  <c r="E10" i="11"/>
  <c r="E24" i="1"/>
  <c r="C10" i="11"/>
  <c r="C24" i="1"/>
  <c r="C16" i="11"/>
  <c r="C10" i="6"/>
  <c r="C66" i="11" s="1"/>
  <c r="E9" i="11"/>
  <c r="C22" i="11"/>
  <c r="F8" i="11"/>
  <c r="E7" i="11"/>
  <c r="C9" i="11"/>
  <c r="F6" i="11"/>
  <c r="E22" i="11"/>
  <c r="C7" i="11"/>
  <c r="E10" i="6"/>
  <c r="O10" i="6" s="1"/>
  <c r="E16" i="11"/>
  <c r="E10" i="26"/>
  <c r="O10" i="26" s="1"/>
  <c r="H32" i="11"/>
  <c r="I32" i="11"/>
  <c r="G32" i="11"/>
  <c r="AA36" i="1"/>
  <c r="F24" i="1" s="1"/>
  <c r="AA21" i="1"/>
  <c r="F9" i="1" s="1"/>
  <c r="F15" i="5" s="1"/>
  <c r="AA31" i="1"/>
  <c r="F19" i="1" s="1"/>
  <c r="AB17" i="15"/>
  <c r="AH16" i="15"/>
  <c r="AN16" i="15" s="1"/>
  <c r="E90" i="5" l="1"/>
  <c r="O90" i="5" s="1"/>
  <c r="R6" i="11" s="1"/>
  <c r="T6" i="11" s="1"/>
  <c r="E34" i="1"/>
  <c r="E29" i="1"/>
  <c r="E28" i="1"/>
  <c r="E110" i="5" s="1"/>
  <c r="L32" i="1"/>
  <c r="L33" i="1"/>
  <c r="L31" i="1"/>
  <c r="L30" i="1"/>
  <c r="F90" i="5"/>
  <c r="F27" i="1"/>
  <c r="F105" i="5" s="1"/>
  <c r="F35" i="11" s="1"/>
  <c r="I22" i="15" s="1"/>
  <c r="F28" i="1"/>
  <c r="F110" i="5" s="1"/>
  <c r="F36" i="11" s="1"/>
  <c r="I23" i="15" s="1"/>
  <c r="F34" i="1"/>
  <c r="F25" i="1"/>
  <c r="F95" i="5" s="1"/>
  <c r="F33" i="11" s="1"/>
  <c r="I20" i="15" s="1"/>
  <c r="F29" i="1"/>
  <c r="F26" i="1" s="1"/>
  <c r="F100" i="5" s="1"/>
  <c r="F34" i="11" s="1"/>
  <c r="I21" i="15" s="1"/>
  <c r="C90" i="5"/>
  <c r="C32" i="11" s="1"/>
  <c r="C34" i="1"/>
  <c r="C29" i="1"/>
  <c r="N33" i="1"/>
  <c r="N32" i="1"/>
  <c r="N31" i="1"/>
  <c r="N30" i="1"/>
  <c r="L28" i="1"/>
  <c r="AA36" i="2"/>
  <c r="L27" i="34"/>
  <c r="M27" i="34" s="1"/>
  <c r="Z35" i="2"/>
  <c r="AI22" i="15" s="1"/>
  <c r="AO22" i="15" s="1"/>
  <c r="F26" i="34"/>
  <c r="F55" i="34" s="1"/>
  <c r="H26" i="34"/>
  <c r="D26" i="34"/>
  <c r="D55" i="34" s="1"/>
  <c r="G26" i="34"/>
  <c r="G55" i="34" s="1"/>
  <c r="G100" i="6" s="1"/>
  <c r="G84" i="11" s="1"/>
  <c r="G130" i="11" s="1"/>
  <c r="C26" i="34"/>
  <c r="C55" i="34" s="1"/>
  <c r="I25" i="34"/>
  <c r="I54" i="34" s="1"/>
  <c r="I95" i="6" s="1"/>
  <c r="I83" i="11" s="1"/>
  <c r="I129" i="11" s="1"/>
  <c r="H54" i="34"/>
  <c r="H95" i="6" s="1"/>
  <c r="H83" i="11" s="1"/>
  <c r="H129" i="11" s="1"/>
  <c r="L105" i="5"/>
  <c r="E18" i="1"/>
  <c r="E60" i="5" s="1"/>
  <c r="E15" i="1"/>
  <c r="E45" i="5" s="1"/>
  <c r="O45" i="5" s="1"/>
  <c r="C17" i="1"/>
  <c r="C55" i="5" s="1"/>
  <c r="Z10" i="26"/>
  <c r="Y10" i="26"/>
  <c r="Y65" i="5"/>
  <c r="Z65" i="5"/>
  <c r="Z10" i="6"/>
  <c r="Y10" i="6"/>
  <c r="Z40" i="26"/>
  <c r="Y40" i="26"/>
  <c r="Y40" i="6"/>
  <c r="Z40" i="6"/>
  <c r="C53" i="34"/>
  <c r="C90" i="6" s="1"/>
  <c r="C82" i="11" s="1"/>
  <c r="E19" i="15" s="1"/>
  <c r="D82" i="34"/>
  <c r="G53" i="34"/>
  <c r="G90" i="6" s="1"/>
  <c r="G82" i="11" s="1"/>
  <c r="G82" i="34"/>
  <c r="I24" i="34"/>
  <c r="H53" i="34"/>
  <c r="D53" i="34"/>
  <c r="E82" i="34"/>
  <c r="G90" i="26"/>
  <c r="G62" i="11" s="1"/>
  <c r="G110" i="11" s="1"/>
  <c r="F53" i="34"/>
  <c r="F82" i="34"/>
  <c r="E17" i="1"/>
  <c r="E55" i="5" s="1"/>
  <c r="O55" i="5" s="1"/>
  <c r="X40" i="6"/>
  <c r="D72" i="11"/>
  <c r="D118" i="11" s="1"/>
  <c r="C52" i="1"/>
  <c r="E52" i="1" s="1"/>
  <c r="F65" i="5"/>
  <c r="F65" i="26" s="1"/>
  <c r="E13" i="1"/>
  <c r="E35" i="5" s="1"/>
  <c r="O35" i="5" s="1"/>
  <c r="E15" i="5"/>
  <c r="O15" i="5" s="1"/>
  <c r="C11" i="1"/>
  <c r="C25" i="5" s="1"/>
  <c r="C25" i="26" s="1"/>
  <c r="C49" i="11" s="1"/>
  <c r="D6" i="15" s="1"/>
  <c r="C15" i="5"/>
  <c r="C15" i="6" s="1"/>
  <c r="C67" i="11" s="1"/>
  <c r="E4" i="15" s="1"/>
  <c r="X40" i="26"/>
  <c r="D52" i="11"/>
  <c r="D100" i="11" s="1"/>
  <c r="C16" i="1"/>
  <c r="C50" i="5" s="1"/>
  <c r="C65" i="5"/>
  <c r="C65" i="26" s="1"/>
  <c r="C57" i="11" s="1"/>
  <c r="E12" i="1"/>
  <c r="E30" i="5" s="1"/>
  <c r="O30" i="5" s="1"/>
  <c r="C12" i="1"/>
  <c r="C30" i="5" s="1"/>
  <c r="F40" i="6"/>
  <c r="F72" i="11" s="1"/>
  <c r="F40" i="26"/>
  <c r="F52" i="11" s="1"/>
  <c r="C42" i="1"/>
  <c r="E42" i="1" s="1"/>
  <c r="F17" i="11" s="1"/>
  <c r="I4" i="15" s="1"/>
  <c r="C13" i="1"/>
  <c r="C35" i="5" s="1"/>
  <c r="C15" i="1"/>
  <c r="C45" i="5" s="1"/>
  <c r="C57" i="1"/>
  <c r="E57" i="1" s="1"/>
  <c r="C10" i="1"/>
  <c r="C20" i="5" s="1"/>
  <c r="C23" i="1"/>
  <c r="C85" i="5" s="1"/>
  <c r="E10" i="1"/>
  <c r="E11" i="1"/>
  <c r="E45" i="26"/>
  <c r="O45" i="26" s="1"/>
  <c r="C20" i="1"/>
  <c r="C70" i="5" s="1"/>
  <c r="E23" i="1"/>
  <c r="E90" i="6"/>
  <c r="E20" i="1"/>
  <c r="E22" i="1"/>
  <c r="E16" i="1"/>
  <c r="E50" i="5" s="1"/>
  <c r="O50" i="5" s="1"/>
  <c r="E65" i="6"/>
  <c r="O65" i="6" s="1"/>
  <c r="E65" i="26"/>
  <c r="O65" i="26" s="1"/>
  <c r="C90" i="26"/>
  <c r="C62" i="11" s="1"/>
  <c r="D19" i="15" s="1"/>
  <c r="F20" i="1"/>
  <c r="F70" i="5" s="1"/>
  <c r="F23" i="1"/>
  <c r="F85" i="5" s="1"/>
  <c r="F21" i="1"/>
  <c r="F75" i="5" s="1"/>
  <c r="F22" i="1"/>
  <c r="F80" i="5" s="1"/>
  <c r="E21" i="1"/>
  <c r="F10" i="1"/>
  <c r="F13" i="1"/>
  <c r="F35" i="5" s="1"/>
  <c r="F11" i="1"/>
  <c r="F25" i="5" s="1"/>
  <c r="F12" i="1"/>
  <c r="F30" i="5" s="1"/>
  <c r="C21" i="1"/>
  <c r="C75" i="5" s="1"/>
  <c r="C22" i="1"/>
  <c r="C80" i="5" s="1"/>
  <c r="F15" i="1"/>
  <c r="F45" i="5" s="1"/>
  <c r="F16" i="1"/>
  <c r="F50" i="5" s="1"/>
  <c r="F17" i="1"/>
  <c r="F55" i="5" s="1"/>
  <c r="F18" i="1"/>
  <c r="F60" i="5" s="1"/>
  <c r="F10" i="6"/>
  <c r="F66" i="11" s="1"/>
  <c r="F16" i="11"/>
  <c r="C19" i="15"/>
  <c r="F10" i="11"/>
  <c r="E32" i="11"/>
  <c r="P10" i="5"/>
  <c r="AD10" i="5" s="1"/>
  <c r="K16" i="11" s="1"/>
  <c r="V10" i="5"/>
  <c r="S10" i="5"/>
  <c r="R10" i="5"/>
  <c r="T10" i="5"/>
  <c r="W10" i="5"/>
  <c r="Q10" i="5"/>
  <c r="AE10" i="5" s="1"/>
  <c r="U10" i="5"/>
  <c r="E9" i="15"/>
  <c r="C118" i="11"/>
  <c r="E66" i="11"/>
  <c r="W10" i="6"/>
  <c r="E72" i="11"/>
  <c r="E118" i="11" s="1"/>
  <c r="C9" i="15"/>
  <c r="W10" i="26"/>
  <c r="E46" i="11"/>
  <c r="E52" i="11"/>
  <c r="E100" i="11" s="1"/>
  <c r="F22" i="11"/>
  <c r="I9" i="15" s="1"/>
  <c r="D9" i="15"/>
  <c r="C100" i="11"/>
  <c r="F9" i="11"/>
  <c r="U40" i="5"/>
  <c r="T40" i="5"/>
  <c r="AC40" i="5" s="1"/>
  <c r="J40" i="5" s="1"/>
  <c r="J22" i="11" s="1"/>
  <c r="P9" i="15" s="1"/>
  <c r="S40" i="5"/>
  <c r="R40" i="5"/>
  <c r="Q40" i="5"/>
  <c r="AE40" i="5" s="1"/>
  <c r="P40" i="5"/>
  <c r="AD40" i="5" s="1"/>
  <c r="K22" i="11" s="1"/>
  <c r="V40" i="5"/>
  <c r="W40" i="5"/>
  <c r="E27" i="11"/>
  <c r="F7" i="11"/>
  <c r="G31" i="11"/>
  <c r="I30" i="11"/>
  <c r="I31" i="11"/>
  <c r="H31" i="11"/>
  <c r="H28" i="11"/>
  <c r="G30" i="11"/>
  <c r="H30" i="11"/>
  <c r="G28" i="11"/>
  <c r="I29" i="11"/>
  <c r="H29" i="11"/>
  <c r="G29" i="11"/>
  <c r="I28" i="11"/>
  <c r="AB18" i="15"/>
  <c r="AH17" i="15"/>
  <c r="AN17" i="15" s="1"/>
  <c r="S31" i="1"/>
  <c r="M19" i="1" s="1"/>
  <c r="S21" i="1"/>
  <c r="M9" i="1" s="1"/>
  <c r="S36" i="1"/>
  <c r="M24" i="1" s="1"/>
  <c r="R7" i="11" l="1"/>
  <c r="V7" i="11" s="1"/>
  <c r="S6" i="11"/>
  <c r="Z90" i="5"/>
  <c r="V6" i="11"/>
  <c r="AB90" i="5"/>
  <c r="U6" i="11"/>
  <c r="AA90" i="5"/>
  <c r="Y90" i="5"/>
  <c r="C27" i="1"/>
  <c r="C105" i="5" s="1"/>
  <c r="C35" i="11" s="1"/>
  <c r="C22" i="15" s="1"/>
  <c r="C32" i="1"/>
  <c r="C130" i="5" s="1"/>
  <c r="C40" i="11" s="1"/>
  <c r="C27" i="15" s="1"/>
  <c r="C33" i="1"/>
  <c r="C135" i="5" s="1"/>
  <c r="C41" i="11" s="1"/>
  <c r="C28" i="15" s="1"/>
  <c r="C30" i="1"/>
  <c r="C120" i="5" s="1"/>
  <c r="C38" i="11" s="1"/>
  <c r="C25" i="15" s="1"/>
  <c r="C31" i="1"/>
  <c r="C125" i="5" s="1"/>
  <c r="C39" i="11" s="1"/>
  <c r="C26" i="15" s="1"/>
  <c r="C11" i="11"/>
  <c r="C115" i="5"/>
  <c r="C37" i="11" s="1"/>
  <c r="C24" i="15" s="1"/>
  <c r="F95" i="6"/>
  <c r="F83" i="11" s="1"/>
  <c r="C25" i="1"/>
  <c r="C95" i="5" s="1"/>
  <c r="F12" i="11"/>
  <c r="F140" i="5"/>
  <c r="F42" i="11" s="1"/>
  <c r="I29" i="15" s="1"/>
  <c r="E110" i="6"/>
  <c r="E86" i="11" s="1"/>
  <c r="E36" i="11"/>
  <c r="C12" i="11"/>
  <c r="C140" i="5"/>
  <c r="C42" i="11" s="1"/>
  <c r="C29" i="15" s="1"/>
  <c r="E11" i="11"/>
  <c r="E115" i="5"/>
  <c r="E30" i="1"/>
  <c r="E120" i="5" s="1"/>
  <c r="E32" i="1"/>
  <c r="E130" i="5" s="1"/>
  <c r="E33" i="1"/>
  <c r="E135" i="5" s="1"/>
  <c r="E31" i="1"/>
  <c r="E125" i="5" s="1"/>
  <c r="C100" i="6"/>
  <c r="C84" i="11" s="1"/>
  <c r="E21" i="15" s="1"/>
  <c r="C26" i="1"/>
  <c r="C100" i="5" s="1"/>
  <c r="C34" i="11" s="1"/>
  <c r="C21" i="15" s="1"/>
  <c r="E12" i="11"/>
  <c r="E140" i="5"/>
  <c r="J54" i="35"/>
  <c r="G24" i="35" s="1"/>
  <c r="J24" i="35" s="1"/>
  <c r="D90" i="5" s="1"/>
  <c r="M29" i="1"/>
  <c r="M27" i="1"/>
  <c r="J57" i="35" s="1"/>
  <c r="G27" i="35" s="1"/>
  <c r="J27" i="35" s="1"/>
  <c r="D105" i="5" s="1"/>
  <c r="M25" i="1"/>
  <c r="J55" i="35" s="1"/>
  <c r="G25" i="35" s="1"/>
  <c r="J25" i="35" s="1"/>
  <c r="D95" i="5" s="1"/>
  <c r="M26" i="1"/>
  <c r="J56" i="35" s="1"/>
  <c r="G26" i="35" s="1"/>
  <c r="J26" i="35" s="1"/>
  <c r="D100" i="5" s="1"/>
  <c r="D100" i="6" s="1"/>
  <c r="M34" i="1"/>
  <c r="C28" i="1"/>
  <c r="C110" i="5" s="1"/>
  <c r="C36" i="11" s="1"/>
  <c r="C23" i="15" s="1"/>
  <c r="E27" i="1"/>
  <c r="E105" i="5" s="1"/>
  <c r="E25" i="1"/>
  <c r="E26" i="1"/>
  <c r="F100" i="6"/>
  <c r="F84" i="11" s="1"/>
  <c r="K21" i="15" s="1"/>
  <c r="F31" i="1"/>
  <c r="F125" i="5" s="1"/>
  <c r="F39" i="11" s="1"/>
  <c r="I26" i="15" s="1"/>
  <c r="F32" i="1"/>
  <c r="F130" i="5" s="1"/>
  <c r="F40" i="11" s="1"/>
  <c r="I27" i="15" s="1"/>
  <c r="F33" i="1"/>
  <c r="F135" i="5" s="1"/>
  <c r="F41" i="11" s="1"/>
  <c r="I28" i="15" s="1"/>
  <c r="F30" i="1"/>
  <c r="F120" i="5" s="1"/>
  <c r="F38" i="11" s="1"/>
  <c r="I25" i="15" s="1"/>
  <c r="F11" i="11"/>
  <c r="F115" i="5"/>
  <c r="F37" i="11" s="1"/>
  <c r="I24" i="15" s="1"/>
  <c r="I31" i="15"/>
  <c r="I26" i="34"/>
  <c r="I55" i="34" s="1"/>
  <c r="I100" i="6" s="1"/>
  <c r="I84" i="11" s="1"/>
  <c r="I130" i="11" s="1"/>
  <c r="H55" i="34"/>
  <c r="H100" i="6" s="1"/>
  <c r="H84" i="11" s="1"/>
  <c r="H130" i="11" s="1"/>
  <c r="F27" i="34"/>
  <c r="F56" i="34" s="1"/>
  <c r="F105" i="6" s="1"/>
  <c r="F85" i="11" s="1"/>
  <c r="G27" i="34"/>
  <c r="G56" i="34" s="1"/>
  <c r="G105" i="6" s="1"/>
  <c r="G85" i="11" s="1"/>
  <c r="G131" i="11" s="1"/>
  <c r="H27" i="34"/>
  <c r="D27" i="34"/>
  <c r="D56" i="34" s="1"/>
  <c r="D105" i="6" s="1"/>
  <c r="C27" i="34"/>
  <c r="C56" i="34" s="1"/>
  <c r="C105" i="6" s="1"/>
  <c r="C85" i="11" s="1"/>
  <c r="AA37" i="2"/>
  <c r="L28" i="34"/>
  <c r="M28" i="34" s="1"/>
  <c r="Z36" i="2"/>
  <c r="AI23" i="15" s="1"/>
  <c r="AO23" i="15" s="1"/>
  <c r="L110" i="5"/>
  <c r="O105" i="5"/>
  <c r="E45" i="6"/>
  <c r="O45" i="6" s="1"/>
  <c r="Y45" i="6" s="1"/>
  <c r="E60" i="6"/>
  <c r="O60" i="6" s="1"/>
  <c r="Y60" i="6" s="1"/>
  <c r="E60" i="26"/>
  <c r="O60" i="26" s="1"/>
  <c r="Y60" i="26" s="1"/>
  <c r="E15" i="6"/>
  <c r="O15" i="6" s="1"/>
  <c r="Z15" i="6" s="1"/>
  <c r="C27" i="11"/>
  <c r="C14" i="15" s="1"/>
  <c r="E35" i="6"/>
  <c r="O35" i="6" s="1"/>
  <c r="Y35" i="6" s="1"/>
  <c r="T7" i="11"/>
  <c r="L22" i="11"/>
  <c r="G128" i="11"/>
  <c r="E17" i="11"/>
  <c r="E15" i="26"/>
  <c r="O15" i="26" s="1"/>
  <c r="W15" i="26" s="1"/>
  <c r="Y65" i="26"/>
  <c r="Z65" i="26"/>
  <c r="Y30" i="5"/>
  <c r="Z30" i="5"/>
  <c r="Z65" i="6"/>
  <c r="Y65" i="6"/>
  <c r="Y50" i="5"/>
  <c r="Z50" i="5"/>
  <c r="Y45" i="26"/>
  <c r="Z45" i="26"/>
  <c r="Z55" i="5"/>
  <c r="Y55" i="5"/>
  <c r="Z15" i="5"/>
  <c r="Y15" i="5"/>
  <c r="Z35" i="5"/>
  <c r="Y35" i="5"/>
  <c r="Z45" i="5"/>
  <c r="Y45" i="5"/>
  <c r="C19" i="11"/>
  <c r="C6" i="15" s="1"/>
  <c r="L16" i="11"/>
  <c r="C65" i="6"/>
  <c r="C77" i="11" s="1"/>
  <c r="C25" i="6"/>
  <c r="C69" i="11" s="1"/>
  <c r="E6" i="15" s="1"/>
  <c r="C17" i="11"/>
  <c r="C4" i="15" s="1"/>
  <c r="E30" i="26"/>
  <c r="O30" i="26" s="1"/>
  <c r="E30" i="6"/>
  <c r="O30" i="6" s="1"/>
  <c r="C15" i="26"/>
  <c r="C47" i="11" s="1"/>
  <c r="D4" i="15" s="1"/>
  <c r="E55" i="26"/>
  <c r="O55" i="26" s="1"/>
  <c r="E55" i="6"/>
  <c r="O55" i="6" s="1"/>
  <c r="E35" i="26"/>
  <c r="O35" i="26" s="1"/>
  <c r="E25" i="26"/>
  <c r="O25" i="26" s="1"/>
  <c r="E25" i="5"/>
  <c r="O25" i="5" s="1"/>
  <c r="C43" i="1"/>
  <c r="E43" i="1" s="1"/>
  <c r="F20" i="5"/>
  <c r="F20" i="26" s="1"/>
  <c r="F48" i="11" s="1"/>
  <c r="J5" i="15" s="1"/>
  <c r="E20" i="26"/>
  <c r="O20" i="26" s="1"/>
  <c r="E20" i="5"/>
  <c r="O20" i="5" s="1"/>
  <c r="E75" i="6"/>
  <c r="E75" i="5"/>
  <c r="E80" i="6"/>
  <c r="E80" i="5"/>
  <c r="E85" i="6"/>
  <c r="E85" i="5"/>
  <c r="X90" i="5"/>
  <c r="D90" i="6"/>
  <c r="D90" i="26"/>
  <c r="D32" i="11"/>
  <c r="E70" i="6"/>
  <c r="E70" i="5"/>
  <c r="M20" i="1"/>
  <c r="J50" i="35" s="1"/>
  <c r="G20" i="35" s="1"/>
  <c r="J20" i="35" s="1"/>
  <c r="D70" i="5" s="1"/>
  <c r="M21" i="1"/>
  <c r="J51" i="35" s="1"/>
  <c r="G21" i="35" s="1"/>
  <c r="J21" i="35" s="1"/>
  <c r="D75" i="5" s="1"/>
  <c r="M23" i="1"/>
  <c r="J53" i="35" s="1"/>
  <c r="G23" i="35" s="1"/>
  <c r="J23" i="35" s="1"/>
  <c r="D85" i="5" s="1"/>
  <c r="M22" i="1"/>
  <c r="J52" i="35" s="1"/>
  <c r="G22" i="35" s="1"/>
  <c r="J22" i="35" s="1"/>
  <c r="D80" i="5" s="1"/>
  <c r="M17" i="1"/>
  <c r="J47" i="35" s="1"/>
  <c r="G17" i="35" s="1"/>
  <c r="J17" i="35" s="1"/>
  <c r="D55" i="5" s="1"/>
  <c r="M18" i="1"/>
  <c r="J48" i="35" s="1"/>
  <c r="G18" i="35" s="1"/>
  <c r="J18" i="35" s="1"/>
  <c r="D60" i="5" s="1"/>
  <c r="M16" i="1"/>
  <c r="J46" i="35" s="1"/>
  <c r="G16" i="35" s="1"/>
  <c r="J16" i="35" s="1"/>
  <c r="D50" i="5" s="1"/>
  <c r="M15" i="1"/>
  <c r="J45" i="35" s="1"/>
  <c r="G15" i="35" s="1"/>
  <c r="J15" i="35" s="1"/>
  <c r="D45" i="5" s="1"/>
  <c r="J49" i="35"/>
  <c r="G19" i="35" s="1"/>
  <c r="J19" i="35" s="1"/>
  <c r="D65" i="5" s="1"/>
  <c r="M10" i="1"/>
  <c r="J40" i="35" s="1"/>
  <c r="G10" i="35" s="1"/>
  <c r="J10" i="35" s="1"/>
  <c r="D20" i="5" s="1"/>
  <c r="M11" i="1"/>
  <c r="J41" i="35" s="1"/>
  <c r="G11" i="35" s="1"/>
  <c r="J11" i="35" s="1"/>
  <c r="D25" i="5" s="1"/>
  <c r="M12" i="1"/>
  <c r="J42" i="35" s="1"/>
  <c r="G12" i="35" s="1"/>
  <c r="J12" i="35" s="1"/>
  <c r="D30" i="5" s="1"/>
  <c r="M13" i="1"/>
  <c r="J43" i="35" s="1"/>
  <c r="G13" i="35" s="1"/>
  <c r="J13" i="35" s="1"/>
  <c r="D35" i="5" s="1"/>
  <c r="J39" i="35"/>
  <c r="G9" i="35" s="1"/>
  <c r="J9" i="35" s="1"/>
  <c r="D15" i="5" s="1"/>
  <c r="E25" i="6"/>
  <c r="O25" i="6" s="1"/>
  <c r="F90" i="26"/>
  <c r="F62" i="11" s="1"/>
  <c r="F90" i="6"/>
  <c r="F82" i="11" s="1"/>
  <c r="C54" i="1"/>
  <c r="E54" i="1" s="1"/>
  <c r="C45" i="1"/>
  <c r="E45" i="1" s="1"/>
  <c r="C53" i="1"/>
  <c r="E53" i="1" s="1"/>
  <c r="C48" i="1"/>
  <c r="E48" i="1" s="1"/>
  <c r="C44" i="1"/>
  <c r="E44" i="1" s="1"/>
  <c r="C51" i="1"/>
  <c r="E51" i="1" s="1"/>
  <c r="C46" i="1"/>
  <c r="E46" i="1" s="1"/>
  <c r="C50" i="1"/>
  <c r="E50" i="1" s="1"/>
  <c r="C55" i="1"/>
  <c r="E55" i="1" s="1"/>
  <c r="C56" i="1"/>
  <c r="E56" i="1" s="1"/>
  <c r="C49" i="1"/>
  <c r="E49" i="1" s="1"/>
  <c r="F65" i="6"/>
  <c r="F77" i="11" s="1"/>
  <c r="E24" i="11"/>
  <c r="E50" i="6"/>
  <c r="O50" i="6" s="1"/>
  <c r="E50" i="26"/>
  <c r="O50" i="26" s="1"/>
  <c r="I48" i="11"/>
  <c r="I96" i="11" s="1"/>
  <c r="E26" i="11"/>
  <c r="O60" i="5"/>
  <c r="C20" i="11"/>
  <c r="C7" i="15" s="1"/>
  <c r="C30" i="26"/>
  <c r="C50" i="11" s="1"/>
  <c r="D7" i="15" s="1"/>
  <c r="C30" i="6"/>
  <c r="C70" i="11" s="1"/>
  <c r="E7" i="15" s="1"/>
  <c r="C55" i="26"/>
  <c r="C55" i="11" s="1"/>
  <c r="D12" i="15" s="1"/>
  <c r="C55" i="6"/>
  <c r="C75" i="11" s="1"/>
  <c r="E12" i="15" s="1"/>
  <c r="C45" i="26"/>
  <c r="C53" i="11" s="1"/>
  <c r="C45" i="6"/>
  <c r="C73" i="11" s="1"/>
  <c r="C35" i="26"/>
  <c r="C51" i="11" s="1"/>
  <c r="D8" i="15" s="1"/>
  <c r="C35" i="6"/>
  <c r="C71" i="11" s="1"/>
  <c r="E8" i="15" s="1"/>
  <c r="C20" i="26"/>
  <c r="C48" i="11" s="1"/>
  <c r="D5" i="15" s="1"/>
  <c r="C50" i="26"/>
  <c r="C54" i="11" s="1"/>
  <c r="C50" i="6"/>
  <c r="C74" i="11" s="1"/>
  <c r="C26" i="11"/>
  <c r="C13" i="15" s="1"/>
  <c r="C60" i="26"/>
  <c r="C56" i="11" s="1"/>
  <c r="C60" i="6"/>
  <c r="C76" i="11" s="1"/>
  <c r="E23" i="11"/>
  <c r="C128" i="11"/>
  <c r="C21" i="11"/>
  <c r="C8" i="15" s="1"/>
  <c r="C30" i="11"/>
  <c r="C17" i="15" s="1"/>
  <c r="C31" i="11"/>
  <c r="C18" i="15" s="1"/>
  <c r="C110" i="11"/>
  <c r="C28" i="11"/>
  <c r="C15" i="15" s="1"/>
  <c r="C20" i="6"/>
  <c r="C68" i="11" s="1"/>
  <c r="E5" i="15" s="1"/>
  <c r="C18" i="11"/>
  <c r="C5" i="15" s="1"/>
  <c r="E25" i="11"/>
  <c r="W55" i="5"/>
  <c r="C29" i="11"/>
  <c r="C16" i="15" s="1"/>
  <c r="F15" i="6"/>
  <c r="F67" i="11" s="1"/>
  <c r="K4" i="15" s="1"/>
  <c r="F15" i="26"/>
  <c r="F47" i="11" s="1"/>
  <c r="J4" i="15" s="1"/>
  <c r="C25" i="11"/>
  <c r="C12" i="15" s="1"/>
  <c r="C23" i="11"/>
  <c r="C10" i="15" s="1"/>
  <c r="E57" i="11"/>
  <c r="E105" i="11" s="1"/>
  <c r="E20" i="11"/>
  <c r="R10" i="6"/>
  <c r="R10" i="26"/>
  <c r="R45" i="5"/>
  <c r="Q45" i="5"/>
  <c r="T45" i="5"/>
  <c r="W45" i="5"/>
  <c r="V45" i="5"/>
  <c r="U45" i="5"/>
  <c r="P45" i="5"/>
  <c r="S45" i="5"/>
  <c r="S10" i="26"/>
  <c r="S10" i="6"/>
  <c r="Q65" i="5"/>
  <c r="AE65" i="5" s="1"/>
  <c r="W65" i="5"/>
  <c r="V65" i="5"/>
  <c r="U65" i="5"/>
  <c r="P65" i="5"/>
  <c r="AD65" i="5" s="1"/>
  <c r="T65" i="5"/>
  <c r="S65" i="5"/>
  <c r="R65" i="5"/>
  <c r="F57" i="11"/>
  <c r="F27" i="11"/>
  <c r="I14" i="15" s="1"/>
  <c r="J9" i="15"/>
  <c r="F100" i="11"/>
  <c r="S40" i="6"/>
  <c r="T40" i="6"/>
  <c r="AC40" i="6" s="1"/>
  <c r="J40" i="6" s="1"/>
  <c r="J72" i="11" s="1"/>
  <c r="J118" i="11" s="1"/>
  <c r="W40" i="6"/>
  <c r="V40" i="6"/>
  <c r="Q40" i="6"/>
  <c r="AE40" i="6" s="1"/>
  <c r="L72" i="11" s="1"/>
  <c r="P40" i="6"/>
  <c r="AD40" i="6" s="1"/>
  <c r="K72" i="11" s="1"/>
  <c r="R40" i="6"/>
  <c r="U40" i="6"/>
  <c r="E21" i="11"/>
  <c r="W50" i="5"/>
  <c r="V50" i="5"/>
  <c r="U50" i="5"/>
  <c r="T50" i="5"/>
  <c r="S50" i="5"/>
  <c r="P50" i="5"/>
  <c r="R50" i="5"/>
  <c r="Q50" i="5"/>
  <c r="V10" i="6"/>
  <c r="V10" i="26"/>
  <c r="AC10" i="5"/>
  <c r="J10" i="5" s="1"/>
  <c r="J16" i="11" s="1"/>
  <c r="T10" i="26"/>
  <c r="AC10" i="26" s="1"/>
  <c r="J10" i="26" s="1"/>
  <c r="J46" i="11" s="1"/>
  <c r="T10" i="6"/>
  <c r="AC10" i="6" s="1"/>
  <c r="J10" i="6" s="1"/>
  <c r="J66" i="11" s="1"/>
  <c r="K9" i="15"/>
  <c r="F118" i="11"/>
  <c r="P10" i="26"/>
  <c r="AD10" i="26" s="1"/>
  <c r="K46" i="11" s="1"/>
  <c r="P10" i="6"/>
  <c r="AD10" i="6" s="1"/>
  <c r="K66" i="11" s="1"/>
  <c r="C24" i="11"/>
  <c r="C11" i="15" s="1"/>
  <c r="U10" i="6"/>
  <c r="U10" i="26"/>
  <c r="S90" i="5"/>
  <c r="R90" i="5"/>
  <c r="Q90" i="5"/>
  <c r="AE90" i="5" s="1"/>
  <c r="P90" i="5"/>
  <c r="T90" i="5"/>
  <c r="W90" i="5"/>
  <c r="V90" i="5"/>
  <c r="U90" i="5"/>
  <c r="AF90" i="5" s="1"/>
  <c r="M32" i="11" s="1"/>
  <c r="P40" i="26"/>
  <c r="AD40" i="26" s="1"/>
  <c r="K52" i="11" s="1"/>
  <c r="Q40" i="26"/>
  <c r="AE40" i="26" s="1"/>
  <c r="L52" i="11" s="1"/>
  <c r="U40" i="26"/>
  <c r="R40" i="26"/>
  <c r="S40" i="26"/>
  <c r="T40" i="26"/>
  <c r="AC40" i="26" s="1"/>
  <c r="J40" i="26" s="1"/>
  <c r="J52" i="11" s="1"/>
  <c r="J100" i="11" s="1"/>
  <c r="W40" i="26"/>
  <c r="V40" i="26"/>
  <c r="D14" i="15"/>
  <c r="Q10" i="26"/>
  <c r="AE10" i="26" s="1"/>
  <c r="L46" i="11" s="1"/>
  <c r="Q10" i="6"/>
  <c r="AE10" i="6" s="1"/>
  <c r="L66" i="11" s="1"/>
  <c r="F32" i="11"/>
  <c r="I19" i="15" s="1"/>
  <c r="Q15" i="5"/>
  <c r="U15" i="5"/>
  <c r="T15" i="5"/>
  <c r="W15" i="5"/>
  <c r="R15" i="5"/>
  <c r="S15" i="5"/>
  <c r="V15" i="5"/>
  <c r="P15" i="5"/>
  <c r="E77" i="11"/>
  <c r="E123" i="11" s="1"/>
  <c r="AB19" i="15"/>
  <c r="AH18" i="15"/>
  <c r="AN18" i="15" s="1"/>
  <c r="F130" i="11" l="1"/>
  <c r="AG90" i="5"/>
  <c r="N32" i="11" s="1"/>
  <c r="S7" i="11"/>
  <c r="R8" i="11"/>
  <c r="R9" i="11" s="1"/>
  <c r="C130" i="11"/>
  <c r="U7" i="11"/>
  <c r="AD90" i="5"/>
  <c r="K32" i="11" s="1"/>
  <c r="D84" i="11"/>
  <c r="X100" i="6"/>
  <c r="E95" i="6"/>
  <c r="E83" i="11" s="1"/>
  <c r="E95" i="5"/>
  <c r="D33" i="11"/>
  <c r="X95" i="5"/>
  <c r="D95" i="6"/>
  <c r="D35" i="11"/>
  <c r="X105" i="5"/>
  <c r="E39" i="11"/>
  <c r="E125" i="6"/>
  <c r="M33" i="1"/>
  <c r="J63" i="35" s="1"/>
  <c r="G33" i="35" s="1"/>
  <c r="J33" i="35" s="1"/>
  <c r="D135" i="5" s="1"/>
  <c r="M31" i="1"/>
  <c r="J61" i="35" s="1"/>
  <c r="G31" i="35" s="1"/>
  <c r="J31" i="35" s="1"/>
  <c r="D125" i="5" s="1"/>
  <c r="M30" i="1"/>
  <c r="J60" i="35" s="1"/>
  <c r="G30" i="35" s="1"/>
  <c r="J30" i="35" s="1"/>
  <c r="D120" i="5" s="1"/>
  <c r="J59" i="35"/>
  <c r="G29" i="35" s="1"/>
  <c r="J29" i="35" s="1"/>
  <c r="D115" i="5" s="1"/>
  <c r="E135" i="6"/>
  <c r="E41" i="11"/>
  <c r="E132" i="11"/>
  <c r="E105" i="6"/>
  <c r="E85" i="11" s="1"/>
  <c r="E131" i="11" s="1"/>
  <c r="E35" i="11"/>
  <c r="E40" i="11"/>
  <c r="E130" i="6"/>
  <c r="E42" i="11"/>
  <c r="E140" i="6"/>
  <c r="E120" i="6"/>
  <c r="E88" i="11" s="1"/>
  <c r="E38" i="11"/>
  <c r="M32" i="1"/>
  <c r="J62" i="35" s="1"/>
  <c r="G32" i="35" s="1"/>
  <c r="J32" i="35" s="1"/>
  <c r="D130" i="5" s="1"/>
  <c r="J64" i="35"/>
  <c r="G34" i="35" s="1"/>
  <c r="J34" i="35" s="1"/>
  <c r="D140" i="5" s="1"/>
  <c r="E115" i="6"/>
  <c r="E87" i="11" s="1"/>
  <c r="E37" i="11"/>
  <c r="M28" i="1"/>
  <c r="J58" i="35" s="1"/>
  <c r="G28" i="35" s="1"/>
  <c r="J28" i="35" s="1"/>
  <c r="D110" i="5" s="1"/>
  <c r="C33" i="11"/>
  <c r="C20" i="15" s="1"/>
  <c r="C30" i="15" s="1"/>
  <c r="C95" i="6"/>
  <c r="C83" i="11" s="1"/>
  <c r="E100" i="5"/>
  <c r="E100" i="6"/>
  <c r="E84" i="11" s="1"/>
  <c r="D34" i="11"/>
  <c r="X100" i="5"/>
  <c r="K20" i="15"/>
  <c r="F129" i="11"/>
  <c r="E76" i="11"/>
  <c r="T105" i="5"/>
  <c r="AC105" i="5" s="1"/>
  <c r="J105" i="5" s="1"/>
  <c r="J35" i="11" s="1"/>
  <c r="P22" i="15" s="1"/>
  <c r="U105" i="5"/>
  <c r="S105" i="5"/>
  <c r="W105" i="5"/>
  <c r="R105" i="5"/>
  <c r="P105" i="5"/>
  <c r="Q105" i="5"/>
  <c r="V105" i="5"/>
  <c r="C131" i="11"/>
  <c r="E22" i="15"/>
  <c r="X105" i="6"/>
  <c r="D85" i="11"/>
  <c r="D131" i="11" s="1"/>
  <c r="C31" i="15"/>
  <c r="K22" i="15"/>
  <c r="F131" i="11"/>
  <c r="C28" i="34"/>
  <c r="C57" i="34" s="1"/>
  <c r="C110" i="6" s="1"/>
  <c r="C86" i="11" s="1"/>
  <c r="D28" i="34"/>
  <c r="D57" i="34" s="1"/>
  <c r="D110" i="6" s="1"/>
  <c r="F28" i="34"/>
  <c r="F57" i="34" s="1"/>
  <c r="F110" i="6" s="1"/>
  <c r="F86" i="11" s="1"/>
  <c r="H28" i="34"/>
  <c r="G28" i="34"/>
  <c r="G57" i="34" s="1"/>
  <c r="G110" i="6" s="1"/>
  <c r="G86" i="11" s="1"/>
  <c r="G132" i="11" s="1"/>
  <c r="AA38" i="2"/>
  <c r="L29" i="34"/>
  <c r="M29" i="34" s="1"/>
  <c r="Z37" i="2"/>
  <c r="AI24" i="15" s="1"/>
  <c r="I27" i="34"/>
  <c r="I56" i="34" s="1"/>
  <c r="I105" i="6" s="1"/>
  <c r="I85" i="11" s="1"/>
  <c r="I131" i="11" s="1"/>
  <c r="H56" i="34"/>
  <c r="H105" i="6" s="1"/>
  <c r="H85" i="11" s="1"/>
  <c r="H131" i="11" s="1"/>
  <c r="Z105" i="5"/>
  <c r="Y105" i="5"/>
  <c r="L115" i="5"/>
  <c r="O110" i="5"/>
  <c r="E56" i="11"/>
  <c r="E73" i="11"/>
  <c r="W15" i="6"/>
  <c r="Z45" i="6"/>
  <c r="E67" i="11"/>
  <c r="Y15" i="6"/>
  <c r="Z60" i="26"/>
  <c r="E28" i="11"/>
  <c r="Z60" i="6"/>
  <c r="E18" i="11"/>
  <c r="C123" i="11"/>
  <c r="E20" i="6"/>
  <c r="O20" i="6" s="1"/>
  <c r="Z20" i="6" s="1"/>
  <c r="C97" i="11"/>
  <c r="E30" i="11"/>
  <c r="E19" i="11"/>
  <c r="E31" i="11"/>
  <c r="AE15" i="5"/>
  <c r="L17" i="11" s="1"/>
  <c r="AE45" i="5"/>
  <c r="Z35" i="6"/>
  <c r="AD15" i="5"/>
  <c r="K17" i="11" s="1"/>
  <c r="C105" i="11"/>
  <c r="E47" i="11"/>
  <c r="AD50" i="5"/>
  <c r="K24" i="11" s="1"/>
  <c r="C115" i="11"/>
  <c r="Y60" i="5"/>
  <c r="Z60" i="5"/>
  <c r="Y20" i="5"/>
  <c r="Z20" i="5"/>
  <c r="Z55" i="26"/>
  <c r="Y55" i="26"/>
  <c r="Z20" i="26"/>
  <c r="Y20" i="26"/>
  <c r="Z15" i="26"/>
  <c r="Y15" i="26"/>
  <c r="Z30" i="6"/>
  <c r="Y30" i="6"/>
  <c r="Z30" i="26"/>
  <c r="Y30" i="26"/>
  <c r="Z55" i="6"/>
  <c r="Y55" i="6"/>
  <c r="Y50" i="26"/>
  <c r="Z50" i="26"/>
  <c r="Z25" i="5"/>
  <c r="Y25" i="5"/>
  <c r="Z50" i="6"/>
  <c r="Y50" i="6"/>
  <c r="Z25" i="6"/>
  <c r="Y25" i="6"/>
  <c r="Y25" i="26"/>
  <c r="Z25" i="26"/>
  <c r="Z35" i="26"/>
  <c r="Y35" i="26"/>
  <c r="AC90" i="5"/>
  <c r="J90" i="5" s="1"/>
  <c r="J32" i="11" s="1"/>
  <c r="P19" i="15" s="1"/>
  <c r="L32" i="11"/>
  <c r="K27" i="11"/>
  <c r="AD45" i="5"/>
  <c r="K23" i="11" s="1"/>
  <c r="L27" i="11"/>
  <c r="AE50" i="5"/>
  <c r="S60" i="5"/>
  <c r="E14" i="15"/>
  <c r="E75" i="11"/>
  <c r="E121" i="11" s="1"/>
  <c r="X35" i="5"/>
  <c r="D35" i="26"/>
  <c r="D21" i="11"/>
  <c r="D35" i="6"/>
  <c r="X55" i="5"/>
  <c r="D25" i="11"/>
  <c r="D55" i="26"/>
  <c r="D55" i="6"/>
  <c r="X90" i="26"/>
  <c r="D62" i="11"/>
  <c r="D110" i="11" s="1"/>
  <c r="X30" i="5"/>
  <c r="D30" i="26"/>
  <c r="D30" i="6"/>
  <c r="D20" i="11"/>
  <c r="X80" i="5"/>
  <c r="D30" i="11"/>
  <c r="X90" i="6"/>
  <c r="D82" i="11"/>
  <c r="D128" i="11" s="1"/>
  <c r="X25" i="5"/>
  <c r="D25" i="6"/>
  <c r="D19" i="11"/>
  <c r="D25" i="26"/>
  <c r="X85" i="5"/>
  <c r="D31" i="11"/>
  <c r="X15" i="6"/>
  <c r="X15" i="5"/>
  <c r="AC15" i="5" s="1"/>
  <c r="J15" i="5" s="1"/>
  <c r="J17" i="11" s="1"/>
  <c r="X15" i="26"/>
  <c r="D15" i="26"/>
  <c r="D47" i="11" s="1"/>
  <c r="D17" i="11"/>
  <c r="D15" i="6"/>
  <c r="D67" i="11" s="1"/>
  <c r="E29" i="11"/>
  <c r="X20" i="5"/>
  <c r="D20" i="26"/>
  <c r="D20" i="6"/>
  <c r="D18" i="11"/>
  <c r="X75" i="5"/>
  <c r="D29" i="11"/>
  <c r="X65" i="5"/>
  <c r="AC65" i="5" s="1"/>
  <c r="J65" i="5" s="1"/>
  <c r="J27" i="11" s="1"/>
  <c r="P14" i="15" s="1"/>
  <c r="D27" i="11"/>
  <c r="D65" i="26"/>
  <c r="D65" i="6"/>
  <c r="X70" i="5"/>
  <c r="D28" i="11"/>
  <c r="X60" i="5"/>
  <c r="D26" i="11"/>
  <c r="D60" i="26"/>
  <c r="D60" i="6"/>
  <c r="X45" i="5"/>
  <c r="AC45" i="5" s="1"/>
  <c r="J45" i="5" s="1"/>
  <c r="J23" i="11" s="1"/>
  <c r="P10" i="15" s="1"/>
  <c r="D23" i="11"/>
  <c r="D45" i="26"/>
  <c r="D45" i="6"/>
  <c r="X50" i="5"/>
  <c r="AC50" i="5" s="1"/>
  <c r="J50" i="5" s="1"/>
  <c r="J24" i="11" s="1"/>
  <c r="P11" i="15" s="1"/>
  <c r="D50" i="26"/>
  <c r="D50" i="6"/>
  <c r="D24" i="11"/>
  <c r="AU22" i="15"/>
  <c r="F45" i="6"/>
  <c r="F73" i="11" s="1"/>
  <c r="F45" i="26"/>
  <c r="F53" i="11" s="1"/>
  <c r="F30" i="6"/>
  <c r="F70" i="11" s="1"/>
  <c r="K7" i="15" s="1"/>
  <c r="F30" i="26"/>
  <c r="F50" i="11" s="1"/>
  <c r="J7" i="15" s="1"/>
  <c r="F25" i="26"/>
  <c r="F49" i="11" s="1"/>
  <c r="J6" i="15" s="1"/>
  <c r="F25" i="6"/>
  <c r="F19" i="11"/>
  <c r="I6" i="15" s="1"/>
  <c r="F24" i="11"/>
  <c r="I11" i="15" s="1"/>
  <c r="F50" i="6"/>
  <c r="F74" i="11" s="1"/>
  <c r="K11" i="15" s="1"/>
  <c r="F50" i="26"/>
  <c r="F54" i="11" s="1"/>
  <c r="J11" i="15" s="1"/>
  <c r="F55" i="6"/>
  <c r="F75" i="11" s="1"/>
  <c r="F55" i="26"/>
  <c r="F55" i="11" s="1"/>
  <c r="F26" i="11"/>
  <c r="I13" i="15" s="1"/>
  <c r="F60" i="6"/>
  <c r="F76" i="11" s="1"/>
  <c r="K13" i="15" s="1"/>
  <c r="F60" i="26"/>
  <c r="F56" i="11" s="1"/>
  <c r="F35" i="26"/>
  <c r="F51" i="11" s="1"/>
  <c r="J8" i="15" s="1"/>
  <c r="F21" i="11"/>
  <c r="I8" i="15" s="1"/>
  <c r="F35" i="6"/>
  <c r="F71" i="11" s="1"/>
  <c r="K8" i="15" s="1"/>
  <c r="AU21" i="15"/>
  <c r="E122" i="11"/>
  <c r="E54" i="11"/>
  <c r="E102" i="11" s="1"/>
  <c r="E74" i="11"/>
  <c r="E120" i="11" s="1"/>
  <c r="E104" i="11"/>
  <c r="E119" i="11"/>
  <c r="C122" i="11"/>
  <c r="C104" i="11"/>
  <c r="R9" i="15"/>
  <c r="Q9" i="15"/>
  <c r="P60" i="5"/>
  <c r="T60" i="5"/>
  <c r="U60" i="5"/>
  <c r="Q60" i="5"/>
  <c r="R60" i="5"/>
  <c r="V60" i="5"/>
  <c r="W60" i="5"/>
  <c r="D13" i="15"/>
  <c r="C116" i="11"/>
  <c r="C99" i="11"/>
  <c r="C117" i="11"/>
  <c r="E53" i="11"/>
  <c r="E101" i="11" s="1"/>
  <c r="T55" i="5"/>
  <c r="P55" i="5"/>
  <c r="AD55" i="5" s="1"/>
  <c r="R55" i="5"/>
  <c r="E13" i="15"/>
  <c r="E55" i="11"/>
  <c r="E103" i="11" s="1"/>
  <c r="C96" i="11"/>
  <c r="C114" i="11"/>
  <c r="C98" i="11"/>
  <c r="F20" i="6"/>
  <c r="F68" i="11" s="1"/>
  <c r="K5" i="15" s="1"/>
  <c r="F18" i="11"/>
  <c r="I5" i="15" s="1"/>
  <c r="F69" i="11"/>
  <c r="K6" i="15" s="1"/>
  <c r="F20" i="11"/>
  <c r="I7" i="15" s="1"/>
  <c r="S55" i="5"/>
  <c r="U55" i="5"/>
  <c r="V55" i="5"/>
  <c r="Q55" i="5"/>
  <c r="AE55" i="5" s="1"/>
  <c r="C121" i="11"/>
  <c r="C103" i="11"/>
  <c r="S55" i="26"/>
  <c r="P55" i="26"/>
  <c r="W55" i="26"/>
  <c r="Q55" i="26"/>
  <c r="V55" i="26"/>
  <c r="R55" i="26"/>
  <c r="U55" i="26"/>
  <c r="T55" i="26"/>
  <c r="R15" i="6"/>
  <c r="R15" i="26"/>
  <c r="U35" i="5"/>
  <c r="T35" i="5"/>
  <c r="P35" i="5"/>
  <c r="AD35" i="5" s="1"/>
  <c r="K21" i="11" s="1"/>
  <c r="S35" i="5"/>
  <c r="R35" i="5"/>
  <c r="Q35" i="5"/>
  <c r="AE35" i="5" s="1"/>
  <c r="V35" i="5"/>
  <c r="W35" i="5"/>
  <c r="K14" i="15"/>
  <c r="F123" i="11"/>
  <c r="E71" i="11"/>
  <c r="E117" i="11" s="1"/>
  <c r="W25" i="5"/>
  <c r="S25" i="5"/>
  <c r="V25" i="5"/>
  <c r="U25" i="5"/>
  <c r="T25" i="5"/>
  <c r="P25" i="5"/>
  <c r="R25" i="5"/>
  <c r="Q25" i="5"/>
  <c r="F25" i="11"/>
  <c r="I12" i="15" s="1"/>
  <c r="E51" i="11"/>
  <c r="E99" i="11" s="1"/>
  <c r="E50" i="11"/>
  <c r="E98" i="11" s="1"/>
  <c r="D10" i="15"/>
  <c r="C101" i="11"/>
  <c r="J19" i="15"/>
  <c r="F110" i="11"/>
  <c r="W20" i="5"/>
  <c r="V20" i="5"/>
  <c r="V20" i="6" s="1"/>
  <c r="U20" i="5"/>
  <c r="U20" i="6" s="1"/>
  <c r="T20" i="5"/>
  <c r="R20" i="5"/>
  <c r="R20" i="6" s="1"/>
  <c r="S20" i="5"/>
  <c r="S20" i="6" s="1"/>
  <c r="Q20" i="5"/>
  <c r="P20" i="5"/>
  <c r="U60" i="26"/>
  <c r="T60" i="26"/>
  <c r="Q60" i="26"/>
  <c r="S60" i="26"/>
  <c r="V60" i="26"/>
  <c r="W60" i="26"/>
  <c r="R60" i="26"/>
  <c r="P60" i="26"/>
  <c r="AD60" i="26" s="1"/>
  <c r="Q65" i="6"/>
  <c r="AE65" i="6" s="1"/>
  <c r="S65" i="6"/>
  <c r="R65" i="6"/>
  <c r="T65" i="6"/>
  <c r="P65" i="6"/>
  <c r="AD65" i="6" s="1"/>
  <c r="K77" i="11" s="1"/>
  <c r="W65" i="6"/>
  <c r="U65" i="6"/>
  <c r="V65" i="6"/>
  <c r="T15" i="6"/>
  <c r="T15" i="26"/>
  <c r="R50" i="6"/>
  <c r="P50" i="6"/>
  <c r="S50" i="6"/>
  <c r="W50" i="6"/>
  <c r="Q50" i="6"/>
  <c r="V50" i="6"/>
  <c r="U50" i="6"/>
  <c r="T50" i="6"/>
  <c r="J14" i="15"/>
  <c r="F105" i="11"/>
  <c r="F28" i="11"/>
  <c r="I15" i="15" s="1"/>
  <c r="U15" i="6"/>
  <c r="U15" i="26"/>
  <c r="F23" i="11"/>
  <c r="I10" i="15" s="1"/>
  <c r="S50" i="26"/>
  <c r="V50" i="26"/>
  <c r="T50" i="26"/>
  <c r="U50" i="26"/>
  <c r="W50" i="26"/>
  <c r="P50" i="26"/>
  <c r="Q50" i="26"/>
  <c r="R50" i="26"/>
  <c r="W55" i="6"/>
  <c r="S55" i="6"/>
  <c r="U55" i="6"/>
  <c r="P55" i="6"/>
  <c r="V55" i="6"/>
  <c r="T55" i="6"/>
  <c r="Q55" i="6"/>
  <c r="R55" i="6"/>
  <c r="E70" i="11"/>
  <c r="E116" i="11" s="1"/>
  <c r="E10" i="15"/>
  <c r="C119" i="11"/>
  <c r="Q15" i="6"/>
  <c r="AE15" i="6" s="1"/>
  <c r="L67" i="11" s="1"/>
  <c r="Q15" i="26"/>
  <c r="D11" i="15"/>
  <c r="C102" i="11"/>
  <c r="V45" i="26"/>
  <c r="Q45" i="26"/>
  <c r="AE45" i="26" s="1"/>
  <c r="S45" i="26"/>
  <c r="R45" i="26"/>
  <c r="W45" i="26"/>
  <c r="P45" i="26"/>
  <c r="AD45" i="26" s="1"/>
  <c r="K53" i="11" s="1"/>
  <c r="U45" i="26"/>
  <c r="T45" i="26"/>
  <c r="E48" i="11"/>
  <c r="W45" i="6"/>
  <c r="R45" i="6"/>
  <c r="P45" i="6"/>
  <c r="AD45" i="6" s="1"/>
  <c r="K73" i="11" s="1"/>
  <c r="S45" i="6"/>
  <c r="T45" i="6"/>
  <c r="V45" i="6"/>
  <c r="U45" i="6"/>
  <c r="Q45" i="6"/>
  <c r="W60" i="6"/>
  <c r="S60" i="6"/>
  <c r="P60" i="6"/>
  <c r="AD60" i="6" s="1"/>
  <c r="K76" i="11" s="1"/>
  <c r="T60" i="6"/>
  <c r="U60" i="6"/>
  <c r="V60" i="6"/>
  <c r="R60" i="6"/>
  <c r="Q60" i="6"/>
  <c r="F30" i="11"/>
  <c r="I17" i="15" s="1"/>
  <c r="E49" i="11"/>
  <c r="V30" i="5"/>
  <c r="R30" i="5"/>
  <c r="U30" i="5"/>
  <c r="T30" i="5"/>
  <c r="S30" i="5"/>
  <c r="P30" i="5"/>
  <c r="AD30" i="5" s="1"/>
  <c r="K20" i="11" s="1"/>
  <c r="Q30" i="5"/>
  <c r="AE30" i="5" s="1"/>
  <c r="W30" i="5"/>
  <c r="S15" i="6"/>
  <c r="S15" i="26"/>
  <c r="P15" i="6"/>
  <c r="P15" i="26"/>
  <c r="F31" i="11"/>
  <c r="I18" i="15" s="1"/>
  <c r="E69" i="11"/>
  <c r="V15" i="6"/>
  <c r="V15" i="26"/>
  <c r="K19" i="15"/>
  <c r="F128" i="11"/>
  <c r="E11" i="15"/>
  <c r="C120" i="11"/>
  <c r="F29" i="11"/>
  <c r="I16" i="15" s="1"/>
  <c r="P65" i="26"/>
  <c r="AD65" i="26" s="1"/>
  <c r="T65" i="26"/>
  <c r="W65" i="26"/>
  <c r="Q65" i="26"/>
  <c r="AE65" i="26" s="1"/>
  <c r="U65" i="26"/>
  <c r="R65" i="26"/>
  <c r="V65" i="26"/>
  <c r="S65" i="26"/>
  <c r="AH19" i="15"/>
  <c r="AN19" i="15" s="1"/>
  <c r="U8" i="11" l="1"/>
  <c r="S8" i="11"/>
  <c r="V8" i="11"/>
  <c r="T8" i="11"/>
  <c r="D37" i="11"/>
  <c r="X115" i="5"/>
  <c r="D83" i="11"/>
  <c r="D129" i="11" s="1"/>
  <c r="X95" i="6"/>
  <c r="E133" i="11"/>
  <c r="E90" i="11"/>
  <c r="E136" i="11" s="1"/>
  <c r="O130" i="6"/>
  <c r="D38" i="11"/>
  <c r="X120" i="5"/>
  <c r="D42" i="11"/>
  <c r="X140" i="5"/>
  <c r="D39" i="11"/>
  <c r="X125" i="5"/>
  <c r="E130" i="11"/>
  <c r="D40" i="11"/>
  <c r="X130" i="5"/>
  <c r="D41" i="11"/>
  <c r="X135" i="5"/>
  <c r="E33" i="11"/>
  <c r="E129" i="11" s="1"/>
  <c r="O95" i="5"/>
  <c r="E34" i="11"/>
  <c r="O100" i="5"/>
  <c r="E89" i="11"/>
  <c r="E135" i="11" s="1"/>
  <c r="O125" i="6"/>
  <c r="C129" i="11"/>
  <c r="E20" i="15"/>
  <c r="E134" i="11"/>
  <c r="E92" i="11"/>
  <c r="E138" i="11" s="1"/>
  <c r="O140" i="6"/>
  <c r="D36" i="11"/>
  <c r="X110" i="5"/>
  <c r="E91" i="11"/>
  <c r="E137" i="11" s="1"/>
  <c r="O135" i="6"/>
  <c r="D130" i="11"/>
  <c r="D86" i="11"/>
  <c r="X110" i="6"/>
  <c r="C132" i="11"/>
  <c r="E23" i="15"/>
  <c r="I30" i="15"/>
  <c r="T110" i="5"/>
  <c r="AC110" i="5" s="1"/>
  <c r="J110" i="5" s="1"/>
  <c r="J36" i="11" s="1"/>
  <c r="P23" i="15" s="1"/>
  <c r="U110" i="5"/>
  <c r="Q110" i="5"/>
  <c r="R110" i="5"/>
  <c r="S110" i="5"/>
  <c r="P110" i="5"/>
  <c r="V110" i="5"/>
  <c r="W110" i="5"/>
  <c r="K23" i="15"/>
  <c r="F132" i="11"/>
  <c r="AE105" i="5"/>
  <c r="L35" i="11" s="1"/>
  <c r="F29" i="34"/>
  <c r="F58" i="34" s="1"/>
  <c r="F115" i="6" s="1"/>
  <c r="F87" i="11" s="1"/>
  <c r="D29" i="34"/>
  <c r="D58" i="34" s="1"/>
  <c r="D115" i="6" s="1"/>
  <c r="G29" i="34"/>
  <c r="G58" i="34" s="1"/>
  <c r="G115" i="6" s="1"/>
  <c r="G87" i="11" s="1"/>
  <c r="G133" i="11" s="1"/>
  <c r="H29" i="34"/>
  <c r="C29" i="34"/>
  <c r="C58" i="34" s="1"/>
  <c r="C115" i="6" s="1"/>
  <c r="C87" i="11" s="1"/>
  <c r="AA39" i="2"/>
  <c r="L30" i="34"/>
  <c r="M30" i="34" s="1"/>
  <c r="Z38" i="2"/>
  <c r="AI25" i="15" s="1"/>
  <c r="AO25" i="15" s="1"/>
  <c r="I28" i="34"/>
  <c r="I57" i="34" s="1"/>
  <c r="I110" i="6" s="1"/>
  <c r="I86" i="11" s="1"/>
  <c r="I132" i="11" s="1"/>
  <c r="H57" i="34"/>
  <c r="H110" i="6" s="1"/>
  <c r="H86" i="11" s="1"/>
  <c r="H132" i="11" s="1"/>
  <c r="AD105" i="5"/>
  <c r="K35" i="11" s="1"/>
  <c r="Y110" i="5"/>
  <c r="Z110" i="5"/>
  <c r="L120" i="5"/>
  <c r="O115" i="5"/>
  <c r="AE60" i="26"/>
  <c r="L56" i="11" s="1"/>
  <c r="AE45" i="6"/>
  <c r="L73" i="11" s="1"/>
  <c r="AE60" i="6"/>
  <c r="L76" i="11" s="1"/>
  <c r="AD15" i="6"/>
  <c r="K67" i="11" s="1"/>
  <c r="AE15" i="26"/>
  <c r="L47" i="11" s="1"/>
  <c r="E96" i="11"/>
  <c r="Y20" i="6"/>
  <c r="E68" i="11"/>
  <c r="E114" i="11" s="1"/>
  <c r="W20" i="6"/>
  <c r="E115" i="11"/>
  <c r="E97" i="11"/>
  <c r="AE60" i="5"/>
  <c r="L26" i="11" s="1"/>
  <c r="AD15" i="26"/>
  <c r="K47" i="11" s="1"/>
  <c r="AC30" i="5"/>
  <c r="J30" i="5" s="1"/>
  <c r="J20" i="11" s="1"/>
  <c r="P7" i="15" s="1"/>
  <c r="AC55" i="5"/>
  <c r="J55" i="5" s="1"/>
  <c r="J25" i="11" s="1"/>
  <c r="P12" i="15" s="1"/>
  <c r="AC25" i="5"/>
  <c r="J25" i="5" s="1"/>
  <c r="J19" i="11" s="1"/>
  <c r="P6" i="15" s="1"/>
  <c r="AE25" i="5"/>
  <c r="L19" i="11" s="1"/>
  <c r="L20" i="11"/>
  <c r="L21" i="11"/>
  <c r="AE55" i="6"/>
  <c r="L75" i="11" s="1"/>
  <c r="U9" i="11"/>
  <c r="V9" i="11"/>
  <c r="S9" i="11"/>
  <c r="T9" i="11"/>
  <c r="AD25" i="5"/>
  <c r="K19" i="11" s="1"/>
  <c r="AD60" i="5"/>
  <c r="K26" i="11" s="1"/>
  <c r="K122" i="11" s="1"/>
  <c r="AC35" i="5"/>
  <c r="J35" i="5" s="1"/>
  <c r="J21" i="11" s="1"/>
  <c r="P8" i="15" s="1"/>
  <c r="AE50" i="26"/>
  <c r="L54" i="11" s="1"/>
  <c r="AE50" i="6"/>
  <c r="L74" i="11" s="1"/>
  <c r="L23" i="11"/>
  <c r="L24" i="11"/>
  <c r="AD50" i="26"/>
  <c r="K54" i="11" s="1"/>
  <c r="K123" i="11"/>
  <c r="AE55" i="26"/>
  <c r="L55" i="11" s="1"/>
  <c r="K25" i="11"/>
  <c r="K100" i="11"/>
  <c r="K56" i="11"/>
  <c r="L25" i="11"/>
  <c r="L100" i="11"/>
  <c r="L57" i="11"/>
  <c r="K101" i="11"/>
  <c r="K57" i="11"/>
  <c r="L53" i="11"/>
  <c r="L77" i="11"/>
  <c r="L123" i="11" s="1"/>
  <c r="P20" i="6"/>
  <c r="AD20" i="5"/>
  <c r="Q20" i="6"/>
  <c r="AE20" i="6" s="1"/>
  <c r="L68" i="11" s="1"/>
  <c r="AE20" i="5"/>
  <c r="AD55" i="26"/>
  <c r="AD55" i="6"/>
  <c r="K75" i="11" s="1"/>
  <c r="AD50" i="6"/>
  <c r="K74" i="11" s="1"/>
  <c r="AC60" i="5"/>
  <c r="J60" i="5" s="1"/>
  <c r="J26" i="11" s="1"/>
  <c r="P13" i="15" s="1"/>
  <c r="AC15" i="6"/>
  <c r="J15" i="6" s="1"/>
  <c r="J67" i="11" s="1"/>
  <c r="R4" i="15" s="1"/>
  <c r="X55" i="26"/>
  <c r="AC55" i="26" s="1"/>
  <c r="J55" i="26" s="1"/>
  <c r="J55" i="11" s="1"/>
  <c r="D55" i="11"/>
  <c r="D103" i="11" s="1"/>
  <c r="X20" i="26"/>
  <c r="D48" i="11"/>
  <c r="D96" i="11" s="1"/>
  <c r="D69" i="11"/>
  <c r="D115" i="11" s="1"/>
  <c r="X25" i="6"/>
  <c r="D57" i="11"/>
  <c r="D105" i="11" s="1"/>
  <c r="X65" i="26"/>
  <c r="AC65" i="26" s="1"/>
  <c r="J65" i="26" s="1"/>
  <c r="J57" i="11" s="1"/>
  <c r="X30" i="6"/>
  <c r="D70" i="11"/>
  <c r="D116" i="11" s="1"/>
  <c r="X50" i="26"/>
  <c r="AC50" i="26" s="1"/>
  <c r="J50" i="26" s="1"/>
  <c r="J54" i="11" s="1"/>
  <c r="J102" i="11" s="1"/>
  <c r="D54" i="11"/>
  <c r="D102" i="11" s="1"/>
  <c r="X20" i="6"/>
  <c r="D68" i="11"/>
  <c r="D114" i="11" s="1"/>
  <c r="AC15" i="26"/>
  <c r="J15" i="26" s="1"/>
  <c r="J47" i="11" s="1"/>
  <c r="Q4" i="15" s="1"/>
  <c r="D73" i="11"/>
  <c r="D119" i="11" s="1"/>
  <c r="X45" i="6"/>
  <c r="AC45" i="6" s="1"/>
  <c r="J45" i="6" s="1"/>
  <c r="J73" i="11" s="1"/>
  <c r="X30" i="26"/>
  <c r="D50" i="11"/>
  <c r="D98" i="11" s="1"/>
  <c r="D71" i="11"/>
  <c r="D117" i="11" s="1"/>
  <c r="X35" i="6"/>
  <c r="X45" i="26"/>
  <c r="AC45" i="26" s="1"/>
  <c r="J45" i="26" s="1"/>
  <c r="J53" i="11" s="1"/>
  <c r="J101" i="11" s="1"/>
  <c r="D53" i="11"/>
  <c r="D101" i="11" s="1"/>
  <c r="D56" i="11"/>
  <c r="D104" i="11" s="1"/>
  <c r="X60" i="26"/>
  <c r="AC60" i="26" s="1"/>
  <c r="J60" i="26" s="1"/>
  <c r="J56" i="11" s="1"/>
  <c r="D51" i="11"/>
  <c r="D99" i="11" s="1"/>
  <c r="X35" i="26"/>
  <c r="D74" i="11"/>
  <c r="D120" i="11" s="1"/>
  <c r="X50" i="6"/>
  <c r="AC50" i="6" s="1"/>
  <c r="J50" i="6" s="1"/>
  <c r="J74" i="11" s="1"/>
  <c r="X60" i="6"/>
  <c r="AC60" i="6" s="1"/>
  <c r="J60" i="6" s="1"/>
  <c r="J76" i="11" s="1"/>
  <c r="D76" i="11"/>
  <c r="D122" i="11" s="1"/>
  <c r="X65" i="6"/>
  <c r="AC65" i="6" s="1"/>
  <c r="J65" i="6" s="1"/>
  <c r="J77" i="11" s="1"/>
  <c r="D77" i="11"/>
  <c r="D123" i="11" s="1"/>
  <c r="X25" i="26"/>
  <c r="D49" i="11"/>
  <c r="D97" i="11" s="1"/>
  <c r="D75" i="11"/>
  <c r="D121" i="11" s="1"/>
  <c r="X55" i="6"/>
  <c r="AC55" i="6" s="1"/>
  <c r="J55" i="6" s="1"/>
  <c r="J75" i="11" s="1"/>
  <c r="F104" i="11"/>
  <c r="F102" i="11"/>
  <c r="F120" i="11"/>
  <c r="AV21" i="15"/>
  <c r="AU27" i="15"/>
  <c r="AU28" i="15"/>
  <c r="AV22" i="15"/>
  <c r="F97" i="11"/>
  <c r="F115" i="11"/>
  <c r="F116" i="11"/>
  <c r="F98" i="11"/>
  <c r="F114" i="11"/>
  <c r="F122" i="11"/>
  <c r="F96" i="11"/>
  <c r="J13" i="15"/>
  <c r="F99" i="11"/>
  <c r="F117" i="11"/>
  <c r="T20" i="6"/>
  <c r="AC20" i="5"/>
  <c r="J20" i="5" s="1"/>
  <c r="J18" i="11" s="1"/>
  <c r="J68" i="11" s="1"/>
  <c r="J114" i="11" s="1"/>
  <c r="J12" i="15"/>
  <c r="F103" i="11"/>
  <c r="Q20" i="26"/>
  <c r="AE20" i="26" s="1"/>
  <c r="L48" i="11" s="1"/>
  <c r="S20" i="26"/>
  <c r="W20" i="26"/>
  <c r="P20" i="26"/>
  <c r="AD20" i="26" s="1"/>
  <c r="K48" i="11" s="1"/>
  <c r="T20" i="26"/>
  <c r="U20" i="26"/>
  <c r="R20" i="26"/>
  <c r="V20" i="26"/>
  <c r="Q30" i="6"/>
  <c r="AE30" i="6" s="1"/>
  <c r="L70" i="11" s="1"/>
  <c r="P30" i="6"/>
  <c r="AD30" i="6" s="1"/>
  <c r="K70" i="11" s="1"/>
  <c r="T30" i="6"/>
  <c r="U30" i="6"/>
  <c r="V30" i="6"/>
  <c r="W30" i="6"/>
  <c r="S30" i="6"/>
  <c r="R30" i="6"/>
  <c r="P4" i="15"/>
  <c r="R30" i="26"/>
  <c r="S30" i="26"/>
  <c r="Q30" i="26"/>
  <c r="AE30" i="26" s="1"/>
  <c r="L50" i="11" s="1"/>
  <c r="W30" i="26"/>
  <c r="V30" i="26"/>
  <c r="T30" i="26"/>
  <c r="P30" i="26"/>
  <c r="AD30" i="26" s="1"/>
  <c r="K50" i="11" s="1"/>
  <c r="K98" i="11" s="1"/>
  <c r="U30" i="26"/>
  <c r="U35" i="6"/>
  <c r="P35" i="6"/>
  <c r="AD35" i="6" s="1"/>
  <c r="K71" i="11" s="1"/>
  <c r="V35" i="6"/>
  <c r="T35" i="6"/>
  <c r="Q35" i="6"/>
  <c r="AE35" i="6" s="1"/>
  <c r="L71" i="11" s="1"/>
  <c r="W35" i="6"/>
  <c r="R35" i="6"/>
  <c r="S35" i="6"/>
  <c r="K12" i="15"/>
  <c r="F121" i="11"/>
  <c r="J10" i="15"/>
  <c r="F101" i="11"/>
  <c r="Q25" i="26"/>
  <c r="AE25" i="26" s="1"/>
  <c r="L49" i="11" s="1"/>
  <c r="U25" i="26"/>
  <c r="V25" i="26"/>
  <c r="W25" i="26"/>
  <c r="P25" i="26"/>
  <c r="AD25" i="26" s="1"/>
  <c r="K49" i="11" s="1"/>
  <c r="S25" i="26"/>
  <c r="R25" i="26"/>
  <c r="T25" i="26"/>
  <c r="K10" i="15"/>
  <c r="F119" i="11"/>
  <c r="S35" i="26"/>
  <c r="T35" i="26"/>
  <c r="R35" i="26"/>
  <c r="U35" i="26"/>
  <c r="Q35" i="26"/>
  <c r="AE35" i="26" s="1"/>
  <c r="L51" i="11" s="1"/>
  <c r="P35" i="26"/>
  <c r="AD35" i="26" s="1"/>
  <c r="K51" i="11" s="1"/>
  <c r="W35" i="26"/>
  <c r="V35" i="26"/>
  <c r="S25" i="6"/>
  <c r="P25" i="6"/>
  <c r="AD25" i="6" s="1"/>
  <c r="K69" i="11" s="1"/>
  <c r="U25" i="6"/>
  <c r="V25" i="6"/>
  <c r="Q25" i="6"/>
  <c r="AE25" i="6" s="1"/>
  <c r="L69" i="11" s="1"/>
  <c r="T25" i="6"/>
  <c r="R25" i="6"/>
  <c r="W25" i="6"/>
  <c r="V100" i="5" l="1"/>
  <c r="P100" i="5"/>
  <c r="Q100" i="5"/>
  <c r="R100" i="5"/>
  <c r="S100" i="5"/>
  <c r="Y100" i="5"/>
  <c r="T100" i="5"/>
  <c r="AC100" i="5" s="1"/>
  <c r="J100" i="5" s="1"/>
  <c r="J34" i="11" s="1"/>
  <c r="P21" i="15" s="1"/>
  <c r="Z100" i="5"/>
  <c r="U100" i="5"/>
  <c r="W100" i="5"/>
  <c r="D132" i="11"/>
  <c r="U95" i="5"/>
  <c r="Q95" i="5"/>
  <c r="R95" i="5"/>
  <c r="W95" i="5"/>
  <c r="Z95" i="5"/>
  <c r="S95" i="5"/>
  <c r="Y95" i="5"/>
  <c r="V95" i="5"/>
  <c r="P95" i="5"/>
  <c r="T95" i="5"/>
  <c r="AC95" i="5" s="1"/>
  <c r="J95" i="5" s="1"/>
  <c r="J33" i="11" s="1"/>
  <c r="P20" i="15" s="1"/>
  <c r="V135" i="6"/>
  <c r="S135" i="6"/>
  <c r="U135" i="6"/>
  <c r="Z135" i="6"/>
  <c r="T135" i="6"/>
  <c r="R135" i="6"/>
  <c r="Y135" i="6"/>
  <c r="Q135" i="6"/>
  <c r="AE135" i="6" s="1"/>
  <c r="P135" i="6"/>
  <c r="AD135" i="6" s="1"/>
  <c r="W135" i="6"/>
  <c r="Q125" i="6"/>
  <c r="W125" i="6"/>
  <c r="V125" i="6"/>
  <c r="U125" i="6"/>
  <c r="S125" i="6"/>
  <c r="T125" i="6"/>
  <c r="Z125" i="6"/>
  <c r="P125" i="6"/>
  <c r="R125" i="6"/>
  <c r="Y125" i="6"/>
  <c r="Q140" i="6"/>
  <c r="AA140" i="6"/>
  <c r="Z140" i="6"/>
  <c r="P140" i="6"/>
  <c r="Y140" i="6"/>
  <c r="W140" i="6"/>
  <c r="U140" i="6"/>
  <c r="AF140" i="6" s="1"/>
  <c r="V140" i="6"/>
  <c r="S140" i="6"/>
  <c r="R140" i="6"/>
  <c r="T140" i="6"/>
  <c r="AB140" i="6"/>
  <c r="R130" i="6"/>
  <c r="V130" i="6"/>
  <c r="Q130" i="6"/>
  <c r="U130" i="6"/>
  <c r="P130" i="6"/>
  <c r="S130" i="6"/>
  <c r="T130" i="6"/>
  <c r="Z130" i="6"/>
  <c r="Y130" i="6"/>
  <c r="W130" i="6"/>
  <c r="K24" i="15"/>
  <c r="F133" i="11"/>
  <c r="E24" i="15"/>
  <c r="C133" i="11"/>
  <c r="T115" i="5"/>
  <c r="AC115" i="5" s="1"/>
  <c r="J115" i="5" s="1"/>
  <c r="J37" i="11" s="1"/>
  <c r="P24" i="15" s="1"/>
  <c r="U115" i="5"/>
  <c r="Q115" i="5"/>
  <c r="R115" i="5"/>
  <c r="S115" i="5"/>
  <c r="V115" i="5"/>
  <c r="P115" i="5"/>
  <c r="W115" i="5"/>
  <c r="D87" i="11"/>
  <c r="D133" i="11" s="1"/>
  <c r="X115" i="6"/>
  <c r="H58" i="34"/>
  <c r="H115" i="6" s="1"/>
  <c r="H87" i="11" s="1"/>
  <c r="H133" i="11" s="1"/>
  <c r="I29" i="34"/>
  <c r="I58" i="34" s="1"/>
  <c r="I115" i="6" s="1"/>
  <c r="I87" i="11" s="1"/>
  <c r="I133" i="11" s="1"/>
  <c r="AD110" i="5"/>
  <c r="K36" i="11" s="1"/>
  <c r="AE110" i="5"/>
  <c r="L36" i="11" s="1"/>
  <c r="D30" i="34"/>
  <c r="D59" i="34" s="1"/>
  <c r="D120" i="6" s="1"/>
  <c r="H30" i="34"/>
  <c r="G30" i="34"/>
  <c r="G59" i="34" s="1"/>
  <c r="G120" i="6" s="1"/>
  <c r="G88" i="11" s="1"/>
  <c r="G134" i="11" s="1"/>
  <c r="C30" i="34"/>
  <c r="C59" i="34" s="1"/>
  <c r="C120" i="6" s="1"/>
  <c r="C88" i="11" s="1"/>
  <c r="F30" i="34"/>
  <c r="F59" i="34" s="1"/>
  <c r="F120" i="6" s="1"/>
  <c r="F88" i="11" s="1"/>
  <c r="AA40" i="2"/>
  <c r="L31" i="34"/>
  <c r="M31" i="34" s="1"/>
  <c r="Z39" i="2"/>
  <c r="AI26" i="15" s="1"/>
  <c r="AO26" i="15" s="1"/>
  <c r="Z115" i="5"/>
  <c r="Y115" i="5"/>
  <c r="L125" i="5"/>
  <c r="O120" i="5"/>
  <c r="AD20" i="6"/>
  <c r="K68" i="11" s="1"/>
  <c r="L122" i="11"/>
  <c r="L115" i="11"/>
  <c r="L97" i="11"/>
  <c r="L99" i="11"/>
  <c r="L121" i="11"/>
  <c r="L98" i="11"/>
  <c r="K115" i="11"/>
  <c r="K97" i="11"/>
  <c r="L101" i="11"/>
  <c r="K121" i="11"/>
  <c r="AC30" i="6"/>
  <c r="J30" i="6" s="1"/>
  <c r="J70" i="11" s="1"/>
  <c r="J116" i="11" s="1"/>
  <c r="AC30" i="26"/>
  <c r="J30" i="26" s="1"/>
  <c r="J50" i="11" s="1"/>
  <c r="J98" i="11" s="1"/>
  <c r="K18" i="11"/>
  <c r="K96" i="11" s="1"/>
  <c r="K99" i="11"/>
  <c r="K55" i="11"/>
  <c r="L18" i="11"/>
  <c r="L114" i="11" s="1"/>
  <c r="AC25" i="26"/>
  <c r="J25" i="26" s="1"/>
  <c r="J49" i="11" s="1"/>
  <c r="J97" i="11" s="1"/>
  <c r="AC20" i="26"/>
  <c r="J20" i="26" s="1"/>
  <c r="J48" i="11" s="1"/>
  <c r="J96" i="11" s="1"/>
  <c r="AC35" i="6"/>
  <c r="J35" i="6" s="1"/>
  <c r="J71" i="11" s="1"/>
  <c r="J117" i="11" s="1"/>
  <c r="Q11" i="15"/>
  <c r="R13" i="15"/>
  <c r="J122" i="11"/>
  <c r="J103" i="11"/>
  <c r="Q12" i="15"/>
  <c r="J105" i="11"/>
  <c r="Q14" i="15"/>
  <c r="AC25" i="6"/>
  <c r="J25" i="6" s="1"/>
  <c r="J69" i="11" s="1"/>
  <c r="J115" i="11" s="1"/>
  <c r="J123" i="11"/>
  <c r="R14" i="15"/>
  <c r="J104" i="11"/>
  <c r="Q13" i="15"/>
  <c r="J120" i="11"/>
  <c r="R11" i="15"/>
  <c r="J119" i="11"/>
  <c r="R10" i="15"/>
  <c r="R12" i="15"/>
  <c r="J121" i="11"/>
  <c r="AC35" i="26"/>
  <c r="J35" i="26" s="1"/>
  <c r="J51" i="11" s="1"/>
  <c r="J99" i="11" s="1"/>
  <c r="AC20" i="6"/>
  <c r="J20" i="6" s="1"/>
  <c r="Q10" i="15"/>
  <c r="AV27" i="15"/>
  <c r="AV28" i="15"/>
  <c r="R5" i="15"/>
  <c r="P5" i="15"/>
  <c r="AE95" i="5" l="1"/>
  <c r="L33" i="11" s="1"/>
  <c r="AE100" i="5"/>
  <c r="L34" i="11" s="1"/>
  <c r="AD140" i="6"/>
  <c r="AD95" i="5"/>
  <c r="K33" i="11" s="1"/>
  <c r="AD130" i="6"/>
  <c r="AE140" i="6"/>
  <c r="AG140" i="6"/>
  <c r="AD100" i="5"/>
  <c r="K34" i="11" s="1"/>
  <c r="AE130" i="6"/>
  <c r="AE125" i="6"/>
  <c r="AD125" i="6"/>
  <c r="E25" i="15"/>
  <c r="C134" i="11"/>
  <c r="D88" i="11"/>
  <c r="D134" i="11" s="1"/>
  <c r="X120" i="6"/>
  <c r="T120" i="5"/>
  <c r="AC120" i="5" s="1"/>
  <c r="J120" i="5" s="1"/>
  <c r="J38" i="11" s="1"/>
  <c r="P25" i="15" s="1"/>
  <c r="U120" i="5"/>
  <c r="W120" i="5"/>
  <c r="P120" i="5"/>
  <c r="Q120" i="5"/>
  <c r="R120" i="5"/>
  <c r="S120" i="5"/>
  <c r="V120" i="5"/>
  <c r="F134" i="11"/>
  <c r="K25" i="15"/>
  <c r="I30" i="34"/>
  <c r="I59" i="34" s="1"/>
  <c r="I120" i="6" s="1"/>
  <c r="I88" i="11" s="1"/>
  <c r="I134" i="11" s="1"/>
  <c r="H59" i="34"/>
  <c r="H120" i="6" s="1"/>
  <c r="H88" i="11" s="1"/>
  <c r="H134" i="11" s="1"/>
  <c r="D31" i="34"/>
  <c r="D60" i="34" s="1"/>
  <c r="D125" i="6" s="1"/>
  <c r="C31" i="34"/>
  <c r="C60" i="34" s="1"/>
  <c r="C125" i="6" s="1"/>
  <c r="C89" i="11" s="1"/>
  <c r="G31" i="34"/>
  <c r="G60" i="34" s="1"/>
  <c r="G125" i="6" s="1"/>
  <c r="G89" i="11" s="1"/>
  <c r="G135" i="11" s="1"/>
  <c r="F31" i="34"/>
  <c r="F60" i="34" s="1"/>
  <c r="F125" i="6" s="1"/>
  <c r="F89" i="11" s="1"/>
  <c r="H31" i="34"/>
  <c r="AA41" i="2"/>
  <c r="L32" i="34"/>
  <c r="M32" i="34" s="1"/>
  <c r="Z40" i="2"/>
  <c r="AI27" i="15" s="1"/>
  <c r="AO27" i="15" s="1"/>
  <c r="Y120" i="5"/>
  <c r="Z120" i="5"/>
  <c r="L130" i="5"/>
  <c r="O125" i="5"/>
  <c r="AE115" i="5"/>
  <c r="L37" i="11" s="1"/>
  <c r="AD115" i="5"/>
  <c r="K37" i="11" s="1"/>
  <c r="R7" i="15"/>
  <c r="Q7" i="15"/>
  <c r="L96" i="11"/>
  <c r="K114" i="11"/>
  <c r="Q5" i="15"/>
  <c r="Q6" i="15"/>
  <c r="R8" i="15"/>
  <c r="R6" i="15"/>
  <c r="Q8" i="15"/>
  <c r="AD6" i="15"/>
  <c r="AF4" i="15"/>
  <c r="AD7" i="15"/>
  <c r="AD5" i="15"/>
  <c r="AD8" i="15"/>
  <c r="AD13" i="15"/>
  <c r="AD10" i="15"/>
  <c r="AD11" i="15"/>
  <c r="AD12" i="15"/>
  <c r="AD17" i="15"/>
  <c r="AD18" i="15"/>
  <c r="AD15" i="15"/>
  <c r="AD16" i="15"/>
  <c r="AF19" i="15"/>
  <c r="AE8" i="15"/>
  <c r="AE5" i="15"/>
  <c r="AE6" i="15"/>
  <c r="AE7" i="15"/>
  <c r="AE10" i="15"/>
  <c r="AE13" i="15"/>
  <c r="AE11" i="15"/>
  <c r="AE12" i="15"/>
  <c r="AE18" i="15"/>
  <c r="AE17" i="15"/>
  <c r="AE16" i="15"/>
  <c r="AE15" i="15"/>
  <c r="J28" i="2"/>
  <c r="J29" i="2"/>
  <c r="M29" i="2" s="1"/>
  <c r="J30" i="2"/>
  <c r="M30" i="2" s="1"/>
  <c r="J31" i="2"/>
  <c r="M31" i="2" s="1"/>
  <c r="J32" i="2"/>
  <c r="AF29" i="15" l="1"/>
  <c r="AF30" i="15" s="1"/>
  <c r="AF24" i="15"/>
  <c r="AO24" i="15" s="1"/>
  <c r="AD120" i="5"/>
  <c r="K38" i="11" s="1"/>
  <c r="D89" i="11"/>
  <c r="D135" i="11" s="1"/>
  <c r="X125" i="6"/>
  <c r="AC125" i="6" s="1"/>
  <c r="J125" i="6" s="1"/>
  <c r="J89" i="11" s="1"/>
  <c r="F135" i="11"/>
  <c r="L89" i="11"/>
  <c r="K26" i="15"/>
  <c r="T125" i="5"/>
  <c r="AC125" i="5" s="1"/>
  <c r="J125" i="5" s="1"/>
  <c r="J39" i="11" s="1"/>
  <c r="P26" i="15" s="1"/>
  <c r="U125" i="5"/>
  <c r="S125" i="5"/>
  <c r="V125" i="5"/>
  <c r="W125" i="5"/>
  <c r="P125" i="5"/>
  <c r="R125" i="5"/>
  <c r="Q125" i="5"/>
  <c r="E26" i="15"/>
  <c r="K89" i="11"/>
  <c r="C135" i="11"/>
  <c r="F32" i="34"/>
  <c r="F61" i="34" s="1"/>
  <c r="F130" i="6" s="1"/>
  <c r="F90" i="11" s="1"/>
  <c r="H32" i="34"/>
  <c r="G32" i="34"/>
  <c r="G61" i="34" s="1"/>
  <c r="G130" i="6" s="1"/>
  <c r="G90" i="11" s="1"/>
  <c r="G136" i="11" s="1"/>
  <c r="C32" i="34"/>
  <c r="C61" i="34" s="1"/>
  <c r="C130" i="6" s="1"/>
  <c r="C90" i="11" s="1"/>
  <c r="D32" i="34"/>
  <c r="D61" i="34" s="1"/>
  <c r="D130" i="6" s="1"/>
  <c r="M51" i="37"/>
  <c r="J51" i="37" s="1"/>
  <c r="AA42" i="2"/>
  <c r="L33" i="34"/>
  <c r="M33" i="34" s="1"/>
  <c r="Z41" i="2"/>
  <c r="AI28" i="15" s="1"/>
  <c r="AO28" i="15" s="1"/>
  <c r="H60" i="34"/>
  <c r="H125" i="6" s="1"/>
  <c r="H89" i="11" s="1"/>
  <c r="H135" i="11" s="1"/>
  <c r="I31" i="34"/>
  <c r="I60" i="34" s="1"/>
  <c r="I125" i="6" s="1"/>
  <c r="I89" i="11" s="1"/>
  <c r="I135" i="11" s="1"/>
  <c r="Y125" i="5"/>
  <c r="Z125" i="5"/>
  <c r="AE120" i="5"/>
  <c r="L38" i="11" s="1"/>
  <c r="L135" i="5"/>
  <c r="O130" i="5"/>
  <c r="AW22" i="15"/>
  <c r="AW21" i="15"/>
  <c r="AW28" i="15"/>
  <c r="AW27" i="15"/>
  <c r="AQ4" i="15"/>
  <c r="AP4" i="15"/>
  <c r="AO4" i="15"/>
  <c r="AF14" i="15"/>
  <c r="AF7" i="15"/>
  <c r="M28" i="2"/>
  <c r="M32" i="2"/>
  <c r="AF16" i="15"/>
  <c r="AF15" i="15"/>
  <c r="AF18" i="15"/>
  <c r="AF17" i="15"/>
  <c r="AF12" i="15"/>
  <c r="AF11" i="15"/>
  <c r="AF10" i="15"/>
  <c r="AF13" i="15"/>
  <c r="AF6" i="15"/>
  <c r="AF8" i="15"/>
  <c r="AF5" i="15"/>
  <c r="R26" i="15" l="1"/>
  <c r="J135" i="11"/>
  <c r="D90" i="11"/>
  <c r="D136" i="11" s="1"/>
  <c r="X130" i="6"/>
  <c r="AC130" i="6" s="1"/>
  <c r="J130" i="6" s="1"/>
  <c r="J90" i="11" s="1"/>
  <c r="C136" i="11"/>
  <c r="E27" i="15"/>
  <c r="K90" i="11"/>
  <c r="L90" i="11"/>
  <c r="F136" i="11"/>
  <c r="K27" i="15"/>
  <c r="T130" i="5"/>
  <c r="AC130" i="5" s="1"/>
  <c r="J130" i="5" s="1"/>
  <c r="J40" i="11" s="1"/>
  <c r="P27" i="15" s="1"/>
  <c r="U130" i="5"/>
  <c r="Q130" i="5"/>
  <c r="R130" i="5"/>
  <c r="S130" i="5"/>
  <c r="V130" i="5"/>
  <c r="W130" i="5"/>
  <c r="P130" i="5"/>
  <c r="H33" i="34"/>
  <c r="G33" i="34"/>
  <c r="G62" i="34" s="1"/>
  <c r="G135" i="6" s="1"/>
  <c r="G91" i="11" s="1"/>
  <c r="G137" i="11" s="1"/>
  <c r="F33" i="34"/>
  <c r="F62" i="34" s="1"/>
  <c r="F135" i="6" s="1"/>
  <c r="F91" i="11" s="1"/>
  <c r="C33" i="34"/>
  <c r="C62" i="34" s="1"/>
  <c r="C135" i="6" s="1"/>
  <c r="C91" i="11" s="1"/>
  <c r="D33" i="34"/>
  <c r="D62" i="34" s="1"/>
  <c r="D135" i="6" s="1"/>
  <c r="L34" i="34"/>
  <c r="M34" i="34" s="1"/>
  <c r="Z42" i="2"/>
  <c r="AI29" i="15" s="1"/>
  <c r="I32" i="34"/>
  <c r="I61" i="34" s="1"/>
  <c r="I130" i="6" s="1"/>
  <c r="I90" i="11" s="1"/>
  <c r="I136" i="11" s="1"/>
  <c r="H61" i="34"/>
  <c r="H130" i="6" s="1"/>
  <c r="H90" i="11" s="1"/>
  <c r="H136" i="11" s="1"/>
  <c r="AE125" i="5"/>
  <c r="L39" i="11" s="1"/>
  <c r="L135" i="11" s="1"/>
  <c r="Q51" i="37"/>
  <c r="N51" i="37" s="1"/>
  <c r="M33" i="2"/>
  <c r="M34" i="2" s="1"/>
  <c r="M35" i="2" s="1"/>
  <c r="M36" i="2" s="1"/>
  <c r="M37" i="2" s="1"/>
  <c r="M38" i="2" s="1"/>
  <c r="M39" i="2" s="1"/>
  <c r="M40" i="2" s="1"/>
  <c r="M41" i="2" s="1"/>
  <c r="M42" i="2" s="1"/>
  <c r="Z130" i="5"/>
  <c r="Y130" i="5"/>
  <c r="L140" i="5"/>
  <c r="O140" i="5" s="1"/>
  <c r="O135" i="5"/>
  <c r="AD125" i="5"/>
  <c r="K39" i="11" s="1"/>
  <c r="K135" i="11" s="1"/>
  <c r="AP6" i="15"/>
  <c r="AO6" i="15"/>
  <c r="AQ6" i="15"/>
  <c r="AP7" i="15"/>
  <c r="AO7" i="15"/>
  <c r="AQ7" i="15"/>
  <c r="AF9" i="15"/>
  <c r="AP14" i="15"/>
  <c r="AO14" i="15"/>
  <c r="AQ14" i="15"/>
  <c r="AP13" i="15"/>
  <c r="AO13" i="15"/>
  <c r="AQ13" i="15"/>
  <c r="AP10" i="15"/>
  <c r="AO10" i="15"/>
  <c r="AQ10" i="15"/>
  <c r="AO5" i="15"/>
  <c r="AQ5" i="15"/>
  <c r="AP5" i="15"/>
  <c r="AP11" i="15"/>
  <c r="AO11" i="15"/>
  <c r="AQ11" i="15"/>
  <c r="AP8" i="15"/>
  <c r="AO8" i="15"/>
  <c r="AQ8" i="15"/>
  <c r="AO12" i="15"/>
  <c r="AP12" i="15"/>
  <c r="AQ12" i="15"/>
  <c r="AO29" i="15" l="1"/>
  <c r="AO30" i="15" s="1"/>
  <c r="AI30" i="15"/>
  <c r="J136" i="11"/>
  <c r="R27" i="15"/>
  <c r="K28" i="15"/>
  <c r="L91" i="11"/>
  <c r="F137" i="11"/>
  <c r="T135" i="5"/>
  <c r="AC135" i="5" s="1"/>
  <c r="J135" i="5" s="1"/>
  <c r="J41" i="11" s="1"/>
  <c r="P28" i="15" s="1"/>
  <c r="U135" i="5"/>
  <c r="Q135" i="5"/>
  <c r="R135" i="5"/>
  <c r="S135" i="5"/>
  <c r="V135" i="5"/>
  <c r="P135" i="5"/>
  <c r="W135" i="5"/>
  <c r="T140" i="5"/>
  <c r="AC140" i="5" s="1"/>
  <c r="J140" i="5" s="1"/>
  <c r="J42" i="11" s="1"/>
  <c r="P29" i="15" s="1"/>
  <c r="AB140" i="5"/>
  <c r="U140" i="5"/>
  <c r="W140" i="5"/>
  <c r="P140" i="5"/>
  <c r="V140" i="5"/>
  <c r="AA140" i="5"/>
  <c r="Q140" i="5"/>
  <c r="R140" i="5"/>
  <c r="S140" i="5"/>
  <c r="X135" i="6"/>
  <c r="AC135" i="6" s="1"/>
  <c r="J135" i="6" s="1"/>
  <c r="J91" i="11" s="1"/>
  <c r="D91" i="11"/>
  <c r="D137" i="11" s="1"/>
  <c r="C137" i="11"/>
  <c r="E28" i="15"/>
  <c r="K91" i="11"/>
  <c r="AD130" i="5"/>
  <c r="K40" i="11" s="1"/>
  <c r="K136" i="11" s="1"/>
  <c r="G34" i="34"/>
  <c r="G63" i="34" s="1"/>
  <c r="G140" i="6" s="1"/>
  <c r="G92" i="11" s="1"/>
  <c r="C34" i="34"/>
  <c r="C63" i="34" s="1"/>
  <c r="C140" i="6" s="1"/>
  <c r="C92" i="11" s="1"/>
  <c r="F34" i="34"/>
  <c r="F63" i="34" s="1"/>
  <c r="F140" i="6" s="1"/>
  <c r="F92" i="11" s="1"/>
  <c r="H34" i="34"/>
  <c r="D34" i="34"/>
  <c r="D63" i="34" s="1"/>
  <c r="D140" i="6" s="1"/>
  <c r="I33" i="34"/>
  <c r="I62" i="34" s="1"/>
  <c r="I135" i="6" s="1"/>
  <c r="I91" i="11" s="1"/>
  <c r="I137" i="11" s="1"/>
  <c r="H62" i="34"/>
  <c r="H135" i="6" s="1"/>
  <c r="H91" i="11" s="1"/>
  <c r="H137" i="11" s="1"/>
  <c r="AE130" i="5"/>
  <c r="L40" i="11" s="1"/>
  <c r="L136" i="11" s="1"/>
  <c r="Y135" i="5"/>
  <c r="Z135" i="5"/>
  <c r="Y140" i="5"/>
  <c r="Z140" i="5"/>
  <c r="AP9" i="15"/>
  <c r="AO9" i="15"/>
  <c r="AQ9" i="15"/>
  <c r="X140" i="6" l="1"/>
  <c r="AC140" i="6" s="1"/>
  <c r="J140" i="6" s="1"/>
  <c r="J92" i="11" s="1"/>
  <c r="D92" i="11"/>
  <c r="D138" i="11" s="1"/>
  <c r="P31" i="15"/>
  <c r="F138" i="11"/>
  <c r="K29" i="15"/>
  <c r="L92" i="11"/>
  <c r="R28" i="15"/>
  <c r="J137" i="11"/>
  <c r="K92" i="11"/>
  <c r="C138" i="11"/>
  <c r="E29" i="15"/>
  <c r="M92" i="11"/>
  <c r="G138" i="11"/>
  <c r="AE140" i="5"/>
  <c r="L42" i="11" s="1"/>
  <c r="AG140" i="5"/>
  <c r="N42" i="11" s="1"/>
  <c r="AD135" i="5"/>
  <c r="K41" i="11" s="1"/>
  <c r="K137" i="11" s="1"/>
  <c r="I34" i="34"/>
  <c r="I63" i="34" s="1"/>
  <c r="I140" i="6" s="1"/>
  <c r="I92" i="11" s="1"/>
  <c r="I138" i="11" s="1"/>
  <c r="H63" i="34"/>
  <c r="H140" i="6" s="1"/>
  <c r="H92" i="11" s="1"/>
  <c r="AE135" i="5"/>
  <c r="L41" i="11" s="1"/>
  <c r="L137" i="11" s="1"/>
  <c r="AD140" i="5"/>
  <c r="K42" i="11" s="1"/>
  <c r="AF140" i="5"/>
  <c r="M42" i="11" s="1"/>
  <c r="M138" i="11" l="1"/>
  <c r="E31" i="15"/>
  <c r="K138" i="11"/>
  <c r="R29" i="15"/>
  <c r="J138" i="11"/>
  <c r="H138" i="11"/>
  <c r="N92" i="11"/>
  <c r="N138" i="11" s="1"/>
  <c r="L138" i="11"/>
  <c r="K31" i="15"/>
  <c r="E70" i="26"/>
  <c r="E75" i="26"/>
  <c r="E78" i="11"/>
  <c r="E124" i="11" s="1"/>
  <c r="R31" i="15" l="1"/>
  <c r="E58" i="11"/>
  <c r="E106" i="11" s="1"/>
  <c r="E80" i="26"/>
  <c r="E79" i="11"/>
  <c r="E125" i="11" s="1"/>
  <c r="E59" i="11"/>
  <c r="E107" i="11" s="1"/>
  <c r="K116" i="11" l="1"/>
  <c r="L116" i="11"/>
  <c r="K102" i="11"/>
  <c r="L102" i="11"/>
  <c r="H90" i="26"/>
  <c r="E80" i="11"/>
  <c r="E126" i="11" s="1"/>
  <c r="E60" i="11"/>
  <c r="E108" i="11" s="1"/>
  <c r="L117" i="11" l="1"/>
  <c r="L103" i="11"/>
  <c r="K117" i="11"/>
  <c r="E85" i="26"/>
  <c r="H62" i="11"/>
  <c r="E81" i="11"/>
  <c r="E127" i="11" s="1"/>
  <c r="E82" i="11"/>
  <c r="E128" i="11" s="1"/>
  <c r="H110" i="11" l="1"/>
  <c r="K103" i="11"/>
  <c r="L118" i="11"/>
  <c r="K118" i="11"/>
  <c r="I90" i="26"/>
  <c r="I62" i="11" s="1"/>
  <c r="I110" i="11" s="1"/>
  <c r="I53" i="34"/>
  <c r="H90" i="6"/>
  <c r="H82" i="11" s="1"/>
  <c r="E61" i="11"/>
  <c r="E109" i="11" s="1"/>
  <c r="E90" i="26"/>
  <c r="H128" i="11" l="1"/>
  <c r="L104" i="11"/>
  <c r="L119" i="11"/>
  <c r="K104" i="11"/>
  <c r="K119" i="11"/>
  <c r="I90" i="6"/>
  <c r="I82" i="11" s="1"/>
  <c r="I128" i="11" s="1"/>
  <c r="E62" i="11"/>
  <c r="E110" i="11" s="1"/>
  <c r="K105" i="11" l="1"/>
  <c r="L120" i="11"/>
  <c r="L105" i="11"/>
  <c r="K120" i="11"/>
  <c r="AD28" i="2"/>
  <c r="AE28" i="2" s="1"/>
  <c r="V28" i="2"/>
  <c r="W28" i="2" s="1"/>
  <c r="AP28" i="2"/>
  <c r="AQ28" i="2" s="1"/>
  <c r="AN28" i="2"/>
  <c r="AN29" i="2" s="1"/>
  <c r="U28" i="2"/>
  <c r="AH28" i="2" s="1"/>
  <c r="AI28" i="2" s="1"/>
  <c r="Z28" i="2"/>
  <c r="X28" i="2"/>
  <c r="Y28" i="2" s="1"/>
  <c r="U29" i="2"/>
  <c r="U31" i="2"/>
  <c r="U30" i="2"/>
  <c r="AP29" i="2" l="1"/>
  <c r="AI15" i="15"/>
  <c r="AO15" i="15" s="1"/>
  <c r="AA28" i="2"/>
  <c r="Z29" i="2"/>
  <c r="AO28" i="2"/>
  <c r="AH29" i="2"/>
  <c r="AO29" i="2"/>
  <c r="AN30" i="2"/>
  <c r="V29" i="2"/>
  <c r="AD29" i="2"/>
  <c r="AR28" i="2"/>
  <c r="AL28" i="2"/>
  <c r="AF28" i="2"/>
  <c r="AB28" i="2"/>
  <c r="AJ28" i="2"/>
  <c r="AM28" i="2" l="1"/>
  <c r="L70" i="26" s="1"/>
  <c r="O70" i="26" s="1"/>
  <c r="AJ15" i="15"/>
  <c r="AP15" i="15" s="1"/>
  <c r="AL29" i="2"/>
  <c r="AN31" i="2"/>
  <c r="AO30" i="2"/>
  <c r="AB29" i="2"/>
  <c r="AC28" i="2"/>
  <c r="AG28" i="2"/>
  <c r="AF29" i="2"/>
  <c r="L70" i="5"/>
  <c r="O70" i="5" s="1"/>
  <c r="L20" i="34"/>
  <c r="M20" i="34" s="1"/>
  <c r="AK28" i="2"/>
  <c r="AJ29" i="2"/>
  <c r="AH30" i="2"/>
  <c r="AI29" i="2"/>
  <c r="AI16" i="15"/>
  <c r="AO16" i="15" s="1"/>
  <c r="X29" i="2"/>
  <c r="Y29" i="2" s="1"/>
  <c r="Z30" i="2"/>
  <c r="AA29" i="2"/>
  <c r="AK15" i="15"/>
  <c r="AQ15" i="15" s="1"/>
  <c r="AR29" i="2"/>
  <c r="AS28" i="2"/>
  <c r="L70" i="6" s="1"/>
  <c r="O70" i="6" s="1"/>
  <c r="AD30" i="2"/>
  <c r="AE29" i="2"/>
  <c r="V30" i="2"/>
  <c r="W29" i="2"/>
  <c r="AQ29" i="2"/>
  <c r="AP30" i="2"/>
  <c r="AO31" i="2" l="1"/>
  <c r="AN32" i="2"/>
  <c r="AD31" i="2"/>
  <c r="AE30" i="2"/>
  <c r="AB30" i="2"/>
  <c r="AC29" i="2"/>
  <c r="C20" i="34"/>
  <c r="G20" i="34"/>
  <c r="D20" i="34"/>
  <c r="F20" i="34"/>
  <c r="H20" i="34"/>
  <c r="AM29" i="2"/>
  <c r="L75" i="26" s="1"/>
  <c r="O75" i="26" s="1"/>
  <c r="AJ16" i="15"/>
  <c r="AP16" i="15" s="1"/>
  <c r="AL30" i="2"/>
  <c r="R70" i="6"/>
  <c r="Z70" i="6"/>
  <c r="U70" i="6"/>
  <c r="S70" i="6"/>
  <c r="V70" i="6"/>
  <c r="T70" i="6"/>
  <c r="P70" i="6"/>
  <c r="Y70" i="6"/>
  <c r="Q70" i="6"/>
  <c r="W70" i="6"/>
  <c r="AK16" i="15"/>
  <c r="AQ16" i="15" s="1"/>
  <c r="AR30" i="2"/>
  <c r="AS29" i="2"/>
  <c r="L75" i="6" s="1"/>
  <c r="O75" i="6" s="1"/>
  <c r="L75" i="5"/>
  <c r="O75" i="5" s="1"/>
  <c r="L21" i="34"/>
  <c r="M21" i="34" s="1"/>
  <c r="AA30" i="2"/>
  <c r="AI17" i="15"/>
  <c r="AO17" i="15" s="1"/>
  <c r="X30" i="2"/>
  <c r="Y30" i="2" s="1"/>
  <c r="Z31" i="2"/>
  <c r="Q70" i="5"/>
  <c r="T70" i="5"/>
  <c r="AC70" i="5" s="1"/>
  <c r="J70" i="5" s="1"/>
  <c r="J28" i="11" s="1"/>
  <c r="P15" i="15" s="1"/>
  <c r="W70" i="5"/>
  <c r="U70" i="5"/>
  <c r="Y70" i="5"/>
  <c r="P70" i="5"/>
  <c r="AD70" i="5" s="1"/>
  <c r="K28" i="11" s="1"/>
  <c r="R70" i="5"/>
  <c r="S70" i="5"/>
  <c r="Z70" i="5"/>
  <c r="V70" i="5"/>
  <c r="AI30" i="2"/>
  <c r="AH31" i="2"/>
  <c r="AK29" i="2"/>
  <c r="AJ30" i="2"/>
  <c r="AP31" i="2"/>
  <c r="AQ30" i="2"/>
  <c r="V31" i="2"/>
  <c r="W30" i="2"/>
  <c r="AG29" i="2"/>
  <c r="AF30" i="2"/>
  <c r="Z70" i="26"/>
  <c r="W70" i="26"/>
  <c r="P70" i="26"/>
  <c r="AD70" i="26" s="1"/>
  <c r="S70" i="26"/>
  <c r="R70" i="26"/>
  <c r="V70" i="26"/>
  <c r="Y70" i="26"/>
  <c r="U70" i="26"/>
  <c r="Q70" i="26"/>
  <c r="AE70" i="26" s="1"/>
  <c r="T70" i="26"/>
  <c r="L80" i="5" l="1"/>
  <c r="O80" i="5" s="1"/>
  <c r="L22" i="34"/>
  <c r="M22" i="34" s="1"/>
  <c r="AL31" i="2"/>
  <c r="AJ17" i="15"/>
  <c r="AP17" i="15" s="1"/>
  <c r="AM30" i="2"/>
  <c r="L80" i="26" s="1"/>
  <c r="O80" i="26" s="1"/>
  <c r="AB31" i="2"/>
  <c r="AC30" i="2"/>
  <c r="AH32" i="2"/>
  <c r="AI31" i="2"/>
  <c r="V75" i="26"/>
  <c r="R75" i="26"/>
  <c r="W75" i="26"/>
  <c r="P75" i="26"/>
  <c r="AD75" i="26" s="1"/>
  <c r="Q75" i="26"/>
  <c r="AE75" i="26" s="1"/>
  <c r="Y75" i="26"/>
  <c r="Z75" i="26"/>
  <c r="U75" i="26"/>
  <c r="T75" i="26"/>
  <c r="S75" i="26"/>
  <c r="AP32" i="2"/>
  <c r="AQ31" i="2"/>
  <c r="C21" i="34"/>
  <c r="H21" i="34"/>
  <c r="G21" i="34"/>
  <c r="F21" i="34"/>
  <c r="D21" i="34"/>
  <c r="T75" i="6"/>
  <c r="Y75" i="6"/>
  <c r="S75" i="6"/>
  <c r="W75" i="6"/>
  <c r="R75" i="6"/>
  <c r="Q75" i="6"/>
  <c r="U75" i="6"/>
  <c r="V75" i="6"/>
  <c r="Z75" i="6"/>
  <c r="P75" i="6"/>
  <c r="AD75" i="6" s="1"/>
  <c r="I20" i="34"/>
  <c r="H49" i="34"/>
  <c r="H70" i="6" s="1"/>
  <c r="H78" i="11" s="1"/>
  <c r="H124" i="11" s="1"/>
  <c r="H70" i="26"/>
  <c r="H58" i="11" s="1"/>
  <c r="H106" i="11" s="1"/>
  <c r="AE31" i="2"/>
  <c r="AD32" i="2"/>
  <c r="AJ31" i="2"/>
  <c r="AK30" i="2"/>
  <c r="C49" i="34"/>
  <c r="C70" i="6" s="1"/>
  <c r="C78" i="11" s="1"/>
  <c r="D78" i="34"/>
  <c r="C70" i="26"/>
  <c r="C58" i="11" s="1"/>
  <c r="Q75" i="5"/>
  <c r="T75" i="5"/>
  <c r="AC75" i="5" s="1"/>
  <c r="J75" i="5" s="1"/>
  <c r="J29" i="11" s="1"/>
  <c r="P16" i="15" s="1"/>
  <c r="W75" i="5"/>
  <c r="P75" i="5"/>
  <c r="R75" i="5"/>
  <c r="Y75" i="5"/>
  <c r="U75" i="5"/>
  <c r="Z75" i="5"/>
  <c r="V75" i="5"/>
  <c r="S75" i="5"/>
  <c r="AE70" i="5"/>
  <c r="L28" i="11" s="1"/>
  <c r="AK17" i="15"/>
  <c r="AQ17" i="15" s="1"/>
  <c r="AS30" i="2"/>
  <c r="L80" i="6" s="1"/>
  <c r="O80" i="6" s="1"/>
  <c r="AR31" i="2"/>
  <c r="F49" i="34"/>
  <c r="F70" i="6" s="1"/>
  <c r="F78" i="11" s="1"/>
  <c r="F70" i="26"/>
  <c r="F58" i="11" s="1"/>
  <c r="F78" i="34"/>
  <c r="AN33" i="2"/>
  <c r="AO32" i="2"/>
  <c r="G78" i="34"/>
  <c r="G70" i="26"/>
  <c r="G58" i="11" s="1"/>
  <c r="G106" i="11" s="1"/>
  <c r="G49" i="34"/>
  <c r="G70" i="6" s="1"/>
  <c r="G78" i="11" s="1"/>
  <c r="G124" i="11" s="1"/>
  <c r="AE70" i="6"/>
  <c r="AF31" i="2"/>
  <c r="AG30" i="2"/>
  <c r="AD70" i="6"/>
  <c r="W31" i="2"/>
  <c r="X31" i="2"/>
  <c r="Y31" i="2" s="1"/>
  <c r="AA31" i="2"/>
  <c r="AI18" i="15"/>
  <c r="AO18" i="15" s="1"/>
  <c r="E78" i="34"/>
  <c r="D70" i="26"/>
  <c r="D49" i="34"/>
  <c r="D70" i="6" s="1"/>
  <c r="AR32" i="2" l="1"/>
  <c r="AK18" i="15"/>
  <c r="AQ18" i="15" s="1"/>
  <c r="AS31" i="2"/>
  <c r="L85" i="6" s="1"/>
  <c r="O85" i="6" s="1"/>
  <c r="K78" i="11"/>
  <c r="K124" i="11" s="1"/>
  <c r="E15" i="15"/>
  <c r="C124" i="11"/>
  <c r="AC31" i="2"/>
  <c r="AB32" i="2"/>
  <c r="V80" i="6"/>
  <c r="Q80" i="6"/>
  <c r="AE80" i="6" s="1"/>
  <c r="Z80" i="6"/>
  <c r="W80" i="6"/>
  <c r="P80" i="6"/>
  <c r="AD80" i="6" s="1"/>
  <c r="U80" i="6"/>
  <c r="S80" i="6"/>
  <c r="Y80" i="6"/>
  <c r="T80" i="6"/>
  <c r="R80" i="6"/>
  <c r="AD75" i="5"/>
  <c r="K29" i="11" s="1"/>
  <c r="AK31" i="2"/>
  <c r="AJ32" i="2"/>
  <c r="D79" i="34"/>
  <c r="C50" i="34"/>
  <c r="C75" i="6" s="1"/>
  <c r="C79" i="11" s="1"/>
  <c r="C75" i="26"/>
  <c r="C59" i="11" s="1"/>
  <c r="Z80" i="26"/>
  <c r="Q80" i="26"/>
  <c r="AE80" i="26" s="1"/>
  <c r="S80" i="26"/>
  <c r="T80" i="26"/>
  <c r="V80" i="26"/>
  <c r="Y80" i="26"/>
  <c r="P80" i="26"/>
  <c r="AD80" i="26" s="1"/>
  <c r="R80" i="26"/>
  <c r="U80" i="26"/>
  <c r="W80" i="26"/>
  <c r="L51" i="17"/>
  <c r="AE32" i="2"/>
  <c r="E79" i="34"/>
  <c r="D50" i="34"/>
  <c r="D75" i="6" s="1"/>
  <c r="D75" i="26"/>
  <c r="AL32" i="2"/>
  <c r="AJ18" i="15"/>
  <c r="AP18" i="15" s="1"/>
  <c r="AM31" i="2"/>
  <c r="L85" i="26" s="1"/>
  <c r="O85" i="26" s="1"/>
  <c r="W32" i="2"/>
  <c r="W33" i="2" s="1"/>
  <c r="G51" i="17"/>
  <c r="AE75" i="6"/>
  <c r="F79" i="34"/>
  <c r="F75" i="26"/>
  <c r="F59" i="11" s="1"/>
  <c r="F50" i="34"/>
  <c r="F75" i="6" s="1"/>
  <c r="F79" i="11" s="1"/>
  <c r="F22" i="34"/>
  <c r="G22" i="34"/>
  <c r="D22" i="34"/>
  <c r="H22" i="34"/>
  <c r="C22" i="34"/>
  <c r="I70" i="26"/>
  <c r="I58" i="11" s="1"/>
  <c r="I106" i="11" s="1"/>
  <c r="I49" i="34"/>
  <c r="I70" i="6" s="1"/>
  <c r="I78" i="11" s="1"/>
  <c r="I124" i="11" s="1"/>
  <c r="D78" i="11"/>
  <c r="D124" i="11" s="1"/>
  <c r="X70" i="6"/>
  <c r="AC70" i="6" s="1"/>
  <c r="J70" i="6" s="1"/>
  <c r="J78" i="11" s="1"/>
  <c r="X70" i="26"/>
  <c r="AC70" i="26" s="1"/>
  <c r="J70" i="26" s="1"/>
  <c r="J58" i="11" s="1"/>
  <c r="D58" i="11"/>
  <c r="D106" i="11" s="1"/>
  <c r="AE75" i="5"/>
  <c r="L29" i="11" s="1"/>
  <c r="G75" i="26"/>
  <c r="G59" i="11" s="1"/>
  <c r="G107" i="11" s="1"/>
  <c r="G50" i="34"/>
  <c r="G75" i="6" s="1"/>
  <c r="G79" i="11" s="1"/>
  <c r="G125" i="11" s="1"/>
  <c r="G79" i="34"/>
  <c r="T80" i="5"/>
  <c r="AC80" i="5" s="1"/>
  <c r="J80" i="5" s="1"/>
  <c r="J30" i="11" s="1"/>
  <c r="P17" i="15" s="1"/>
  <c r="R80" i="5"/>
  <c r="V80" i="5"/>
  <c r="S80" i="5"/>
  <c r="Q80" i="5"/>
  <c r="W80" i="5"/>
  <c r="P80" i="5"/>
  <c r="AD80" i="5" s="1"/>
  <c r="K30" i="11" s="1"/>
  <c r="Y80" i="5"/>
  <c r="U80" i="5"/>
  <c r="Z80" i="5"/>
  <c r="K15" i="15"/>
  <c r="L78" i="11"/>
  <c r="L124" i="11" s="1"/>
  <c r="F124" i="11"/>
  <c r="L85" i="5"/>
  <c r="O85" i="5" s="1"/>
  <c r="L23" i="34"/>
  <c r="M23" i="34" s="1"/>
  <c r="AP33" i="2"/>
  <c r="AQ32" i="2"/>
  <c r="AN34" i="2"/>
  <c r="AO33" i="2"/>
  <c r="AI19" i="15"/>
  <c r="AO19" i="15" s="1"/>
  <c r="X32" i="2"/>
  <c r="I51" i="17"/>
  <c r="F51" i="17" s="1"/>
  <c r="AG31" i="2"/>
  <c r="AF32" i="2"/>
  <c r="L58" i="11"/>
  <c r="L106" i="11" s="1"/>
  <c r="J15" i="15"/>
  <c r="F106" i="11"/>
  <c r="K58" i="11"/>
  <c r="K106" i="11" s="1"/>
  <c r="C106" i="11"/>
  <c r="D15" i="15"/>
  <c r="I21" i="34"/>
  <c r="H50" i="34"/>
  <c r="H75" i="6" s="1"/>
  <c r="H79" i="11" s="1"/>
  <c r="H125" i="11" s="1"/>
  <c r="H75" i="26"/>
  <c r="H59" i="11" s="1"/>
  <c r="H107" i="11" s="1"/>
  <c r="O51" i="17"/>
  <c r="AI32" i="2"/>
  <c r="J106" i="11" l="1"/>
  <c r="Q15" i="15"/>
  <c r="R15" i="15"/>
  <c r="J124" i="11"/>
  <c r="K79" i="11"/>
  <c r="K125" i="11" s="1"/>
  <c r="C125" i="11"/>
  <c r="E16" i="15"/>
  <c r="H51" i="34"/>
  <c r="H80" i="6" s="1"/>
  <c r="H80" i="11" s="1"/>
  <c r="H126" i="11" s="1"/>
  <c r="I22" i="34"/>
  <c r="H80" i="26"/>
  <c r="H60" i="11" s="1"/>
  <c r="H108" i="11" s="1"/>
  <c r="X75" i="6"/>
  <c r="AC75" i="6" s="1"/>
  <c r="J75" i="6" s="1"/>
  <c r="J79" i="11" s="1"/>
  <c r="D79" i="11"/>
  <c r="D125" i="11" s="1"/>
  <c r="D80" i="26"/>
  <c r="E80" i="34"/>
  <c r="D51" i="34"/>
  <c r="D80" i="6" s="1"/>
  <c r="V33" i="2"/>
  <c r="X33" i="2" s="1"/>
  <c r="W34" i="2"/>
  <c r="P51" i="17"/>
  <c r="AK32" i="2"/>
  <c r="G51" i="34"/>
  <c r="G80" i="6" s="1"/>
  <c r="G80" i="11" s="1"/>
  <c r="G126" i="11" s="1"/>
  <c r="G80" i="34"/>
  <c r="G80" i="26"/>
  <c r="G60" i="11" s="1"/>
  <c r="G108" i="11" s="1"/>
  <c r="X75" i="26"/>
  <c r="AC75" i="26" s="1"/>
  <c r="J75" i="26" s="1"/>
  <c r="J59" i="11" s="1"/>
  <c r="D59" i="11"/>
  <c r="D107" i="11" s="1"/>
  <c r="M51" i="17"/>
  <c r="J51" i="17" s="1"/>
  <c r="AG32" i="2"/>
  <c r="AQ33" i="2"/>
  <c r="AP34" i="2"/>
  <c r="F80" i="34"/>
  <c r="F51" i="34"/>
  <c r="F80" i="6" s="1"/>
  <c r="F80" i="11" s="1"/>
  <c r="F80" i="26"/>
  <c r="F60" i="11" s="1"/>
  <c r="Y85" i="26"/>
  <c r="R85" i="26"/>
  <c r="P85" i="26"/>
  <c r="AD85" i="26" s="1"/>
  <c r="U85" i="26"/>
  <c r="W85" i="26"/>
  <c r="Z85" i="26"/>
  <c r="Q85" i="26"/>
  <c r="S85" i="26"/>
  <c r="V85" i="26"/>
  <c r="T85" i="26"/>
  <c r="W85" i="6"/>
  <c r="V85" i="6"/>
  <c r="Z85" i="6"/>
  <c r="S85" i="6"/>
  <c r="U85" i="6"/>
  <c r="T85" i="6"/>
  <c r="R85" i="6"/>
  <c r="Q85" i="6"/>
  <c r="AE85" i="6" s="1"/>
  <c r="Y85" i="6"/>
  <c r="P85" i="6"/>
  <c r="D80" i="34"/>
  <c r="C51" i="34"/>
  <c r="C80" i="6" s="1"/>
  <c r="C80" i="11" s="1"/>
  <c r="C80" i="26"/>
  <c r="C60" i="11" s="1"/>
  <c r="L79" i="11"/>
  <c r="L125" i="11" s="1"/>
  <c r="F125" i="11"/>
  <c r="K16" i="15"/>
  <c r="AO34" i="2"/>
  <c r="AN35" i="2"/>
  <c r="I50" i="34"/>
  <c r="I75" i="6" s="1"/>
  <c r="I79" i="11" s="1"/>
  <c r="I125" i="11" s="1"/>
  <c r="I75" i="26"/>
  <c r="I59" i="11" s="1"/>
  <c r="I107" i="11" s="1"/>
  <c r="C23" i="34"/>
  <c r="F23" i="34"/>
  <c r="G23" i="34"/>
  <c r="H23" i="34"/>
  <c r="D23" i="34"/>
  <c r="L59" i="11"/>
  <c r="L107" i="11" s="1"/>
  <c r="F107" i="11"/>
  <c r="J16" i="15"/>
  <c r="AJ19" i="15"/>
  <c r="AP19" i="15" s="1"/>
  <c r="Q51" i="17"/>
  <c r="N51" i="17" s="1"/>
  <c r="AM32" i="2"/>
  <c r="L90" i="26" s="1"/>
  <c r="O90" i="26" s="1"/>
  <c r="AR33" i="2"/>
  <c r="AS32" i="2"/>
  <c r="AK19" i="15"/>
  <c r="AQ19" i="15" s="1"/>
  <c r="P85" i="5"/>
  <c r="Q85" i="5"/>
  <c r="AE85" i="5" s="1"/>
  <c r="L31" i="11" s="1"/>
  <c r="V85" i="5"/>
  <c r="S85" i="5"/>
  <c r="U85" i="5"/>
  <c r="Y85" i="5"/>
  <c r="Z85" i="5"/>
  <c r="R85" i="5"/>
  <c r="T85" i="5"/>
  <c r="AC85" i="5" s="1"/>
  <c r="J85" i="5" s="1"/>
  <c r="J31" i="11" s="1"/>
  <c r="P18" i="15" s="1"/>
  <c r="P30" i="15" s="1"/>
  <c r="W85" i="5"/>
  <c r="Y32" i="2"/>
  <c r="Y33" i="2" s="1"/>
  <c r="Y34" i="2" s="1"/>
  <c r="Y35" i="2" s="1"/>
  <c r="Y36" i="2" s="1"/>
  <c r="Y37" i="2" s="1"/>
  <c r="Y38" i="2" s="1"/>
  <c r="Y39" i="2" s="1"/>
  <c r="Y40" i="2" s="1"/>
  <c r="Y41" i="2" s="1"/>
  <c r="Y42" i="2" s="1"/>
  <c r="H51" i="17"/>
  <c r="AE80" i="5"/>
  <c r="L30" i="11" s="1"/>
  <c r="K59" i="11"/>
  <c r="K107" i="11" s="1"/>
  <c r="C107" i="11"/>
  <c r="D16" i="15"/>
  <c r="K51" i="17"/>
  <c r="AC32" i="2"/>
  <c r="Q16" i="15" l="1"/>
  <c r="J107" i="11"/>
  <c r="J125" i="11"/>
  <c r="R16" i="15"/>
  <c r="E17" i="15"/>
  <c r="C126" i="11"/>
  <c r="K80" i="11"/>
  <c r="K126" i="11" s="1"/>
  <c r="AQ34" i="2"/>
  <c r="AP35" i="2"/>
  <c r="W35" i="2"/>
  <c r="V34" i="2"/>
  <c r="X34" i="2" s="1"/>
  <c r="L90" i="6"/>
  <c r="O90" i="6" s="1"/>
  <c r="AM44" i="2"/>
  <c r="AO35" i="2"/>
  <c r="AN36" i="2"/>
  <c r="AD85" i="6"/>
  <c r="F52" i="34"/>
  <c r="F85" i="6" s="1"/>
  <c r="F81" i="11" s="1"/>
  <c r="F81" i="34"/>
  <c r="F85" i="26"/>
  <c r="F61" i="11" s="1"/>
  <c r="AS33" i="2"/>
  <c r="L95" i="6" s="1"/>
  <c r="O95" i="6" s="1"/>
  <c r="AK20" i="15"/>
  <c r="AQ20" i="15" s="1"/>
  <c r="AR34" i="2"/>
  <c r="D85" i="26"/>
  <c r="D52" i="34"/>
  <c r="D85" i="6" s="1"/>
  <c r="E81" i="34"/>
  <c r="X80" i="6"/>
  <c r="AC80" i="6" s="1"/>
  <c r="J80" i="6" s="1"/>
  <c r="J80" i="11" s="1"/>
  <c r="D80" i="11"/>
  <c r="D126" i="11" s="1"/>
  <c r="I51" i="34"/>
  <c r="I80" i="6" s="1"/>
  <c r="I80" i="11" s="1"/>
  <c r="I126" i="11" s="1"/>
  <c r="I80" i="26"/>
  <c r="I60" i="11" s="1"/>
  <c r="I108" i="11" s="1"/>
  <c r="I23" i="34"/>
  <c r="H85" i="26"/>
  <c r="H61" i="11" s="1"/>
  <c r="H109" i="11" s="1"/>
  <c r="H52" i="34"/>
  <c r="H85" i="6" s="1"/>
  <c r="H81" i="11" s="1"/>
  <c r="H127" i="11" s="1"/>
  <c r="R10" i="11"/>
  <c r="AB90" i="26"/>
  <c r="Y90" i="26"/>
  <c r="AA90" i="26"/>
  <c r="S90" i="26"/>
  <c r="P90" i="26"/>
  <c r="Q90" i="26"/>
  <c r="AE90" i="26" s="1"/>
  <c r="L62" i="11" s="1"/>
  <c r="L110" i="11" s="1"/>
  <c r="W90" i="26"/>
  <c r="U90" i="26"/>
  <c r="AF90" i="26" s="1"/>
  <c r="M62" i="11" s="1"/>
  <c r="M110" i="11" s="1"/>
  <c r="Z90" i="26"/>
  <c r="T90" i="26"/>
  <c r="AC90" i="26" s="1"/>
  <c r="J90" i="26" s="1"/>
  <c r="J62" i="11" s="1"/>
  <c r="V90" i="26"/>
  <c r="AG90" i="26" s="1"/>
  <c r="N62" i="11" s="1"/>
  <c r="N110" i="11" s="1"/>
  <c r="R90" i="26"/>
  <c r="G81" i="34"/>
  <c r="G52" i="34"/>
  <c r="G85" i="6" s="1"/>
  <c r="G81" i="11" s="1"/>
  <c r="G127" i="11" s="1"/>
  <c r="G85" i="26"/>
  <c r="G61" i="11" s="1"/>
  <c r="G109" i="11" s="1"/>
  <c r="X80" i="26"/>
  <c r="AC80" i="26" s="1"/>
  <c r="J80" i="26" s="1"/>
  <c r="J60" i="11" s="1"/>
  <c r="D60" i="11"/>
  <c r="D108" i="11" s="1"/>
  <c r="J17" i="15"/>
  <c r="L60" i="11"/>
  <c r="L108" i="11" s="1"/>
  <c r="F108" i="11"/>
  <c r="AD85" i="5"/>
  <c r="K31" i="11" s="1"/>
  <c r="C52" i="34"/>
  <c r="C85" i="6" s="1"/>
  <c r="C81" i="11" s="1"/>
  <c r="D81" i="34"/>
  <c r="C85" i="26"/>
  <c r="C61" i="11" s="1"/>
  <c r="K60" i="11"/>
  <c r="K108" i="11" s="1"/>
  <c r="C108" i="11"/>
  <c r="D17" i="15"/>
  <c r="AE85" i="26"/>
  <c r="K17" i="15"/>
  <c r="L80" i="11"/>
  <c r="L126" i="11" s="1"/>
  <c r="F126" i="11"/>
  <c r="R17" i="15" l="1"/>
  <c r="J126" i="11"/>
  <c r="Q17" i="15"/>
  <c r="J108" i="11"/>
  <c r="Q90" i="6"/>
  <c r="AE90" i="6" s="1"/>
  <c r="L82" i="11" s="1"/>
  <c r="L128" i="11" s="1"/>
  <c r="AB90" i="6"/>
  <c r="R14" i="11"/>
  <c r="Y90" i="6"/>
  <c r="AA90" i="6"/>
  <c r="T90" i="6"/>
  <c r="AC90" i="6" s="1"/>
  <c r="J90" i="6" s="1"/>
  <c r="J82" i="11" s="1"/>
  <c r="R90" i="6"/>
  <c r="S90" i="6"/>
  <c r="V90" i="6"/>
  <c r="AG90" i="6" s="1"/>
  <c r="N82" i="11" s="1"/>
  <c r="N128" i="11" s="1"/>
  <c r="P90" i="6"/>
  <c r="U90" i="6"/>
  <c r="AF90" i="6" s="1"/>
  <c r="M82" i="11" s="1"/>
  <c r="M128" i="11" s="1"/>
  <c r="Z90" i="6"/>
  <c r="W90" i="6"/>
  <c r="K61" i="11"/>
  <c r="K109" i="11" s="1"/>
  <c r="C109" i="11"/>
  <c r="D18" i="15"/>
  <c r="AU14" i="15" s="1"/>
  <c r="AD90" i="26"/>
  <c r="K62" i="11" s="1"/>
  <c r="K110" i="11" s="1"/>
  <c r="F109" i="11"/>
  <c r="L61" i="11"/>
  <c r="L109" i="11" s="1"/>
  <c r="J18" i="15"/>
  <c r="AV14" i="15" s="1"/>
  <c r="V95" i="6"/>
  <c r="U95" i="6"/>
  <c r="P95" i="6"/>
  <c r="S95" i="6"/>
  <c r="T95" i="6"/>
  <c r="AC95" i="6" s="1"/>
  <c r="J95" i="6" s="1"/>
  <c r="J83" i="11" s="1"/>
  <c r="R95" i="6"/>
  <c r="Y95" i="6"/>
  <c r="Q95" i="6"/>
  <c r="W95" i="6"/>
  <c r="Z95" i="6"/>
  <c r="V35" i="2"/>
  <c r="X35" i="2" s="1"/>
  <c r="W36" i="2"/>
  <c r="E18" i="15"/>
  <c r="AU8" i="15" s="1"/>
  <c r="K81" i="11"/>
  <c r="K127" i="11" s="1"/>
  <c r="C127" i="11"/>
  <c r="AV15" i="15"/>
  <c r="L81" i="11"/>
  <c r="L127" i="11" s="1"/>
  <c r="F127" i="11"/>
  <c r="K18" i="15"/>
  <c r="AV8" i="15" s="1"/>
  <c r="AQ35" i="2"/>
  <c r="AP36" i="2"/>
  <c r="J110" i="11"/>
  <c r="Q19" i="15"/>
  <c r="J85" i="6"/>
  <c r="J81" i="11" s="1"/>
  <c r="D81" i="11"/>
  <c r="D127" i="11" s="1"/>
  <c r="X85" i="6"/>
  <c r="AC85" i="6" s="1"/>
  <c r="I52" i="34"/>
  <c r="I85" i="6" s="1"/>
  <c r="I81" i="11" s="1"/>
  <c r="I127" i="11" s="1"/>
  <c r="I85" i="26"/>
  <c r="I61" i="11" s="1"/>
  <c r="I109" i="11" s="1"/>
  <c r="D61" i="11"/>
  <c r="D109" i="11" s="1"/>
  <c r="X85" i="26"/>
  <c r="AC85" i="26" s="1"/>
  <c r="J85" i="26" s="1"/>
  <c r="J61" i="11" s="1"/>
  <c r="AN37" i="2"/>
  <c r="AO36" i="2"/>
  <c r="R11" i="11"/>
  <c r="U10" i="11"/>
  <c r="U18" i="11" s="1"/>
  <c r="T10" i="11"/>
  <c r="T18" i="11" s="1"/>
  <c r="S10" i="11"/>
  <c r="S18" i="11" s="1"/>
  <c r="V10" i="11"/>
  <c r="V18" i="11" s="1"/>
  <c r="AR35" i="2"/>
  <c r="AS34" i="2"/>
  <c r="L100" i="6" s="1"/>
  <c r="O100" i="6" s="1"/>
  <c r="AK21" i="15"/>
  <c r="AQ21" i="15" s="1"/>
  <c r="AU15" i="15" l="1"/>
  <c r="E30" i="15"/>
  <c r="J109" i="11"/>
  <c r="Q18" i="15"/>
  <c r="W37" i="2"/>
  <c r="V36" i="2"/>
  <c r="X36" i="2" s="1"/>
  <c r="V11" i="11"/>
  <c r="V19" i="11" s="1"/>
  <c r="U11" i="11"/>
  <c r="U19" i="11" s="1"/>
  <c r="R12" i="11"/>
  <c r="S11" i="11"/>
  <c r="S19" i="11" s="1"/>
  <c r="T11" i="11"/>
  <c r="T19" i="11" s="1"/>
  <c r="K30" i="15"/>
  <c r="AD95" i="6"/>
  <c r="K83" i="11" s="1"/>
  <c r="K129" i="11" s="1"/>
  <c r="AW14" i="15"/>
  <c r="J128" i="11"/>
  <c r="R19" i="15"/>
  <c r="R20" i="15"/>
  <c r="J129" i="11"/>
  <c r="V100" i="6"/>
  <c r="Q100" i="6"/>
  <c r="S100" i="6"/>
  <c r="T100" i="6"/>
  <c r="AC100" i="6" s="1"/>
  <c r="J100" i="6" s="1"/>
  <c r="J84" i="11" s="1"/>
  <c r="Y100" i="6"/>
  <c r="R100" i="6"/>
  <c r="P100" i="6"/>
  <c r="AD100" i="6" s="1"/>
  <c r="K84" i="11" s="1"/>
  <c r="K130" i="11" s="1"/>
  <c r="U100" i="6"/>
  <c r="W100" i="6"/>
  <c r="Z100" i="6"/>
  <c r="AN38" i="2"/>
  <c r="AO37" i="2"/>
  <c r="J127" i="11"/>
  <c r="R18" i="15"/>
  <c r="AS35" i="2"/>
  <c r="L105" i="6" s="1"/>
  <c r="O105" i="6" s="1"/>
  <c r="AK22" i="15"/>
  <c r="AQ22" i="15" s="1"/>
  <c r="AR36" i="2"/>
  <c r="AE95" i="6"/>
  <c r="L83" i="11" s="1"/>
  <c r="L129" i="11" s="1"/>
  <c r="R15" i="11"/>
  <c r="T14" i="11"/>
  <c r="T22" i="11" s="1"/>
  <c r="S14" i="11"/>
  <c r="S22" i="11" s="1"/>
  <c r="V14" i="11"/>
  <c r="V22" i="11" s="1"/>
  <c r="U14" i="11"/>
  <c r="U22" i="11" s="1"/>
  <c r="AP37" i="2"/>
  <c r="AQ36" i="2"/>
  <c r="AD90" i="6"/>
  <c r="K82" i="11" s="1"/>
  <c r="K128" i="11" s="1"/>
  <c r="S12" i="11" l="1"/>
  <c r="S20" i="11" s="1"/>
  <c r="V12" i="11"/>
  <c r="V20" i="11" s="1"/>
  <c r="R13" i="11"/>
  <c r="T12" i="11"/>
  <c r="T20" i="11" s="1"/>
  <c r="U12" i="11"/>
  <c r="U20" i="11" s="1"/>
  <c r="U15" i="11"/>
  <c r="U23" i="11" s="1"/>
  <c r="R16" i="11"/>
  <c r="S15" i="11"/>
  <c r="S23" i="11" s="1"/>
  <c r="T15" i="11"/>
  <c r="T23" i="11" s="1"/>
  <c r="V15" i="11"/>
  <c r="V23" i="11" s="1"/>
  <c r="AR37" i="2"/>
  <c r="AK23" i="15"/>
  <c r="AQ23" i="15" s="1"/>
  <c r="AS36" i="2"/>
  <c r="L110" i="6" s="1"/>
  <c r="O110" i="6" s="1"/>
  <c r="J130" i="11"/>
  <c r="R21" i="15"/>
  <c r="AP38" i="2"/>
  <c r="AQ37" i="2"/>
  <c r="AO38" i="2"/>
  <c r="AN39" i="2"/>
  <c r="W38" i="2"/>
  <c r="V37" i="2"/>
  <c r="X37" i="2" s="1"/>
  <c r="T105" i="6"/>
  <c r="AC105" i="6" s="1"/>
  <c r="J105" i="6" s="1"/>
  <c r="J85" i="11" s="1"/>
  <c r="V105" i="6"/>
  <c r="P105" i="6"/>
  <c r="Y105" i="6"/>
  <c r="U105" i="6"/>
  <c r="W105" i="6"/>
  <c r="R105" i="6"/>
  <c r="Q105" i="6"/>
  <c r="S105" i="6"/>
  <c r="Z105" i="6"/>
  <c r="AE100" i="6"/>
  <c r="L84" i="11" s="1"/>
  <c r="L130" i="11" s="1"/>
  <c r="R22" i="15" l="1"/>
  <c r="J131" i="11"/>
  <c r="AE105" i="6"/>
  <c r="L85" i="11" s="1"/>
  <c r="L131" i="11" s="1"/>
  <c r="AS37" i="2"/>
  <c r="L115" i="6" s="1"/>
  <c r="O115" i="6" s="1"/>
  <c r="AK24" i="15"/>
  <c r="AQ24" i="15" s="1"/>
  <c r="AR38" i="2"/>
  <c r="T13" i="11"/>
  <c r="T21" i="11" s="1"/>
  <c r="V13" i="11"/>
  <c r="V21" i="11" s="1"/>
  <c r="S13" i="11"/>
  <c r="S21" i="11" s="1"/>
  <c r="U13" i="11"/>
  <c r="U21" i="11" s="1"/>
  <c r="V38" i="2"/>
  <c r="X38" i="2" s="1"/>
  <c r="W39" i="2"/>
  <c r="AO39" i="2"/>
  <c r="AN40" i="2"/>
  <c r="U16" i="11"/>
  <c r="U24" i="11" s="1"/>
  <c r="R17" i="11"/>
  <c r="T16" i="11"/>
  <c r="T24" i="11" s="1"/>
  <c r="S16" i="11"/>
  <c r="S24" i="11" s="1"/>
  <c r="V16" i="11"/>
  <c r="V24" i="11" s="1"/>
  <c r="Q110" i="6"/>
  <c r="V110" i="6"/>
  <c r="U110" i="6"/>
  <c r="R110" i="6"/>
  <c r="S110" i="6"/>
  <c r="P110" i="6"/>
  <c r="AD110" i="6" s="1"/>
  <c r="K86" i="11" s="1"/>
  <c r="K132" i="11" s="1"/>
  <c r="Y110" i="6"/>
  <c r="T110" i="6"/>
  <c r="AC110" i="6" s="1"/>
  <c r="J110" i="6" s="1"/>
  <c r="J86" i="11" s="1"/>
  <c r="Z110" i="6"/>
  <c r="W110" i="6"/>
  <c r="AD105" i="6"/>
  <c r="K85" i="11" s="1"/>
  <c r="K131" i="11" s="1"/>
  <c r="AQ38" i="2"/>
  <c r="AP39" i="2"/>
  <c r="AN41" i="2" l="1"/>
  <c r="AO40" i="2"/>
  <c r="AS38" i="2"/>
  <c r="L120" i="6" s="1"/>
  <c r="O120" i="6" s="1"/>
  <c r="AR39" i="2"/>
  <c r="AK25" i="15"/>
  <c r="AQ25" i="15" s="1"/>
  <c r="AE110" i="6"/>
  <c r="L86" i="11" s="1"/>
  <c r="L132" i="11" s="1"/>
  <c r="W40" i="2"/>
  <c r="V39" i="2"/>
  <c r="X39" i="2" s="1"/>
  <c r="J132" i="11"/>
  <c r="R23" i="15"/>
  <c r="T115" i="6"/>
  <c r="AC115" i="6" s="1"/>
  <c r="J115" i="6" s="1"/>
  <c r="J87" i="11" s="1"/>
  <c r="P115" i="6"/>
  <c r="AD115" i="6" s="1"/>
  <c r="K87" i="11" s="1"/>
  <c r="K133" i="11" s="1"/>
  <c r="U115" i="6"/>
  <c r="V115" i="6"/>
  <c r="Z115" i="6"/>
  <c r="W115" i="6"/>
  <c r="R115" i="6"/>
  <c r="Q115" i="6"/>
  <c r="Y115" i="6"/>
  <c r="S115" i="6"/>
  <c r="AQ39" i="2"/>
  <c r="AP40" i="2"/>
  <c r="S17" i="11"/>
  <c r="S25" i="11" s="1"/>
  <c r="V17" i="11"/>
  <c r="V25" i="11" s="1"/>
  <c r="U17" i="11"/>
  <c r="U25" i="11" s="1"/>
  <c r="T17" i="11"/>
  <c r="T25" i="11" s="1"/>
  <c r="W41" i="2" l="1"/>
  <c r="V40" i="2"/>
  <c r="X40" i="2" s="1"/>
  <c r="AR40" i="2"/>
  <c r="AK26" i="15"/>
  <c r="AQ26" i="15" s="1"/>
  <c r="AQ40" i="2"/>
  <c r="AP41" i="2"/>
  <c r="R24" i="15"/>
  <c r="J133" i="11"/>
  <c r="Z120" i="6"/>
  <c r="R120" i="6"/>
  <c r="Q120" i="6"/>
  <c r="AE120" i="6" s="1"/>
  <c r="L88" i="11" s="1"/>
  <c r="L134" i="11" s="1"/>
  <c r="W120" i="6"/>
  <c r="Y120" i="6"/>
  <c r="U120" i="6"/>
  <c r="P120" i="6"/>
  <c r="AD120" i="6" s="1"/>
  <c r="K88" i="11" s="1"/>
  <c r="K134" i="11" s="1"/>
  <c r="T120" i="6"/>
  <c r="AC120" i="6" s="1"/>
  <c r="J120" i="6" s="1"/>
  <c r="J88" i="11" s="1"/>
  <c r="V120" i="6"/>
  <c r="S120" i="6"/>
  <c r="AE115" i="6"/>
  <c r="L87" i="11" s="1"/>
  <c r="L133" i="11" s="1"/>
  <c r="AN42" i="2"/>
  <c r="AO42" i="2" s="1"/>
  <c r="AO41" i="2"/>
  <c r="AP42" i="2" l="1"/>
  <c r="AQ42" i="2" s="1"/>
  <c r="AQ41" i="2"/>
  <c r="J134" i="11"/>
  <c r="R25" i="15"/>
  <c r="AR41" i="2"/>
  <c r="AK27" i="15"/>
  <c r="AQ27" i="15" s="1"/>
  <c r="V41" i="2"/>
  <c r="X41" i="2" s="1"/>
  <c r="W42" i="2"/>
  <c r="V42" i="2" s="1"/>
  <c r="X42" i="2" s="1"/>
  <c r="AK28" i="15" l="1"/>
  <c r="AQ28" i="15" s="1"/>
  <c r="AR42" i="2"/>
  <c r="AK29" i="15" s="1"/>
  <c r="R30" i="15"/>
  <c r="AW8" i="15"/>
  <c r="AK30" i="15" l="1"/>
  <c r="AQ29" i="15"/>
  <c r="AQ30" i="15" s="1"/>
</calcChain>
</file>

<file path=xl/sharedStrings.xml><?xml version="1.0" encoding="utf-8"?>
<sst xmlns="http://schemas.openxmlformats.org/spreadsheetml/2006/main" count="3122" uniqueCount="643">
  <si>
    <t>yearID</t>
  </si>
  <si>
    <t>regCalssID</t>
  </si>
  <si>
    <t>NOx</t>
  </si>
  <si>
    <t>CO2</t>
  </si>
  <si>
    <t>Unadjusted output from MOVES3</t>
  </si>
  <si>
    <t>Statewide totals, units of grams/year (energy units mmBtu/year)</t>
  </si>
  <si>
    <t xml:space="preserve">     VOC</t>
  </si>
  <si>
    <t xml:space="preserve">     CO</t>
  </si>
  <si>
    <t xml:space="preserve">     NOx</t>
  </si>
  <si>
    <t xml:space="preserve">     PM10</t>
  </si>
  <si>
    <t xml:space="preserve">     PM2.5</t>
  </si>
  <si>
    <t xml:space="preserve">     SOx</t>
  </si>
  <si>
    <t xml:space="preserve">     BC</t>
  </si>
  <si>
    <t xml:space="preserve">     OC</t>
  </si>
  <si>
    <t xml:space="preserve">     CH4</t>
  </si>
  <si>
    <t xml:space="preserve">     N2O</t>
  </si>
  <si>
    <t xml:space="preserve">     CO2 </t>
  </si>
  <si>
    <t>GREET Emissions</t>
  </si>
  <si>
    <t>Unadjusted MOVES output</t>
  </si>
  <si>
    <t>Year</t>
  </si>
  <si>
    <t>RegClass</t>
  </si>
  <si>
    <t>N2O</t>
  </si>
  <si>
    <t>Energy</t>
  </si>
  <si>
    <t>Statewide totals, units of tons/year (energy units mmBtu/year)</t>
  </si>
  <si>
    <t>Total PM2.5</t>
  </si>
  <si>
    <t>grams/mmBTU</t>
  </si>
  <si>
    <t>CH4</t>
  </si>
  <si>
    <t>Introduction</t>
  </si>
  <si>
    <t>Scenarios</t>
  </si>
  <si>
    <t>Description</t>
  </si>
  <si>
    <t>Vehicle Types</t>
  </si>
  <si>
    <t>regClassID</t>
  </si>
  <si>
    <t>regClassName</t>
  </si>
  <si>
    <t>LDV</t>
  </si>
  <si>
    <t>Light Duty Vehicles</t>
  </si>
  <si>
    <t>LDT</t>
  </si>
  <si>
    <t>Light Duty Trucks</t>
  </si>
  <si>
    <t>LHD2b3</t>
  </si>
  <si>
    <t>The following table shows the relationships between MOVES regulatory classes and sourcetypes:</t>
  </si>
  <si>
    <t>GREET "well-to-pump" CO2 emissions factor</t>
  </si>
  <si>
    <t>National average of gasoline and diesel</t>
  </si>
  <si>
    <t>This is a multiplier for CO2 exhaust emissions:  e.g., 1 gram of tailpipe CO2 is accompanied by 0.265 grams of WTP CO2</t>
  </si>
  <si>
    <t>Nox</t>
  </si>
  <si>
    <t>PM25 Exh</t>
  </si>
  <si>
    <t>PM25 BW</t>
  </si>
  <si>
    <t>PM25 TW</t>
  </si>
  <si>
    <t>MOVES3 GWP</t>
  </si>
  <si>
    <t>CO2e</t>
  </si>
  <si>
    <t>BAU</t>
  </si>
  <si>
    <t>Total</t>
  </si>
  <si>
    <t>Reg Class</t>
  </si>
  <si>
    <t>Class 2b-3</t>
  </si>
  <si>
    <t>WTW CO2e</t>
  </si>
  <si>
    <t>WTW CO2e (million metric tonnes)</t>
  </si>
  <si>
    <t>Metric Tonnes</t>
  </si>
  <si>
    <t>grams</t>
  </si>
  <si>
    <t>NOx (short tons)</t>
  </si>
  <si>
    <t>PM2.5 (short tons)</t>
  </si>
  <si>
    <t>NPCC mix: CT, MA, ME, VT, RI</t>
  </si>
  <si>
    <t>Emissions rates in grams/mmBtu from "Electric" worksheet, row 134, based on region selection on Inputs worksheet</t>
  </si>
  <si>
    <t>Transportation Use: NPCC Mix</t>
  </si>
  <si>
    <t>Emissions: grams</t>
  </si>
  <si>
    <t>Transportation Use: RFC Mix</t>
  </si>
  <si>
    <t>Transportation Use: SERC Mix</t>
  </si>
  <si>
    <t>Transportation Use: WECC Mix</t>
  </si>
  <si>
    <t>Reflects "Total" values for each region, not "Urban" values</t>
  </si>
  <si>
    <t>Power Plant Energy Use and Emissions: per mmBtu of Electricity Available at User Sites (wall outlets)</t>
  </si>
  <si>
    <t xml:space="preserve">Year-specific NPCC electrical generation rates </t>
  </si>
  <si>
    <t xml:space="preserve">Year-specific RFC electrical generation rates </t>
  </si>
  <si>
    <t xml:space="preserve">Year-specific SERC electrical generation rates </t>
  </si>
  <si>
    <t>MOVES default age 0 (new) vehicle fractions by calendar year and regulatory class</t>
  </si>
  <si>
    <t>Extracted from MOVES3 default run for the entire US, to produce population by model year and regulatory class</t>
  </si>
  <si>
    <t>MY</t>
  </si>
  <si>
    <t>Default output</t>
  </si>
  <si>
    <t>POP</t>
  </si>
  <si>
    <t>VMT</t>
  </si>
  <si>
    <t>County Output</t>
  </si>
  <si>
    <t>units:  grams, mmBtu</t>
  </si>
  <si>
    <t>Years to interpolate from County results:</t>
  </si>
  <si>
    <t>Interpolation factors</t>
  </si>
  <si>
    <t>straight line</t>
  </si>
  <si>
    <t>gm/mile</t>
  </si>
  <si>
    <t>default trend</t>
  </si>
  <si>
    <t>The original output values are located in the "Combined MOVES output" worksheet.</t>
  </si>
  <si>
    <t>Worksheet</t>
  </si>
  <si>
    <t>Description of Contents</t>
  </si>
  <si>
    <t>Key</t>
  </si>
  <si>
    <t>Overview of scenarios, programs evaluated and information on vehicle types</t>
  </si>
  <si>
    <t>Business as usual scenario</t>
  </si>
  <si>
    <t>Combined MOVES output</t>
  </si>
  <si>
    <t>Imported MOVES County-scale output</t>
  </si>
  <si>
    <t>Imported MOVES Default-scale output</t>
  </si>
  <si>
    <t>Output interpolation</t>
  </si>
  <si>
    <t>GREET factors</t>
  </si>
  <si>
    <t>Coal</t>
  </si>
  <si>
    <t>Biomass</t>
  </si>
  <si>
    <t>WECC Regional Power Sources</t>
  </si>
  <si>
    <t>10.2.b) Electric Generation Mixes: Data Table for Use in GREET (From Annual Energy Outlook 2019)</t>
  </si>
  <si>
    <t>WECC Mix</t>
  </si>
  <si>
    <t>Transportation</t>
  </si>
  <si>
    <t>Stationary</t>
  </si>
  <si>
    <t>Residual oil</t>
  </si>
  <si>
    <t>Natural gas</t>
  </si>
  <si>
    <t>Nuclear power</t>
  </si>
  <si>
    <t>Others</t>
  </si>
  <si>
    <t>Map from "Inputs" worksheet, row 716; selections for applicable region in rows 714 and 733</t>
  </si>
  <si>
    <t>Fossil mix from GREET:</t>
  </si>
  <si>
    <t>WECC overall emissions rates</t>
  </si>
  <si>
    <t>WECC Trans. Mix g/mmBtu if all fossil</t>
  </si>
  <si>
    <t>All</t>
  </si>
  <si>
    <t>Business as Usual (BAU)</t>
  </si>
  <si>
    <t>Summary results for scenarios</t>
  </si>
  <si>
    <t>ACC II benefits (relative to BAU)--MY2026 Implementation</t>
  </si>
  <si>
    <t>County-scale runs (results within borders):  2017, 2030, 2040</t>
  </si>
  <si>
    <t>Interpolated using MOVES default trend:  2020, 2025, 2035</t>
  </si>
  <si>
    <t>VOC</t>
  </si>
  <si>
    <t>SO2</t>
  </si>
  <si>
    <t>NH3</t>
  </si>
  <si>
    <t>ZEV sales fractions</t>
  </si>
  <si>
    <t>ACC II reg req't</t>
  </si>
  <si>
    <t>ACC II lower bound</t>
  </si>
  <si>
    <t>BEV</t>
  </si>
  <si>
    <t>PHEV</t>
  </si>
  <si>
    <t>CARB Baseline</t>
  </si>
  <si>
    <t>BEV+FCEV</t>
  </si>
  <si>
    <t>Source:  CARB SRIA, Table 4</t>
  </si>
  <si>
    <t>Map and data from DOE's GREET model, GREET1_2021.xlsm</t>
  </si>
  <si>
    <t>NH3 rates not available from GREET or eGRID</t>
  </si>
  <si>
    <t>Interim years</t>
  </si>
  <si>
    <t>ICE</t>
  </si>
  <si>
    <t>ACCII Regulatory Requirement</t>
  </si>
  <si>
    <t>ACCII Lower Bound</t>
  </si>
  <si>
    <t>Total ZEV</t>
  </si>
  <si>
    <t>All veh</t>
  </si>
  <si>
    <t>Total Sales</t>
  </si>
  <si>
    <t>fraction of population that are new MY vehicles</t>
  </si>
  <si>
    <t>regClass</t>
  </si>
  <si>
    <t>Total Pop</t>
  </si>
  <si>
    <t xml:space="preserve">note that in this scenario as defined, </t>
  </si>
  <si>
    <t>ZEV in-use fractions</t>
  </si>
  <si>
    <t>Total ZEVs</t>
  </si>
  <si>
    <t>fraction</t>
  </si>
  <si>
    <t>ZEV Electricity Demand</t>
  </si>
  <si>
    <t>2025 value = BAU</t>
  </si>
  <si>
    <t>ACC II - MY2026 Implementation</t>
  </si>
  <si>
    <t>(no change from BAU)</t>
  </si>
  <si>
    <t>Emissions Reductions from ACC II</t>
  </si>
  <si>
    <t>ACC II - MY2027 Implementation</t>
  </si>
  <si>
    <t>ACC II benefits (relative to BAU)--MY2027 Implementation</t>
  </si>
  <si>
    <t>MY2026 Implementation</t>
  </si>
  <si>
    <t>MY2027 Implementation</t>
  </si>
  <si>
    <t>ACC II lower bound:  MY2026</t>
  </si>
  <si>
    <t>ACC II lower bound:  MY2027</t>
  </si>
  <si>
    <t>2025 &amp; 2026 value = BAU</t>
  </si>
  <si>
    <t>ZEV sales fractions and in-use fractions</t>
  </si>
  <si>
    <t>ACC II: 2026</t>
  </si>
  <si>
    <t>ACC II: 2027</t>
  </si>
  <si>
    <t>Annual Light-Duty Vehicle VMT by Regulatory Class, 2025-2040</t>
  </si>
  <si>
    <t>Cars</t>
  </si>
  <si>
    <t>Light Trucks</t>
  </si>
  <si>
    <t>Annual Light-Duty Vehicle Population by Regulatory Class, 2025-2040</t>
  </si>
  <si>
    <t>ACC II:  2026</t>
  </si>
  <si>
    <t>ACC II:  2027</t>
  </si>
  <si>
    <t>GWP</t>
  </si>
  <si>
    <t>In-use ZEV fraction</t>
  </si>
  <si>
    <t>Electric Generation</t>
  </si>
  <si>
    <t>Petroleum</t>
  </si>
  <si>
    <t>(US ton to MMT)</t>
  </si>
  <si>
    <t>Well-to Wheel CO2e Emissions by Scenario (million metric tonnes per year), 2025-2040</t>
  </si>
  <si>
    <t xml:space="preserve"> Light-Duty Zero Emission Vehicle Population, 2025-2040</t>
  </si>
  <si>
    <t>Input data for the County input databases were sourced from 2017 NEI inputs and/or 2020 NEI inputs (projected to future years when necessary) and MOVES3 defaults</t>
  </si>
  <si>
    <t>STI ran the MOVES3 model at the County scale for 2017, 2030, and 2040, using the 2017 National Emissions Inventory (2017 NEI) representative counties</t>
  </si>
  <si>
    <t>STI also modeled 2017, 2020, 2025, 2030, 2035, and 2040 at the MOVES Default scale, and used the trend in default emissions to generate interpolated County estimates for 2020, 2025, and 2035.</t>
  </si>
  <si>
    <t>ACC II - MY2026</t>
  </si>
  <si>
    <t>ACC II - MY2027</t>
  </si>
  <si>
    <t>Federal GHG Rule</t>
  </si>
  <si>
    <t>All scenarios also include projections of the potential increase in grid emissions associated with increasing numbers of electric vehicles in the fleet.</t>
  </si>
  <si>
    <t>The "GREET factors" worksheet includes the emissions factors used, which are sourced from the Department of Energy's GREET2021 model, adjusted for future years using state projections of future power generation sources.</t>
  </si>
  <si>
    <t>In this scenario, MOVES output is post-processed to reflect implementation of the California ACC Ii program beginning with model year 2026.</t>
  </si>
  <si>
    <t>The post-processing factors are located on the "ACC emissions benefits" and "Fleet ZEV fractions" worksheets.</t>
  </si>
  <si>
    <t>Fleet ZEV fractions are applied to energy, SO2 and NH3 emissions.</t>
  </si>
  <si>
    <t>Same as the previous scenario, but benefits are calculated starting with model year 2027 vehicles.</t>
  </si>
  <si>
    <t>COBRA Summary</t>
  </si>
  <si>
    <t>Tables</t>
  </si>
  <si>
    <t>Emissions Summary</t>
  </si>
  <si>
    <t>BAU Scenario</t>
  </si>
  <si>
    <t>ACC emissions benefits</t>
  </si>
  <si>
    <t>Fleet ZEV fractions</t>
  </si>
  <si>
    <t>ZEV Sales</t>
  </si>
  <si>
    <t>County Scale Output 2017-2040</t>
  </si>
  <si>
    <t>Default Output 2017-2040</t>
  </si>
  <si>
    <t xml:space="preserve">Tables of emissions, VMT, and population by year reflecting EVs sold under the ACC II program.  </t>
  </si>
  <si>
    <t>Emissions summary for all scenarios</t>
  </si>
  <si>
    <t>ACC II program starting in model year 2026</t>
  </si>
  <si>
    <t>ACC II program starting in model year 2027</t>
  </si>
  <si>
    <t>CARB estimates of emissions benefits for the ACC II program</t>
  </si>
  <si>
    <t>Calculated fractions of ZEVs under the different scenarios</t>
  </si>
  <si>
    <t>interim table for calculation of ZEV fractions</t>
  </si>
  <si>
    <t>Estimates of ZEV sales, based on MOVES new vehicle sales rates</t>
  </si>
  <si>
    <t>County-scale MOVES3 output for 2017, 2030, and 2040; interpolated MOVES output for 2020, 2025, 2035 (source data for Scenario worksheets)</t>
  </si>
  <si>
    <t>Factors derived for using MOVES default output to interpolate County values for 2020, 2025, 2035</t>
  </si>
  <si>
    <t>GREET electricity and petroleum production emissions rates used in the scenarios</t>
  </si>
  <si>
    <t>Mathematical interpolation all other years</t>
  </si>
  <si>
    <t>BAU reduction factors for PM (Exhaust only, not brake or tire wear)</t>
  </si>
  <si>
    <t>Exhaust PM2.5</t>
  </si>
  <si>
    <t>Exhaust fraction</t>
  </si>
  <si>
    <t>Total All Vehicle Types</t>
  </si>
  <si>
    <t>Baseline Emissions, tpd</t>
  </si>
  <si>
    <t>CY</t>
  </si>
  <si>
    <t>PM2.5</t>
  </si>
  <si>
    <t>ROG</t>
  </si>
  <si>
    <t>LDV only</t>
  </si>
  <si>
    <t>Total LDV Sales</t>
  </si>
  <si>
    <t>ACC fleet in-use fractions include baseline plus new ACC II vehicles; see below for net change</t>
  </si>
  <si>
    <t>energy is not adjusted: represents total energy from any fuel</t>
  </si>
  <si>
    <t>These are CO2 values, not CO2e (CARB 042122)</t>
  </si>
  <si>
    <t>Total Pop includes MDV, sales do not</t>
  </si>
  <si>
    <t>Proposal Emissions, tpd</t>
  </si>
  <si>
    <t>total</t>
  </si>
  <si>
    <t>from BEV worksheet, CARB ZEV Cost Modeling Workbook:</t>
  </si>
  <si>
    <t>DC Energy - CD AER Efficiency (Wh/mi)</t>
  </si>
  <si>
    <t>Vehicle Class</t>
  </si>
  <si>
    <t>Tech Type</t>
  </si>
  <si>
    <t>2025</t>
  </si>
  <si>
    <t>2026</t>
  </si>
  <si>
    <t>2027</t>
  </si>
  <si>
    <t>2028</t>
  </si>
  <si>
    <t>2029</t>
  </si>
  <si>
    <t>2030</t>
  </si>
  <si>
    <t>2031</t>
  </si>
  <si>
    <t>2032</t>
  </si>
  <si>
    <t>2033</t>
  </si>
  <si>
    <t>2034</t>
  </si>
  <si>
    <t>2035</t>
  </si>
  <si>
    <t>SmallCar</t>
  </si>
  <si>
    <t>BEV300</t>
  </si>
  <si>
    <t>BEV400</t>
  </si>
  <si>
    <t>MedCar</t>
  </si>
  <si>
    <t>SmallSUV</t>
  </si>
  <si>
    <t>MedSUV</t>
  </si>
  <si>
    <t>Pickup</t>
  </si>
  <si>
    <t>average, add 7% for charging inefficiency:</t>
  </si>
  <si>
    <t>avg</t>
  </si>
  <si>
    <t>w/charging</t>
  </si>
  <si>
    <t>Convert to Kwh, Btu/mi:</t>
  </si>
  <si>
    <t>any</t>
  </si>
  <si>
    <t>ratio</t>
  </si>
  <si>
    <t>MOVES Btu/mi</t>
  </si>
  <si>
    <t>Btu/mi</t>
  </si>
  <si>
    <t>sum</t>
  </si>
  <si>
    <t>Calculation of ZEV energy efficiency relative to ICE vehicles</t>
  </si>
  <si>
    <t>(MOVES default-scale output)</t>
  </si>
  <si>
    <t>ZEV fractions (population)</t>
  </si>
  <si>
    <t>LDA</t>
  </si>
  <si>
    <t>LDT1</t>
  </si>
  <si>
    <t>LDT2</t>
  </si>
  <si>
    <t>LDT3</t>
  </si>
  <si>
    <t>Gasoline</t>
  </si>
  <si>
    <t>Diesel</t>
  </si>
  <si>
    <t>FCV</t>
  </si>
  <si>
    <t>Total PC PHEV</t>
  </si>
  <si>
    <t>Total LDT PHEV</t>
  </si>
  <si>
    <t>eVMT fractions for PHEVs</t>
  </si>
  <si>
    <t>(weighted average)</t>
  </si>
  <si>
    <t>From Appendix D:</t>
  </si>
  <si>
    <t>ZEV fractions (VMT)</t>
  </si>
  <si>
    <t xml:space="preserve">PC </t>
  </si>
  <si>
    <t>Increase in ZEV fractions relative to Baseline (VMT)</t>
  </si>
  <si>
    <t>BEV eff</t>
  </si>
  <si>
    <t>PHEV fraction</t>
  </si>
  <si>
    <t>PHEV adjustment</t>
  </si>
  <si>
    <t>Proposal</t>
  </si>
  <si>
    <t>ZEV efficiency factor</t>
  </si>
  <si>
    <t>These factors used to calculate grid energy consumption from ZEVs</t>
  </si>
  <si>
    <t>PHEVs assumed to be 50% less efficient than BEVs</t>
  </si>
  <si>
    <t>ACC ZEV increase</t>
  </si>
  <si>
    <t>ratio of emissions reduction/ZEV increase</t>
  </si>
  <si>
    <t xml:space="preserve"> Light-Duty Zero Emission Vehicle Miles Traveled, 2025-2040</t>
  </si>
  <si>
    <t>NPCC overall emissions rates</t>
  </si>
  <si>
    <t>NPCC Regional Power Sources</t>
  </si>
  <si>
    <t>NPCC Trans. Mix g/mmBtu if all fossil</t>
  </si>
  <si>
    <t>RFC overall emissions rates</t>
  </si>
  <si>
    <t>RFC Regional Power Sources</t>
  </si>
  <si>
    <t>RFC Trans. Mix g/mmBtu if all fossil</t>
  </si>
  <si>
    <t>SERC overall emissions rates</t>
  </si>
  <si>
    <t>SERC Regional Power Sources</t>
  </si>
  <si>
    <t>SERC Trans. Mix g/mmBtu if all fossil</t>
  </si>
  <si>
    <t>NPCC Mix</t>
  </si>
  <si>
    <t>SERC Mix</t>
  </si>
  <si>
    <t>RFC Mix</t>
  </si>
  <si>
    <t>State Fossil Fraction by Year</t>
  </si>
  <si>
    <t>CARB ZEV counts</t>
  </si>
  <si>
    <t>CARB projections of convention/ZEV population</t>
  </si>
  <si>
    <t>ZEV efficiency</t>
  </si>
  <si>
    <t>Calculation of relative energy efficiency of ZEVs</t>
  </si>
  <si>
    <t>Regional GREET factors</t>
  </si>
  <si>
    <t>State grid data</t>
  </si>
  <si>
    <t>State-specific renewable energy projections used to calculate state GREET factors</t>
  </si>
  <si>
    <t>This spreadsheet documents the results of STI's work to model ACC II emissions scenarios defined by ICCT</t>
  </si>
  <si>
    <t>emissions in units of US tons/year (including CO2e)</t>
  </si>
  <si>
    <t>energy consumption in units of mmBtu/year</t>
  </si>
  <si>
    <t>set at 20% below regulatory</t>
  </si>
  <si>
    <t>requirement to reflect use of</t>
  </si>
  <si>
    <t>compliance flexibilities</t>
  </si>
  <si>
    <t>Generated in GREET by John Davies, FHWA, April 2022</t>
  </si>
  <si>
    <t>SO2 and NH3 reductions are assumed to be proportional to ZEV fraction (CARB fleet penetration estimates)</t>
  </si>
  <si>
    <t>These data used to estimate ZEV sales and population using MOVES growth/survival rates, and BAU emissions; CARB ZEV fractions and emissions reductions from BAU used to estimate ACC emissions.</t>
  </si>
  <si>
    <t>Source: https://www.autosinnovate.org/resources/electric-vehicle-sales-dashboard</t>
  </si>
  <si>
    <t>Listed in order of most 2021 BEV sales</t>
  </si>
  <si>
    <t>Sales</t>
  </si>
  <si>
    <t>ZEV market share</t>
  </si>
  <si>
    <t>Derived LDV sales</t>
  </si>
  <si>
    <t>ID</t>
  </si>
  <si>
    <t>State</t>
  </si>
  <si>
    <t>FCEV</t>
  </si>
  <si>
    <t>(BEV, PHEV, FCEV)</t>
  </si>
  <si>
    <t>California</t>
  </si>
  <si>
    <t>Florida</t>
  </si>
  <si>
    <t>Texas</t>
  </si>
  <si>
    <t>New York</t>
  </si>
  <si>
    <t>New Jersey</t>
  </si>
  <si>
    <t>Washington</t>
  </si>
  <si>
    <t>Arizona</t>
  </si>
  <si>
    <t>Illinois</t>
  </si>
  <si>
    <t>Colorado</t>
  </si>
  <si>
    <t>Virginia</t>
  </si>
  <si>
    <t>Massachusetts</t>
  </si>
  <si>
    <t>Georgia</t>
  </si>
  <si>
    <t>Pennsylvania</t>
  </si>
  <si>
    <t>Maryland</t>
  </si>
  <si>
    <t>North Carolina</t>
  </si>
  <si>
    <t>Oregon</t>
  </si>
  <si>
    <t>Ohio</t>
  </si>
  <si>
    <t>Michigan</t>
  </si>
  <si>
    <t>Nevada</t>
  </si>
  <si>
    <t>Connecticut</t>
  </si>
  <si>
    <t>Minnesota</t>
  </si>
  <si>
    <t>Utah</t>
  </si>
  <si>
    <t>Hawaii</t>
  </si>
  <si>
    <t>Tennessee</t>
  </si>
  <si>
    <t>Oklahoma</t>
  </si>
  <si>
    <t>Missouri</t>
  </si>
  <si>
    <t>Indiana</t>
  </si>
  <si>
    <t>Wisconsin</t>
  </si>
  <si>
    <t>South Carolina</t>
  </si>
  <si>
    <t>Alabama</t>
  </si>
  <si>
    <t>Kentucky</t>
  </si>
  <si>
    <t>Iowa</t>
  </si>
  <si>
    <t>District of Columbia</t>
  </si>
  <si>
    <t>New Hampshire</t>
  </si>
  <si>
    <t>Kansas</t>
  </si>
  <si>
    <t>New Mexico</t>
  </si>
  <si>
    <t>Vermont</t>
  </si>
  <si>
    <t>Delaware</t>
  </si>
  <si>
    <t>Louisiana</t>
  </si>
  <si>
    <t>Maine</t>
  </si>
  <si>
    <t>Idaho</t>
  </si>
  <si>
    <t>Rhode Island</t>
  </si>
  <si>
    <t>Arkansas</t>
  </si>
  <si>
    <t>Nebraska</t>
  </si>
  <si>
    <t>Montana</t>
  </si>
  <si>
    <t>Mississippi</t>
  </si>
  <si>
    <t>West Virginia</t>
  </si>
  <si>
    <t>Alaska</t>
  </si>
  <si>
    <t>South Dakota</t>
  </si>
  <si>
    <t>Wyoming</t>
  </si>
  <si>
    <t>North Dakota</t>
  </si>
  <si>
    <t>ZEV Population</t>
  </si>
  <si>
    <t>CARB's estimated benefits are applied to NOx, PM, CO2e and VOC emissions.</t>
  </si>
  <si>
    <t>"Federal" scenario a placeholder pending emissions reduction estimates from EPA</t>
  </si>
  <si>
    <t>Avoided Emissions relative to BAU, 2025-2040</t>
  </si>
  <si>
    <t>Avoided Emissions relative to BAU, 2025-2030</t>
  </si>
  <si>
    <t>Avoided Emissions relative to BAU, 2025-2035</t>
  </si>
  <si>
    <t>from Jeremy, 091422:</t>
  </si>
  <si>
    <t>Total updated 092122</t>
  </si>
  <si>
    <t>TTW emissions totals provided by CARB, 09/14/22</t>
  </si>
  <si>
    <t>PM</t>
  </si>
  <si>
    <t>From the spreadsheet "annual_societal_effects_summary_report_FRM_PrimaryRuns.xlsx" provided by Todd Sherwood, OTAQ, 05/26/22</t>
  </si>
  <si>
    <t>Tailpipe emissions only (not upstream)</t>
  </si>
  <si>
    <t>Federal GHG Rule Benefits</t>
  </si>
  <si>
    <t>Business as usual in-use ZEV counts (provided by CARB 09/14/22)</t>
  </si>
  <si>
    <t>CARB PHEV sales ratios from proposal:</t>
  </si>
  <si>
    <t>need to update BEV/PHEV-</t>
  </si>
  <si>
    <t>these values from proposal</t>
  </si>
  <si>
    <t>Technology penetration, "technology_utilization_report_FRM_PrimaryRuns.xlsx"</t>
  </si>
  <si>
    <t>provided by Todd Sherwood, OTAQ, 05/26/22</t>
  </si>
  <si>
    <t>Source: modeling for EPA RIA</t>
  </si>
  <si>
    <t>MY2027+ values capped at MY2026 level</t>
  </si>
  <si>
    <t>Emissions reductions and fleet technology penetration from EPA's 12/30/21 LDV GHG rule, used to define BAU</t>
  </si>
  <si>
    <t>BAU (based on Federal rule)</t>
  </si>
  <si>
    <t>Federal rule</t>
  </si>
  <si>
    <r>
      <t>BAU starts with state data for 2021 (</t>
    </r>
    <r>
      <rPr>
        <sz val="11"/>
        <color rgb="FFFFC000"/>
        <rFont val="Calibri"/>
        <family val="2"/>
        <scheme val="minor"/>
      </rPr>
      <t>below</t>
    </r>
    <r>
      <rPr>
        <sz val="11"/>
        <color theme="4" tint="-0.249977111117893"/>
        <rFont val="Calibri"/>
        <family val="2"/>
        <scheme val="minor"/>
      </rPr>
      <t>), normalized to projected values in Federal rule</t>
    </r>
  </si>
  <si>
    <t>2025 baselines for BEV and PHEV based on CARB in-use fractions for 2025</t>
  </si>
  <si>
    <t>Estimated emissions changes from EPA rule "Revised 2023 and Later Model Year Light-Duty Vehicle Greenhouse Gas Emissions Standards," published 12/30/21</t>
  </si>
  <si>
    <t>Positive numbers represent an emissions increase</t>
  </si>
  <si>
    <t>2026+</t>
  </si>
  <si>
    <t>values differ from those in RIA/NFRM due to rounding</t>
  </si>
  <si>
    <t>Final Rule</t>
  </si>
  <si>
    <t>No Action (EPA's BAU)</t>
  </si>
  <si>
    <t>CO2e (STI calculated)</t>
  </si>
  <si>
    <t>modelYearID</t>
  </si>
  <si>
    <t>activityTypeID</t>
  </si>
  <si>
    <t>activity</t>
  </si>
  <si>
    <t>MOVES default VMT for LDVs by CY, MY</t>
  </si>
  <si>
    <t>MY2026</t>
  </si>
  <si>
    <t>MY2026 fraction</t>
  </si>
  <si>
    <t>MY2026 fraction of total VMT</t>
  </si>
  <si>
    <t>Reductions from EPA's No Action Scenario</t>
  </si>
  <si>
    <t>Rule ZEV impact</t>
  </si>
  <si>
    <t>Reductions to apply to MOVES output (reductions from MOVES baseline, not EPA rule No Action scenario)</t>
  </si>
  <si>
    <t>Total rule ZEVs</t>
  </si>
  <si>
    <t>net</t>
  </si>
  <si>
    <t>state MOVES ZEVs</t>
  </si>
  <si>
    <t>Net WTT</t>
  </si>
  <si>
    <t xml:space="preserve">Net WTT </t>
  </si>
  <si>
    <t>This ZEV % results</t>
  </si>
  <si>
    <t>in the emissions</t>
  </si>
  <si>
    <t>reduction to the left</t>
  </si>
  <si>
    <t>MOVES AVFT ZEV inputs?</t>
  </si>
  <si>
    <t>Adjustments to apply credit to RC41 for medium-duty passenger vehicles (MDPV)</t>
  </si>
  <si>
    <t>yearid</t>
  </si>
  <si>
    <t>sourcetypeid</t>
  </si>
  <si>
    <t>regclassid</t>
  </si>
  <si>
    <t>activitytypeid</t>
  </si>
  <si>
    <t>population</t>
  </si>
  <si>
    <t>non-MDPV share of RC20/30/41</t>
  </si>
  <si>
    <t>non-MDPV adjustment</t>
  </si>
  <si>
    <t>These factors are developed so that emissions reduction percentages can be applied to the entire MOVES RC41 output, including MDPVs and non-MDPV vehicles.</t>
  </si>
  <si>
    <t>emissions in units of US tons/year (including CO2e); energy consumption in units of mmBtu/year</t>
  </si>
  <si>
    <t>estimates may include some ZEVs from state MOVES inputs (see Fleet ZEV factions worksheet)</t>
  </si>
  <si>
    <t>The Emissions Summary worksheet provides fleetwide results for the emissions scenarios (described below), plus the unadjusted MOVES baseline output</t>
  </si>
  <si>
    <t>These values represent the output from the MOVES3 model before any post-processing adjustments were applied.</t>
  </si>
  <si>
    <t>In this scenario, MOVES output is post-processed to account for the effects of EPA's December 2021 Light-Duty GHG rule.</t>
  </si>
  <si>
    <t>ZEV fractions associated with this rule are on the "Fleet ZEV fractions" worksheet.</t>
  </si>
  <si>
    <t>This MOVES output can include the effects of ZEVs if there are ZEV fractions in the state MOVES inputs; see "Fleet ZEV fractions" worksheet for details.</t>
  </si>
  <si>
    <t>Class 2b and 3 Trucks (8,500 lbs &lt; GVWR &lt;= 14,000 lbs) (including medium-duty passenger vehicles)</t>
  </si>
  <si>
    <t>GREET electricity factors for all areas analyzed as part of this project</t>
  </si>
  <si>
    <t>Source: CARB proposed and final rules</t>
  </si>
  <si>
    <t>SERC mix: NC, IL</t>
  </si>
  <si>
    <t>WECC mix: CO, WA, OR, NV</t>
  </si>
  <si>
    <t>Renewable energy projections</t>
  </si>
  <si>
    <t>Phase-in assumptions (% renewables)</t>
  </si>
  <si>
    <t>Year-specific electrical generation rates for this analysis:</t>
  </si>
  <si>
    <t xml:space="preserve">Year-specific WECC electrical generation rates </t>
  </si>
  <si>
    <t>State-specific electrical generation rates based on renewable energy inputs</t>
  </si>
  <si>
    <t>Rates in grams/million Btu</t>
  </si>
  <si>
    <t>Regional tables below; rates used in this analysis in the bottom table</t>
  </si>
  <si>
    <t>Emissions reductions calculated from BAU/final rule emissions totals provided by CARB (tables at right)</t>
  </si>
  <si>
    <t>CARB baseline includes ACT and Omnibus for reg class 41</t>
  </si>
  <si>
    <t>BAU (EPA Rule)</t>
  </si>
  <si>
    <t>Projections of LDV EV population by year</t>
  </si>
  <si>
    <t>there are still some ICE sales after 2035</t>
  </si>
  <si>
    <t>Projections of annual LDV EV sales</t>
  </si>
  <si>
    <t>Final rule in-use ZEV counts (provided by CARB 9/14/22)</t>
  </si>
  <si>
    <t>eVMT fractions for PHEVs (from CARB)</t>
  </si>
  <si>
    <t>Average</t>
  </si>
  <si>
    <t>NH3 (STI calculated)</t>
  </si>
  <si>
    <t>ZEV VMT fraction</t>
  </si>
  <si>
    <t>(used for NH3 emissions reduction calculations)</t>
  </si>
  <si>
    <t>CARB BAU</t>
  </si>
  <si>
    <t>EPA BAU</t>
  </si>
  <si>
    <t>ZEV VMT</t>
  </si>
  <si>
    <t>reductions from EPA Rule baseline (reductions from BAU scenario):</t>
  </si>
  <si>
    <t>% Reduction From CARB Baseline</t>
  </si>
  <si>
    <t>grams/mmBtu</t>
  </si>
  <si>
    <t>WTW PM2.5</t>
  </si>
  <si>
    <t>WTW NOx</t>
  </si>
  <si>
    <t>GREET gasoline refining emission factors</t>
  </si>
  <si>
    <t xml:space="preserve">     NOx (eGRID)</t>
  </si>
  <si>
    <t xml:space="preserve">     CH4 (eGRID)</t>
  </si>
  <si>
    <t xml:space="preserve">     N2O (eGRID)</t>
  </si>
  <si>
    <t xml:space="preserve">     CO2 (eGRID)</t>
  </si>
  <si>
    <t>SO2 (eGRID)</t>
  </si>
  <si>
    <t>GREET 2021, Petroleum worksheet</t>
  </si>
  <si>
    <t>values from GREET2021, Petroleum worksheet, cells AN131-AS143</t>
  </si>
  <si>
    <t>Total emissions: grams/mmBtu of fuel throughput</t>
  </si>
  <si>
    <t>Gasoline Blendstock Refining: Feed Inputs</t>
  </si>
  <si>
    <t>Gasoline Blendstock Refininig: Intermediate Product Combustion</t>
  </si>
  <si>
    <t>Gasoline Blendstock Transportation</t>
  </si>
  <si>
    <t>Gasoline Blendstock Distribution</t>
  </si>
  <si>
    <t>Gasoline Distribution</t>
  </si>
  <si>
    <t xml:space="preserve">     CH4: combustion</t>
  </si>
  <si>
    <t xml:space="preserve">     CO2</t>
  </si>
  <si>
    <t xml:space="preserve">     VOC from bulk terminal</t>
  </si>
  <si>
    <t xml:space="preserve">     VOC from ref. Station</t>
  </si>
  <si>
    <t>Refining Subtotal</t>
  </si>
  <si>
    <t>Fugitives: Gasoline Blendstock Refining: Non-Combustion Emissions</t>
  </si>
  <si>
    <t>Storage and Transport Total</t>
  </si>
  <si>
    <t>Petroleum Product Storage</t>
  </si>
  <si>
    <t>refining</t>
  </si>
  <si>
    <t>refining fugitives</t>
  </si>
  <si>
    <t>storage and transport</t>
  </si>
  <si>
    <t>petroleum product storage</t>
  </si>
  <si>
    <t>(see 2040)</t>
  </si>
  <si>
    <t>WTW VOC</t>
  </si>
  <si>
    <t>WTW SO2</t>
  </si>
  <si>
    <t>MY2027</t>
  </si>
  <si>
    <t>MY2026 benefit</t>
  </si>
  <si>
    <t>MY2027 benefit</t>
  </si>
  <si>
    <t>tons/year</t>
  </si>
  <si>
    <t>displaced gasoline energy</t>
  </si>
  <si>
    <t>mmBtu</t>
  </si>
  <si>
    <t>CO2 total</t>
  </si>
  <si>
    <t>State County-scale VMT by fueltype:</t>
  </si>
  <si>
    <t>stateID</t>
  </si>
  <si>
    <t>fuelTypeID</t>
  </si>
  <si>
    <t>Total VMT</t>
  </si>
  <si>
    <t>ZEV fraction</t>
  </si>
  <si>
    <t>State MOVES output ZEV VMT fraction by year (interpolated):</t>
  </si>
  <si>
    <t>2020 ZEV population estimate calculated from MOVES input ZEV fractions:</t>
  </si>
  <si>
    <t>2021 ZEV population estimate calculated from MOVES input ZEV fractions:</t>
  </si>
  <si>
    <t>Yes</t>
  </si>
  <si>
    <t>Tank-to Wheel (Vehicle) PM2.5 Emissions by Scenario (short tons per year), 2025-2040</t>
  </si>
  <si>
    <t>Tank-to Wheel (Vehicle) NOx Emissions by Scenario (short tons per year), 2025-2040</t>
  </si>
  <si>
    <t>eGRID emissions rates (NJ)</t>
  </si>
  <si>
    <t>eGRID (NJ)</t>
  </si>
  <si>
    <t>generation mix projections in Table 3.4 on page 69 of the New Jersey's Global Warming Response Act 80x50 Report, issued on October 15, 2020</t>
  </si>
  <si>
    <t>(These provided by ICCT on 1/29/21)</t>
  </si>
  <si>
    <t>Resource Type</t>
  </si>
  <si>
    <t>NJ Solar</t>
  </si>
  <si>
    <t>Offshore Wind</t>
  </si>
  <si>
    <t>Nuclear</t>
  </si>
  <si>
    <t>PJM Reg Wind/Solar</t>
  </si>
  <si>
    <t>Biogas/Biofuels/Hydrogen</t>
  </si>
  <si>
    <t>Fossil Gas</t>
  </si>
  <si>
    <t>Fossil Coal</t>
  </si>
  <si>
    <t>Fossil</t>
  </si>
  <si>
    <t>Carbon-free</t>
  </si>
  <si>
    <t>Fossil fraction</t>
  </si>
  <si>
    <t>From HDV analysis:</t>
  </si>
  <si>
    <t>New Jersey renewable energy projections</t>
  </si>
  <si>
    <t>from "Output formatting state 34 NJ.xlsx"</t>
  </si>
  <si>
    <t>2020 and 2021 BAU counts from https://nj.gov/dep/drivegreen/dg-electric-vehicles-basics.html</t>
  </si>
  <si>
    <t>VPOP</t>
  </si>
  <si>
    <t>RFC mix: MD, PA, DC, DE, NJ</t>
  </si>
  <si>
    <t>Cases</t>
  </si>
  <si>
    <t>New Jersey_Vehicles_3_instate</t>
  </si>
  <si>
    <t>New Jersey_Vehicles_7_instate</t>
  </si>
  <si>
    <t>New Jersey_EGU_3_instate</t>
  </si>
  <si>
    <t>New Jersey_EGU_7_instate</t>
  </si>
  <si>
    <t>New Jersey_REF_3_instate</t>
  </si>
  <si>
    <t>New Jersey_REF_7_instate</t>
  </si>
  <si>
    <t>New Jersey_STR_3_instate</t>
  </si>
  <si>
    <t>New Jersey_STR_7_instate</t>
  </si>
  <si>
    <t>New Jersey_TRN_3_instate</t>
  </si>
  <si>
    <t>New Jersey_TRN_7_instate</t>
  </si>
  <si>
    <t>Acute Bronchitis</t>
  </si>
  <si>
    <t>Acute Myocardial Infarction, Nonfatal (high)</t>
  </si>
  <si>
    <t>Acute Myocardial Infarction, Nonfatal (low)</t>
  </si>
  <si>
    <t>Asthma Exacerbation, Cough</t>
  </si>
  <si>
    <t>Asthma Exacerbation, Shortness of Breath</t>
  </si>
  <si>
    <t>Asthma Exacerbation, Wheeze</t>
  </si>
  <si>
    <t>Emergency Room Visits, Asthma</t>
  </si>
  <si>
    <t>HA, All Cardiovascular (less Myocardial Infarctions)</t>
  </si>
  <si>
    <t>HA, All Respiratory</t>
  </si>
  <si>
    <t>HA, Asthma</t>
  </si>
  <si>
    <t>HA, Chronic Lung Disease</t>
  </si>
  <si>
    <t>Lower Respiratory Symptoms</t>
  </si>
  <si>
    <t>Minor Restricted Activity Days</t>
  </si>
  <si>
    <t>Mortality, All Cause (low)</t>
  </si>
  <si>
    <t>Mortality, All Cause (high)</t>
  </si>
  <si>
    <t>Infant Mortality</t>
  </si>
  <si>
    <t>Upper Respiratory Symptoms</t>
  </si>
  <si>
    <t>Work Loss Days</t>
  </si>
  <si>
    <t>New Jersey_Vehicles_3_outstate</t>
  </si>
  <si>
    <t>New Jersey_Vehicles_7_outstate</t>
  </si>
  <si>
    <t>New Jersey_EGU_3_outstate</t>
  </si>
  <si>
    <t>New Jersey_EGU_7_outstate</t>
  </si>
  <si>
    <t>New Jersey_REF_3_outstate</t>
  </si>
  <si>
    <t>New Jersey_REF_7_outstate</t>
  </si>
  <si>
    <t>New Jersey_STR_3_outstate</t>
  </si>
  <si>
    <t>New Jersey_STR_7_outstate</t>
  </si>
  <si>
    <t>New Jersey_TRN_3_outstate</t>
  </si>
  <si>
    <t>New Jersey_TRN_7_outstate</t>
  </si>
  <si>
    <t>Costs</t>
  </si>
  <si>
    <t>low_end_cost</t>
  </si>
  <si>
    <t>high_end_cost</t>
  </si>
  <si>
    <t>avg_cost</t>
  </si>
  <si>
    <t>$ Acute Bronchitis</t>
  </si>
  <si>
    <t>$ Acute Myocardial Infarction, Nonfatal (high)</t>
  </si>
  <si>
    <t>$ Acute Myocardial Infarction, Nonfatal (low)</t>
  </si>
  <si>
    <t>$ Asthma Exacerbation</t>
  </si>
  <si>
    <t>$ Emergency Room Visits, Asthma</t>
  </si>
  <si>
    <t>$ CVD Hosp. Adm.</t>
  </si>
  <si>
    <t>$ Resp. Hosp. Adm.</t>
  </si>
  <si>
    <t>$ Lower Respiratory Symptoms</t>
  </si>
  <si>
    <t>$ Minor Restricted Activity Days</t>
  </si>
  <si>
    <t>$ Mortality, All Cause (low)</t>
  </si>
  <si>
    <t>$ Mortality, All Cause (high)</t>
  </si>
  <si>
    <t>$ Infant Mortality</t>
  </si>
  <si>
    <t>$ Upper Respiratory Symptoms</t>
  </si>
  <si>
    <t>$ Work Loss Days</t>
  </si>
  <si>
    <t>Net cost summary</t>
  </si>
  <si>
    <t>In-state benefit</t>
  </si>
  <si>
    <t>Out-of-state benefit</t>
  </si>
  <si>
    <t>In-state burden</t>
  </si>
  <si>
    <t>Out-of-state burden</t>
  </si>
  <si>
    <t>Net benefit/burden</t>
  </si>
  <si>
    <t>(units:  Million $)</t>
  </si>
  <si>
    <t>(3% discount rate)</t>
  </si>
  <si>
    <t>Extrapolation factors (CY 2040 basis)</t>
  </si>
  <si>
    <t>Total PM25</t>
  </si>
  <si>
    <t>1) Excerpts from MOVES3 output from 2022 HDV analysis ("NJ Summary Report 092022")</t>
  </si>
  <si>
    <t>Used to extrapolate some ACC II LDV emissions from 2040 to 2050</t>
  </si>
  <si>
    <t>ACC II - MY2026 Implementation (2020-2040)</t>
  </si>
  <si>
    <t>ACC II - MY2027 Implementation (2020-2050)</t>
  </si>
  <si>
    <t>Business as Usual scenario, based on Federal rule reductions (2020-2050)</t>
  </si>
  <si>
    <t>(assumes no change after 2040)</t>
  </si>
  <si>
    <t>ZEV in-use fraction held constant after 2040 (equal to sales fraction)</t>
  </si>
  <si>
    <t>2) MOVES default output for VOC, SO2, NH3</t>
  </si>
  <si>
    <t>pollutantID</t>
  </si>
  <si>
    <t>emissionQuant</t>
  </si>
  <si>
    <t>from CARB</t>
  </si>
  <si>
    <t>(see 2040 &amp; 2050)</t>
  </si>
  <si>
    <t>For 2040 COBRA modeling:</t>
  </si>
  <si>
    <t>(note:  2040 net WTW VOC and SO2 calculated for COBRA modeling; 2050 net benefits provided for informational purposes)</t>
  </si>
  <si>
    <t>Avoided Emissions relative to BAU, 2025-2050</t>
  </si>
  <si>
    <t>Change 2025-2050</t>
  </si>
  <si>
    <t>LDV fractions</t>
  </si>
  <si>
    <t>Total LDV Pop</t>
  </si>
  <si>
    <t>2047+ capped at CARB value</t>
  </si>
  <si>
    <t>(2040-2050 capped at EPA 17.2% sales estimate)</t>
  </si>
  <si>
    <t>2040-2050 extrapolation</t>
  </si>
  <si>
    <t>Data and calculations used to extend emissions projections from 2040 to 2050</t>
  </si>
  <si>
    <t>Detailed COBRA modeling results (Vehicles = LDV vehicles, EGU = electric generation, REF = petroleum refining, STR = petroleum storage, TRN = petroleum transport).  Calendar year 2040 only.</t>
  </si>
  <si>
    <t>This scenario only extends to calendar year 2040.</t>
  </si>
  <si>
    <t>Projections extended to 2050 using work previously completed for HDV analysis and additional MOVES default runs.</t>
  </si>
  <si>
    <t>Detailed Petroleum sector estimates</t>
  </si>
  <si>
    <t>Electric Generation Emissions Increases</t>
  </si>
  <si>
    <t>Petroleum Emissions Reductions</t>
  </si>
  <si>
    <r>
      <t>Table 2: CO</t>
    </r>
    <r>
      <rPr>
        <b/>
        <vertAlign val="subscript"/>
        <sz val="10"/>
        <color theme="1"/>
        <rFont val="Segoe UI"/>
        <family val="2"/>
      </rPr>
      <t>2</t>
    </r>
    <r>
      <rPr>
        <b/>
        <sz val="10"/>
        <color theme="1"/>
        <rFont val="Segoe UI"/>
        <family val="2"/>
      </rPr>
      <t>e Reductions by Year and Component, Relative to Calendar Year 2020 Business as Usual Scenario (Assuming Implementation in Model Year 2027)</t>
    </r>
  </si>
  <si>
    <r>
      <t>CO</t>
    </r>
    <r>
      <rPr>
        <vertAlign val="subscript"/>
        <sz val="12"/>
        <color rgb="FFFFFFFF"/>
        <rFont val="Segoe UI Semibold"/>
        <family val="2"/>
      </rPr>
      <t>2</t>
    </r>
    <r>
      <rPr>
        <sz val="12"/>
        <color rgb="FFFFFFFF"/>
        <rFont val="Segoe UI Semibold"/>
        <family val="2"/>
      </rPr>
      <t>e</t>
    </r>
  </si>
  <si>
    <t>WTT</t>
  </si>
  <si>
    <t>TTW</t>
  </si>
  <si>
    <t>WTW</t>
  </si>
  <si>
    <t>By 2030</t>
  </si>
  <si>
    <t>By 2040</t>
  </si>
  <si>
    <t>By 2050</t>
  </si>
  <si>
    <t>(US ton to MMT conversion)</t>
  </si>
  <si>
    <t>ACCII 2027</t>
  </si>
  <si>
    <t>ZEV</t>
  </si>
  <si>
    <t>WTT CO2e</t>
  </si>
  <si>
    <t>Conventional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</si>
</sst>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3" formatCode="_(* #,##0.00_);_(* \(#,##0.00\);_(* &quot;-&quot;??_);_(@_)"/>
    <numFmt numFmtId="164" formatCode="_(* #,##0_);_(* \(#,##0\);_(* &quot;-&quot;??_);_(@_)"/>
    <numFmt numFmtId="165" formatCode="#,##0.000"/>
    <numFmt numFmtId="166" formatCode="0.000"/>
    <numFmt numFmtId="167" formatCode="0.0000"/>
    <numFmt numFmtId="168" formatCode="0.0%"/>
    <numFmt numFmtId="169" formatCode="0.0"/>
    <numFmt numFmtId="170" formatCode="0.00000"/>
    <numFmt numFmtId="171" formatCode="0.000%"/>
    <numFmt numFmtId="172" formatCode="_(* #,##0.000_);_(* \(#,##0.000\);_(* &quot;-&quot;??_);_(@_)"/>
    <numFmt numFmtId="173" formatCode="0.000000"/>
  </numFmts>
  <fonts count="60">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1"/>
      <color rgb="FF00B050"/>
      <name val="Calibri"/>
      <family val="2"/>
      <scheme val="minor"/>
    </font>
    <font>
      <b/>
      <i/>
      <sz val="11"/>
      <color theme="1"/>
      <name val="Calibri"/>
      <family val="2"/>
      <scheme val="minor"/>
    </font>
    <font>
      <sz val="11"/>
      <color theme="0" tint="-0.249977111117893"/>
      <name val="Calibri"/>
      <family val="2"/>
      <scheme val="minor"/>
    </font>
    <font>
      <sz val="11"/>
      <name val="Calibri"/>
      <family val="2"/>
      <scheme val="minor"/>
    </font>
    <font>
      <b/>
      <sz val="11"/>
      <name val="Arial"/>
      <family val="2"/>
    </font>
    <font>
      <b/>
      <sz val="10"/>
      <name val="Arial"/>
      <family val="2"/>
    </font>
    <font>
      <sz val="11"/>
      <color theme="4" tint="-0.249977111117893"/>
      <name val="Calibri"/>
      <family val="2"/>
      <scheme val="minor"/>
    </font>
    <font>
      <sz val="11"/>
      <color rgb="FF0070C0"/>
      <name val="Calibri"/>
      <family val="2"/>
      <scheme val="minor"/>
    </font>
    <font>
      <sz val="10"/>
      <name val="Arial"/>
      <family val="2"/>
    </font>
    <font>
      <sz val="11"/>
      <color theme="0" tint="-4.9989318521683403E-2"/>
      <name val="Calibri"/>
      <family val="2"/>
      <scheme val="minor"/>
    </font>
    <font>
      <sz val="11"/>
      <color rgb="FF00B050"/>
      <name val="Calibri"/>
      <family val="2"/>
      <scheme val="minor"/>
    </font>
    <font>
      <u/>
      <sz val="11"/>
      <color theme="10"/>
      <name val="Calibri"/>
      <family val="2"/>
      <scheme val="minor"/>
    </font>
    <font>
      <b/>
      <sz val="11"/>
      <color rgb="FFFF0000"/>
      <name val="Calibri"/>
      <family val="2"/>
      <scheme val="minor"/>
    </font>
    <font>
      <i/>
      <sz val="11"/>
      <color theme="1"/>
      <name val="Calibri"/>
      <family val="2"/>
      <scheme val="minor"/>
    </font>
    <font>
      <b/>
      <sz val="11"/>
      <name val="Calibri"/>
      <family val="2"/>
      <scheme val="minor"/>
    </font>
    <font>
      <i/>
      <sz val="11"/>
      <color rgb="FFFF0000"/>
      <name val="Calibri"/>
      <family val="2"/>
      <scheme val="minor"/>
    </font>
    <font>
      <sz val="8"/>
      <name val="Calibri"/>
      <family val="2"/>
      <scheme val="minor"/>
    </font>
    <font>
      <sz val="11"/>
      <color theme="0" tint="-0.14999847407452621"/>
      <name val="Calibri"/>
      <family val="2"/>
      <scheme val="minor"/>
    </font>
    <font>
      <i/>
      <sz val="11"/>
      <name val="Calibri"/>
      <family val="2"/>
      <scheme val="minor"/>
    </font>
    <font>
      <i/>
      <sz val="11"/>
      <color rgb="FF0070C0"/>
      <name val="Calibri"/>
      <family val="2"/>
      <scheme val="minor"/>
    </font>
    <font>
      <b/>
      <i/>
      <sz val="11"/>
      <name val="Calibri"/>
      <family val="2"/>
      <scheme val="minor"/>
    </font>
    <font>
      <sz val="9"/>
      <color theme="1"/>
      <name val="Helvetica"/>
      <family val="2"/>
    </font>
    <font>
      <i/>
      <sz val="9"/>
      <color theme="1"/>
      <name val="Helvetica"/>
      <family val="2"/>
    </font>
    <font>
      <i/>
      <sz val="9"/>
      <color theme="0" tint="-0.34998626667073579"/>
      <name val="Helvetica"/>
      <family val="2"/>
    </font>
    <font>
      <b/>
      <sz val="9"/>
      <color theme="1"/>
      <name val="Helvetica"/>
      <family val="2"/>
    </font>
    <font>
      <b/>
      <sz val="11"/>
      <color theme="0" tint="-0.14999847407452621"/>
      <name val="Calibri"/>
      <family val="2"/>
      <scheme val="minor"/>
    </font>
    <font>
      <sz val="11"/>
      <color theme="0" tint="-0.34998626667073579"/>
      <name val="Calibri"/>
      <family val="2"/>
      <scheme val="minor"/>
    </font>
    <font>
      <sz val="11"/>
      <color rgb="FFFFC000"/>
      <name val="Calibri"/>
      <family val="2"/>
      <scheme val="minor"/>
    </font>
    <font>
      <sz val="11"/>
      <color theme="0" tint="-0.499984740745262"/>
      <name val="Calibri"/>
      <family val="2"/>
      <scheme val="minor"/>
    </font>
    <font>
      <i/>
      <sz val="11"/>
      <color theme="4" tint="-0.249977111117893"/>
      <name val="Calibri"/>
      <family val="2"/>
      <scheme val="minor"/>
    </font>
    <font>
      <i/>
      <sz val="11"/>
      <color theme="0" tint="-0.499984740745262"/>
      <name val="Calibri"/>
      <family val="2"/>
      <scheme val="minor"/>
    </font>
    <font>
      <b/>
      <sz val="10"/>
      <name val="Calibri"/>
      <family val="2"/>
      <scheme val="minor"/>
    </font>
    <font>
      <i/>
      <sz val="11"/>
      <color theme="0" tint="-0.34998626667073579"/>
      <name val="Calibri"/>
      <family val="2"/>
      <scheme val="minor"/>
    </font>
    <font>
      <sz val="12"/>
      <color rgb="FF000000"/>
      <name val="Calibri"/>
      <family val="2"/>
      <scheme val="minor"/>
    </font>
    <font>
      <sz val="12"/>
      <color rgb="FF000000"/>
      <name val="Calibri"/>
      <family val="2"/>
    </font>
    <font>
      <sz val="11"/>
      <color rgb="FF000000"/>
      <name val="Calibri"/>
      <family val="2"/>
      <scheme val="minor"/>
    </font>
    <font>
      <b/>
      <sz val="11"/>
      <color theme="0" tint="-0.34998626667073579"/>
      <name val="Calibri"/>
      <family val="2"/>
      <scheme val="minor"/>
    </font>
    <font>
      <b/>
      <sz val="10"/>
      <color theme="1"/>
      <name val="Segoe UI"/>
      <family val="2"/>
    </font>
    <font>
      <b/>
      <vertAlign val="subscript"/>
      <sz val="10"/>
      <color theme="1"/>
      <name val="Segoe UI"/>
      <family val="2"/>
    </font>
    <font>
      <sz val="12"/>
      <color rgb="FFFFFFFF"/>
      <name val="Segoe UI Semibold"/>
      <family val="2"/>
    </font>
    <font>
      <vertAlign val="subscript"/>
      <sz val="12"/>
      <color rgb="FFFFFFFF"/>
      <name val="Segoe UI Semibold"/>
      <family val="2"/>
    </font>
    <font>
      <sz val="10"/>
      <color rgb="FF000000"/>
      <name val="Segoe UI"/>
      <family val="2"/>
    </font>
  </fonts>
  <fills count="4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
      <patternFill patternType="solid">
        <fgColor theme="0" tint="-0.14999847407452621"/>
        <bgColor indexed="64"/>
      </patternFill>
    </fill>
    <fill>
      <patternFill patternType="solid">
        <fgColor theme="2"/>
        <bgColor indexed="64"/>
      </patternFill>
    </fill>
    <fill>
      <patternFill patternType="solid">
        <fgColor theme="4" tint="0.79998168889431442"/>
        <bgColor theme="4" tint="0.79998168889431442"/>
      </patternFill>
    </fill>
    <fill>
      <patternFill patternType="solid">
        <fgColor theme="0" tint="-4.9989318521683403E-2"/>
        <bgColor indexed="64"/>
      </patternFill>
    </fill>
    <fill>
      <patternFill patternType="solid">
        <fgColor rgb="FF92D050"/>
        <bgColor indexed="64"/>
      </patternFill>
    </fill>
    <fill>
      <patternFill patternType="solid">
        <fgColor rgb="FFFFC000"/>
        <bgColor indexed="64"/>
      </patternFill>
    </fill>
    <fill>
      <patternFill patternType="solid">
        <fgColor theme="5" tint="-0.249977111117893"/>
        <bgColor indexed="64"/>
      </patternFill>
    </fill>
    <fill>
      <patternFill patternType="solid">
        <fgColor theme="8"/>
        <bgColor indexed="64"/>
      </patternFill>
    </fill>
    <fill>
      <patternFill patternType="solid">
        <fgColor rgb="FF5D8BC3"/>
        <bgColor indexed="64"/>
      </patternFill>
    </fill>
    <fill>
      <patternFill patternType="solid">
        <fgColor rgb="FFF2F2F2"/>
        <bgColor indexed="64"/>
      </patternFill>
    </fill>
  </fills>
  <borders count="4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style="thin">
        <color indexed="64"/>
      </left>
      <right style="thin">
        <color indexed="64"/>
      </right>
      <top/>
      <bottom style="thin">
        <color indexed="64"/>
      </bottom>
      <diagonal/>
    </border>
    <border>
      <left style="thin">
        <color auto="1"/>
      </left>
      <right/>
      <top/>
      <bottom/>
      <diagonal/>
    </border>
    <border>
      <left style="thin">
        <color indexed="64"/>
      </left>
      <right/>
      <top/>
      <bottom style="thin">
        <color indexed="64"/>
      </bottom>
      <diagonal/>
    </border>
    <border>
      <left style="thin">
        <color auto="1"/>
      </left>
      <right style="thin">
        <color auto="1"/>
      </right>
      <top style="thin">
        <color auto="1"/>
      </top>
      <bottom/>
      <diagonal/>
    </border>
    <border>
      <left style="thin">
        <color auto="1"/>
      </left>
      <right style="thin">
        <color auto="1"/>
      </right>
      <top/>
      <bottom/>
      <diagonal/>
    </border>
    <border>
      <left/>
      <right/>
      <top style="thin">
        <color auto="1"/>
      </top>
      <bottom/>
      <diagonal/>
    </border>
    <border>
      <left/>
      <right style="thin">
        <color auto="1"/>
      </right>
      <top style="thin">
        <color auto="1"/>
      </top>
      <bottom/>
      <diagonal/>
    </border>
    <border>
      <left/>
      <right style="thin">
        <color auto="1"/>
      </right>
      <top/>
      <bottom/>
      <diagonal/>
    </border>
    <border>
      <left/>
      <right/>
      <top/>
      <bottom style="thin">
        <color auto="1"/>
      </bottom>
      <diagonal/>
    </border>
    <border>
      <left/>
      <right style="thin">
        <color auto="1"/>
      </right>
      <top/>
      <bottom style="thin">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
      <left/>
      <right/>
      <top style="medium">
        <color auto="1"/>
      </top>
      <bottom/>
      <diagonal/>
    </border>
    <border>
      <left/>
      <right style="medium">
        <color auto="1"/>
      </right>
      <top style="medium">
        <color auto="1"/>
      </top>
      <bottom/>
      <diagonal/>
    </border>
    <border>
      <left/>
      <right/>
      <top/>
      <bottom style="medium">
        <color auto="1"/>
      </bottom>
      <diagonal/>
    </border>
    <border>
      <left style="medium">
        <color auto="1"/>
      </left>
      <right/>
      <top style="medium">
        <color auto="1"/>
      </top>
      <bottom/>
      <diagonal/>
    </border>
    <border>
      <left style="medium">
        <color auto="1"/>
      </left>
      <right style="medium">
        <color auto="1"/>
      </right>
      <top style="medium">
        <color auto="1"/>
      </top>
      <bottom style="medium">
        <color auto="1"/>
      </bottom>
      <diagonal/>
    </border>
    <border>
      <left style="medium">
        <color auto="1"/>
      </left>
      <right style="medium">
        <color auto="1"/>
      </right>
      <top/>
      <bottom style="medium">
        <color auto="1"/>
      </bottom>
      <diagonal/>
    </border>
    <border>
      <left/>
      <right/>
      <top/>
      <bottom style="thin">
        <color theme="4" tint="0.39997558519241921"/>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ck">
        <color rgb="FFFFFFFF"/>
      </left>
      <right style="thick">
        <color rgb="FFFFFFFF"/>
      </right>
      <top style="thick">
        <color rgb="FFFFFFFF"/>
      </top>
      <bottom style="thick">
        <color rgb="FFFFFFFF"/>
      </bottom>
      <diagonal/>
    </border>
    <border>
      <left/>
      <right style="thick">
        <color rgb="FFFFFFFF"/>
      </right>
      <top style="thick">
        <color rgb="FFFFFFFF"/>
      </top>
      <bottom style="thick">
        <color rgb="FFFFFFFF"/>
      </bottom>
      <diagonal/>
    </border>
    <border>
      <left style="thick">
        <color rgb="FFFFFFFF"/>
      </left>
      <right style="thick">
        <color rgb="FFFFFFFF"/>
      </right>
      <top/>
      <bottom style="thick">
        <color rgb="FFFFFFFF"/>
      </bottom>
      <diagonal/>
    </border>
    <border>
      <left/>
      <right style="thick">
        <color rgb="FFFFFFFF"/>
      </right>
      <top/>
      <bottom style="thick">
        <color rgb="FFFFFFFF"/>
      </bottom>
      <diagonal/>
    </border>
    <border>
      <left/>
      <right style="thick">
        <color rgb="FFFFFFFF"/>
      </right>
      <top/>
      <bottom/>
      <diagonal/>
    </border>
    <border>
      <left style="thick">
        <color rgb="FFFFFFFF"/>
      </left>
      <right style="thick">
        <color rgb="FFFFFFFF"/>
      </right>
      <top style="thick">
        <color rgb="FFFFFFFF"/>
      </top>
      <bottom/>
      <diagonal/>
    </border>
  </borders>
  <cellStyleXfs count="45">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29" fillId="0" borderId="0" applyNumberFormat="0" applyFill="0" applyBorder="0" applyAlignment="0" applyProtection="0"/>
  </cellStyleXfs>
  <cellXfs count="341">
    <xf numFmtId="0" fontId="0" fillId="0" borderId="0" xfId="0"/>
    <xf numFmtId="0" fontId="0" fillId="33" borderId="0" xfId="0" applyFill="1"/>
    <xf numFmtId="0" fontId="16" fillId="0" borderId="0" xfId="0" applyFont="1"/>
    <xf numFmtId="1" fontId="0" fillId="0" borderId="0" xfId="0" applyNumberFormat="1"/>
    <xf numFmtId="0" fontId="18" fillId="0" borderId="0" xfId="0" applyFont="1"/>
    <xf numFmtId="0" fontId="19" fillId="0" borderId="0" xfId="0" applyFont="1"/>
    <xf numFmtId="0" fontId="14" fillId="0" borderId="0" xfId="0" applyFont="1"/>
    <xf numFmtId="0" fontId="16" fillId="0" borderId="0" xfId="0" applyFont="1" applyAlignment="1">
      <alignment horizontal="center"/>
    </xf>
    <xf numFmtId="0" fontId="0" fillId="0" borderId="0" xfId="0" applyAlignment="1">
      <alignment horizontal="right"/>
    </xf>
    <xf numFmtId="9" fontId="0" fillId="0" borderId="0" xfId="42" applyFont="1"/>
    <xf numFmtId="164" fontId="0" fillId="0" borderId="0" xfId="43" applyNumberFormat="1" applyFont="1"/>
    <xf numFmtId="164" fontId="0" fillId="34" borderId="0" xfId="43" applyNumberFormat="1" applyFont="1" applyFill="1"/>
    <xf numFmtId="164" fontId="0" fillId="0" borderId="0" xfId="0" applyNumberFormat="1"/>
    <xf numFmtId="164" fontId="0" fillId="34" borderId="0" xfId="0" applyNumberFormat="1" applyFill="1"/>
    <xf numFmtId="43" fontId="0" fillId="34" borderId="0" xfId="43" applyFont="1" applyFill="1"/>
    <xf numFmtId="43" fontId="0" fillId="0" borderId="0" xfId="0" applyNumberFormat="1"/>
    <xf numFmtId="0" fontId="22" fillId="0" borderId="0" xfId="0" applyFont="1"/>
    <xf numFmtId="0" fontId="0" fillId="0" borderId="11" xfId="0" applyBorder="1"/>
    <xf numFmtId="0" fontId="0" fillId="0" borderId="13" xfId="0" applyBorder="1"/>
    <xf numFmtId="0" fontId="0" fillId="0" borderId="14" xfId="0" applyBorder="1"/>
    <xf numFmtId="0" fontId="23" fillId="0" borderId="13" xfId="0" applyFont="1" applyBorder="1"/>
    <xf numFmtId="0" fontId="23" fillId="0" borderId="10" xfId="0" applyFont="1" applyBorder="1" applyAlignment="1">
      <alignment horizontal="center" wrapText="1"/>
    </xf>
    <xf numFmtId="0" fontId="16" fillId="0" borderId="10" xfId="0" applyFont="1" applyBorder="1" applyAlignment="1">
      <alignment horizontal="center" wrapText="1"/>
    </xf>
    <xf numFmtId="3" fontId="0" fillId="0" borderId="15" xfId="0" applyNumberFormat="1" applyBorder="1"/>
    <xf numFmtId="0" fontId="0" fillId="0" borderId="15" xfId="0" applyBorder="1"/>
    <xf numFmtId="165" fontId="0" fillId="0" borderId="16" xfId="0" applyNumberFormat="1" applyBorder="1"/>
    <xf numFmtId="166" fontId="0" fillId="0" borderId="16" xfId="0" applyNumberFormat="1" applyBorder="1"/>
    <xf numFmtId="1" fontId="0" fillId="0" borderId="12" xfId="0" applyNumberFormat="1" applyBorder="1"/>
    <xf numFmtId="0" fontId="21" fillId="0" borderId="0" xfId="0" applyFont="1"/>
    <xf numFmtId="0" fontId="24" fillId="0" borderId="0" xfId="0" applyFont="1"/>
    <xf numFmtId="1" fontId="0" fillId="0" borderId="0" xfId="43" applyNumberFormat="1" applyFont="1"/>
    <xf numFmtId="1" fontId="0" fillId="0" borderId="20" xfId="0" applyNumberFormat="1" applyBorder="1"/>
    <xf numFmtId="0" fontId="0" fillId="0" borderId="0" xfId="0" applyAlignment="1">
      <alignment horizontal="center"/>
    </xf>
    <xf numFmtId="0" fontId="16" fillId="0" borderId="11" xfId="0" applyFont="1" applyBorder="1"/>
    <xf numFmtId="1" fontId="0" fillId="0" borderId="19" xfId="0" applyNumberFormat="1" applyBorder="1"/>
    <xf numFmtId="1" fontId="0" fillId="0" borderId="21" xfId="0" applyNumberFormat="1" applyBorder="1"/>
    <xf numFmtId="11" fontId="0" fillId="0" borderId="0" xfId="0" applyNumberFormat="1"/>
    <xf numFmtId="0" fontId="0" fillId="0" borderId="17" xfId="0" applyBorder="1"/>
    <xf numFmtId="0" fontId="0" fillId="0" borderId="18" xfId="0" applyBorder="1"/>
    <xf numFmtId="1" fontId="0" fillId="0" borderId="17" xfId="0" applyNumberFormat="1" applyBorder="1"/>
    <xf numFmtId="1" fontId="0" fillId="0" borderId="18" xfId="0" applyNumberFormat="1" applyBorder="1"/>
    <xf numFmtId="167" fontId="0" fillId="0" borderId="0" xfId="0" applyNumberFormat="1"/>
    <xf numFmtId="1" fontId="0" fillId="0" borderId="0" xfId="43" applyNumberFormat="1" applyFont="1" applyFill="1"/>
    <xf numFmtId="164" fontId="0" fillId="0" borderId="0" xfId="43" applyNumberFormat="1" applyFont="1" applyFill="1"/>
    <xf numFmtId="1" fontId="0" fillId="34" borderId="0" xfId="0" applyNumberFormat="1" applyFill="1"/>
    <xf numFmtId="0" fontId="25" fillId="0" borderId="0" xfId="0" applyFont="1"/>
    <xf numFmtId="0" fontId="16" fillId="0" borderId="22" xfId="0" applyFont="1" applyBorder="1"/>
    <xf numFmtId="0" fontId="16" fillId="0" borderId="23" xfId="0" applyFont="1" applyBorder="1" applyAlignment="1">
      <alignment wrapText="1"/>
    </xf>
    <xf numFmtId="0" fontId="0" fillId="0" borderId="25" xfId="0" applyBorder="1" applyAlignment="1">
      <alignment wrapText="1"/>
    </xf>
    <xf numFmtId="0" fontId="0" fillId="0" borderId="27" xfId="0" applyBorder="1" applyAlignment="1">
      <alignment wrapText="1"/>
    </xf>
    <xf numFmtId="0" fontId="0" fillId="0" borderId="0" xfId="0" applyAlignment="1">
      <alignment vertical="top"/>
    </xf>
    <xf numFmtId="0" fontId="26" fillId="0" borderId="0" xfId="0" applyFont="1"/>
    <xf numFmtId="0" fontId="26" fillId="0" borderId="11" xfId="0" applyFont="1" applyBorder="1"/>
    <xf numFmtId="0" fontId="26" fillId="0" borderId="14" xfId="0" applyFont="1" applyBorder="1"/>
    <xf numFmtId="0" fontId="26" fillId="0" borderId="14" xfId="0" applyFont="1" applyBorder="1" applyAlignment="1">
      <alignment horizontal="right"/>
    </xf>
    <xf numFmtId="0" fontId="26" fillId="0" borderId="21" xfId="0" applyFont="1" applyBorder="1" applyAlignment="1">
      <alignment horizontal="right"/>
    </xf>
    <xf numFmtId="0" fontId="26" fillId="0" borderId="13" xfId="0" applyFont="1" applyBorder="1" applyAlignment="1">
      <alignment horizontal="right"/>
    </xf>
    <xf numFmtId="168" fontId="26" fillId="0" borderId="13" xfId="42" applyNumberFormat="1" applyFont="1" applyBorder="1" applyAlignment="1"/>
    <xf numFmtId="168" fontId="26" fillId="0" borderId="19" xfId="42" applyNumberFormat="1" applyFont="1" applyBorder="1" applyAlignment="1"/>
    <xf numFmtId="166" fontId="0" fillId="0" borderId="0" xfId="0" applyNumberFormat="1"/>
    <xf numFmtId="168" fontId="16" fillId="0" borderId="0" xfId="0" applyNumberFormat="1" applyFont="1"/>
    <xf numFmtId="0" fontId="27" fillId="0" borderId="0" xfId="0" applyFont="1"/>
    <xf numFmtId="0" fontId="28" fillId="0" borderId="0" xfId="0" applyFont="1"/>
    <xf numFmtId="0" fontId="29" fillId="0" borderId="24" xfId="44" applyBorder="1"/>
    <xf numFmtId="0" fontId="29" fillId="0" borderId="26" xfId="44" applyBorder="1"/>
    <xf numFmtId="0" fontId="0" fillId="0" borderId="20" xfId="0" applyBorder="1"/>
    <xf numFmtId="0" fontId="0" fillId="0" borderId="20" xfId="0" applyBorder="1" applyAlignment="1">
      <alignment horizontal="right"/>
    </xf>
    <xf numFmtId="0" fontId="30" fillId="0" borderId="0" xfId="0" applyFont="1"/>
    <xf numFmtId="0" fontId="31" fillId="0" borderId="0" xfId="0" applyFont="1"/>
    <xf numFmtId="0" fontId="32" fillId="0" borderId="0" xfId="0" applyFont="1"/>
    <xf numFmtId="0" fontId="32" fillId="0" borderId="0" xfId="0" applyFont="1" applyAlignment="1">
      <alignment horizontal="center"/>
    </xf>
    <xf numFmtId="0" fontId="32" fillId="0" borderId="25" xfId="0" applyFont="1" applyBorder="1"/>
    <xf numFmtId="0" fontId="0" fillId="0" borderId="25" xfId="0" applyBorder="1"/>
    <xf numFmtId="0" fontId="0" fillId="0" borderId="30" xfId="0" applyBorder="1"/>
    <xf numFmtId="0" fontId="0" fillId="0" borderId="27" xfId="0" applyBorder="1"/>
    <xf numFmtId="0" fontId="32" fillId="0" borderId="24" xfId="0" applyFont="1" applyBorder="1" applyAlignment="1">
      <alignment horizontal="center"/>
    </xf>
    <xf numFmtId="0" fontId="0" fillId="0" borderId="24" xfId="0" applyBorder="1"/>
    <xf numFmtId="0" fontId="0" fillId="0" borderId="26" xfId="0" applyBorder="1"/>
    <xf numFmtId="0" fontId="33" fillId="0" borderId="0" xfId="0" applyFont="1"/>
    <xf numFmtId="0" fontId="21" fillId="0" borderId="30" xfId="0" applyFont="1" applyBorder="1"/>
    <xf numFmtId="0" fontId="21" fillId="0" borderId="17" xfId="0" applyFont="1" applyBorder="1"/>
    <xf numFmtId="0" fontId="0" fillId="0" borderId="19" xfId="0" applyBorder="1"/>
    <xf numFmtId="0" fontId="14" fillId="0" borderId="19" xfId="0" applyFont="1" applyBorder="1"/>
    <xf numFmtId="0" fontId="0" fillId="0" borderId="21" xfId="0" applyBorder="1"/>
    <xf numFmtId="1" fontId="0" fillId="0" borderId="24" xfId="0" applyNumberFormat="1" applyBorder="1"/>
    <xf numFmtId="1" fontId="0" fillId="0" borderId="25" xfId="0" applyNumberFormat="1" applyBorder="1"/>
    <xf numFmtId="0" fontId="0" fillId="0" borderId="33" xfId="0" applyBorder="1"/>
    <xf numFmtId="0" fontId="0" fillId="0" borderId="33" xfId="0" applyBorder="1" applyAlignment="1">
      <alignment horizontal="center"/>
    </xf>
    <xf numFmtId="1" fontId="0" fillId="0" borderId="0" xfId="42" applyNumberFormat="1" applyFont="1" applyBorder="1"/>
    <xf numFmtId="1" fontId="0" fillId="0" borderId="25" xfId="42" applyNumberFormat="1" applyFont="1" applyBorder="1"/>
    <xf numFmtId="0" fontId="0" fillId="35" borderId="0" xfId="0" applyFill="1"/>
    <xf numFmtId="1" fontId="0" fillId="35" borderId="0" xfId="0" applyNumberFormat="1" applyFill="1"/>
    <xf numFmtId="1" fontId="0" fillId="35" borderId="24" xfId="0" applyNumberFormat="1" applyFill="1" applyBorder="1"/>
    <xf numFmtId="1" fontId="0" fillId="35" borderId="0" xfId="42" applyNumberFormat="1" applyFont="1" applyFill="1" applyBorder="1"/>
    <xf numFmtId="1" fontId="0" fillId="35" borderId="25" xfId="0" applyNumberFormat="1" applyFill="1" applyBorder="1"/>
    <xf numFmtId="1" fontId="0" fillId="35" borderId="26" xfId="0" applyNumberFormat="1" applyFill="1" applyBorder="1"/>
    <xf numFmtId="1" fontId="0" fillId="35" borderId="30" xfId="0" applyNumberFormat="1" applyFill="1" applyBorder="1"/>
    <xf numFmtId="1" fontId="0" fillId="35" borderId="30" xfId="42" applyNumberFormat="1" applyFont="1" applyFill="1" applyBorder="1"/>
    <xf numFmtId="1" fontId="0" fillId="0" borderId="31" xfId="0" applyNumberFormat="1" applyBorder="1"/>
    <xf numFmtId="1" fontId="0" fillId="0" borderId="29" xfId="42" applyNumberFormat="1" applyFont="1" applyBorder="1"/>
    <xf numFmtId="1" fontId="0" fillId="35" borderId="27" xfId="0" applyNumberFormat="1" applyFill="1" applyBorder="1"/>
    <xf numFmtId="1" fontId="21" fillId="0" borderId="0" xfId="0" applyNumberFormat="1" applyFont="1"/>
    <xf numFmtId="1" fontId="21" fillId="0" borderId="30" xfId="0" applyNumberFormat="1" applyFont="1" applyBorder="1"/>
    <xf numFmtId="166" fontId="0" fillId="0" borderId="25" xfId="0" applyNumberFormat="1" applyBorder="1"/>
    <xf numFmtId="166" fontId="0" fillId="0" borderId="27" xfId="0" applyNumberFormat="1" applyBorder="1"/>
    <xf numFmtId="1" fontId="0" fillId="0" borderId="30" xfId="0" applyNumberFormat="1" applyBorder="1"/>
    <xf numFmtId="0" fontId="20" fillId="0" borderId="13" xfId="0" applyFont="1" applyBorder="1"/>
    <xf numFmtId="0" fontId="20" fillId="0" borderId="0" xfId="0" applyFont="1"/>
    <xf numFmtId="1" fontId="20" fillId="0" borderId="0" xfId="0" applyNumberFormat="1" applyFont="1"/>
    <xf numFmtId="1" fontId="20" fillId="0" borderId="19" xfId="0" applyNumberFormat="1" applyFont="1" applyBorder="1"/>
    <xf numFmtId="0" fontId="20" fillId="0" borderId="14" xfId="0" applyFont="1" applyBorder="1"/>
    <xf numFmtId="0" fontId="20" fillId="0" borderId="20" xfId="0" applyFont="1" applyBorder="1" applyAlignment="1">
      <alignment horizontal="right"/>
    </xf>
    <xf numFmtId="1" fontId="20" fillId="0" borderId="20" xfId="43" applyNumberFormat="1" applyFont="1" applyBorder="1"/>
    <xf numFmtId="1" fontId="20" fillId="0" borderId="20" xfId="0" applyNumberFormat="1" applyFont="1" applyBorder="1"/>
    <xf numFmtId="1" fontId="20" fillId="0" borderId="21" xfId="43" applyNumberFormat="1" applyFont="1" applyBorder="1"/>
    <xf numFmtId="0" fontId="21" fillId="0" borderId="11" xfId="0" applyFont="1" applyBorder="1"/>
    <xf numFmtId="0" fontId="21" fillId="0" borderId="18" xfId="0" applyFont="1" applyBorder="1"/>
    <xf numFmtId="1" fontId="16" fillId="0" borderId="0" xfId="0" applyNumberFormat="1" applyFont="1"/>
    <xf numFmtId="166" fontId="14" fillId="0" borderId="0" xfId="0" applyNumberFormat="1" applyFont="1"/>
    <xf numFmtId="0" fontId="0" fillId="0" borderId="25" xfId="0" applyBorder="1" applyAlignment="1">
      <alignment horizontal="right"/>
    </xf>
    <xf numFmtId="0" fontId="25" fillId="0" borderId="0" xfId="0" applyFont="1" applyAlignment="1">
      <alignment horizontal="center"/>
    </xf>
    <xf numFmtId="1" fontId="14" fillId="0" borderId="0" xfId="0" applyNumberFormat="1" applyFont="1"/>
    <xf numFmtId="166" fontId="21" fillId="0" borderId="25" xfId="0" applyNumberFormat="1" applyFont="1" applyBorder="1"/>
    <xf numFmtId="167" fontId="0" fillId="0" borderId="24" xfId="0" applyNumberFormat="1" applyBorder="1"/>
    <xf numFmtId="167" fontId="21" fillId="0" borderId="0" xfId="0" applyNumberFormat="1" applyFont="1"/>
    <xf numFmtId="167" fontId="0" fillId="0" borderId="25" xfId="0" applyNumberFormat="1" applyBorder="1"/>
    <xf numFmtId="164" fontId="0" fillId="34" borderId="0" xfId="43" applyNumberFormat="1" applyFont="1" applyFill="1" applyAlignment="1">
      <alignment horizontal="center"/>
    </xf>
    <xf numFmtId="0" fontId="0" fillId="0" borderId="14" xfId="0" applyBorder="1" applyAlignment="1">
      <alignment horizontal="center"/>
    </xf>
    <xf numFmtId="1" fontId="0" fillId="0" borderId="21" xfId="0" applyNumberFormat="1" applyBorder="1" applyAlignment="1">
      <alignment horizontal="center"/>
    </xf>
    <xf numFmtId="1" fontId="0" fillId="0" borderId="0" xfId="0" applyNumberFormat="1" applyAlignment="1">
      <alignment horizontal="center"/>
    </xf>
    <xf numFmtId="0" fontId="30" fillId="0" borderId="0" xfId="0" applyFont="1" applyAlignment="1">
      <alignment horizontal="center"/>
    </xf>
    <xf numFmtId="0" fontId="35" fillId="0" borderId="0" xfId="0" applyFont="1" applyAlignment="1">
      <alignment horizontal="center"/>
    </xf>
    <xf numFmtId="0" fontId="0" fillId="0" borderId="20" xfId="0" applyBorder="1" applyAlignment="1">
      <alignment horizontal="center"/>
    </xf>
    <xf numFmtId="1" fontId="20" fillId="0" borderId="20" xfId="43" applyNumberFormat="1" applyFont="1" applyFill="1" applyBorder="1"/>
    <xf numFmtId="0" fontId="16" fillId="36" borderId="0" xfId="0" applyFont="1" applyFill="1"/>
    <xf numFmtId="0" fontId="16" fillId="36" borderId="34" xfId="0" applyFont="1" applyFill="1" applyBorder="1"/>
    <xf numFmtId="0" fontId="0" fillId="0" borderId="0" xfId="0" applyAlignment="1">
      <alignment horizontal="left"/>
    </xf>
    <xf numFmtId="2" fontId="0" fillId="0" borderId="0" xfId="0" applyNumberFormat="1" applyAlignment="1">
      <alignment horizontal="left"/>
    </xf>
    <xf numFmtId="169" fontId="0" fillId="0" borderId="0" xfId="0" applyNumberFormat="1" applyAlignment="1">
      <alignment horizontal="left"/>
    </xf>
    <xf numFmtId="169" fontId="0" fillId="0" borderId="0" xfId="0" applyNumberFormat="1"/>
    <xf numFmtId="166" fontId="16" fillId="0" borderId="0" xfId="0" applyNumberFormat="1" applyFont="1"/>
    <xf numFmtId="0" fontId="36" fillId="0" borderId="0" xfId="0" applyFont="1"/>
    <xf numFmtId="0" fontId="21" fillId="0" borderId="24" xfId="0" applyFont="1" applyBorder="1"/>
    <xf numFmtId="1" fontId="21" fillId="0" borderId="24" xfId="0" applyNumberFormat="1" applyFont="1" applyBorder="1"/>
    <xf numFmtId="0" fontId="17" fillId="0" borderId="19" xfId="0" applyFont="1" applyBorder="1" applyAlignment="1">
      <alignment horizontal="right"/>
    </xf>
    <xf numFmtId="0" fontId="17" fillId="0" borderId="19" xfId="0" applyFont="1" applyBorder="1" applyAlignment="1">
      <alignment horizontal="left"/>
    </xf>
    <xf numFmtId="0" fontId="17" fillId="0" borderId="16" xfId="0" applyFont="1" applyBorder="1" applyAlignment="1">
      <alignment horizontal="right"/>
    </xf>
    <xf numFmtId="0" fontId="17" fillId="0" borderId="0" xfId="0" applyFont="1" applyAlignment="1">
      <alignment horizontal="right"/>
    </xf>
    <xf numFmtId="0" fontId="0" fillId="0" borderId="35" xfId="0" applyBorder="1" applyAlignment="1">
      <alignment horizontal="right"/>
    </xf>
    <xf numFmtId="0" fontId="0" fillId="0" borderId="35" xfId="0" applyBorder="1" applyAlignment="1">
      <alignment horizontal="left"/>
    </xf>
    <xf numFmtId="1" fontId="0" fillId="0" borderId="36" xfId="0" applyNumberFormat="1" applyBorder="1" applyAlignment="1">
      <alignment horizontal="right"/>
    </xf>
    <xf numFmtId="1" fontId="0" fillId="0" borderId="29" xfId="0" applyNumberFormat="1" applyBorder="1" applyAlignment="1">
      <alignment horizontal="right"/>
    </xf>
    <xf numFmtId="0" fontId="0" fillId="0" borderId="19" xfId="0" applyBorder="1" applyAlignment="1">
      <alignment horizontal="right"/>
    </xf>
    <xf numFmtId="0" fontId="0" fillId="0" borderId="19" xfId="0" applyBorder="1" applyAlignment="1">
      <alignment horizontal="left"/>
    </xf>
    <xf numFmtId="1" fontId="0" fillId="0" borderId="16" xfId="0" applyNumberFormat="1" applyBorder="1" applyAlignment="1">
      <alignment horizontal="right"/>
    </xf>
    <xf numFmtId="1" fontId="0" fillId="0" borderId="25" xfId="0" applyNumberFormat="1" applyBorder="1" applyAlignment="1">
      <alignment horizontal="right"/>
    </xf>
    <xf numFmtId="169" fontId="0" fillId="33" borderId="16" xfId="0" applyNumberFormat="1" applyFill="1" applyBorder="1" applyAlignment="1">
      <alignment horizontal="right"/>
    </xf>
    <xf numFmtId="169" fontId="0" fillId="33" borderId="25" xfId="0" applyNumberFormat="1" applyFill="1" applyBorder="1" applyAlignment="1">
      <alignment horizontal="right"/>
    </xf>
    <xf numFmtId="169" fontId="0" fillId="0" borderId="0" xfId="0" applyNumberFormat="1" applyAlignment="1">
      <alignment horizontal="right"/>
    </xf>
    <xf numFmtId="1" fontId="0" fillId="0" borderId="0" xfId="0" applyNumberFormat="1" applyAlignment="1">
      <alignment horizontal="right"/>
    </xf>
    <xf numFmtId="0" fontId="37" fillId="0" borderId="0" xfId="0" applyFont="1"/>
    <xf numFmtId="0" fontId="16" fillId="0" borderId="0" xfId="0" applyFont="1" applyAlignment="1">
      <alignment horizontal="left"/>
    </xf>
    <xf numFmtId="0" fontId="16" fillId="36" borderId="34" xfId="0" applyFont="1" applyFill="1" applyBorder="1" applyAlignment="1">
      <alignment horizontal="center"/>
    </xf>
    <xf numFmtId="164" fontId="0" fillId="0" borderId="0" xfId="0" applyNumberFormat="1" applyAlignment="1">
      <alignment horizontal="center"/>
    </xf>
    <xf numFmtId="2" fontId="0" fillId="0" borderId="0" xfId="0" applyNumberFormat="1" applyAlignment="1">
      <alignment horizontal="center"/>
    </xf>
    <xf numFmtId="43" fontId="0" fillId="0" borderId="0" xfId="0" applyNumberFormat="1" applyAlignment="1">
      <alignment horizontal="center"/>
    </xf>
    <xf numFmtId="0" fontId="16" fillId="36" borderId="0" xfId="0" applyFont="1" applyFill="1" applyAlignment="1">
      <alignment horizontal="center"/>
    </xf>
    <xf numFmtId="0" fontId="31" fillId="0" borderId="0" xfId="0" applyFont="1" applyAlignment="1">
      <alignment horizontal="left"/>
    </xf>
    <xf numFmtId="43" fontId="0" fillId="0" borderId="0" xfId="0" applyNumberFormat="1" applyAlignment="1">
      <alignment horizontal="left"/>
    </xf>
    <xf numFmtId="0" fontId="26" fillId="0" borderId="0" xfId="0" applyFont="1" applyAlignment="1">
      <alignment vertical="top"/>
    </xf>
    <xf numFmtId="168" fontId="26" fillId="0" borderId="0" xfId="42" applyNumberFormat="1" applyFont="1" applyBorder="1" applyAlignment="1"/>
    <xf numFmtId="0" fontId="38" fillId="0" borderId="0" xfId="0" applyFont="1"/>
    <xf numFmtId="0" fontId="21" fillId="0" borderId="25" xfId="0" applyFont="1" applyBorder="1"/>
    <xf numFmtId="0" fontId="21" fillId="0" borderId="26" xfId="0" applyFont="1" applyBorder="1"/>
    <xf numFmtId="0" fontId="21" fillId="0" borderId="27" xfId="0" applyFont="1" applyBorder="1"/>
    <xf numFmtId="1" fontId="0" fillId="0" borderId="26" xfId="0" applyNumberFormat="1" applyBorder="1"/>
    <xf numFmtId="166" fontId="0" fillId="0" borderId="30" xfId="0" applyNumberFormat="1" applyBorder="1"/>
    <xf numFmtId="1" fontId="21" fillId="0" borderId="26" xfId="0" applyNumberFormat="1" applyFont="1" applyBorder="1"/>
    <xf numFmtId="166" fontId="21" fillId="0" borderId="27" xfId="0" applyNumberFormat="1" applyFont="1" applyBorder="1"/>
    <xf numFmtId="0" fontId="39" fillId="0" borderId="0" xfId="0" applyFont="1"/>
    <xf numFmtId="0" fontId="40" fillId="0" borderId="0" xfId="0" applyFont="1"/>
    <xf numFmtId="0" fontId="41" fillId="0" borderId="0" xfId="0" applyFont="1"/>
    <xf numFmtId="0" fontId="42" fillId="34" borderId="10" xfId="0" applyFont="1" applyFill="1" applyBorder="1" applyAlignment="1">
      <alignment horizontal="center"/>
    </xf>
    <xf numFmtId="0" fontId="42" fillId="0" borderId="0" xfId="0" applyFont="1"/>
    <xf numFmtId="0" fontId="39" fillId="0" borderId="0" xfId="0" applyFont="1" applyAlignment="1">
      <alignment horizontal="right"/>
    </xf>
    <xf numFmtId="0" fontId="42" fillId="37" borderId="10" xfId="0" applyFont="1" applyFill="1" applyBorder="1"/>
    <xf numFmtId="0" fontId="39" fillId="37" borderId="10" xfId="0" applyFont="1" applyFill="1" applyBorder="1"/>
    <xf numFmtId="0" fontId="39" fillId="37" borderId="10" xfId="0" applyFont="1" applyFill="1" applyBorder="1" applyAlignment="1">
      <alignment horizontal="center"/>
    </xf>
    <xf numFmtId="0" fontId="39" fillId="0" borderId="10" xfId="0" applyFont="1" applyBorder="1"/>
    <xf numFmtId="10" fontId="39" fillId="0" borderId="10" xfId="0" applyNumberFormat="1" applyFont="1" applyBorder="1"/>
    <xf numFmtId="164" fontId="39" fillId="0" borderId="10" xfId="43" applyNumberFormat="1" applyFont="1" applyBorder="1"/>
    <xf numFmtId="168" fontId="39" fillId="0" borderId="10" xfId="42" applyNumberFormat="1" applyFont="1" applyBorder="1"/>
    <xf numFmtId="164" fontId="39" fillId="0" borderId="10" xfId="0" applyNumberFormat="1" applyFont="1" applyBorder="1"/>
    <xf numFmtId="164" fontId="39" fillId="0" borderId="0" xfId="0" applyNumberFormat="1" applyFont="1"/>
    <xf numFmtId="0" fontId="43" fillId="0" borderId="0" xfId="0" applyFont="1"/>
    <xf numFmtId="0" fontId="35" fillId="0" borderId="0" xfId="0" applyFont="1"/>
    <xf numFmtId="1" fontId="35" fillId="0" borderId="0" xfId="0" applyNumberFormat="1" applyFont="1"/>
    <xf numFmtId="9" fontId="35" fillId="0" borderId="0" xfId="42" applyFont="1"/>
    <xf numFmtId="0" fontId="35" fillId="0" borderId="13" xfId="0" applyFont="1" applyBorder="1"/>
    <xf numFmtId="0" fontId="35" fillId="0" borderId="19" xfId="0" applyFont="1" applyBorder="1"/>
    <xf numFmtId="0" fontId="35" fillId="0" borderId="14" xfId="0" applyFont="1" applyBorder="1" applyAlignment="1">
      <alignment horizontal="center"/>
    </xf>
    <xf numFmtId="1" fontId="35" fillId="0" borderId="21" xfId="0" applyNumberFormat="1" applyFont="1" applyBorder="1" applyAlignment="1">
      <alignment horizontal="center"/>
    </xf>
    <xf numFmtId="0" fontId="21" fillId="33" borderId="0" xfId="0" applyFont="1" applyFill="1"/>
    <xf numFmtId="1" fontId="44" fillId="0" borderId="0" xfId="0" applyNumberFormat="1" applyFont="1"/>
    <xf numFmtId="0" fontId="44" fillId="0" borderId="0" xfId="0" applyFont="1"/>
    <xf numFmtId="0" fontId="0" fillId="35" borderId="0" xfId="0" applyFill="1" applyAlignment="1">
      <alignment horizontal="right"/>
    </xf>
    <xf numFmtId="0" fontId="14" fillId="0" borderId="24" xfId="0" applyFont="1" applyBorder="1"/>
    <xf numFmtId="0" fontId="21" fillId="38" borderId="0" xfId="0" applyFont="1" applyFill="1"/>
    <xf numFmtId="167" fontId="21" fillId="0" borderId="24" xfId="0" applyNumberFormat="1" applyFont="1" applyBorder="1"/>
    <xf numFmtId="10" fontId="0" fillId="0" borderId="0" xfId="0" applyNumberFormat="1"/>
    <xf numFmtId="10" fontId="0" fillId="0" borderId="24" xfId="0" applyNumberFormat="1" applyBorder="1"/>
    <xf numFmtId="10" fontId="0" fillId="0" borderId="25" xfId="0" applyNumberFormat="1" applyBorder="1"/>
    <xf numFmtId="10" fontId="0" fillId="0" borderId="26" xfId="0" applyNumberFormat="1" applyBorder="1"/>
    <xf numFmtId="10" fontId="0" fillId="0" borderId="30" xfId="0" applyNumberFormat="1" applyBorder="1"/>
    <xf numFmtId="10" fontId="0" fillId="0" borderId="27" xfId="0" applyNumberFormat="1" applyBorder="1"/>
    <xf numFmtId="167" fontId="0" fillId="0" borderId="26" xfId="0" applyNumberFormat="1" applyBorder="1"/>
    <xf numFmtId="167" fontId="0" fillId="0" borderId="30" xfId="0" applyNumberFormat="1" applyBorder="1"/>
    <xf numFmtId="167" fontId="0" fillId="0" borderId="27" xfId="0" applyNumberFormat="1" applyBorder="1"/>
    <xf numFmtId="167" fontId="0" fillId="39" borderId="25" xfId="0" applyNumberFormat="1" applyFill="1" applyBorder="1"/>
    <xf numFmtId="166" fontId="21" fillId="0" borderId="0" xfId="0" applyNumberFormat="1" applyFont="1"/>
    <xf numFmtId="166" fontId="21" fillId="0" borderId="30" xfId="0" applyNumberFormat="1" applyFont="1" applyBorder="1"/>
    <xf numFmtId="10" fontId="0" fillId="0" borderId="0" xfId="42" applyNumberFormat="1" applyFont="1" applyFill="1"/>
    <xf numFmtId="1" fontId="44" fillId="0" borderId="13" xfId="0" applyNumberFormat="1" applyFont="1" applyBorder="1"/>
    <xf numFmtId="167" fontId="14" fillId="0" borderId="0" xfId="0" applyNumberFormat="1" applyFont="1"/>
    <xf numFmtId="0" fontId="46" fillId="0" borderId="0" xfId="0" applyFont="1"/>
    <xf numFmtId="10" fontId="46" fillId="0" borderId="0" xfId="42" applyNumberFormat="1" applyFont="1" applyFill="1"/>
    <xf numFmtId="10" fontId="21" fillId="0" borderId="0" xfId="42" applyNumberFormat="1" applyFont="1" applyFill="1"/>
    <xf numFmtId="9" fontId="0" fillId="0" borderId="26" xfId="42" applyFont="1" applyFill="1" applyBorder="1" applyAlignment="1">
      <alignment horizontal="right"/>
    </xf>
    <xf numFmtId="2" fontId="0" fillId="0" borderId="0" xfId="42" applyNumberFormat="1" applyFont="1"/>
    <xf numFmtId="171" fontId="0" fillId="0" borderId="0" xfId="42" applyNumberFormat="1" applyFont="1"/>
    <xf numFmtId="9" fontId="36" fillId="0" borderId="0" xfId="42" applyFont="1" applyFill="1"/>
    <xf numFmtId="10" fontId="36" fillId="0" borderId="0" xfId="42" applyNumberFormat="1" applyFont="1" applyFill="1"/>
    <xf numFmtId="170" fontId="0" fillId="0" borderId="0" xfId="0" applyNumberFormat="1"/>
    <xf numFmtId="0" fontId="47" fillId="0" borderId="0" xfId="0" applyFont="1"/>
    <xf numFmtId="0" fontId="21" fillId="0" borderId="0" xfId="0" applyFont="1" applyAlignment="1">
      <alignment horizontal="right"/>
    </xf>
    <xf numFmtId="170" fontId="21" fillId="0" borderId="0" xfId="0" applyNumberFormat="1" applyFont="1" applyAlignment="1">
      <alignment horizontal="right"/>
    </xf>
    <xf numFmtId="168" fontId="0" fillId="0" borderId="0" xfId="42" applyNumberFormat="1" applyFont="1"/>
    <xf numFmtId="170" fontId="21" fillId="0" borderId="0" xfId="0" applyNumberFormat="1" applyFont="1"/>
    <xf numFmtId="1" fontId="46" fillId="0" borderId="24" xfId="0" applyNumberFormat="1" applyFont="1" applyBorder="1"/>
    <xf numFmtId="166" fontId="46" fillId="0" borderId="0" xfId="0" applyNumberFormat="1" applyFont="1"/>
    <xf numFmtId="1" fontId="46" fillId="0" borderId="0" xfId="0" applyNumberFormat="1" applyFont="1"/>
    <xf numFmtId="0" fontId="48" fillId="0" borderId="0" xfId="0" applyFont="1"/>
    <xf numFmtId="0" fontId="17" fillId="40" borderId="0" xfId="0" applyFont="1" applyFill="1"/>
    <xf numFmtId="0" fontId="0" fillId="40" borderId="0" xfId="0" applyFill="1"/>
    <xf numFmtId="3" fontId="49" fillId="41" borderId="10" xfId="0" applyNumberFormat="1" applyFont="1" applyFill="1" applyBorder="1" applyAlignment="1">
      <alignment horizontal="left" wrapText="1"/>
    </xf>
    <xf numFmtId="0" fontId="0" fillId="41" borderId="10" xfId="0" applyFill="1" applyBorder="1"/>
    <xf numFmtId="9" fontId="26" fillId="0" borderId="10" xfId="42" applyFont="1" applyFill="1" applyBorder="1"/>
    <xf numFmtId="0" fontId="50" fillId="0" borderId="24" xfId="0" applyFont="1" applyBorder="1"/>
    <xf numFmtId="0" fontId="50" fillId="0" borderId="0" xfId="0" applyFont="1"/>
    <xf numFmtId="166" fontId="44" fillId="0" borderId="24" xfId="0" applyNumberFormat="1" applyFont="1" applyBorder="1"/>
    <xf numFmtId="166" fontId="44" fillId="0" borderId="0" xfId="0" applyNumberFormat="1" applyFont="1"/>
    <xf numFmtId="1" fontId="0" fillId="35" borderId="24" xfId="0" applyNumberFormat="1" applyFill="1" applyBorder="1" applyAlignment="1">
      <alignment horizontal="right"/>
    </xf>
    <xf numFmtId="1" fontId="0" fillId="35" borderId="0" xfId="0" applyNumberFormat="1" applyFill="1" applyAlignment="1">
      <alignment horizontal="right"/>
    </xf>
    <xf numFmtId="1" fontId="0" fillId="35" borderId="25" xfId="0" applyNumberFormat="1" applyFill="1" applyBorder="1" applyAlignment="1">
      <alignment horizontal="right"/>
    </xf>
    <xf numFmtId="10" fontId="21" fillId="0" borderId="0" xfId="0" applyNumberFormat="1" applyFont="1"/>
    <xf numFmtId="10" fontId="21" fillId="0" borderId="25" xfId="0" applyNumberFormat="1" applyFont="1" applyBorder="1"/>
    <xf numFmtId="9" fontId="21" fillId="0" borderId="26" xfId="42" applyFont="1" applyFill="1" applyBorder="1" applyAlignment="1">
      <alignment horizontal="right"/>
    </xf>
    <xf numFmtId="10" fontId="21" fillId="0" borderId="30" xfId="0" applyNumberFormat="1" applyFont="1" applyBorder="1"/>
    <xf numFmtId="10" fontId="21" fillId="0" borderId="27" xfId="0" applyNumberFormat="1" applyFont="1" applyBorder="1"/>
    <xf numFmtId="172" fontId="0" fillId="0" borderId="0" xfId="0" applyNumberFormat="1"/>
    <xf numFmtId="164" fontId="0" fillId="0" borderId="0" xfId="42" applyNumberFormat="1" applyFont="1"/>
    <xf numFmtId="2" fontId="0" fillId="0" borderId="0" xfId="0" applyNumberFormat="1"/>
    <xf numFmtId="0" fontId="0" fillId="0" borderId="0" xfId="0" applyAlignment="1">
      <alignment wrapText="1"/>
    </xf>
    <xf numFmtId="1" fontId="21" fillId="0" borderId="0" xfId="0" applyNumberFormat="1" applyFont="1" applyAlignment="1">
      <alignment horizontal="right"/>
    </xf>
    <xf numFmtId="1" fontId="21" fillId="33" borderId="0" xfId="0" applyNumberFormat="1" applyFont="1" applyFill="1"/>
    <xf numFmtId="168" fontId="0" fillId="0" borderId="0" xfId="0" applyNumberFormat="1"/>
    <xf numFmtId="0" fontId="51" fillId="0" borderId="0" xfId="0" applyFont="1"/>
    <xf numFmtId="0" fontId="52" fillId="0" borderId="0" xfId="0" applyFont="1" applyAlignment="1">
      <alignment vertical="center"/>
    </xf>
    <xf numFmtId="0" fontId="53" fillId="0" borderId="0" xfId="0" applyFont="1"/>
    <xf numFmtId="173" fontId="31" fillId="0" borderId="0" xfId="0" applyNumberFormat="1" applyFont="1"/>
    <xf numFmtId="171" fontId="0" fillId="0" borderId="0" xfId="0" applyNumberFormat="1"/>
    <xf numFmtId="173" fontId="0" fillId="0" borderId="0" xfId="0" applyNumberFormat="1"/>
    <xf numFmtId="167" fontId="0" fillId="0" borderId="28" xfId="0" applyNumberFormat="1" applyBorder="1"/>
    <xf numFmtId="166" fontId="35" fillId="0" borderId="0" xfId="0" applyNumberFormat="1" applyFont="1"/>
    <xf numFmtId="1" fontId="14" fillId="0" borderId="31" xfId="0" applyNumberFormat="1" applyFont="1" applyBorder="1"/>
    <xf numFmtId="166" fontId="14" fillId="0" borderId="28" xfId="0" applyNumberFormat="1" applyFont="1" applyBorder="1"/>
    <xf numFmtId="1" fontId="14" fillId="0" borderId="28" xfId="0" applyNumberFormat="1" applyFont="1" applyBorder="1"/>
    <xf numFmtId="1" fontId="14" fillId="0" borderId="24" xfId="0" applyNumberFormat="1" applyFont="1" applyBorder="1"/>
    <xf numFmtId="0" fontId="44" fillId="0" borderId="0" xfId="0" applyFont="1" applyAlignment="1">
      <alignment horizontal="right"/>
    </xf>
    <xf numFmtId="2" fontId="44" fillId="0" borderId="0" xfId="0" applyNumberFormat="1" applyFont="1"/>
    <xf numFmtId="0" fontId="54" fillId="0" borderId="0" xfId="0" applyFont="1"/>
    <xf numFmtId="1" fontId="44" fillId="0" borderId="0" xfId="0" applyNumberFormat="1" applyFont="1" applyAlignment="1">
      <alignment horizontal="right"/>
    </xf>
    <xf numFmtId="164" fontId="44" fillId="0" borderId="0" xfId="43" applyNumberFormat="1" applyFont="1"/>
    <xf numFmtId="164" fontId="44" fillId="0" borderId="0" xfId="0" applyNumberFormat="1" applyFont="1"/>
    <xf numFmtId="43" fontId="44" fillId="0" borderId="0" xfId="0" applyNumberFormat="1" applyFont="1"/>
    <xf numFmtId="43" fontId="14" fillId="0" borderId="0" xfId="0" applyNumberFormat="1" applyFont="1"/>
    <xf numFmtId="43" fontId="14" fillId="0" borderId="0" xfId="43" applyFont="1"/>
    <xf numFmtId="9" fontId="14" fillId="0" borderId="0" xfId="42" applyFont="1"/>
    <xf numFmtId="164" fontId="21" fillId="0" borderId="0" xfId="43" applyNumberFormat="1" applyFont="1" applyAlignment="1">
      <alignment horizontal="center"/>
    </xf>
    <xf numFmtId="164" fontId="21" fillId="0" borderId="0" xfId="43" applyNumberFormat="1" applyFont="1"/>
    <xf numFmtId="164" fontId="21" fillId="0" borderId="0" xfId="0" applyNumberFormat="1" applyFont="1"/>
    <xf numFmtId="164" fontId="21" fillId="0" borderId="0" xfId="43" applyNumberFormat="1" applyFont="1" applyAlignment="1"/>
    <xf numFmtId="43" fontId="21" fillId="0" borderId="0" xfId="43" applyFont="1"/>
    <xf numFmtId="164" fontId="21" fillId="0" borderId="0" xfId="42" applyNumberFormat="1" applyFont="1" applyAlignment="1">
      <alignment horizontal="center"/>
    </xf>
    <xf numFmtId="9" fontId="21" fillId="0" borderId="0" xfId="42" applyFont="1"/>
    <xf numFmtId="1" fontId="21" fillId="34" borderId="0" xfId="0" applyNumberFormat="1" applyFont="1" applyFill="1"/>
    <xf numFmtId="164" fontId="21" fillId="34" borderId="0" xfId="43" applyNumberFormat="1" applyFont="1" applyFill="1"/>
    <xf numFmtId="43" fontId="21" fillId="0" borderId="0" xfId="0" applyNumberFormat="1" applyFont="1"/>
    <xf numFmtId="10" fontId="44" fillId="0" borderId="0" xfId="42" applyNumberFormat="1" applyFont="1"/>
    <xf numFmtId="0" fontId="55" fillId="0" borderId="0" xfId="0" applyFont="1" applyAlignment="1">
      <alignment vertical="center"/>
    </xf>
    <xf numFmtId="0" fontId="57" fillId="42" borderId="37" xfId="0" applyFont="1" applyFill="1" applyBorder="1" applyAlignment="1">
      <alignment horizontal="center" vertical="center" wrapText="1"/>
    </xf>
    <xf numFmtId="0" fontId="57" fillId="42" borderId="38" xfId="0" applyFont="1" applyFill="1" applyBorder="1" applyAlignment="1">
      <alignment horizontal="center" vertical="center" wrapText="1"/>
    </xf>
    <xf numFmtId="2" fontId="59" fillId="43" borderId="41" xfId="0" applyNumberFormat="1" applyFont="1" applyFill="1" applyBorder="1" applyAlignment="1">
      <alignment vertical="center"/>
    </xf>
    <xf numFmtId="2" fontId="59" fillId="43" borderId="42" xfId="0" applyNumberFormat="1" applyFont="1" applyFill="1" applyBorder="1" applyAlignment="1">
      <alignment vertical="center"/>
    </xf>
    <xf numFmtId="4" fontId="59" fillId="43" borderId="41" xfId="0" applyNumberFormat="1" applyFont="1" applyFill="1" applyBorder="1" applyAlignment="1">
      <alignment vertical="center"/>
    </xf>
    <xf numFmtId="9" fontId="59" fillId="43" borderId="40" xfId="42" applyFont="1" applyFill="1" applyBorder="1" applyAlignment="1">
      <alignment vertical="center"/>
    </xf>
    <xf numFmtId="9" fontId="59" fillId="43" borderId="39" xfId="42" applyFont="1" applyFill="1" applyBorder="1" applyAlignment="1">
      <alignment vertical="center"/>
    </xf>
    <xf numFmtId="0" fontId="16" fillId="0" borderId="25" xfId="0" applyFont="1" applyBorder="1" applyAlignment="1">
      <alignment horizontal="center"/>
    </xf>
    <xf numFmtId="49" fontId="16" fillId="0" borderId="24" xfId="0" applyNumberFormat="1" applyFont="1" applyBorder="1" applyAlignment="1">
      <alignment horizontal="right"/>
    </xf>
    <xf numFmtId="0" fontId="16" fillId="0" borderId="24" xfId="0" applyFont="1" applyBorder="1"/>
    <xf numFmtId="0" fontId="16" fillId="0" borderId="26" xfId="0" applyFont="1" applyBorder="1"/>
    <xf numFmtId="0" fontId="59" fillId="43" borderId="42" xfId="0" applyFont="1" applyFill="1" applyBorder="1" applyAlignment="1">
      <alignment vertical="center" wrapText="1"/>
    </xf>
    <xf numFmtId="0" fontId="59" fillId="43" borderId="39" xfId="0" applyFont="1" applyFill="1" applyBorder="1" applyAlignment="1">
      <alignment vertical="center" wrapText="1"/>
    </xf>
    <xf numFmtId="0" fontId="0" fillId="0" borderId="0" xfId="0" applyAlignment="1">
      <alignment horizontal="center"/>
    </xf>
    <xf numFmtId="0" fontId="16" fillId="0" borderId="31" xfId="0" applyFont="1" applyBorder="1" applyAlignment="1">
      <alignment horizontal="center"/>
    </xf>
    <xf numFmtId="0" fontId="16" fillId="0" borderId="28" xfId="0" applyFont="1" applyBorder="1" applyAlignment="1">
      <alignment horizontal="center"/>
    </xf>
    <xf numFmtId="0" fontId="16" fillId="0" borderId="29" xfId="0" applyFont="1" applyBorder="1" applyAlignment="1">
      <alignment horizontal="center"/>
    </xf>
    <xf numFmtId="2" fontId="0" fillId="0" borderId="0" xfId="0" applyNumberFormat="1" applyAlignment="1">
      <alignment horizontal="center"/>
    </xf>
    <xf numFmtId="0" fontId="21" fillId="0" borderId="0" xfId="0" applyFont="1" applyAlignment="1">
      <alignment horizontal="center"/>
    </xf>
    <xf numFmtId="0" fontId="0" fillId="0" borderId="0" xfId="0" applyAlignment="1">
      <alignment horizontal="center" wrapText="1"/>
    </xf>
    <xf numFmtId="1" fontId="0" fillId="0" borderId="0" xfId="0" applyNumberFormat="1" applyAlignment="1">
      <alignment horizontal="center" vertical="center"/>
    </xf>
    <xf numFmtId="0" fontId="0" fillId="0" borderId="31" xfId="0" applyBorder="1" applyAlignment="1">
      <alignment horizontal="center"/>
    </xf>
    <xf numFmtId="0" fontId="0" fillId="0" borderId="28" xfId="0" applyBorder="1" applyAlignment="1">
      <alignment horizontal="center"/>
    </xf>
    <xf numFmtId="0" fontId="0" fillId="0" borderId="29" xfId="0" applyBorder="1" applyAlignment="1">
      <alignment horizontal="center"/>
    </xf>
    <xf numFmtId="0" fontId="21" fillId="0" borderId="31" xfId="0" applyFont="1" applyBorder="1" applyAlignment="1">
      <alignment horizontal="center"/>
    </xf>
    <xf numFmtId="0" fontId="21" fillId="0" borderId="28" xfId="0" applyFont="1" applyBorder="1" applyAlignment="1">
      <alignment horizontal="center"/>
    </xf>
    <xf numFmtId="0" fontId="21" fillId="0" borderId="29" xfId="0" applyFont="1" applyBorder="1" applyAlignment="1">
      <alignment horizontal="center"/>
    </xf>
    <xf numFmtId="0" fontId="16" fillId="36" borderId="0" xfId="0" applyFont="1" applyFill="1" applyAlignment="1">
      <alignment horizontal="center"/>
    </xf>
    <xf numFmtId="0" fontId="42" fillId="34" borderId="10" xfId="0" applyFont="1" applyFill="1" applyBorder="1" applyAlignment="1">
      <alignment horizontal="center"/>
    </xf>
    <xf numFmtId="0" fontId="32" fillId="0" borderId="31" xfId="0" applyFont="1" applyBorder="1" applyAlignment="1">
      <alignment horizontal="center"/>
    </xf>
    <xf numFmtId="0" fontId="32" fillId="0" borderId="28" xfId="0" applyFont="1" applyBorder="1" applyAlignment="1">
      <alignment horizontal="center"/>
    </xf>
    <xf numFmtId="0" fontId="32" fillId="0" borderId="29" xfId="0" applyFont="1" applyBorder="1" applyAlignment="1">
      <alignment horizontal="center"/>
    </xf>
    <xf numFmtId="0" fontId="32" fillId="0" borderId="0" xfId="0" applyFont="1" applyAlignment="1">
      <alignment horizontal="center"/>
    </xf>
    <xf numFmtId="0" fontId="16" fillId="0" borderId="32" xfId="0" applyFont="1" applyBorder="1" applyAlignment="1">
      <alignment horizontal="center"/>
    </xf>
    <xf numFmtId="0" fontId="31" fillId="0" borderId="0" xfId="0" applyFont="1" applyAlignment="1">
      <alignment horizontal="center" wrapText="1"/>
    </xf>
    <xf numFmtId="0" fontId="35" fillId="0" borderId="11" xfId="0" applyFont="1" applyBorder="1" applyAlignment="1">
      <alignment horizontal="center"/>
    </xf>
    <xf numFmtId="0" fontId="35" fillId="0" borderId="18" xfId="0" applyFont="1" applyBorder="1" applyAlignment="1">
      <alignment horizontal="center"/>
    </xf>
    <xf numFmtId="0" fontId="0" fillId="0" borderId="11" xfId="0" applyBorder="1" applyAlignment="1">
      <alignment horizontal="center"/>
    </xf>
    <xf numFmtId="0" fontId="0" fillId="0" borderId="18" xfId="0" applyBorder="1" applyAlignment="1">
      <alignment horizontal="center"/>
    </xf>
    <xf numFmtId="0" fontId="0" fillId="0" borderId="11" xfId="0" applyBorder="1" applyAlignment="1">
      <alignment horizontal="center" vertical="center"/>
    </xf>
    <xf numFmtId="0" fontId="0" fillId="0" borderId="18" xfId="0" applyBorder="1" applyAlignment="1">
      <alignment horizontal="center" vertical="center"/>
    </xf>
  </cellXfs>
  <cellStyles count="45">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Comma" xfId="43" builtinId="3"/>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4" builtinId="8"/>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Percent" xfId="42" builtinId="5"/>
    <cellStyle name="Title" xfId="1" builtinId="15" customBuiltin="1"/>
    <cellStyle name="Total" xfId="17" builtinId="25" customBuiltin="1"/>
    <cellStyle name="Warning Text" xfId="14" builtinId="11" customBuiltin="1"/>
  </cellStyles>
  <dxfs count="64">
    <dxf>
      <font>
        <b val="0"/>
        <i val="0"/>
        <strike val="0"/>
        <condense val="0"/>
        <extend val="0"/>
        <outline val="0"/>
        <shadow val="0"/>
        <u val="none"/>
        <vertAlign val="baseline"/>
        <sz val="11"/>
        <color theme="1"/>
        <name val="Calibri"/>
        <family val="2"/>
        <scheme val="minor"/>
      </font>
      <numFmt numFmtId="1" formatCode="0"/>
      <fill>
        <patternFill patternType="none">
          <fgColor indexed="64"/>
          <bgColor indexed="65"/>
        </patternFill>
      </fill>
      <alignment horizontal="right" vertical="bottom" textRotation="0" wrapText="0" indent="0" justifyLastLine="0" shrinkToFit="0" readingOrder="0"/>
      <border diagonalUp="0" diagonalDown="0" outline="0">
        <left/>
        <right style="medium">
          <color indexed="64"/>
        </right>
        <top/>
        <bottom/>
      </border>
    </dxf>
    <dxf>
      <font>
        <b val="0"/>
        <i val="0"/>
        <strike val="0"/>
        <condense val="0"/>
        <extend val="0"/>
        <outline val="0"/>
        <shadow val="0"/>
        <u val="none"/>
        <vertAlign val="baseline"/>
        <sz val="11"/>
        <color theme="1"/>
        <name val="Calibri"/>
        <family val="2"/>
        <scheme val="minor"/>
      </font>
      <numFmt numFmtId="1" formatCode="0"/>
      <fill>
        <patternFill patternType="none">
          <fgColor indexed="64"/>
          <bgColor indexed="65"/>
        </patternFill>
      </fill>
      <alignment horizontal="right" vertical="bottom" textRotation="0" wrapText="0" indent="0" justifyLastLine="0" shrinkToFit="0" readingOrder="0"/>
      <border diagonalUp="0" diagonalDown="0">
        <left/>
        <right style="medium">
          <color indexed="64"/>
        </right>
        <top/>
        <bottom/>
        <vertical/>
        <horizontal/>
      </border>
    </dxf>
    <dxf>
      <font>
        <b val="0"/>
        <i val="0"/>
        <strike val="0"/>
        <condense val="0"/>
        <extend val="0"/>
        <outline val="0"/>
        <shadow val="0"/>
        <u val="none"/>
        <vertAlign val="baseline"/>
        <sz val="11"/>
        <color theme="1"/>
        <name val="Calibri"/>
        <family val="2"/>
        <scheme val="minor"/>
      </font>
      <numFmt numFmtId="1" formatCode="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family val="2"/>
        <scheme val="minor"/>
      </font>
      <numFmt numFmtId="1"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theme="1"/>
        <name val="Calibri"/>
        <family val="2"/>
        <scheme val="minor"/>
      </font>
      <numFmt numFmtId="1" formatCode="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family val="2"/>
        <scheme val="minor"/>
      </font>
      <numFmt numFmtId="1"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theme="1"/>
        <name val="Calibri"/>
        <family val="2"/>
        <scheme val="minor"/>
      </font>
      <numFmt numFmtId="1" formatCode="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family val="2"/>
        <scheme val="minor"/>
      </font>
      <numFmt numFmtId="1"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theme="1"/>
        <name val="Calibri"/>
        <family val="2"/>
        <scheme val="minor"/>
      </font>
      <numFmt numFmtId="1" formatCode="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family val="2"/>
        <scheme val="minor"/>
      </font>
      <numFmt numFmtId="1"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theme="1"/>
        <name val="Calibri"/>
        <family val="2"/>
        <scheme val="minor"/>
      </font>
      <numFmt numFmtId="1" formatCode="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family val="2"/>
        <scheme val="minor"/>
      </font>
      <numFmt numFmtId="1"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theme="1"/>
        <name val="Calibri"/>
        <family val="2"/>
        <scheme val="minor"/>
      </font>
      <numFmt numFmtId="1" formatCode="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family val="2"/>
        <scheme val="minor"/>
      </font>
      <numFmt numFmtId="1"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theme="1"/>
        <name val="Calibri"/>
        <family val="2"/>
        <scheme val="minor"/>
      </font>
      <numFmt numFmtId="1" formatCode="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family val="2"/>
        <scheme val="minor"/>
      </font>
      <numFmt numFmtId="1"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theme="1"/>
        <name val="Calibri"/>
        <family val="2"/>
        <scheme val="minor"/>
      </font>
      <numFmt numFmtId="1" formatCode="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family val="2"/>
        <scheme val="minor"/>
      </font>
      <numFmt numFmtId="1"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theme="1"/>
        <name val="Calibri"/>
        <family val="2"/>
        <scheme val="minor"/>
      </font>
      <numFmt numFmtId="1" formatCode="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family val="2"/>
        <scheme val="minor"/>
      </font>
      <numFmt numFmtId="1"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theme="1"/>
        <name val="Calibri"/>
        <family val="2"/>
        <scheme val="minor"/>
      </font>
      <numFmt numFmtId="1" formatCode="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family val="2"/>
        <scheme val="minor"/>
      </font>
      <numFmt numFmtId="1"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bottom"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bottom" textRotation="0" wrapText="0"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right" vertical="bottom"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right" vertical="bottom" textRotation="0" wrapText="0" indent="0" justifyLastLine="0" shrinkToFit="0" readingOrder="0"/>
      <border diagonalUp="0" diagonalDown="0">
        <left/>
        <right style="thin">
          <color indexed="64"/>
        </right>
        <top/>
        <bottom/>
        <vertical/>
        <horizontal/>
      </border>
    </dxf>
    <dxf>
      <border outline="0">
        <left style="medium">
          <color indexed="64"/>
        </left>
        <top style="medium">
          <color indexed="64"/>
        </top>
        <bottom style="medium">
          <color indexed="64"/>
        </bottom>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righ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1"/>
        <color theme="0"/>
        <name val="Calibri"/>
        <family val="2"/>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family val="2"/>
        <scheme val="minor"/>
      </font>
      <numFmt numFmtId="1" formatCode="0"/>
      <fill>
        <patternFill patternType="none">
          <fgColor indexed="64"/>
          <bgColor indexed="65"/>
        </patternFill>
      </fill>
      <alignment horizontal="right" vertical="bottom" textRotation="0" wrapText="0" indent="0" justifyLastLine="0" shrinkToFit="0" readingOrder="0"/>
      <border diagonalUp="0" diagonalDown="0">
        <left/>
        <right style="medium">
          <color indexed="64"/>
        </right>
        <top/>
        <bottom/>
        <vertical/>
        <horizontal/>
      </border>
    </dxf>
    <dxf>
      <font>
        <b val="0"/>
        <i val="0"/>
        <strike val="0"/>
        <condense val="0"/>
        <extend val="0"/>
        <outline val="0"/>
        <shadow val="0"/>
        <u val="none"/>
        <vertAlign val="baseline"/>
        <sz val="11"/>
        <color theme="1"/>
        <name val="Calibri"/>
        <family val="2"/>
        <scheme val="minor"/>
      </font>
      <numFmt numFmtId="1"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theme="1"/>
        <name val="Calibri"/>
        <family val="2"/>
        <scheme val="minor"/>
      </font>
      <numFmt numFmtId="1"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theme="1"/>
        <name val="Calibri"/>
        <family val="2"/>
        <scheme val="minor"/>
      </font>
      <numFmt numFmtId="1"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theme="1"/>
        <name val="Calibri"/>
        <family val="2"/>
        <scheme val="minor"/>
      </font>
      <numFmt numFmtId="1"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theme="1"/>
        <name val="Calibri"/>
        <family val="2"/>
        <scheme val="minor"/>
      </font>
      <numFmt numFmtId="1"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theme="1"/>
        <name val="Calibri"/>
        <family val="2"/>
        <scheme val="minor"/>
      </font>
      <numFmt numFmtId="1"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theme="1"/>
        <name val="Calibri"/>
        <family val="2"/>
        <scheme val="minor"/>
      </font>
      <numFmt numFmtId="1"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theme="1"/>
        <name val="Calibri"/>
        <family val="2"/>
        <scheme val="minor"/>
      </font>
      <numFmt numFmtId="1"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theme="1"/>
        <name val="Calibri"/>
        <family val="2"/>
        <scheme val="minor"/>
      </font>
      <numFmt numFmtId="1"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theme="1"/>
        <name val="Calibri"/>
        <family val="2"/>
        <scheme val="minor"/>
      </font>
      <numFmt numFmtId="1"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bottom" textRotation="0" wrapText="0"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right" vertical="bottom" textRotation="0" wrapText="0" indent="0" justifyLastLine="0" shrinkToFit="0" readingOrder="0"/>
      <border diagonalUp="0" diagonalDown="0">
        <left/>
        <right style="thin">
          <color indexed="64"/>
        </right>
        <top/>
        <bottom/>
        <vertical/>
        <horizontal/>
      </border>
    </dxf>
    <dxf>
      <border outline="0">
        <left style="medium">
          <color indexed="64"/>
        </left>
        <top style="medium">
          <color indexed="64"/>
        </top>
        <bottom style="medium">
          <color indexed="64"/>
        </bottom>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righ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1"/>
        <color theme="0"/>
        <name val="Calibri"/>
        <family val="2"/>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family val="2"/>
        <scheme val="minor"/>
      </font>
      <numFmt numFmtId="1" formatCode="0"/>
      <fill>
        <patternFill patternType="none">
          <fgColor indexed="64"/>
          <bgColor indexed="65"/>
        </patternFill>
      </fill>
      <alignment horizontal="right" vertical="bottom" textRotation="0" wrapText="0" indent="0" justifyLastLine="0" shrinkToFit="0" readingOrder="0"/>
      <border diagonalUp="0" diagonalDown="0">
        <left/>
        <right style="medium">
          <color indexed="64"/>
        </right>
        <top/>
        <bottom/>
        <vertical/>
        <horizontal/>
      </border>
    </dxf>
    <dxf>
      <font>
        <b val="0"/>
        <i val="0"/>
        <strike val="0"/>
        <condense val="0"/>
        <extend val="0"/>
        <outline val="0"/>
        <shadow val="0"/>
        <u val="none"/>
        <vertAlign val="baseline"/>
        <sz val="11"/>
        <color theme="1"/>
        <name val="Calibri"/>
        <family val="2"/>
        <scheme val="minor"/>
      </font>
      <numFmt numFmtId="1"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theme="1"/>
        <name val="Calibri"/>
        <family val="2"/>
        <scheme val="minor"/>
      </font>
      <numFmt numFmtId="1"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theme="1"/>
        <name val="Calibri"/>
        <family val="2"/>
        <scheme val="minor"/>
      </font>
      <numFmt numFmtId="1"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theme="1"/>
        <name val="Calibri"/>
        <family val="2"/>
        <scheme val="minor"/>
      </font>
      <numFmt numFmtId="1"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theme="1"/>
        <name val="Calibri"/>
        <family val="2"/>
        <scheme val="minor"/>
      </font>
      <numFmt numFmtId="1"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theme="1"/>
        <name val="Calibri"/>
        <family val="2"/>
        <scheme val="minor"/>
      </font>
      <numFmt numFmtId="1"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theme="1"/>
        <name val="Calibri"/>
        <family val="2"/>
        <scheme val="minor"/>
      </font>
      <numFmt numFmtId="1"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theme="1"/>
        <name val="Calibri"/>
        <family val="2"/>
        <scheme val="minor"/>
      </font>
      <numFmt numFmtId="1"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theme="1"/>
        <name val="Calibri"/>
        <family val="2"/>
        <scheme val="minor"/>
      </font>
      <numFmt numFmtId="1"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theme="1"/>
        <name val="Calibri"/>
        <family val="2"/>
        <scheme val="minor"/>
      </font>
      <numFmt numFmtId="1"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bottom" textRotation="0" wrapText="0"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right" vertical="bottom" textRotation="0" wrapText="0" indent="0" justifyLastLine="0" shrinkToFit="0" readingOrder="0"/>
      <border diagonalUp="0" diagonalDown="0">
        <left/>
        <right style="thin">
          <color indexed="64"/>
        </right>
        <top/>
        <bottom/>
        <vertical/>
        <horizontal/>
      </border>
    </dxf>
    <dxf>
      <border outline="0">
        <left style="medium">
          <color indexed="64"/>
        </left>
        <top style="medium">
          <color indexed="64"/>
        </top>
        <bottom style="medium">
          <color indexed="64"/>
        </bottom>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righ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1"/>
        <color theme="0"/>
        <name val="Calibri"/>
        <family val="2"/>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3.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2.xml"/><Relationship Id="rId33"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xml"/><Relationship Id="rId32"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 Id="rId8" Type="http://schemas.openxmlformats.org/officeDocument/2006/relationships/worksheet" Target="worksheets/sheet8.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400" b="1" i="0" u="none" strike="noStrike" baseline="0">
                <a:effectLst/>
              </a:rPr>
              <a:t>Light-Duty Vehicle Tank-to Wheel NOx Emissions by Scenario (short tons per year), 2025-2050</a:t>
            </a:r>
            <a:endParaRPr lang="en-US" sz="1400"/>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Tables!$C$3</c:f>
              <c:strCache>
                <c:ptCount val="1"/>
                <c:pt idx="0">
                  <c:v>BAU</c:v>
                </c:pt>
              </c:strCache>
            </c:strRef>
          </c:tx>
          <c:spPr>
            <a:ln w="28575" cap="rnd">
              <a:solidFill>
                <a:schemeClr val="bg1">
                  <a:lumMod val="50000"/>
                </a:schemeClr>
              </a:solidFill>
              <a:round/>
            </a:ln>
            <a:effectLst/>
          </c:spPr>
          <c:marker>
            <c:symbol val="none"/>
          </c:marker>
          <c:cat>
            <c:numRef>
              <c:f>Tables!$B$4:$B$29</c:f>
              <c:numCache>
                <c:formatCode>General</c:formatCode>
                <c:ptCount val="26"/>
                <c:pt idx="0">
                  <c:v>2025</c:v>
                </c:pt>
                <c:pt idx="1">
                  <c:v>2026</c:v>
                </c:pt>
                <c:pt idx="2">
                  <c:v>2027</c:v>
                </c:pt>
                <c:pt idx="3">
                  <c:v>2028</c:v>
                </c:pt>
                <c:pt idx="4">
                  <c:v>2029</c:v>
                </c:pt>
                <c:pt idx="5">
                  <c:v>2030</c:v>
                </c:pt>
                <c:pt idx="6">
                  <c:v>2031</c:v>
                </c:pt>
                <c:pt idx="7">
                  <c:v>2032</c:v>
                </c:pt>
                <c:pt idx="8">
                  <c:v>2033</c:v>
                </c:pt>
                <c:pt idx="9">
                  <c:v>2034</c:v>
                </c:pt>
                <c:pt idx="10">
                  <c:v>2035</c:v>
                </c:pt>
                <c:pt idx="11">
                  <c:v>2036</c:v>
                </c:pt>
                <c:pt idx="12">
                  <c:v>2037</c:v>
                </c:pt>
                <c:pt idx="13">
                  <c:v>2038</c:v>
                </c:pt>
                <c:pt idx="14">
                  <c:v>2039</c:v>
                </c:pt>
                <c:pt idx="15">
                  <c:v>2040</c:v>
                </c:pt>
                <c:pt idx="16">
                  <c:v>2041</c:v>
                </c:pt>
                <c:pt idx="17">
                  <c:v>2042</c:v>
                </c:pt>
                <c:pt idx="18">
                  <c:v>2043</c:v>
                </c:pt>
                <c:pt idx="19">
                  <c:v>2044</c:v>
                </c:pt>
                <c:pt idx="20">
                  <c:v>2045</c:v>
                </c:pt>
                <c:pt idx="21">
                  <c:v>2046</c:v>
                </c:pt>
                <c:pt idx="22">
                  <c:v>2047</c:v>
                </c:pt>
                <c:pt idx="23">
                  <c:v>2048</c:v>
                </c:pt>
                <c:pt idx="24">
                  <c:v>2049</c:v>
                </c:pt>
                <c:pt idx="25">
                  <c:v>2050</c:v>
                </c:pt>
              </c:numCache>
            </c:numRef>
          </c:cat>
          <c:val>
            <c:numRef>
              <c:f>Tables!$C$4:$C$29</c:f>
              <c:numCache>
                <c:formatCode>_(* #,##0_);_(* \(#,##0\);_(* "-"??_);_(@_)</c:formatCode>
                <c:ptCount val="26"/>
                <c:pt idx="0">
                  <c:v>9687.8341795790166</c:v>
                </c:pt>
                <c:pt idx="1">
                  <c:v>8814.8801167661131</c:v>
                </c:pt>
                <c:pt idx="2">
                  <c:v>7945.3031688236424</c:v>
                </c:pt>
                <c:pt idx="3">
                  <c:v>7074.0853678970598</c:v>
                </c:pt>
                <c:pt idx="4">
                  <c:v>6200.2387782923652</c:v>
                </c:pt>
                <c:pt idx="5">
                  <c:v>5321.40601118207</c:v>
                </c:pt>
                <c:pt idx="6">
                  <c:v>4925.404023778281</c:v>
                </c:pt>
                <c:pt idx="7">
                  <c:v>4527.5549181626229</c:v>
                </c:pt>
                <c:pt idx="8">
                  <c:v>4128.5947318163226</c:v>
                </c:pt>
                <c:pt idx="9">
                  <c:v>3728.5780643564499</c:v>
                </c:pt>
                <c:pt idx="10">
                  <c:v>3314.7804899098978</c:v>
                </c:pt>
                <c:pt idx="11">
                  <c:v>3246.820291020751</c:v>
                </c:pt>
                <c:pt idx="12">
                  <c:v>3176.4936403788683</c:v>
                </c:pt>
                <c:pt idx="13">
                  <c:v>3103.481109101554</c:v>
                </c:pt>
                <c:pt idx="14">
                  <c:v>3028.4700417233958</c:v>
                </c:pt>
                <c:pt idx="15">
                  <c:v>2950.0846488612106</c:v>
                </c:pt>
                <c:pt idx="16">
                  <c:v>2851.6882468751369</c:v>
                </c:pt>
                <c:pt idx="17">
                  <c:v>2752.3588352881275</c:v>
                </c:pt>
                <c:pt idx="18">
                  <c:v>2652.2584444194831</c:v>
                </c:pt>
                <c:pt idx="19">
                  <c:v>2553.8697023643981</c:v>
                </c:pt>
                <c:pt idx="20">
                  <c:v>2458.0809552583487</c:v>
                </c:pt>
                <c:pt idx="21">
                  <c:v>2363.7209840867781</c:v>
                </c:pt>
                <c:pt idx="22">
                  <c:v>2271.1775461879979</c:v>
                </c:pt>
                <c:pt idx="23">
                  <c:v>2180.2603345247467</c:v>
                </c:pt>
                <c:pt idx="24">
                  <c:v>2093.0302343261269</c:v>
                </c:pt>
                <c:pt idx="25">
                  <c:v>2008.1816326295368</c:v>
                </c:pt>
              </c:numCache>
            </c:numRef>
          </c:val>
          <c:smooth val="0"/>
          <c:extLst>
            <c:ext xmlns:c16="http://schemas.microsoft.com/office/drawing/2014/chart" uri="{C3380CC4-5D6E-409C-BE32-E72D297353CC}">
              <c16:uniqueId val="{00000000-5178-AE4C-AF24-CADB5EDCD6E6}"/>
            </c:ext>
          </c:extLst>
        </c:ser>
        <c:ser>
          <c:idx val="2"/>
          <c:order val="2"/>
          <c:tx>
            <c:strRef>
              <c:f>Tables!$E$3</c:f>
              <c:strCache>
                <c:ptCount val="1"/>
                <c:pt idx="0">
                  <c:v>ACC II: 2027</c:v>
                </c:pt>
              </c:strCache>
            </c:strRef>
          </c:tx>
          <c:spPr>
            <a:ln w="28575" cap="rnd">
              <a:solidFill>
                <a:schemeClr val="accent6">
                  <a:lumMod val="75000"/>
                </a:schemeClr>
              </a:solidFill>
              <a:round/>
            </a:ln>
            <a:effectLst/>
          </c:spPr>
          <c:marker>
            <c:symbol val="none"/>
          </c:marker>
          <c:cat>
            <c:numRef>
              <c:f>Tables!$B$4:$B$29</c:f>
              <c:numCache>
                <c:formatCode>General</c:formatCode>
                <c:ptCount val="26"/>
                <c:pt idx="0">
                  <c:v>2025</c:v>
                </c:pt>
                <c:pt idx="1">
                  <c:v>2026</c:v>
                </c:pt>
                <c:pt idx="2">
                  <c:v>2027</c:v>
                </c:pt>
                <c:pt idx="3">
                  <c:v>2028</c:v>
                </c:pt>
                <c:pt idx="4">
                  <c:v>2029</c:v>
                </c:pt>
                <c:pt idx="5">
                  <c:v>2030</c:v>
                </c:pt>
                <c:pt idx="6">
                  <c:v>2031</c:v>
                </c:pt>
                <c:pt idx="7">
                  <c:v>2032</c:v>
                </c:pt>
                <c:pt idx="8">
                  <c:v>2033</c:v>
                </c:pt>
                <c:pt idx="9">
                  <c:v>2034</c:v>
                </c:pt>
                <c:pt idx="10">
                  <c:v>2035</c:v>
                </c:pt>
                <c:pt idx="11">
                  <c:v>2036</c:v>
                </c:pt>
                <c:pt idx="12">
                  <c:v>2037</c:v>
                </c:pt>
                <c:pt idx="13">
                  <c:v>2038</c:v>
                </c:pt>
                <c:pt idx="14">
                  <c:v>2039</c:v>
                </c:pt>
                <c:pt idx="15">
                  <c:v>2040</c:v>
                </c:pt>
                <c:pt idx="16">
                  <c:v>2041</c:v>
                </c:pt>
                <c:pt idx="17">
                  <c:v>2042</c:v>
                </c:pt>
                <c:pt idx="18">
                  <c:v>2043</c:v>
                </c:pt>
                <c:pt idx="19">
                  <c:v>2044</c:v>
                </c:pt>
                <c:pt idx="20">
                  <c:v>2045</c:v>
                </c:pt>
                <c:pt idx="21">
                  <c:v>2046</c:v>
                </c:pt>
                <c:pt idx="22">
                  <c:v>2047</c:v>
                </c:pt>
                <c:pt idx="23">
                  <c:v>2048</c:v>
                </c:pt>
                <c:pt idx="24">
                  <c:v>2049</c:v>
                </c:pt>
                <c:pt idx="25">
                  <c:v>2050</c:v>
                </c:pt>
              </c:numCache>
            </c:numRef>
          </c:cat>
          <c:val>
            <c:numRef>
              <c:f>Tables!$E$4:$E$29</c:f>
              <c:numCache>
                <c:formatCode>_(* #,##0_);_(* \(#,##0\);_(* "-"??_);_(@_)</c:formatCode>
                <c:ptCount val="26"/>
                <c:pt idx="0">
                  <c:v>9687.8341795790166</c:v>
                </c:pt>
                <c:pt idx="1">
                  <c:v>8814.8801167661131</c:v>
                </c:pt>
                <c:pt idx="2">
                  <c:v>7831.6463884888117</c:v>
                </c:pt>
                <c:pt idx="3">
                  <c:v>6891.0522402437273</c:v>
                </c:pt>
                <c:pt idx="4">
                  <c:v>5941.7930724259513</c:v>
                </c:pt>
                <c:pt idx="5">
                  <c:v>4995.8240994985263</c:v>
                </c:pt>
                <c:pt idx="6">
                  <c:v>4507.1358672503484</c:v>
                </c:pt>
                <c:pt idx="7">
                  <c:v>4018.5722630876239</c:v>
                </c:pt>
                <c:pt idx="8">
                  <c:v>3537.9273211634941</c:v>
                </c:pt>
                <c:pt idx="9">
                  <c:v>3068.47679379389</c:v>
                </c:pt>
                <c:pt idx="10">
                  <c:v>2605.0485964831446</c:v>
                </c:pt>
                <c:pt idx="11">
                  <c:v>2424.8751031683951</c:v>
                </c:pt>
                <c:pt idx="12">
                  <c:v>2248.7875638064797</c:v>
                </c:pt>
                <c:pt idx="13">
                  <c:v>2077.2296048004555</c:v>
                </c:pt>
                <c:pt idx="14">
                  <c:v>1910.826734771518</c:v>
                </c:pt>
                <c:pt idx="15">
                  <c:v>1726.3293047464406</c:v>
                </c:pt>
                <c:pt idx="16">
                  <c:v>1501.9328556938544</c:v>
                </c:pt>
                <c:pt idx="17">
                  <c:v>1284.9186632812023</c:v>
                </c:pt>
                <c:pt idx="18">
                  <c:v>1084.7381721717977</c:v>
                </c:pt>
                <c:pt idx="19">
                  <c:v>892.23775092092308</c:v>
                </c:pt>
                <c:pt idx="20">
                  <c:v>715.95522237697526</c:v>
                </c:pt>
                <c:pt idx="21">
                  <c:v>552.89358426741933</c:v>
                </c:pt>
                <c:pt idx="22">
                  <c:v>411.98784245837965</c:v>
                </c:pt>
                <c:pt idx="23">
                  <c:v>288.74996559884761</c:v>
                </c:pt>
                <c:pt idx="24">
                  <c:v>204.92641159107686</c:v>
                </c:pt>
                <c:pt idx="25">
                  <c:v>134.52031417617692</c:v>
                </c:pt>
              </c:numCache>
            </c:numRef>
          </c:val>
          <c:smooth val="0"/>
          <c:extLst>
            <c:ext xmlns:c16="http://schemas.microsoft.com/office/drawing/2014/chart" uri="{C3380CC4-5D6E-409C-BE32-E72D297353CC}">
              <c16:uniqueId val="{00000002-5178-AE4C-AF24-CADB5EDCD6E6}"/>
            </c:ext>
          </c:extLst>
        </c:ser>
        <c:dLbls>
          <c:showLegendKey val="0"/>
          <c:showVal val="0"/>
          <c:showCatName val="0"/>
          <c:showSerName val="0"/>
          <c:showPercent val="0"/>
          <c:showBubbleSize val="0"/>
        </c:dLbls>
        <c:smooth val="0"/>
        <c:axId val="678342720"/>
        <c:axId val="677867920"/>
        <c:extLst>
          <c:ext xmlns:c15="http://schemas.microsoft.com/office/drawing/2012/chart" uri="{02D57815-91ED-43cb-92C2-25804820EDAC}">
            <c15:filteredLineSeries>
              <c15:ser>
                <c:idx val="1"/>
                <c:order val="1"/>
                <c:tx>
                  <c:strRef>
                    <c:extLst>
                      <c:ext uri="{02D57815-91ED-43cb-92C2-25804820EDAC}">
                        <c15:formulaRef>
                          <c15:sqref>Tables!$D$3</c15:sqref>
                        </c15:formulaRef>
                      </c:ext>
                    </c:extLst>
                    <c:strCache>
                      <c:ptCount val="1"/>
                      <c:pt idx="0">
                        <c:v>ACC II: 2026</c:v>
                      </c:pt>
                    </c:strCache>
                  </c:strRef>
                </c:tx>
                <c:spPr>
                  <a:ln w="28575" cap="rnd">
                    <a:solidFill>
                      <a:schemeClr val="accent2"/>
                    </a:solidFill>
                    <a:round/>
                  </a:ln>
                  <a:effectLst/>
                </c:spPr>
                <c:marker>
                  <c:symbol val="none"/>
                </c:marker>
                <c:cat>
                  <c:numRef>
                    <c:extLst>
                      <c:ext uri="{02D57815-91ED-43cb-92C2-25804820EDAC}">
                        <c15:formulaRef>
                          <c15:sqref>Tables!$B$4:$B$29</c15:sqref>
                        </c15:formulaRef>
                      </c:ext>
                    </c:extLst>
                    <c:numCache>
                      <c:formatCode>General</c:formatCode>
                      <c:ptCount val="26"/>
                      <c:pt idx="0">
                        <c:v>2025</c:v>
                      </c:pt>
                      <c:pt idx="1">
                        <c:v>2026</c:v>
                      </c:pt>
                      <c:pt idx="2">
                        <c:v>2027</c:v>
                      </c:pt>
                      <c:pt idx="3">
                        <c:v>2028</c:v>
                      </c:pt>
                      <c:pt idx="4">
                        <c:v>2029</c:v>
                      </c:pt>
                      <c:pt idx="5">
                        <c:v>2030</c:v>
                      </c:pt>
                      <c:pt idx="6">
                        <c:v>2031</c:v>
                      </c:pt>
                      <c:pt idx="7">
                        <c:v>2032</c:v>
                      </c:pt>
                      <c:pt idx="8">
                        <c:v>2033</c:v>
                      </c:pt>
                      <c:pt idx="9">
                        <c:v>2034</c:v>
                      </c:pt>
                      <c:pt idx="10">
                        <c:v>2035</c:v>
                      </c:pt>
                      <c:pt idx="11">
                        <c:v>2036</c:v>
                      </c:pt>
                      <c:pt idx="12">
                        <c:v>2037</c:v>
                      </c:pt>
                      <c:pt idx="13">
                        <c:v>2038</c:v>
                      </c:pt>
                      <c:pt idx="14">
                        <c:v>2039</c:v>
                      </c:pt>
                      <c:pt idx="15">
                        <c:v>2040</c:v>
                      </c:pt>
                      <c:pt idx="16">
                        <c:v>2041</c:v>
                      </c:pt>
                      <c:pt idx="17">
                        <c:v>2042</c:v>
                      </c:pt>
                      <c:pt idx="18">
                        <c:v>2043</c:v>
                      </c:pt>
                      <c:pt idx="19">
                        <c:v>2044</c:v>
                      </c:pt>
                      <c:pt idx="20">
                        <c:v>2045</c:v>
                      </c:pt>
                      <c:pt idx="21">
                        <c:v>2046</c:v>
                      </c:pt>
                      <c:pt idx="22">
                        <c:v>2047</c:v>
                      </c:pt>
                      <c:pt idx="23">
                        <c:v>2048</c:v>
                      </c:pt>
                      <c:pt idx="24">
                        <c:v>2049</c:v>
                      </c:pt>
                      <c:pt idx="25">
                        <c:v>2050</c:v>
                      </c:pt>
                    </c:numCache>
                  </c:numRef>
                </c:cat>
                <c:val>
                  <c:numRef>
                    <c:extLst>
                      <c:ext uri="{02D57815-91ED-43cb-92C2-25804820EDAC}">
                        <c15:formulaRef>
                          <c15:sqref>Tables!$D$4:$D$29</c15:sqref>
                        </c15:formulaRef>
                      </c:ext>
                    </c:extLst>
                    <c:numCache>
                      <c:formatCode>_(* #,##0_);_(* \(#,##0\);_(* "-"??_);_(@_)</c:formatCode>
                      <c:ptCount val="26"/>
                      <c:pt idx="0">
                        <c:v>9687.8341795790166</c:v>
                      </c:pt>
                      <c:pt idx="1">
                        <c:v>8763.3145443445246</c:v>
                      </c:pt>
                      <c:pt idx="2">
                        <c:v>7822.7672241211703</c:v>
                      </c:pt>
                      <c:pt idx="3">
                        <c:v>6877.2062039517677</c:v>
                      </c:pt>
                      <c:pt idx="4">
                        <c:v>5922.8886011572977</c:v>
                      </c:pt>
                      <c:pt idx="5">
                        <c:v>4972.9312735550284</c:v>
                      </c:pt>
                      <c:pt idx="6">
                        <c:v>4479.0662911186646</c:v>
                      </c:pt>
                      <c:pt idx="7">
                        <c:v>3986.1541995809007</c:v>
                      </c:pt>
                      <c:pt idx="8">
                        <c:v>3502.4715044434324</c:v>
                      </c:pt>
                      <c:pt idx="9">
                        <c:v>3031.4016859276649</c:v>
                      </c:pt>
                      <c:pt idx="10">
                        <c:v>2568.016496905514</c:v>
                      </c:pt>
                      <c:pt idx="11">
                        <c:v>2385.3191794159711</c:v>
                      </c:pt>
                      <c:pt idx="12">
                        <c:v>2207.8962212038555</c:v>
                      </c:pt>
                      <c:pt idx="13">
                        <c:v>2036.0809527062181</c:v>
                      </c:pt>
                      <c:pt idx="14">
                        <c:v>1870.8885630104694</c:v>
                      </c:pt>
                      <c:pt idx="15">
                        <c:v>1688.3193576478229</c:v>
                      </c:pt>
                    </c:numCache>
                  </c:numRef>
                </c:val>
                <c:smooth val="0"/>
                <c:extLst>
                  <c:ext xmlns:c16="http://schemas.microsoft.com/office/drawing/2014/chart" uri="{C3380CC4-5D6E-409C-BE32-E72D297353CC}">
                    <c16:uniqueId val="{00000001-5178-AE4C-AF24-CADB5EDCD6E6}"/>
                  </c:ext>
                </c:extLst>
              </c15:ser>
            </c15:filteredLineSeries>
            <c15:filteredLineSeries>
              <c15:ser>
                <c:idx val="3"/>
                <c:order val="3"/>
                <c:tx>
                  <c:strRef>
                    <c:extLst xmlns:c15="http://schemas.microsoft.com/office/drawing/2012/chart">
                      <c:ext xmlns:c15="http://schemas.microsoft.com/office/drawing/2012/chart" uri="{02D57815-91ED-43cb-92C2-25804820EDAC}">
                        <c15:formulaRef>
                          <c15:sqref>Tables!$F$3</c15:sqref>
                        </c15:formulaRef>
                      </c:ext>
                    </c:extLst>
                    <c:strCache>
                      <c:ptCount val="1"/>
                    </c:strCache>
                  </c:strRef>
                </c:tx>
                <c:spPr>
                  <a:ln w="28575" cap="rnd">
                    <a:solidFill>
                      <a:schemeClr val="accent4"/>
                    </a:solidFill>
                    <a:round/>
                  </a:ln>
                  <a:effectLst/>
                </c:spPr>
                <c:marker>
                  <c:symbol val="none"/>
                </c:marker>
                <c:cat>
                  <c:numRef>
                    <c:extLst xmlns:c15="http://schemas.microsoft.com/office/drawing/2012/chart">
                      <c:ext xmlns:c15="http://schemas.microsoft.com/office/drawing/2012/chart" uri="{02D57815-91ED-43cb-92C2-25804820EDAC}">
                        <c15:formulaRef>
                          <c15:sqref>Tables!$B$4:$B$29</c15:sqref>
                        </c15:formulaRef>
                      </c:ext>
                    </c:extLst>
                    <c:numCache>
                      <c:formatCode>General</c:formatCode>
                      <c:ptCount val="26"/>
                      <c:pt idx="0">
                        <c:v>2025</c:v>
                      </c:pt>
                      <c:pt idx="1">
                        <c:v>2026</c:v>
                      </c:pt>
                      <c:pt idx="2">
                        <c:v>2027</c:v>
                      </c:pt>
                      <c:pt idx="3">
                        <c:v>2028</c:v>
                      </c:pt>
                      <c:pt idx="4">
                        <c:v>2029</c:v>
                      </c:pt>
                      <c:pt idx="5">
                        <c:v>2030</c:v>
                      </c:pt>
                      <c:pt idx="6">
                        <c:v>2031</c:v>
                      </c:pt>
                      <c:pt idx="7">
                        <c:v>2032</c:v>
                      </c:pt>
                      <c:pt idx="8">
                        <c:v>2033</c:v>
                      </c:pt>
                      <c:pt idx="9">
                        <c:v>2034</c:v>
                      </c:pt>
                      <c:pt idx="10">
                        <c:v>2035</c:v>
                      </c:pt>
                      <c:pt idx="11">
                        <c:v>2036</c:v>
                      </c:pt>
                      <c:pt idx="12">
                        <c:v>2037</c:v>
                      </c:pt>
                      <c:pt idx="13">
                        <c:v>2038</c:v>
                      </c:pt>
                      <c:pt idx="14">
                        <c:v>2039</c:v>
                      </c:pt>
                      <c:pt idx="15">
                        <c:v>2040</c:v>
                      </c:pt>
                      <c:pt idx="16">
                        <c:v>2041</c:v>
                      </c:pt>
                      <c:pt idx="17">
                        <c:v>2042</c:v>
                      </c:pt>
                      <c:pt idx="18">
                        <c:v>2043</c:v>
                      </c:pt>
                      <c:pt idx="19">
                        <c:v>2044</c:v>
                      </c:pt>
                      <c:pt idx="20">
                        <c:v>2045</c:v>
                      </c:pt>
                      <c:pt idx="21">
                        <c:v>2046</c:v>
                      </c:pt>
                      <c:pt idx="22">
                        <c:v>2047</c:v>
                      </c:pt>
                      <c:pt idx="23">
                        <c:v>2048</c:v>
                      </c:pt>
                      <c:pt idx="24">
                        <c:v>2049</c:v>
                      </c:pt>
                      <c:pt idx="25">
                        <c:v>2050</c:v>
                      </c:pt>
                    </c:numCache>
                  </c:numRef>
                </c:cat>
                <c:val>
                  <c:numRef>
                    <c:extLst xmlns:c15="http://schemas.microsoft.com/office/drawing/2012/chart">
                      <c:ext xmlns:c15="http://schemas.microsoft.com/office/drawing/2012/chart" uri="{02D57815-91ED-43cb-92C2-25804820EDAC}">
                        <c15:formulaRef>
                          <c15:sqref>Tables!$F$4:$F$29</c15:sqref>
                        </c15:formulaRef>
                      </c:ext>
                    </c:extLst>
                    <c:numCache>
                      <c:formatCode>_(* #,##0_);_(* \(#,##0\);_(* "-"??_);_(@_)</c:formatCode>
                      <c:ptCount val="26"/>
                    </c:numCache>
                  </c:numRef>
                </c:val>
                <c:smooth val="0"/>
                <c:extLst xmlns:c15="http://schemas.microsoft.com/office/drawing/2012/chart">
                  <c:ext xmlns:c16="http://schemas.microsoft.com/office/drawing/2014/chart" uri="{C3380CC4-5D6E-409C-BE32-E72D297353CC}">
                    <c16:uniqueId val="{00000003-5178-AE4C-AF24-CADB5EDCD6E6}"/>
                  </c:ext>
                </c:extLst>
              </c15:ser>
            </c15:filteredLineSeries>
          </c:ext>
        </c:extLst>
      </c:lineChart>
      <c:catAx>
        <c:axId val="6783427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77867920"/>
        <c:crosses val="autoZero"/>
        <c:auto val="1"/>
        <c:lblAlgn val="ctr"/>
        <c:lblOffset val="100"/>
        <c:noMultiLvlLbl val="0"/>
      </c:catAx>
      <c:valAx>
        <c:axId val="677867920"/>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7834272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400" b="1" i="0" u="none" strike="noStrike" baseline="0">
                <a:effectLst/>
              </a:rPr>
              <a:t>Light-Duty Vehicle Tank-to Wheel PM2.5 Emissions by Scenario (short tons per year), 2025-2050</a:t>
            </a:r>
            <a:r>
              <a:rPr lang="en-US" sz="1400" b="0" i="0" u="none" strike="noStrike" baseline="0"/>
              <a:t> </a:t>
            </a:r>
            <a:endParaRPr lang="en-US"/>
          </a:p>
        </c:rich>
      </c:tx>
      <c:layout>
        <c:manualLayout>
          <c:xMode val="edge"/>
          <c:yMode val="edge"/>
          <c:x val="0.14367965367965366"/>
          <c:y val="1.980198019801980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Tables!$I$3</c:f>
              <c:strCache>
                <c:ptCount val="1"/>
                <c:pt idx="0">
                  <c:v>BAU</c:v>
                </c:pt>
              </c:strCache>
            </c:strRef>
          </c:tx>
          <c:spPr>
            <a:ln w="28575" cap="rnd">
              <a:solidFill>
                <a:schemeClr val="bg1">
                  <a:lumMod val="50000"/>
                </a:schemeClr>
              </a:solidFill>
              <a:round/>
            </a:ln>
            <a:effectLst/>
          </c:spPr>
          <c:marker>
            <c:symbol val="none"/>
          </c:marker>
          <c:cat>
            <c:numRef>
              <c:f>Tables!$H$4:$H$29</c:f>
              <c:numCache>
                <c:formatCode>General</c:formatCode>
                <c:ptCount val="26"/>
                <c:pt idx="0">
                  <c:v>2025</c:v>
                </c:pt>
                <c:pt idx="1">
                  <c:v>2026</c:v>
                </c:pt>
                <c:pt idx="2">
                  <c:v>2027</c:v>
                </c:pt>
                <c:pt idx="3">
                  <c:v>2028</c:v>
                </c:pt>
                <c:pt idx="4">
                  <c:v>2029</c:v>
                </c:pt>
                <c:pt idx="5">
                  <c:v>2030</c:v>
                </c:pt>
                <c:pt idx="6">
                  <c:v>2031</c:v>
                </c:pt>
                <c:pt idx="7">
                  <c:v>2032</c:v>
                </c:pt>
                <c:pt idx="8">
                  <c:v>2033</c:v>
                </c:pt>
                <c:pt idx="9">
                  <c:v>2034</c:v>
                </c:pt>
                <c:pt idx="10">
                  <c:v>2035</c:v>
                </c:pt>
                <c:pt idx="11">
                  <c:v>2036</c:v>
                </c:pt>
                <c:pt idx="12">
                  <c:v>2037</c:v>
                </c:pt>
                <c:pt idx="13">
                  <c:v>2038</c:v>
                </c:pt>
                <c:pt idx="14">
                  <c:v>2039</c:v>
                </c:pt>
                <c:pt idx="15">
                  <c:v>2040</c:v>
                </c:pt>
                <c:pt idx="16">
                  <c:v>2041</c:v>
                </c:pt>
                <c:pt idx="17">
                  <c:v>2042</c:v>
                </c:pt>
                <c:pt idx="18">
                  <c:v>2043</c:v>
                </c:pt>
                <c:pt idx="19">
                  <c:v>2044</c:v>
                </c:pt>
                <c:pt idx="20">
                  <c:v>2045</c:v>
                </c:pt>
                <c:pt idx="21">
                  <c:v>2046</c:v>
                </c:pt>
                <c:pt idx="22">
                  <c:v>2047</c:v>
                </c:pt>
                <c:pt idx="23">
                  <c:v>2048</c:v>
                </c:pt>
                <c:pt idx="24">
                  <c:v>2049</c:v>
                </c:pt>
                <c:pt idx="25">
                  <c:v>2050</c:v>
                </c:pt>
              </c:numCache>
            </c:numRef>
          </c:cat>
          <c:val>
            <c:numRef>
              <c:f>Tables!$I$4:$I$29</c:f>
              <c:numCache>
                <c:formatCode>_(* #,##0_);_(* \(#,##0\);_(* "-"??_);_(@_)</c:formatCode>
                <c:ptCount val="26"/>
                <c:pt idx="0">
                  <c:v>679.38640606960541</c:v>
                </c:pt>
                <c:pt idx="1">
                  <c:v>669.03668054426339</c:v>
                </c:pt>
                <c:pt idx="2">
                  <c:v>658.6524708390657</c:v>
                </c:pt>
                <c:pt idx="3">
                  <c:v>647.63147173149036</c:v>
                </c:pt>
                <c:pt idx="4">
                  <c:v>635.9399142142596</c:v>
                </c:pt>
                <c:pt idx="5">
                  <c:v>620.71528059123148</c:v>
                </c:pt>
                <c:pt idx="6">
                  <c:v>610.50259079854413</c:v>
                </c:pt>
                <c:pt idx="7">
                  <c:v>597.06756538267848</c:v>
                </c:pt>
                <c:pt idx="8">
                  <c:v>583.21895360074427</c:v>
                </c:pt>
                <c:pt idx="9">
                  <c:v>569.05685805630674</c:v>
                </c:pt>
                <c:pt idx="10">
                  <c:v>550.55488981106384</c:v>
                </c:pt>
                <c:pt idx="11">
                  <c:v>539.66855148229354</c:v>
                </c:pt>
                <c:pt idx="12">
                  <c:v>528.79824543109214</c:v>
                </c:pt>
                <c:pt idx="13">
                  <c:v>517.63993174200289</c:v>
                </c:pt>
                <c:pt idx="14">
                  <c:v>506.67503858575697</c:v>
                </c:pt>
                <c:pt idx="15">
                  <c:v>495.46462438819543</c:v>
                </c:pt>
                <c:pt idx="16">
                  <c:v>491.36011775125343</c:v>
                </c:pt>
                <c:pt idx="17">
                  <c:v>487.43255767892009</c:v>
                </c:pt>
                <c:pt idx="18">
                  <c:v>483.60425485281485</c:v>
                </c:pt>
                <c:pt idx="19">
                  <c:v>480.05582300811233</c:v>
                </c:pt>
                <c:pt idx="20">
                  <c:v>476.73647869669855</c:v>
                </c:pt>
                <c:pt idx="21">
                  <c:v>473.56812428809599</c:v>
                </c:pt>
                <c:pt idx="22">
                  <c:v>470.676512363867</c:v>
                </c:pt>
                <c:pt idx="23">
                  <c:v>468.00472375681954</c:v>
                </c:pt>
                <c:pt idx="24">
                  <c:v>465.75001298868693</c:v>
                </c:pt>
                <c:pt idx="25">
                  <c:v>463.68317698153282</c:v>
                </c:pt>
              </c:numCache>
            </c:numRef>
          </c:val>
          <c:smooth val="0"/>
          <c:extLst>
            <c:ext xmlns:c16="http://schemas.microsoft.com/office/drawing/2014/chart" uri="{C3380CC4-5D6E-409C-BE32-E72D297353CC}">
              <c16:uniqueId val="{00000000-D568-DD49-828B-538C3CF90F6A}"/>
            </c:ext>
          </c:extLst>
        </c:ser>
        <c:ser>
          <c:idx val="2"/>
          <c:order val="2"/>
          <c:tx>
            <c:strRef>
              <c:f>Tables!$K$3</c:f>
              <c:strCache>
                <c:ptCount val="1"/>
                <c:pt idx="0">
                  <c:v>ACC II: 2027</c:v>
                </c:pt>
              </c:strCache>
            </c:strRef>
          </c:tx>
          <c:spPr>
            <a:ln w="28575" cap="rnd">
              <a:solidFill>
                <a:schemeClr val="accent6">
                  <a:lumMod val="75000"/>
                </a:schemeClr>
              </a:solidFill>
              <a:round/>
            </a:ln>
            <a:effectLst/>
          </c:spPr>
          <c:marker>
            <c:symbol val="none"/>
          </c:marker>
          <c:cat>
            <c:numRef>
              <c:f>Tables!$H$4:$H$29</c:f>
              <c:numCache>
                <c:formatCode>General</c:formatCode>
                <c:ptCount val="26"/>
                <c:pt idx="0">
                  <c:v>2025</c:v>
                </c:pt>
                <c:pt idx="1">
                  <c:v>2026</c:v>
                </c:pt>
                <c:pt idx="2">
                  <c:v>2027</c:v>
                </c:pt>
                <c:pt idx="3">
                  <c:v>2028</c:v>
                </c:pt>
                <c:pt idx="4">
                  <c:v>2029</c:v>
                </c:pt>
                <c:pt idx="5">
                  <c:v>2030</c:v>
                </c:pt>
                <c:pt idx="6">
                  <c:v>2031</c:v>
                </c:pt>
                <c:pt idx="7">
                  <c:v>2032</c:v>
                </c:pt>
                <c:pt idx="8">
                  <c:v>2033</c:v>
                </c:pt>
                <c:pt idx="9">
                  <c:v>2034</c:v>
                </c:pt>
                <c:pt idx="10">
                  <c:v>2035</c:v>
                </c:pt>
                <c:pt idx="11">
                  <c:v>2036</c:v>
                </c:pt>
                <c:pt idx="12">
                  <c:v>2037</c:v>
                </c:pt>
                <c:pt idx="13">
                  <c:v>2038</c:v>
                </c:pt>
                <c:pt idx="14">
                  <c:v>2039</c:v>
                </c:pt>
                <c:pt idx="15">
                  <c:v>2040</c:v>
                </c:pt>
                <c:pt idx="16">
                  <c:v>2041</c:v>
                </c:pt>
                <c:pt idx="17">
                  <c:v>2042</c:v>
                </c:pt>
                <c:pt idx="18">
                  <c:v>2043</c:v>
                </c:pt>
                <c:pt idx="19">
                  <c:v>2044</c:v>
                </c:pt>
                <c:pt idx="20">
                  <c:v>2045</c:v>
                </c:pt>
                <c:pt idx="21">
                  <c:v>2046</c:v>
                </c:pt>
                <c:pt idx="22">
                  <c:v>2047</c:v>
                </c:pt>
                <c:pt idx="23">
                  <c:v>2048</c:v>
                </c:pt>
                <c:pt idx="24">
                  <c:v>2049</c:v>
                </c:pt>
                <c:pt idx="25">
                  <c:v>2050</c:v>
                </c:pt>
              </c:numCache>
            </c:numRef>
          </c:cat>
          <c:val>
            <c:numRef>
              <c:f>Tables!$K$4:$K$29</c:f>
              <c:numCache>
                <c:formatCode>_(* #,##0_);_(* \(#,##0\);_(* "-"??_);_(@_)</c:formatCode>
                <c:ptCount val="26"/>
                <c:pt idx="0">
                  <c:v>679.38640606960541</c:v>
                </c:pt>
                <c:pt idx="1">
                  <c:v>669.03668054426339</c:v>
                </c:pt>
                <c:pt idx="2">
                  <c:v>652.05940686532028</c:v>
                </c:pt>
                <c:pt idx="3">
                  <c:v>636.19012738037588</c:v>
                </c:pt>
                <c:pt idx="4">
                  <c:v>618.79429166276759</c:v>
                </c:pt>
                <c:pt idx="5">
                  <c:v>597.2762511238908</c:v>
                </c:pt>
                <c:pt idx="6">
                  <c:v>579.97093083516154</c:v>
                </c:pt>
                <c:pt idx="7">
                  <c:v>559.3461244766371</c:v>
                </c:pt>
                <c:pt idx="8">
                  <c:v>538.33363253871187</c:v>
                </c:pt>
                <c:pt idx="9">
                  <c:v>517.17053510390519</c:v>
                </c:pt>
                <c:pt idx="10">
                  <c:v>492.30875556182667</c:v>
                </c:pt>
                <c:pt idx="11">
                  <c:v>475.05242718308591</c:v>
                </c:pt>
                <c:pt idx="12">
                  <c:v>459.03634415380373</c:v>
                </c:pt>
                <c:pt idx="13">
                  <c:v>443.51370016555853</c:v>
                </c:pt>
                <c:pt idx="14">
                  <c:v>429.28411075771544</c:v>
                </c:pt>
                <c:pt idx="15">
                  <c:v>413.9079270994992</c:v>
                </c:pt>
                <c:pt idx="16">
                  <c:v>402.70651349658618</c:v>
                </c:pt>
                <c:pt idx="17">
                  <c:v>391.97791925501201</c:v>
                </c:pt>
                <c:pt idx="18">
                  <c:v>381.9416928806753</c:v>
                </c:pt>
                <c:pt idx="19">
                  <c:v>372.69988089064748</c:v>
                </c:pt>
                <c:pt idx="20">
                  <c:v>364.2653960030072</c:v>
                </c:pt>
                <c:pt idx="21">
                  <c:v>356.55903970686904</c:v>
                </c:pt>
                <c:pt idx="22">
                  <c:v>349.69633146252016</c:v>
                </c:pt>
                <c:pt idx="23">
                  <c:v>343.55812146718819</c:v>
                </c:pt>
                <c:pt idx="24">
                  <c:v>338.24665469236527</c:v>
                </c:pt>
                <c:pt idx="25">
                  <c:v>333.54848993369671</c:v>
                </c:pt>
              </c:numCache>
            </c:numRef>
          </c:val>
          <c:smooth val="0"/>
          <c:extLst>
            <c:ext xmlns:c16="http://schemas.microsoft.com/office/drawing/2014/chart" uri="{C3380CC4-5D6E-409C-BE32-E72D297353CC}">
              <c16:uniqueId val="{00000001-9805-47DD-A52E-DD4E3792DF85}"/>
            </c:ext>
          </c:extLst>
        </c:ser>
        <c:dLbls>
          <c:showLegendKey val="0"/>
          <c:showVal val="0"/>
          <c:showCatName val="0"/>
          <c:showSerName val="0"/>
          <c:showPercent val="0"/>
          <c:showBubbleSize val="0"/>
        </c:dLbls>
        <c:smooth val="0"/>
        <c:axId val="678342720"/>
        <c:axId val="677867920"/>
        <c:extLst>
          <c:ext xmlns:c15="http://schemas.microsoft.com/office/drawing/2012/chart" uri="{02D57815-91ED-43cb-92C2-25804820EDAC}">
            <c15:filteredLineSeries>
              <c15:ser>
                <c:idx val="1"/>
                <c:order val="1"/>
                <c:tx>
                  <c:strRef>
                    <c:extLst>
                      <c:ext uri="{02D57815-91ED-43cb-92C2-25804820EDAC}">
                        <c15:formulaRef>
                          <c15:sqref>Tables!$J$3</c15:sqref>
                        </c15:formulaRef>
                      </c:ext>
                    </c:extLst>
                    <c:strCache>
                      <c:ptCount val="1"/>
                      <c:pt idx="0">
                        <c:v>ACC II: 2026</c:v>
                      </c:pt>
                    </c:strCache>
                  </c:strRef>
                </c:tx>
                <c:spPr>
                  <a:ln w="28575" cap="rnd">
                    <a:solidFill>
                      <a:schemeClr val="accent2"/>
                    </a:solidFill>
                    <a:round/>
                  </a:ln>
                  <a:effectLst/>
                </c:spPr>
                <c:marker>
                  <c:symbol val="none"/>
                </c:marker>
                <c:cat>
                  <c:numRef>
                    <c:extLst>
                      <c:ext uri="{02D57815-91ED-43cb-92C2-25804820EDAC}">
                        <c15:formulaRef>
                          <c15:sqref>Tables!$H$4:$H$29</c15:sqref>
                        </c15:formulaRef>
                      </c:ext>
                    </c:extLst>
                    <c:numCache>
                      <c:formatCode>General</c:formatCode>
                      <c:ptCount val="26"/>
                      <c:pt idx="0">
                        <c:v>2025</c:v>
                      </c:pt>
                      <c:pt idx="1">
                        <c:v>2026</c:v>
                      </c:pt>
                      <c:pt idx="2">
                        <c:v>2027</c:v>
                      </c:pt>
                      <c:pt idx="3">
                        <c:v>2028</c:v>
                      </c:pt>
                      <c:pt idx="4">
                        <c:v>2029</c:v>
                      </c:pt>
                      <c:pt idx="5">
                        <c:v>2030</c:v>
                      </c:pt>
                      <c:pt idx="6">
                        <c:v>2031</c:v>
                      </c:pt>
                      <c:pt idx="7">
                        <c:v>2032</c:v>
                      </c:pt>
                      <c:pt idx="8">
                        <c:v>2033</c:v>
                      </c:pt>
                      <c:pt idx="9">
                        <c:v>2034</c:v>
                      </c:pt>
                      <c:pt idx="10">
                        <c:v>2035</c:v>
                      </c:pt>
                      <c:pt idx="11">
                        <c:v>2036</c:v>
                      </c:pt>
                      <c:pt idx="12">
                        <c:v>2037</c:v>
                      </c:pt>
                      <c:pt idx="13">
                        <c:v>2038</c:v>
                      </c:pt>
                      <c:pt idx="14">
                        <c:v>2039</c:v>
                      </c:pt>
                      <c:pt idx="15">
                        <c:v>2040</c:v>
                      </c:pt>
                      <c:pt idx="16">
                        <c:v>2041</c:v>
                      </c:pt>
                      <c:pt idx="17">
                        <c:v>2042</c:v>
                      </c:pt>
                      <c:pt idx="18">
                        <c:v>2043</c:v>
                      </c:pt>
                      <c:pt idx="19">
                        <c:v>2044</c:v>
                      </c:pt>
                      <c:pt idx="20">
                        <c:v>2045</c:v>
                      </c:pt>
                      <c:pt idx="21">
                        <c:v>2046</c:v>
                      </c:pt>
                      <c:pt idx="22">
                        <c:v>2047</c:v>
                      </c:pt>
                      <c:pt idx="23">
                        <c:v>2048</c:v>
                      </c:pt>
                      <c:pt idx="24">
                        <c:v>2049</c:v>
                      </c:pt>
                      <c:pt idx="25">
                        <c:v>2050</c:v>
                      </c:pt>
                    </c:numCache>
                  </c:numRef>
                </c:cat>
                <c:val>
                  <c:numRef>
                    <c:extLst>
                      <c:ext uri="{02D57815-91ED-43cb-92C2-25804820EDAC}">
                        <c15:formulaRef>
                          <c15:sqref>Tables!$J$4:$J$29</c15:sqref>
                        </c15:formulaRef>
                      </c:ext>
                    </c:extLst>
                    <c:numCache>
                      <c:formatCode>_(* #,##0_);_(* \(#,##0\);_(* "-"??_);_(@_)</c:formatCode>
                      <c:ptCount val="26"/>
                      <c:pt idx="0">
                        <c:v>679.38640606960541</c:v>
                      </c:pt>
                      <c:pt idx="1">
                        <c:v>666.22329737562336</c:v>
                      </c:pt>
                      <c:pt idx="2">
                        <c:v>651.54433949726013</c:v>
                      </c:pt>
                      <c:pt idx="3">
                        <c:v>635.32461592272114</c:v>
                      </c:pt>
                      <c:pt idx="4">
                        <c:v>617.54014457674339</c:v>
                      </c:pt>
                      <c:pt idx="5">
                        <c:v>595.6281693274982</c:v>
                      </c:pt>
                      <c:pt idx="6">
                        <c:v>577.92198032244983</c:v>
                      </c:pt>
                      <c:pt idx="7">
                        <c:v>556.9435748913728</c:v>
                      </c:pt>
                      <c:pt idx="8">
                        <c:v>535.63931474109108</c:v>
                      </c:pt>
                      <c:pt idx="9">
                        <c:v>514.25629890102277</c:v>
                      </c:pt>
                      <c:pt idx="10">
                        <c:v>489.26961266363259</c:v>
                      </c:pt>
                      <c:pt idx="11">
                        <c:v>471.94279101302089</c:v>
                      </c:pt>
                      <c:pt idx="12">
                        <c:v>455.96138552436383</c:v>
                      </c:pt>
                      <c:pt idx="13">
                        <c:v>440.54152959975431</c:v>
                      </c:pt>
                      <c:pt idx="14">
                        <c:v>426.51860216555747</c:v>
                      </c:pt>
                      <c:pt idx="15">
                        <c:v>411.37476901002532</c:v>
                      </c:pt>
                    </c:numCache>
                  </c:numRef>
                </c:val>
                <c:smooth val="0"/>
                <c:extLst>
                  <c:ext xmlns:c16="http://schemas.microsoft.com/office/drawing/2014/chart" uri="{C3380CC4-5D6E-409C-BE32-E72D297353CC}">
                    <c16:uniqueId val="{00000001-D568-DD49-828B-538C3CF90F6A}"/>
                  </c:ext>
                </c:extLst>
              </c15:ser>
            </c15:filteredLineSeries>
          </c:ext>
        </c:extLst>
      </c:lineChart>
      <c:catAx>
        <c:axId val="6783427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77867920"/>
        <c:crosses val="autoZero"/>
        <c:auto val="1"/>
        <c:lblAlgn val="ctr"/>
        <c:lblOffset val="100"/>
        <c:noMultiLvlLbl val="0"/>
      </c:catAx>
      <c:valAx>
        <c:axId val="677867920"/>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7834272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400" b="1" i="0" u="none" strike="noStrike" baseline="0">
                <a:effectLst/>
              </a:rPr>
              <a:t>Light-Duty Vehicle Well-to Wheel CO2e Emissions by Scenario (million metric tonnes per year), 2025-2050</a:t>
            </a:r>
            <a:r>
              <a:rPr lang="en-US" sz="1400" b="0" i="0" u="none" strike="noStrike" baseline="0"/>
              <a:t> </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Tables!$P$3</c:f>
              <c:strCache>
                <c:ptCount val="1"/>
                <c:pt idx="0">
                  <c:v>BAU</c:v>
                </c:pt>
              </c:strCache>
            </c:strRef>
          </c:tx>
          <c:spPr>
            <a:ln w="28575" cap="rnd">
              <a:solidFill>
                <a:schemeClr val="bg1">
                  <a:lumMod val="50000"/>
                </a:schemeClr>
              </a:solidFill>
              <a:round/>
            </a:ln>
            <a:effectLst/>
          </c:spPr>
          <c:marker>
            <c:symbol val="none"/>
          </c:marker>
          <c:cat>
            <c:numRef>
              <c:f>Tables!$O$4:$O$29</c:f>
              <c:numCache>
                <c:formatCode>General</c:formatCode>
                <c:ptCount val="26"/>
                <c:pt idx="0">
                  <c:v>2025</c:v>
                </c:pt>
                <c:pt idx="1">
                  <c:v>2026</c:v>
                </c:pt>
                <c:pt idx="2">
                  <c:v>2027</c:v>
                </c:pt>
                <c:pt idx="3">
                  <c:v>2028</c:v>
                </c:pt>
                <c:pt idx="4">
                  <c:v>2029</c:v>
                </c:pt>
                <c:pt idx="5">
                  <c:v>2030</c:v>
                </c:pt>
                <c:pt idx="6">
                  <c:v>2031</c:v>
                </c:pt>
                <c:pt idx="7">
                  <c:v>2032</c:v>
                </c:pt>
                <c:pt idx="8">
                  <c:v>2033</c:v>
                </c:pt>
                <c:pt idx="9">
                  <c:v>2034</c:v>
                </c:pt>
                <c:pt idx="10">
                  <c:v>2035</c:v>
                </c:pt>
                <c:pt idx="11">
                  <c:v>2036</c:v>
                </c:pt>
                <c:pt idx="12">
                  <c:v>2037</c:v>
                </c:pt>
                <c:pt idx="13">
                  <c:v>2038</c:v>
                </c:pt>
                <c:pt idx="14">
                  <c:v>2039</c:v>
                </c:pt>
                <c:pt idx="15">
                  <c:v>2040</c:v>
                </c:pt>
                <c:pt idx="16">
                  <c:v>2041</c:v>
                </c:pt>
                <c:pt idx="17">
                  <c:v>2042</c:v>
                </c:pt>
                <c:pt idx="18">
                  <c:v>2043</c:v>
                </c:pt>
                <c:pt idx="19">
                  <c:v>2044</c:v>
                </c:pt>
                <c:pt idx="20">
                  <c:v>2045</c:v>
                </c:pt>
                <c:pt idx="21">
                  <c:v>2046</c:v>
                </c:pt>
                <c:pt idx="22">
                  <c:v>2047</c:v>
                </c:pt>
                <c:pt idx="23">
                  <c:v>2048</c:v>
                </c:pt>
                <c:pt idx="24">
                  <c:v>2049</c:v>
                </c:pt>
                <c:pt idx="25">
                  <c:v>2050</c:v>
                </c:pt>
              </c:numCache>
            </c:numRef>
          </c:cat>
          <c:val>
            <c:numRef>
              <c:f>Tables!$P$4:$P$29</c:f>
              <c:numCache>
                <c:formatCode>_(* #,##0.00_);_(* \(#,##0.00\);_(* "-"??_);_(@_)</c:formatCode>
                <c:ptCount val="26"/>
                <c:pt idx="0">
                  <c:v>25.060316948631616</c:v>
                </c:pt>
                <c:pt idx="1">
                  <c:v>24.515295699304094</c:v>
                </c:pt>
                <c:pt idx="2">
                  <c:v>23.799539194593933</c:v>
                </c:pt>
                <c:pt idx="3">
                  <c:v>22.924621904543141</c:v>
                </c:pt>
                <c:pt idx="4">
                  <c:v>21.949404329707356</c:v>
                </c:pt>
                <c:pt idx="5">
                  <c:v>20.98568900873801</c:v>
                </c:pt>
                <c:pt idx="6">
                  <c:v>20.266860650480982</c:v>
                </c:pt>
                <c:pt idx="7">
                  <c:v>19.552969433458962</c:v>
                </c:pt>
                <c:pt idx="8">
                  <c:v>18.864171490695337</c:v>
                </c:pt>
                <c:pt idx="9">
                  <c:v>18.202477830920699</c:v>
                </c:pt>
                <c:pt idx="10">
                  <c:v>17.580913067930354</c:v>
                </c:pt>
                <c:pt idx="11">
                  <c:v>17.157280940255252</c:v>
                </c:pt>
                <c:pt idx="12">
                  <c:v>16.776135954822276</c:v>
                </c:pt>
                <c:pt idx="13">
                  <c:v>16.434613593584835</c:v>
                </c:pt>
                <c:pt idx="14">
                  <c:v>16.129818157018214</c:v>
                </c:pt>
                <c:pt idx="15">
                  <c:v>15.859199345257055</c:v>
                </c:pt>
                <c:pt idx="16">
                  <c:v>15.624090719297739</c:v>
                </c:pt>
                <c:pt idx="17">
                  <c:v>15.426172983164467</c:v>
                </c:pt>
                <c:pt idx="18">
                  <c:v>15.256233046370872</c:v>
                </c:pt>
                <c:pt idx="19">
                  <c:v>15.123814937856995</c:v>
                </c:pt>
                <c:pt idx="20">
                  <c:v>15.012794162159636</c:v>
                </c:pt>
                <c:pt idx="21">
                  <c:v>14.919784867811551</c:v>
                </c:pt>
                <c:pt idx="22">
                  <c:v>14.842767205350162</c:v>
                </c:pt>
                <c:pt idx="23">
                  <c:v>14.773251378840115</c:v>
                </c:pt>
                <c:pt idx="24">
                  <c:v>14.719519971340178</c:v>
                </c:pt>
                <c:pt idx="25">
                  <c:v>14.675740253540093</c:v>
                </c:pt>
              </c:numCache>
            </c:numRef>
          </c:val>
          <c:smooth val="0"/>
          <c:extLst>
            <c:ext xmlns:c16="http://schemas.microsoft.com/office/drawing/2014/chart" uri="{C3380CC4-5D6E-409C-BE32-E72D297353CC}">
              <c16:uniqueId val="{00000000-3B28-B245-9833-BFD16B1C4670}"/>
            </c:ext>
          </c:extLst>
        </c:ser>
        <c:ser>
          <c:idx val="2"/>
          <c:order val="2"/>
          <c:tx>
            <c:strRef>
              <c:f>Tables!$R$3</c:f>
              <c:strCache>
                <c:ptCount val="1"/>
                <c:pt idx="0">
                  <c:v>ACC II: 2027</c:v>
                </c:pt>
              </c:strCache>
            </c:strRef>
          </c:tx>
          <c:spPr>
            <a:ln w="28575" cap="rnd">
              <a:solidFill>
                <a:schemeClr val="accent6">
                  <a:lumMod val="75000"/>
                </a:schemeClr>
              </a:solidFill>
              <a:round/>
            </a:ln>
            <a:effectLst/>
          </c:spPr>
          <c:marker>
            <c:symbol val="none"/>
          </c:marker>
          <c:cat>
            <c:numRef>
              <c:f>Tables!$O$4:$O$29</c:f>
              <c:numCache>
                <c:formatCode>General</c:formatCode>
                <c:ptCount val="26"/>
                <c:pt idx="0">
                  <c:v>2025</c:v>
                </c:pt>
                <c:pt idx="1">
                  <c:v>2026</c:v>
                </c:pt>
                <c:pt idx="2">
                  <c:v>2027</c:v>
                </c:pt>
                <c:pt idx="3">
                  <c:v>2028</c:v>
                </c:pt>
                <c:pt idx="4">
                  <c:v>2029</c:v>
                </c:pt>
                <c:pt idx="5">
                  <c:v>2030</c:v>
                </c:pt>
                <c:pt idx="6">
                  <c:v>2031</c:v>
                </c:pt>
                <c:pt idx="7">
                  <c:v>2032</c:v>
                </c:pt>
                <c:pt idx="8">
                  <c:v>2033</c:v>
                </c:pt>
                <c:pt idx="9">
                  <c:v>2034</c:v>
                </c:pt>
                <c:pt idx="10">
                  <c:v>2035</c:v>
                </c:pt>
                <c:pt idx="11">
                  <c:v>2036</c:v>
                </c:pt>
                <c:pt idx="12">
                  <c:v>2037</c:v>
                </c:pt>
                <c:pt idx="13">
                  <c:v>2038</c:v>
                </c:pt>
                <c:pt idx="14">
                  <c:v>2039</c:v>
                </c:pt>
                <c:pt idx="15">
                  <c:v>2040</c:v>
                </c:pt>
                <c:pt idx="16">
                  <c:v>2041</c:v>
                </c:pt>
                <c:pt idx="17">
                  <c:v>2042</c:v>
                </c:pt>
                <c:pt idx="18">
                  <c:v>2043</c:v>
                </c:pt>
                <c:pt idx="19">
                  <c:v>2044</c:v>
                </c:pt>
                <c:pt idx="20">
                  <c:v>2045</c:v>
                </c:pt>
                <c:pt idx="21">
                  <c:v>2046</c:v>
                </c:pt>
                <c:pt idx="22">
                  <c:v>2047</c:v>
                </c:pt>
                <c:pt idx="23">
                  <c:v>2048</c:v>
                </c:pt>
                <c:pt idx="24">
                  <c:v>2049</c:v>
                </c:pt>
                <c:pt idx="25">
                  <c:v>2050</c:v>
                </c:pt>
              </c:numCache>
            </c:numRef>
          </c:cat>
          <c:val>
            <c:numRef>
              <c:f>Tables!$R$4:$R$29</c:f>
              <c:numCache>
                <c:formatCode>_(* #,##0.00_);_(* \(#,##0.00\);_(* "-"??_);_(@_)</c:formatCode>
                <c:ptCount val="26"/>
                <c:pt idx="0">
                  <c:v>25.060316948631616</c:v>
                </c:pt>
                <c:pt idx="1">
                  <c:v>24.515295699304094</c:v>
                </c:pt>
                <c:pt idx="2">
                  <c:v>22.865071704575595</c:v>
                </c:pt>
                <c:pt idx="3">
                  <c:v>21.307674847873781</c:v>
                </c:pt>
                <c:pt idx="4">
                  <c:v>19.555041452785932</c:v>
                </c:pt>
                <c:pt idx="5">
                  <c:v>17.721196428418352</c:v>
                </c:pt>
                <c:pt idx="6">
                  <c:v>16.002256250763601</c:v>
                </c:pt>
                <c:pt idx="7">
                  <c:v>14.250064551181131</c:v>
                </c:pt>
                <c:pt idx="8">
                  <c:v>12.531250750899417</c:v>
                </c:pt>
                <c:pt idx="9">
                  <c:v>10.789218263822054</c:v>
                </c:pt>
                <c:pt idx="10">
                  <c:v>9.1000536958127629</c:v>
                </c:pt>
                <c:pt idx="11">
                  <c:v>7.6724874887610799</c:v>
                </c:pt>
                <c:pt idx="12">
                  <c:v>6.4560311022720631</c:v>
                </c:pt>
                <c:pt idx="13">
                  <c:v>5.4151007650528822</c:v>
                </c:pt>
                <c:pt idx="14">
                  <c:v>4.5324608230304166</c:v>
                </c:pt>
                <c:pt idx="15">
                  <c:v>3.5134716773506334</c:v>
                </c:pt>
                <c:pt idx="16">
                  <c:v>2.1473957688585568</c:v>
                </c:pt>
                <c:pt idx="17">
                  <c:v>0.87389406777814815</c:v>
                </c:pt>
                <c:pt idx="18">
                  <c:v>-0.30209173228288017</c:v>
                </c:pt>
                <c:pt idx="19">
                  <c:v>-1.3819027433418427</c:v>
                </c:pt>
                <c:pt idx="20">
                  <c:v>-2.3727764272396308</c:v>
                </c:pt>
                <c:pt idx="21">
                  <c:v>-3.2782506672762675</c:v>
                </c:pt>
                <c:pt idx="22">
                  <c:v>-4.114624528735356</c:v>
                </c:pt>
                <c:pt idx="23">
                  <c:v>-4.868194175784569</c:v>
                </c:pt>
                <c:pt idx="24">
                  <c:v>-5.5467493824880583</c:v>
                </c:pt>
                <c:pt idx="25">
                  <c:v>-6.1547816251449836</c:v>
                </c:pt>
              </c:numCache>
            </c:numRef>
          </c:val>
          <c:smooth val="0"/>
          <c:extLst>
            <c:ext xmlns:c16="http://schemas.microsoft.com/office/drawing/2014/chart" uri="{C3380CC4-5D6E-409C-BE32-E72D297353CC}">
              <c16:uniqueId val="{00000006-3B28-B245-9833-BFD16B1C4670}"/>
            </c:ext>
          </c:extLst>
        </c:ser>
        <c:dLbls>
          <c:showLegendKey val="0"/>
          <c:showVal val="0"/>
          <c:showCatName val="0"/>
          <c:showSerName val="0"/>
          <c:showPercent val="0"/>
          <c:showBubbleSize val="0"/>
        </c:dLbls>
        <c:smooth val="0"/>
        <c:axId val="678342720"/>
        <c:axId val="677867920"/>
        <c:extLst>
          <c:ext xmlns:c15="http://schemas.microsoft.com/office/drawing/2012/chart" uri="{02D57815-91ED-43cb-92C2-25804820EDAC}">
            <c15:filteredLineSeries>
              <c15:ser>
                <c:idx val="4"/>
                <c:order val="1"/>
                <c:tx>
                  <c:strRef>
                    <c:extLst>
                      <c:ext uri="{02D57815-91ED-43cb-92C2-25804820EDAC}">
                        <c15:formulaRef>
                          <c15:sqref>Tables!$Q$3</c15:sqref>
                        </c15:formulaRef>
                      </c:ext>
                    </c:extLst>
                    <c:strCache>
                      <c:ptCount val="1"/>
                      <c:pt idx="0">
                        <c:v>ACC II: 2026</c:v>
                      </c:pt>
                    </c:strCache>
                  </c:strRef>
                </c:tx>
                <c:spPr>
                  <a:ln w="28575" cap="rnd">
                    <a:solidFill>
                      <a:schemeClr val="accent5"/>
                    </a:solidFill>
                    <a:round/>
                  </a:ln>
                  <a:effectLst/>
                </c:spPr>
                <c:marker>
                  <c:symbol val="none"/>
                </c:marker>
                <c:cat>
                  <c:numRef>
                    <c:extLst>
                      <c:ext uri="{02D57815-91ED-43cb-92C2-25804820EDAC}">
                        <c15:formulaRef>
                          <c15:sqref>Tables!$O$4:$O$29</c15:sqref>
                        </c15:formulaRef>
                      </c:ext>
                    </c:extLst>
                    <c:numCache>
                      <c:formatCode>General</c:formatCode>
                      <c:ptCount val="26"/>
                      <c:pt idx="0">
                        <c:v>2025</c:v>
                      </c:pt>
                      <c:pt idx="1">
                        <c:v>2026</c:v>
                      </c:pt>
                      <c:pt idx="2">
                        <c:v>2027</c:v>
                      </c:pt>
                      <c:pt idx="3">
                        <c:v>2028</c:v>
                      </c:pt>
                      <c:pt idx="4">
                        <c:v>2029</c:v>
                      </c:pt>
                      <c:pt idx="5">
                        <c:v>2030</c:v>
                      </c:pt>
                      <c:pt idx="6">
                        <c:v>2031</c:v>
                      </c:pt>
                      <c:pt idx="7">
                        <c:v>2032</c:v>
                      </c:pt>
                      <c:pt idx="8">
                        <c:v>2033</c:v>
                      </c:pt>
                      <c:pt idx="9">
                        <c:v>2034</c:v>
                      </c:pt>
                      <c:pt idx="10">
                        <c:v>2035</c:v>
                      </c:pt>
                      <c:pt idx="11">
                        <c:v>2036</c:v>
                      </c:pt>
                      <c:pt idx="12">
                        <c:v>2037</c:v>
                      </c:pt>
                      <c:pt idx="13">
                        <c:v>2038</c:v>
                      </c:pt>
                      <c:pt idx="14">
                        <c:v>2039</c:v>
                      </c:pt>
                      <c:pt idx="15">
                        <c:v>2040</c:v>
                      </c:pt>
                      <c:pt idx="16">
                        <c:v>2041</c:v>
                      </c:pt>
                      <c:pt idx="17">
                        <c:v>2042</c:v>
                      </c:pt>
                      <c:pt idx="18">
                        <c:v>2043</c:v>
                      </c:pt>
                      <c:pt idx="19">
                        <c:v>2044</c:v>
                      </c:pt>
                      <c:pt idx="20">
                        <c:v>2045</c:v>
                      </c:pt>
                      <c:pt idx="21">
                        <c:v>2046</c:v>
                      </c:pt>
                      <c:pt idx="22">
                        <c:v>2047</c:v>
                      </c:pt>
                      <c:pt idx="23">
                        <c:v>2048</c:v>
                      </c:pt>
                      <c:pt idx="24">
                        <c:v>2049</c:v>
                      </c:pt>
                      <c:pt idx="25">
                        <c:v>2050</c:v>
                      </c:pt>
                    </c:numCache>
                  </c:numRef>
                </c:cat>
                <c:val>
                  <c:numRef>
                    <c:extLst>
                      <c:ext uri="{02D57815-91ED-43cb-92C2-25804820EDAC}">
                        <c15:formulaRef>
                          <c15:sqref>Tables!$Q$4:$Q$29</c15:sqref>
                        </c15:formulaRef>
                      </c:ext>
                    </c:extLst>
                    <c:numCache>
                      <c:formatCode>_(* #,##0.00_);_(* \(#,##0.00\);_(* "-"??_);_(@_)</c:formatCode>
                      <c:ptCount val="26"/>
                      <c:pt idx="0">
                        <c:v>25.060316948631616</c:v>
                      </c:pt>
                      <c:pt idx="1">
                        <c:v>24.13695086072806</c:v>
                      </c:pt>
                      <c:pt idx="2">
                        <c:v>22.81546801116059</c:v>
                      </c:pt>
                      <c:pt idx="3">
                        <c:v>21.202252363542943</c:v>
                      </c:pt>
                      <c:pt idx="4">
                        <c:v>19.390579801946675</c:v>
                      </c:pt>
                      <c:pt idx="5">
                        <c:v>17.496786509930438</c:v>
                      </c:pt>
                      <c:pt idx="6">
                        <c:v>15.716935568705374</c:v>
                      </c:pt>
                      <c:pt idx="7">
                        <c:v>13.909506382754037</c:v>
                      </c:pt>
                      <c:pt idx="8">
                        <c:v>12.145313331652211</c:v>
                      </c:pt>
                      <c:pt idx="9">
                        <c:v>10.364814168913812</c:v>
                      </c:pt>
                      <c:pt idx="10">
                        <c:v>8.6480054396572825</c:v>
                      </c:pt>
                      <c:pt idx="11">
                        <c:v>7.2052283578763427</c:v>
                      </c:pt>
                      <c:pt idx="12">
                        <c:v>5.9897043554915301</c:v>
                      </c:pt>
                      <c:pt idx="13">
                        <c:v>4.9617341168872509</c:v>
                      </c:pt>
                      <c:pt idx="14">
                        <c:v>4.1071517811946707</c:v>
                      </c:pt>
                      <c:pt idx="15">
                        <c:v>3.120248522037762</c:v>
                      </c:pt>
                    </c:numCache>
                  </c:numRef>
                </c:val>
                <c:smooth val="0"/>
                <c:extLst>
                  <c:ext xmlns:c16="http://schemas.microsoft.com/office/drawing/2014/chart" uri="{C3380CC4-5D6E-409C-BE32-E72D297353CC}">
                    <c16:uniqueId val="{00000005-3B28-B245-9833-BFD16B1C4670}"/>
                  </c:ext>
                </c:extLst>
              </c15:ser>
            </c15:filteredLineSeries>
            <c15:filteredLineSeries>
              <c15:ser>
                <c:idx val="1"/>
                <c:order val="3"/>
                <c:tx>
                  <c:strRef>
                    <c:extLst xmlns:c15="http://schemas.microsoft.com/office/drawing/2012/chart">
                      <c:ext xmlns:c15="http://schemas.microsoft.com/office/drawing/2012/chart" uri="{02D57815-91ED-43cb-92C2-25804820EDAC}">
                        <c15:formulaRef>
                          <c15:sqref>Tables!$S$3</c15:sqref>
                        </c15:formulaRef>
                      </c:ext>
                    </c:extLst>
                    <c:strCache>
                      <c:ptCount val="1"/>
                    </c:strCache>
                  </c:strRef>
                </c:tx>
                <c:spPr>
                  <a:ln w="28575" cap="rnd">
                    <a:solidFill>
                      <a:schemeClr val="accent2"/>
                    </a:solidFill>
                    <a:round/>
                  </a:ln>
                  <a:effectLst/>
                </c:spPr>
                <c:marker>
                  <c:symbol val="none"/>
                </c:marker>
                <c:cat>
                  <c:numRef>
                    <c:extLst xmlns:c15="http://schemas.microsoft.com/office/drawing/2012/chart">
                      <c:ext xmlns:c15="http://schemas.microsoft.com/office/drawing/2012/chart" uri="{02D57815-91ED-43cb-92C2-25804820EDAC}">
                        <c15:formulaRef>
                          <c15:sqref>Tables!$O$4:$O$29</c15:sqref>
                        </c15:formulaRef>
                      </c:ext>
                    </c:extLst>
                    <c:numCache>
                      <c:formatCode>General</c:formatCode>
                      <c:ptCount val="26"/>
                      <c:pt idx="0">
                        <c:v>2025</c:v>
                      </c:pt>
                      <c:pt idx="1">
                        <c:v>2026</c:v>
                      </c:pt>
                      <c:pt idx="2">
                        <c:v>2027</c:v>
                      </c:pt>
                      <c:pt idx="3">
                        <c:v>2028</c:v>
                      </c:pt>
                      <c:pt idx="4">
                        <c:v>2029</c:v>
                      </c:pt>
                      <c:pt idx="5">
                        <c:v>2030</c:v>
                      </c:pt>
                      <c:pt idx="6">
                        <c:v>2031</c:v>
                      </c:pt>
                      <c:pt idx="7">
                        <c:v>2032</c:v>
                      </c:pt>
                      <c:pt idx="8">
                        <c:v>2033</c:v>
                      </c:pt>
                      <c:pt idx="9">
                        <c:v>2034</c:v>
                      </c:pt>
                      <c:pt idx="10">
                        <c:v>2035</c:v>
                      </c:pt>
                      <c:pt idx="11">
                        <c:v>2036</c:v>
                      </c:pt>
                      <c:pt idx="12">
                        <c:v>2037</c:v>
                      </c:pt>
                      <c:pt idx="13">
                        <c:v>2038</c:v>
                      </c:pt>
                      <c:pt idx="14">
                        <c:v>2039</c:v>
                      </c:pt>
                      <c:pt idx="15">
                        <c:v>2040</c:v>
                      </c:pt>
                      <c:pt idx="16">
                        <c:v>2041</c:v>
                      </c:pt>
                      <c:pt idx="17">
                        <c:v>2042</c:v>
                      </c:pt>
                      <c:pt idx="18">
                        <c:v>2043</c:v>
                      </c:pt>
                      <c:pt idx="19">
                        <c:v>2044</c:v>
                      </c:pt>
                      <c:pt idx="20">
                        <c:v>2045</c:v>
                      </c:pt>
                      <c:pt idx="21">
                        <c:v>2046</c:v>
                      </c:pt>
                      <c:pt idx="22">
                        <c:v>2047</c:v>
                      </c:pt>
                      <c:pt idx="23">
                        <c:v>2048</c:v>
                      </c:pt>
                      <c:pt idx="24">
                        <c:v>2049</c:v>
                      </c:pt>
                      <c:pt idx="25">
                        <c:v>2050</c:v>
                      </c:pt>
                    </c:numCache>
                  </c:numRef>
                </c:cat>
                <c:val>
                  <c:numRef>
                    <c:extLst xmlns:c15="http://schemas.microsoft.com/office/drawing/2012/chart">
                      <c:ext xmlns:c15="http://schemas.microsoft.com/office/drawing/2012/chart" uri="{02D57815-91ED-43cb-92C2-25804820EDAC}">
                        <c15:formulaRef>
                          <c15:sqref>Tables!$S$4:$S$29</c15:sqref>
                        </c15:formulaRef>
                      </c:ext>
                    </c:extLst>
                    <c:numCache>
                      <c:formatCode>_(* #,##0_);_(* \(#,##0\);_(* "-"??_);_(@_)</c:formatCode>
                      <c:ptCount val="26"/>
                    </c:numCache>
                  </c:numRef>
                </c:val>
                <c:smooth val="0"/>
                <c:extLst xmlns:c15="http://schemas.microsoft.com/office/drawing/2012/chart">
                  <c:ext xmlns:c16="http://schemas.microsoft.com/office/drawing/2014/chart" uri="{C3380CC4-5D6E-409C-BE32-E72D297353CC}">
                    <c16:uniqueId val="{00000001-2581-4CC3-8F8B-B48FC30BEC92}"/>
                  </c:ext>
                </c:extLst>
              </c15:ser>
            </c15:filteredLineSeries>
          </c:ext>
        </c:extLst>
      </c:lineChart>
      <c:catAx>
        <c:axId val="678342720"/>
        <c:scaling>
          <c:orientation val="minMax"/>
        </c:scaling>
        <c:delete val="0"/>
        <c:axPos val="t"/>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77867920"/>
        <c:crosses val="max"/>
        <c:auto val="1"/>
        <c:lblAlgn val="ctr"/>
        <c:lblOffset val="100"/>
        <c:noMultiLvlLbl val="0"/>
      </c:catAx>
      <c:valAx>
        <c:axId val="677867920"/>
        <c:scaling>
          <c:orientation val="minMax"/>
        </c:scaling>
        <c:delete val="0"/>
        <c:axPos val="l"/>
        <c:majorGridlines>
          <c:spPr>
            <a:ln w="9525" cap="flat" cmpd="sng" algn="ctr">
              <a:solidFill>
                <a:schemeClr val="tx1">
                  <a:lumMod val="15000"/>
                  <a:lumOff val="85000"/>
                </a:schemeClr>
              </a:solidFill>
              <a:round/>
            </a:ln>
            <a:effectLst/>
          </c:spPr>
        </c:majorGridlines>
        <c:numFmt formatCode="_(* #,##0.00_);_(* \(#,##0.0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78342720"/>
        <c:crossesAt val="0"/>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400" b="1" i="0" u="none" strike="noStrike" baseline="0">
                <a:effectLst/>
              </a:rPr>
              <a:t>Light-Duty Vehicle Population by Regulatory Class, 2025-2050</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areaChart>
        <c:grouping val="stacked"/>
        <c:varyColors val="0"/>
        <c:ser>
          <c:idx val="4"/>
          <c:order val="1"/>
          <c:tx>
            <c:strRef>
              <c:f>Tables!$AC$3</c:f>
              <c:strCache>
                <c:ptCount val="1"/>
                <c:pt idx="0">
                  <c:v>Cars</c:v>
                </c:pt>
              </c:strCache>
            </c:strRef>
          </c:tx>
          <c:spPr>
            <a:solidFill>
              <a:schemeClr val="accent5"/>
            </a:solidFill>
            <a:ln>
              <a:noFill/>
            </a:ln>
            <a:effectLst/>
          </c:spPr>
          <c:cat>
            <c:numRef>
              <c:f>Tables!$AB$4:$AB$29</c:f>
              <c:numCache>
                <c:formatCode>General</c:formatCode>
                <c:ptCount val="26"/>
                <c:pt idx="0">
                  <c:v>2025</c:v>
                </c:pt>
                <c:pt idx="1">
                  <c:v>2026</c:v>
                </c:pt>
                <c:pt idx="2">
                  <c:v>2027</c:v>
                </c:pt>
                <c:pt idx="3">
                  <c:v>2028</c:v>
                </c:pt>
                <c:pt idx="4">
                  <c:v>2029</c:v>
                </c:pt>
                <c:pt idx="5">
                  <c:v>2030</c:v>
                </c:pt>
                <c:pt idx="6">
                  <c:v>2031</c:v>
                </c:pt>
                <c:pt idx="7">
                  <c:v>2032</c:v>
                </c:pt>
                <c:pt idx="8">
                  <c:v>2033</c:v>
                </c:pt>
                <c:pt idx="9">
                  <c:v>2034</c:v>
                </c:pt>
                <c:pt idx="10">
                  <c:v>2035</c:v>
                </c:pt>
                <c:pt idx="11">
                  <c:v>2036</c:v>
                </c:pt>
                <c:pt idx="12">
                  <c:v>2037</c:v>
                </c:pt>
                <c:pt idx="13">
                  <c:v>2038</c:v>
                </c:pt>
                <c:pt idx="14">
                  <c:v>2039</c:v>
                </c:pt>
                <c:pt idx="15">
                  <c:v>2040</c:v>
                </c:pt>
                <c:pt idx="16">
                  <c:v>2041</c:v>
                </c:pt>
                <c:pt idx="17">
                  <c:v>2042</c:v>
                </c:pt>
                <c:pt idx="18">
                  <c:v>2043</c:v>
                </c:pt>
                <c:pt idx="19">
                  <c:v>2044</c:v>
                </c:pt>
                <c:pt idx="20">
                  <c:v>2045</c:v>
                </c:pt>
                <c:pt idx="21">
                  <c:v>2046</c:v>
                </c:pt>
                <c:pt idx="22">
                  <c:v>2047</c:v>
                </c:pt>
                <c:pt idx="23">
                  <c:v>2048</c:v>
                </c:pt>
                <c:pt idx="24">
                  <c:v>2049</c:v>
                </c:pt>
                <c:pt idx="25">
                  <c:v>2050</c:v>
                </c:pt>
              </c:numCache>
            </c:numRef>
          </c:cat>
          <c:val>
            <c:numRef>
              <c:f>Tables!$AC$4:$AC$29</c:f>
              <c:numCache>
                <c:formatCode>_(* #,##0_);_(* \(#,##0\);_(* "-"??_);_(@_)</c:formatCode>
                <c:ptCount val="26"/>
                <c:pt idx="0">
                  <c:v>3247602.260427475</c:v>
                </c:pt>
                <c:pt idx="1">
                  <c:v>3254070</c:v>
                </c:pt>
                <c:pt idx="2">
                  <c:v>3260540</c:v>
                </c:pt>
                <c:pt idx="3">
                  <c:v>3267010</c:v>
                </c:pt>
                <c:pt idx="4">
                  <c:v>3273480</c:v>
                </c:pt>
                <c:pt idx="5">
                  <c:v>3279947.094215272</c:v>
                </c:pt>
                <c:pt idx="6">
                  <c:v>3282490</c:v>
                </c:pt>
                <c:pt idx="7">
                  <c:v>3285040</c:v>
                </c:pt>
                <c:pt idx="8">
                  <c:v>3287590</c:v>
                </c:pt>
                <c:pt idx="9">
                  <c:v>3290140</c:v>
                </c:pt>
                <c:pt idx="10">
                  <c:v>3292685.4568741778</c:v>
                </c:pt>
                <c:pt idx="11">
                  <c:v>3303380</c:v>
                </c:pt>
                <c:pt idx="12">
                  <c:v>3314070</c:v>
                </c:pt>
                <c:pt idx="13">
                  <c:v>3324760</c:v>
                </c:pt>
                <c:pt idx="14">
                  <c:v>3335450</c:v>
                </c:pt>
                <c:pt idx="15">
                  <c:v>3346139.5863728612</c:v>
                </c:pt>
                <c:pt idx="16">
                  <c:v>3352858.688254091</c:v>
                </c:pt>
                <c:pt idx="17">
                  <c:v>3359577.7901353207</c:v>
                </c:pt>
                <c:pt idx="18">
                  <c:v>3366296.8920165501</c:v>
                </c:pt>
                <c:pt idx="19">
                  <c:v>3373015.9938977798</c:v>
                </c:pt>
                <c:pt idx="20">
                  <c:v>3379735.0957790096</c:v>
                </c:pt>
                <c:pt idx="21">
                  <c:v>3386521.6579811927</c:v>
                </c:pt>
                <c:pt idx="22">
                  <c:v>3393308.2201833758</c:v>
                </c:pt>
                <c:pt idx="23">
                  <c:v>3400094.7823855588</c:v>
                </c:pt>
                <c:pt idx="24">
                  <c:v>3406881.3445877419</c:v>
                </c:pt>
                <c:pt idx="25">
                  <c:v>3413667.9067899249</c:v>
                </c:pt>
              </c:numCache>
            </c:numRef>
          </c:val>
          <c:extLst>
            <c:ext xmlns:c16="http://schemas.microsoft.com/office/drawing/2014/chart" uri="{C3380CC4-5D6E-409C-BE32-E72D297353CC}">
              <c16:uniqueId val="{00000001-44D3-2346-B5D1-753A784F00A2}"/>
            </c:ext>
          </c:extLst>
        </c:ser>
        <c:ser>
          <c:idx val="2"/>
          <c:order val="2"/>
          <c:tx>
            <c:strRef>
              <c:f>Tables!$AD$3</c:f>
              <c:strCache>
                <c:ptCount val="1"/>
                <c:pt idx="0">
                  <c:v>Light Trucks</c:v>
                </c:pt>
              </c:strCache>
            </c:strRef>
          </c:tx>
          <c:spPr>
            <a:solidFill>
              <a:schemeClr val="accent3"/>
            </a:solidFill>
            <a:ln>
              <a:noFill/>
            </a:ln>
            <a:effectLst/>
          </c:spPr>
          <c:cat>
            <c:numRef>
              <c:f>Tables!$AB$4:$AB$29</c:f>
              <c:numCache>
                <c:formatCode>General</c:formatCode>
                <c:ptCount val="26"/>
                <c:pt idx="0">
                  <c:v>2025</c:v>
                </c:pt>
                <c:pt idx="1">
                  <c:v>2026</c:v>
                </c:pt>
                <c:pt idx="2">
                  <c:v>2027</c:v>
                </c:pt>
                <c:pt idx="3">
                  <c:v>2028</c:v>
                </c:pt>
                <c:pt idx="4">
                  <c:v>2029</c:v>
                </c:pt>
                <c:pt idx="5">
                  <c:v>2030</c:v>
                </c:pt>
                <c:pt idx="6">
                  <c:v>2031</c:v>
                </c:pt>
                <c:pt idx="7">
                  <c:v>2032</c:v>
                </c:pt>
                <c:pt idx="8">
                  <c:v>2033</c:v>
                </c:pt>
                <c:pt idx="9">
                  <c:v>2034</c:v>
                </c:pt>
                <c:pt idx="10">
                  <c:v>2035</c:v>
                </c:pt>
                <c:pt idx="11">
                  <c:v>2036</c:v>
                </c:pt>
                <c:pt idx="12">
                  <c:v>2037</c:v>
                </c:pt>
                <c:pt idx="13">
                  <c:v>2038</c:v>
                </c:pt>
                <c:pt idx="14">
                  <c:v>2039</c:v>
                </c:pt>
                <c:pt idx="15">
                  <c:v>2040</c:v>
                </c:pt>
                <c:pt idx="16">
                  <c:v>2041</c:v>
                </c:pt>
                <c:pt idx="17">
                  <c:v>2042</c:v>
                </c:pt>
                <c:pt idx="18">
                  <c:v>2043</c:v>
                </c:pt>
                <c:pt idx="19">
                  <c:v>2044</c:v>
                </c:pt>
                <c:pt idx="20">
                  <c:v>2045</c:v>
                </c:pt>
                <c:pt idx="21">
                  <c:v>2046</c:v>
                </c:pt>
                <c:pt idx="22">
                  <c:v>2047</c:v>
                </c:pt>
                <c:pt idx="23">
                  <c:v>2048</c:v>
                </c:pt>
                <c:pt idx="24">
                  <c:v>2049</c:v>
                </c:pt>
                <c:pt idx="25">
                  <c:v>2050</c:v>
                </c:pt>
              </c:numCache>
            </c:numRef>
          </c:cat>
          <c:val>
            <c:numRef>
              <c:f>Tables!$AD$4:$AD$29</c:f>
              <c:numCache>
                <c:formatCode>_(* #,##0_);_(* \(#,##0\);_(* "-"??_);_(@_)</c:formatCode>
                <c:ptCount val="26"/>
                <c:pt idx="0">
                  <c:v>3047829.4918574151</c:v>
                </c:pt>
                <c:pt idx="1">
                  <c:v>3053900</c:v>
                </c:pt>
                <c:pt idx="2">
                  <c:v>3059970</c:v>
                </c:pt>
                <c:pt idx="3">
                  <c:v>3066040</c:v>
                </c:pt>
                <c:pt idx="4">
                  <c:v>3072110</c:v>
                </c:pt>
                <c:pt idx="5">
                  <c:v>3078184.6678987993</c:v>
                </c:pt>
                <c:pt idx="6">
                  <c:v>3087810</c:v>
                </c:pt>
                <c:pt idx="7">
                  <c:v>3097430</c:v>
                </c:pt>
                <c:pt idx="8">
                  <c:v>3107050</c:v>
                </c:pt>
                <c:pt idx="9">
                  <c:v>3116670</c:v>
                </c:pt>
                <c:pt idx="10">
                  <c:v>3126293.9612936713</c:v>
                </c:pt>
                <c:pt idx="11">
                  <c:v>3129100</c:v>
                </c:pt>
                <c:pt idx="12">
                  <c:v>3131900</c:v>
                </c:pt>
                <c:pt idx="13">
                  <c:v>3134700</c:v>
                </c:pt>
                <c:pt idx="14">
                  <c:v>3137500</c:v>
                </c:pt>
                <c:pt idx="15">
                  <c:v>3140305.3999218415</c:v>
                </c:pt>
                <c:pt idx="16">
                  <c:v>3146611.1834600358</c:v>
                </c:pt>
                <c:pt idx="17">
                  <c:v>3152916.9669982302</c:v>
                </c:pt>
                <c:pt idx="18">
                  <c:v>3159222.750536425</c:v>
                </c:pt>
                <c:pt idx="19">
                  <c:v>3165528.5340746194</c:v>
                </c:pt>
                <c:pt idx="20">
                  <c:v>3171834.3176128138</c:v>
                </c:pt>
                <c:pt idx="21">
                  <c:v>3178203.4117226987</c:v>
                </c:pt>
                <c:pt idx="22">
                  <c:v>3184572.5058325836</c:v>
                </c:pt>
                <c:pt idx="23">
                  <c:v>3190941.599942469</c:v>
                </c:pt>
                <c:pt idx="24">
                  <c:v>3197310.694052354</c:v>
                </c:pt>
                <c:pt idx="25">
                  <c:v>3203679.7881622389</c:v>
                </c:pt>
              </c:numCache>
            </c:numRef>
          </c:val>
          <c:extLst>
            <c:ext xmlns:c16="http://schemas.microsoft.com/office/drawing/2014/chart" uri="{C3380CC4-5D6E-409C-BE32-E72D297353CC}">
              <c16:uniqueId val="{00000002-44D3-2346-B5D1-753A784F00A2}"/>
            </c:ext>
          </c:extLst>
        </c:ser>
        <c:ser>
          <c:idx val="1"/>
          <c:order val="3"/>
          <c:tx>
            <c:strRef>
              <c:f>Tables!$AE$3</c:f>
              <c:strCache>
                <c:ptCount val="1"/>
                <c:pt idx="0">
                  <c:v>Class 2b-3</c:v>
                </c:pt>
              </c:strCache>
            </c:strRef>
          </c:tx>
          <c:spPr>
            <a:solidFill>
              <a:schemeClr val="accent2"/>
            </a:solidFill>
            <a:ln>
              <a:noFill/>
            </a:ln>
            <a:effectLst/>
          </c:spPr>
          <c:cat>
            <c:numRef>
              <c:f>Tables!$AB$4:$AB$29</c:f>
              <c:numCache>
                <c:formatCode>General</c:formatCode>
                <c:ptCount val="26"/>
                <c:pt idx="0">
                  <c:v>2025</c:v>
                </c:pt>
                <c:pt idx="1">
                  <c:v>2026</c:v>
                </c:pt>
                <c:pt idx="2">
                  <c:v>2027</c:v>
                </c:pt>
                <c:pt idx="3">
                  <c:v>2028</c:v>
                </c:pt>
                <c:pt idx="4">
                  <c:v>2029</c:v>
                </c:pt>
                <c:pt idx="5">
                  <c:v>2030</c:v>
                </c:pt>
                <c:pt idx="6">
                  <c:v>2031</c:v>
                </c:pt>
                <c:pt idx="7">
                  <c:v>2032</c:v>
                </c:pt>
                <c:pt idx="8">
                  <c:v>2033</c:v>
                </c:pt>
                <c:pt idx="9">
                  <c:v>2034</c:v>
                </c:pt>
                <c:pt idx="10">
                  <c:v>2035</c:v>
                </c:pt>
                <c:pt idx="11">
                  <c:v>2036</c:v>
                </c:pt>
                <c:pt idx="12">
                  <c:v>2037</c:v>
                </c:pt>
                <c:pt idx="13">
                  <c:v>2038</c:v>
                </c:pt>
                <c:pt idx="14">
                  <c:v>2039</c:v>
                </c:pt>
                <c:pt idx="15">
                  <c:v>2040</c:v>
                </c:pt>
                <c:pt idx="16">
                  <c:v>2041</c:v>
                </c:pt>
                <c:pt idx="17">
                  <c:v>2042</c:v>
                </c:pt>
                <c:pt idx="18">
                  <c:v>2043</c:v>
                </c:pt>
                <c:pt idx="19">
                  <c:v>2044</c:v>
                </c:pt>
                <c:pt idx="20">
                  <c:v>2045</c:v>
                </c:pt>
                <c:pt idx="21">
                  <c:v>2046</c:v>
                </c:pt>
                <c:pt idx="22">
                  <c:v>2047</c:v>
                </c:pt>
                <c:pt idx="23">
                  <c:v>2048</c:v>
                </c:pt>
                <c:pt idx="24">
                  <c:v>2049</c:v>
                </c:pt>
                <c:pt idx="25">
                  <c:v>2050</c:v>
                </c:pt>
              </c:numCache>
            </c:numRef>
          </c:cat>
          <c:val>
            <c:numRef>
              <c:f>Tables!$AE$4:$AE$29</c:f>
              <c:numCache>
                <c:formatCode>_(* #,##0_);_(* \(#,##0\);_(* "-"??_);_(@_)</c:formatCode>
                <c:ptCount val="26"/>
                <c:pt idx="0">
                  <c:v>249658.58922714656</c:v>
                </c:pt>
                <c:pt idx="1">
                  <c:v>250160</c:v>
                </c:pt>
                <c:pt idx="2">
                  <c:v>250650</c:v>
                </c:pt>
                <c:pt idx="3">
                  <c:v>251150</c:v>
                </c:pt>
                <c:pt idx="4">
                  <c:v>251650</c:v>
                </c:pt>
                <c:pt idx="5">
                  <c:v>252145.09001286316</c:v>
                </c:pt>
                <c:pt idx="6">
                  <c:v>252680</c:v>
                </c:pt>
                <c:pt idx="7">
                  <c:v>253220</c:v>
                </c:pt>
                <c:pt idx="8">
                  <c:v>253760</c:v>
                </c:pt>
                <c:pt idx="9">
                  <c:v>254300</c:v>
                </c:pt>
                <c:pt idx="10">
                  <c:v>254840.47397595496</c:v>
                </c:pt>
                <c:pt idx="11">
                  <c:v>255320</c:v>
                </c:pt>
                <c:pt idx="12">
                  <c:v>255800</c:v>
                </c:pt>
                <c:pt idx="13">
                  <c:v>256280</c:v>
                </c:pt>
                <c:pt idx="14">
                  <c:v>256750</c:v>
                </c:pt>
                <c:pt idx="15">
                  <c:v>257233.62083785326</c:v>
                </c:pt>
                <c:pt idx="16">
                  <c:v>257750.15006835098</c:v>
                </c:pt>
                <c:pt idx="17">
                  <c:v>258266.6792988487</c:v>
                </c:pt>
                <c:pt idx="18">
                  <c:v>258783.20852934645</c:v>
                </c:pt>
                <c:pt idx="19">
                  <c:v>259299.73775984417</c:v>
                </c:pt>
                <c:pt idx="20">
                  <c:v>259816.26699034189</c:v>
                </c:pt>
                <c:pt idx="21">
                  <c:v>260337.98221567748</c:v>
                </c:pt>
                <c:pt idx="22">
                  <c:v>260859.69744101306</c:v>
                </c:pt>
                <c:pt idx="23">
                  <c:v>261381.41266634868</c:v>
                </c:pt>
                <c:pt idx="24">
                  <c:v>261903.12789168427</c:v>
                </c:pt>
                <c:pt idx="25">
                  <c:v>262424.84311701986</c:v>
                </c:pt>
              </c:numCache>
            </c:numRef>
          </c:val>
          <c:extLst xmlns:c15="http://schemas.microsoft.com/office/drawing/2012/chart">
            <c:ext xmlns:c16="http://schemas.microsoft.com/office/drawing/2014/chart" uri="{C3380CC4-5D6E-409C-BE32-E72D297353CC}">
              <c16:uniqueId val="{00000003-44D3-2346-B5D1-753A784F00A2}"/>
            </c:ext>
          </c:extLst>
        </c:ser>
        <c:dLbls>
          <c:showLegendKey val="0"/>
          <c:showVal val="0"/>
          <c:showCatName val="0"/>
          <c:showSerName val="0"/>
          <c:showPercent val="0"/>
          <c:showBubbleSize val="0"/>
        </c:dLbls>
        <c:axId val="678342720"/>
        <c:axId val="677867920"/>
        <c:extLst>
          <c:ext xmlns:c15="http://schemas.microsoft.com/office/drawing/2012/chart" uri="{02D57815-91ED-43cb-92C2-25804820EDAC}">
            <c15:filteredAreaSeries>
              <c15:ser>
                <c:idx val="0"/>
                <c:order val="0"/>
                <c:tx>
                  <c:strRef>
                    <c:extLst>
                      <c:ext uri="{02D57815-91ED-43cb-92C2-25804820EDAC}">
                        <c15:formulaRef>
                          <c15:sqref>Tables!$AB$3</c15:sqref>
                        </c15:formulaRef>
                      </c:ext>
                    </c:extLst>
                    <c:strCache>
                      <c:ptCount val="1"/>
                    </c:strCache>
                  </c:strRef>
                </c:tx>
                <c:spPr>
                  <a:solidFill>
                    <a:schemeClr val="accent1"/>
                  </a:solidFill>
                  <a:ln>
                    <a:noFill/>
                  </a:ln>
                  <a:effectLst/>
                </c:spPr>
                <c:cat>
                  <c:numRef>
                    <c:extLst>
                      <c:ext uri="{02D57815-91ED-43cb-92C2-25804820EDAC}">
                        <c15:formulaRef>
                          <c15:sqref>Tables!$AB$4:$AB$29</c15:sqref>
                        </c15:formulaRef>
                      </c:ext>
                    </c:extLst>
                    <c:numCache>
                      <c:formatCode>General</c:formatCode>
                      <c:ptCount val="26"/>
                      <c:pt idx="0">
                        <c:v>2025</c:v>
                      </c:pt>
                      <c:pt idx="1">
                        <c:v>2026</c:v>
                      </c:pt>
                      <c:pt idx="2">
                        <c:v>2027</c:v>
                      </c:pt>
                      <c:pt idx="3">
                        <c:v>2028</c:v>
                      </c:pt>
                      <c:pt idx="4">
                        <c:v>2029</c:v>
                      </c:pt>
                      <c:pt idx="5">
                        <c:v>2030</c:v>
                      </c:pt>
                      <c:pt idx="6">
                        <c:v>2031</c:v>
                      </c:pt>
                      <c:pt idx="7">
                        <c:v>2032</c:v>
                      </c:pt>
                      <c:pt idx="8">
                        <c:v>2033</c:v>
                      </c:pt>
                      <c:pt idx="9">
                        <c:v>2034</c:v>
                      </c:pt>
                      <c:pt idx="10">
                        <c:v>2035</c:v>
                      </c:pt>
                      <c:pt idx="11">
                        <c:v>2036</c:v>
                      </c:pt>
                      <c:pt idx="12">
                        <c:v>2037</c:v>
                      </c:pt>
                      <c:pt idx="13">
                        <c:v>2038</c:v>
                      </c:pt>
                      <c:pt idx="14">
                        <c:v>2039</c:v>
                      </c:pt>
                      <c:pt idx="15">
                        <c:v>2040</c:v>
                      </c:pt>
                      <c:pt idx="16">
                        <c:v>2041</c:v>
                      </c:pt>
                      <c:pt idx="17">
                        <c:v>2042</c:v>
                      </c:pt>
                      <c:pt idx="18">
                        <c:v>2043</c:v>
                      </c:pt>
                      <c:pt idx="19">
                        <c:v>2044</c:v>
                      </c:pt>
                      <c:pt idx="20">
                        <c:v>2045</c:v>
                      </c:pt>
                      <c:pt idx="21">
                        <c:v>2046</c:v>
                      </c:pt>
                      <c:pt idx="22">
                        <c:v>2047</c:v>
                      </c:pt>
                      <c:pt idx="23">
                        <c:v>2048</c:v>
                      </c:pt>
                      <c:pt idx="24">
                        <c:v>2049</c:v>
                      </c:pt>
                      <c:pt idx="25">
                        <c:v>2050</c:v>
                      </c:pt>
                    </c:numCache>
                  </c:numRef>
                </c:cat>
                <c:val>
                  <c:numRef>
                    <c:extLst>
                      <c:ext uri="{02D57815-91ED-43cb-92C2-25804820EDAC}">
                        <c15:formulaRef>
                          <c15:sqref>Tables!$AB$4:$AB$29</c15:sqref>
                        </c15:formulaRef>
                      </c:ext>
                    </c:extLst>
                    <c:numCache>
                      <c:formatCode>General</c:formatCode>
                      <c:ptCount val="26"/>
                      <c:pt idx="0">
                        <c:v>2025</c:v>
                      </c:pt>
                      <c:pt idx="1">
                        <c:v>2026</c:v>
                      </c:pt>
                      <c:pt idx="2">
                        <c:v>2027</c:v>
                      </c:pt>
                      <c:pt idx="3">
                        <c:v>2028</c:v>
                      </c:pt>
                      <c:pt idx="4">
                        <c:v>2029</c:v>
                      </c:pt>
                      <c:pt idx="5">
                        <c:v>2030</c:v>
                      </c:pt>
                      <c:pt idx="6">
                        <c:v>2031</c:v>
                      </c:pt>
                      <c:pt idx="7">
                        <c:v>2032</c:v>
                      </c:pt>
                      <c:pt idx="8">
                        <c:v>2033</c:v>
                      </c:pt>
                      <c:pt idx="9">
                        <c:v>2034</c:v>
                      </c:pt>
                      <c:pt idx="10">
                        <c:v>2035</c:v>
                      </c:pt>
                      <c:pt idx="11">
                        <c:v>2036</c:v>
                      </c:pt>
                      <c:pt idx="12">
                        <c:v>2037</c:v>
                      </c:pt>
                      <c:pt idx="13">
                        <c:v>2038</c:v>
                      </c:pt>
                      <c:pt idx="14">
                        <c:v>2039</c:v>
                      </c:pt>
                      <c:pt idx="15">
                        <c:v>2040</c:v>
                      </c:pt>
                      <c:pt idx="16">
                        <c:v>2041</c:v>
                      </c:pt>
                      <c:pt idx="17">
                        <c:v>2042</c:v>
                      </c:pt>
                      <c:pt idx="18">
                        <c:v>2043</c:v>
                      </c:pt>
                      <c:pt idx="19">
                        <c:v>2044</c:v>
                      </c:pt>
                      <c:pt idx="20">
                        <c:v>2045</c:v>
                      </c:pt>
                      <c:pt idx="21">
                        <c:v>2046</c:v>
                      </c:pt>
                      <c:pt idx="22">
                        <c:v>2047</c:v>
                      </c:pt>
                      <c:pt idx="23">
                        <c:v>2048</c:v>
                      </c:pt>
                      <c:pt idx="24">
                        <c:v>2049</c:v>
                      </c:pt>
                      <c:pt idx="25">
                        <c:v>2050</c:v>
                      </c:pt>
                    </c:numCache>
                  </c:numRef>
                </c:val>
                <c:extLst>
                  <c:ext xmlns:c16="http://schemas.microsoft.com/office/drawing/2014/chart" uri="{C3380CC4-5D6E-409C-BE32-E72D297353CC}">
                    <c16:uniqueId val="{00000000-44D3-2346-B5D1-753A784F00A2}"/>
                  </c:ext>
                </c:extLst>
              </c15:ser>
            </c15:filteredAreaSeries>
            <c15:filteredAreaSeries>
              <c15:ser>
                <c:idx val="3"/>
                <c:order val="4"/>
                <c:spPr>
                  <a:solidFill>
                    <a:schemeClr val="accent4"/>
                  </a:solidFill>
                  <a:ln>
                    <a:noFill/>
                  </a:ln>
                  <a:effectLst/>
                </c:spPr>
                <c:cat>
                  <c:numRef>
                    <c:extLst xmlns:c15="http://schemas.microsoft.com/office/drawing/2012/chart">
                      <c:ext xmlns:c15="http://schemas.microsoft.com/office/drawing/2012/chart" uri="{02D57815-91ED-43cb-92C2-25804820EDAC}">
                        <c15:formulaRef>
                          <c15:sqref>Tables!$AB$4:$AB$29</c15:sqref>
                        </c15:formulaRef>
                      </c:ext>
                    </c:extLst>
                    <c:numCache>
                      <c:formatCode>General</c:formatCode>
                      <c:ptCount val="26"/>
                      <c:pt idx="0">
                        <c:v>2025</c:v>
                      </c:pt>
                      <c:pt idx="1">
                        <c:v>2026</c:v>
                      </c:pt>
                      <c:pt idx="2">
                        <c:v>2027</c:v>
                      </c:pt>
                      <c:pt idx="3">
                        <c:v>2028</c:v>
                      </c:pt>
                      <c:pt idx="4">
                        <c:v>2029</c:v>
                      </c:pt>
                      <c:pt idx="5">
                        <c:v>2030</c:v>
                      </c:pt>
                      <c:pt idx="6">
                        <c:v>2031</c:v>
                      </c:pt>
                      <c:pt idx="7">
                        <c:v>2032</c:v>
                      </c:pt>
                      <c:pt idx="8">
                        <c:v>2033</c:v>
                      </c:pt>
                      <c:pt idx="9">
                        <c:v>2034</c:v>
                      </c:pt>
                      <c:pt idx="10">
                        <c:v>2035</c:v>
                      </c:pt>
                      <c:pt idx="11">
                        <c:v>2036</c:v>
                      </c:pt>
                      <c:pt idx="12">
                        <c:v>2037</c:v>
                      </c:pt>
                      <c:pt idx="13">
                        <c:v>2038</c:v>
                      </c:pt>
                      <c:pt idx="14">
                        <c:v>2039</c:v>
                      </c:pt>
                      <c:pt idx="15">
                        <c:v>2040</c:v>
                      </c:pt>
                      <c:pt idx="16">
                        <c:v>2041</c:v>
                      </c:pt>
                      <c:pt idx="17">
                        <c:v>2042</c:v>
                      </c:pt>
                      <c:pt idx="18">
                        <c:v>2043</c:v>
                      </c:pt>
                      <c:pt idx="19">
                        <c:v>2044</c:v>
                      </c:pt>
                      <c:pt idx="20">
                        <c:v>2045</c:v>
                      </c:pt>
                      <c:pt idx="21">
                        <c:v>2046</c:v>
                      </c:pt>
                      <c:pt idx="22">
                        <c:v>2047</c:v>
                      </c:pt>
                      <c:pt idx="23">
                        <c:v>2048</c:v>
                      </c:pt>
                      <c:pt idx="24">
                        <c:v>2049</c:v>
                      </c:pt>
                      <c:pt idx="25">
                        <c:v>2050</c:v>
                      </c:pt>
                    </c:numCache>
                  </c:numRef>
                </c:cat>
                <c:val>
                  <c:numRef>
                    <c:extLst xmlns:c15="http://schemas.microsoft.com/office/drawing/2012/chart">
                      <c:ext xmlns:c15="http://schemas.microsoft.com/office/drawing/2012/chart" uri="{02D57815-91ED-43cb-92C2-25804820EDAC}">
                        <c15:formulaRef>
                          <c15:sqref>Tables!$AF$4:$AF$29</c15:sqref>
                        </c15:formulaRef>
                      </c:ext>
                    </c:extLst>
                    <c:numCache>
                      <c:formatCode>_(* #,##0_);_(* \(#,##0\);_(* "-"??_);_(@_)</c:formatCode>
                      <c:ptCount val="26"/>
                      <c:pt idx="0">
                        <c:v>6545090.3415120365</c:v>
                      </c:pt>
                      <c:pt idx="1">
                        <c:v>6558130</c:v>
                      </c:pt>
                      <c:pt idx="2">
                        <c:v>6571160</c:v>
                      </c:pt>
                      <c:pt idx="3">
                        <c:v>6584200</c:v>
                      </c:pt>
                      <c:pt idx="4">
                        <c:v>6597240</c:v>
                      </c:pt>
                      <c:pt idx="5">
                        <c:v>6610276.8521269346</c:v>
                      </c:pt>
                      <c:pt idx="6">
                        <c:v>6622980</c:v>
                      </c:pt>
                      <c:pt idx="7">
                        <c:v>6635690</c:v>
                      </c:pt>
                      <c:pt idx="8">
                        <c:v>6648400</c:v>
                      </c:pt>
                      <c:pt idx="9">
                        <c:v>6661110</c:v>
                      </c:pt>
                      <c:pt idx="10">
                        <c:v>6673819.8921438036</c:v>
                      </c:pt>
                      <c:pt idx="11">
                        <c:v>6687800</c:v>
                      </c:pt>
                      <c:pt idx="12">
                        <c:v>6701770</c:v>
                      </c:pt>
                      <c:pt idx="13">
                        <c:v>6715740</c:v>
                      </c:pt>
                      <c:pt idx="14">
                        <c:v>6729700</c:v>
                      </c:pt>
                      <c:pt idx="15">
                        <c:v>6743678.6071325559</c:v>
                      </c:pt>
                      <c:pt idx="16">
                        <c:v>6757220.0217824774</c:v>
                      </c:pt>
                      <c:pt idx="17">
                        <c:v>6770761.4364323998</c:v>
                      </c:pt>
                      <c:pt idx="18">
                        <c:v>6784302.8510823222</c:v>
                      </c:pt>
                      <c:pt idx="19">
                        <c:v>6797844.2657322437</c:v>
                      </c:pt>
                      <c:pt idx="20">
                        <c:v>6811385.6803821651</c:v>
                      </c:pt>
                      <c:pt idx="21">
                        <c:v>6825063.0519195693</c:v>
                      </c:pt>
                      <c:pt idx="22">
                        <c:v>6838740.4234569725</c:v>
                      </c:pt>
                      <c:pt idx="23">
                        <c:v>6852417.7949943766</c:v>
                      </c:pt>
                      <c:pt idx="24">
                        <c:v>6866095.1665317798</c:v>
                      </c:pt>
                      <c:pt idx="25">
                        <c:v>6879772.5380691839</c:v>
                      </c:pt>
                    </c:numCache>
                  </c:numRef>
                </c:val>
                <c:extLst xmlns:c15="http://schemas.microsoft.com/office/drawing/2012/chart">
                  <c:ext xmlns:c16="http://schemas.microsoft.com/office/drawing/2014/chart" uri="{C3380CC4-5D6E-409C-BE32-E72D297353CC}">
                    <c16:uniqueId val="{00000005-44D3-2346-B5D1-753A784F00A2}"/>
                  </c:ext>
                </c:extLst>
              </c15:ser>
            </c15:filteredAreaSeries>
          </c:ext>
        </c:extLst>
      </c:areaChart>
      <c:catAx>
        <c:axId val="6783427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77867920"/>
        <c:crosses val="autoZero"/>
        <c:auto val="1"/>
        <c:lblAlgn val="ctr"/>
        <c:lblOffset val="100"/>
        <c:tickLblSkip val="5"/>
        <c:noMultiLvlLbl val="0"/>
      </c:catAx>
      <c:valAx>
        <c:axId val="677867920"/>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78342720"/>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400" b="1" i="0" baseline="0">
                <a:effectLst/>
              </a:rPr>
              <a:t>Light-Duty Vehicle VMT by Regulatory Class, 2025-2050</a:t>
            </a:r>
            <a:endParaRPr lang="en-US" sz="1400">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areaChart>
        <c:grouping val="stacked"/>
        <c:varyColors val="0"/>
        <c:ser>
          <c:idx val="0"/>
          <c:order val="0"/>
          <c:tx>
            <c:strRef>
              <c:f>Tables!$W$3</c:f>
              <c:strCache>
                <c:ptCount val="1"/>
                <c:pt idx="0">
                  <c:v>Cars</c:v>
                </c:pt>
              </c:strCache>
            </c:strRef>
          </c:tx>
          <c:spPr>
            <a:solidFill>
              <a:schemeClr val="accent1"/>
            </a:solidFill>
            <a:ln>
              <a:noFill/>
            </a:ln>
            <a:effectLst/>
          </c:spPr>
          <c:cat>
            <c:numRef>
              <c:f>Tables!$V$4:$V$29</c:f>
              <c:numCache>
                <c:formatCode>General</c:formatCode>
                <c:ptCount val="26"/>
                <c:pt idx="0">
                  <c:v>2025</c:v>
                </c:pt>
                <c:pt idx="1">
                  <c:v>2026</c:v>
                </c:pt>
                <c:pt idx="2">
                  <c:v>2027</c:v>
                </c:pt>
                <c:pt idx="3">
                  <c:v>2028</c:v>
                </c:pt>
                <c:pt idx="4">
                  <c:v>2029</c:v>
                </c:pt>
                <c:pt idx="5">
                  <c:v>2030</c:v>
                </c:pt>
                <c:pt idx="6">
                  <c:v>2031</c:v>
                </c:pt>
                <c:pt idx="7">
                  <c:v>2032</c:v>
                </c:pt>
                <c:pt idx="8">
                  <c:v>2033</c:v>
                </c:pt>
                <c:pt idx="9">
                  <c:v>2034</c:v>
                </c:pt>
                <c:pt idx="10">
                  <c:v>2035</c:v>
                </c:pt>
                <c:pt idx="11">
                  <c:v>2036</c:v>
                </c:pt>
                <c:pt idx="12">
                  <c:v>2037</c:v>
                </c:pt>
                <c:pt idx="13">
                  <c:v>2038</c:v>
                </c:pt>
                <c:pt idx="14">
                  <c:v>2039</c:v>
                </c:pt>
                <c:pt idx="15" formatCode="0">
                  <c:v>2040</c:v>
                </c:pt>
                <c:pt idx="16">
                  <c:v>2041</c:v>
                </c:pt>
                <c:pt idx="17">
                  <c:v>2042</c:v>
                </c:pt>
                <c:pt idx="18">
                  <c:v>2043</c:v>
                </c:pt>
                <c:pt idx="19">
                  <c:v>2044</c:v>
                </c:pt>
                <c:pt idx="20">
                  <c:v>2045</c:v>
                </c:pt>
                <c:pt idx="21">
                  <c:v>2046</c:v>
                </c:pt>
                <c:pt idx="22">
                  <c:v>2047</c:v>
                </c:pt>
                <c:pt idx="23">
                  <c:v>2048</c:v>
                </c:pt>
                <c:pt idx="24">
                  <c:v>2049</c:v>
                </c:pt>
                <c:pt idx="25">
                  <c:v>2050</c:v>
                </c:pt>
              </c:numCache>
            </c:numRef>
          </c:cat>
          <c:val>
            <c:numRef>
              <c:f>Tables!$W$4:$W$29</c:f>
              <c:numCache>
                <c:formatCode>0</c:formatCode>
                <c:ptCount val="26"/>
                <c:pt idx="0">
                  <c:v>38012720142.525383</c:v>
                </c:pt>
                <c:pt idx="1">
                  <c:v>38274223107.402306</c:v>
                </c:pt>
                <c:pt idx="2">
                  <c:v>38535726072.279228</c:v>
                </c:pt>
                <c:pt idx="3">
                  <c:v>38797229037.156151</c:v>
                </c:pt>
                <c:pt idx="4">
                  <c:v>39058732002.033073</c:v>
                </c:pt>
                <c:pt idx="5">
                  <c:v>39320234966.909996</c:v>
                </c:pt>
                <c:pt idx="6">
                  <c:v>39716102938.310928</c:v>
                </c:pt>
                <c:pt idx="7">
                  <c:v>40111970909.711868</c:v>
                </c:pt>
                <c:pt idx="8">
                  <c:v>40507838881.112801</c:v>
                </c:pt>
                <c:pt idx="9">
                  <c:v>40903706852.513741</c:v>
                </c:pt>
                <c:pt idx="10">
                  <c:v>41299574823.914673</c:v>
                </c:pt>
                <c:pt idx="11">
                  <c:v>41867353577.652138</c:v>
                </c:pt>
                <c:pt idx="12">
                  <c:v>42435132331.389603</c:v>
                </c:pt>
                <c:pt idx="13">
                  <c:v>43002911085.127068</c:v>
                </c:pt>
                <c:pt idx="14">
                  <c:v>43570689838.864532</c:v>
                </c:pt>
                <c:pt idx="15">
                  <c:v>44138468592.601997</c:v>
                </c:pt>
                <c:pt idx="16">
                  <c:v>44719452970.043846</c:v>
                </c:pt>
                <c:pt idx="17">
                  <c:v>45300437347.485695</c:v>
                </c:pt>
                <c:pt idx="18">
                  <c:v>45881421724.927551</c:v>
                </c:pt>
                <c:pt idx="19">
                  <c:v>46462406102.3694</c:v>
                </c:pt>
                <c:pt idx="20">
                  <c:v>47043390479.811249</c:v>
                </c:pt>
                <c:pt idx="21">
                  <c:v>47624374857.253098</c:v>
                </c:pt>
                <c:pt idx="22">
                  <c:v>48205359234.694946</c:v>
                </c:pt>
                <c:pt idx="23">
                  <c:v>48786343612.136803</c:v>
                </c:pt>
                <c:pt idx="24">
                  <c:v>49367327989.578651</c:v>
                </c:pt>
                <c:pt idx="25">
                  <c:v>49948312367.0205</c:v>
                </c:pt>
              </c:numCache>
            </c:numRef>
          </c:val>
          <c:extLst>
            <c:ext xmlns:c16="http://schemas.microsoft.com/office/drawing/2014/chart" uri="{C3380CC4-5D6E-409C-BE32-E72D297353CC}">
              <c16:uniqueId val="{00000000-40A3-45B6-97D8-9017D28DBEDB}"/>
            </c:ext>
          </c:extLst>
        </c:ser>
        <c:ser>
          <c:idx val="1"/>
          <c:order val="1"/>
          <c:tx>
            <c:strRef>
              <c:f>Tables!$X$3</c:f>
              <c:strCache>
                <c:ptCount val="1"/>
                <c:pt idx="0">
                  <c:v>Light Trucks</c:v>
                </c:pt>
              </c:strCache>
            </c:strRef>
          </c:tx>
          <c:spPr>
            <a:solidFill>
              <a:schemeClr val="accent2"/>
            </a:solidFill>
            <a:ln>
              <a:noFill/>
            </a:ln>
            <a:effectLst/>
          </c:spPr>
          <c:cat>
            <c:numRef>
              <c:f>Tables!$V$4:$V$29</c:f>
              <c:numCache>
                <c:formatCode>General</c:formatCode>
                <c:ptCount val="26"/>
                <c:pt idx="0">
                  <c:v>2025</c:v>
                </c:pt>
                <c:pt idx="1">
                  <c:v>2026</c:v>
                </c:pt>
                <c:pt idx="2">
                  <c:v>2027</c:v>
                </c:pt>
                <c:pt idx="3">
                  <c:v>2028</c:v>
                </c:pt>
                <c:pt idx="4">
                  <c:v>2029</c:v>
                </c:pt>
                <c:pt idx="5">
                  <c:v>2030</c:v>
                </c:pt>
                <c:pt idx="6">
                  <c:v>2031</c:v>
                </c:pt>
                <c:pt idx="7">
                  <c:v>2032</c:v>
                </c:pt>
                <c:pt idx="8">
                  <c:v>2033</c:v>
                </c:pt>
                <c:pt idx="9">
                  <c:v>2034</c:v>
                </c:pt>
                <c:pt idx="10">
                  <c:v>2035</c:v>
                </c:pt>
                <c:pt idx="11">
                  <c:v>2036</c:v>
                </c:pt>
                <c:pt idx="12">
                  <c:v>2037</c:v>
                </c:pt>
                <c:pt idx="13">
                  <c:v>2038</c:v>
                </c:pt>
                <c:pt idx="14">
                  <c:v>2039</c:v>
                </c:pt>
                <c:pt idx="15" formatCode="0">
                  <c:v>2040</c:v>
                </c:pt>
                <c:pt idx="16">
                  <c:v>2041</c:v>
                </c:pt>
                <c:pt idx="17">
                  <c:v>2042</c:v>
                </c:pt>
                <c:pt idx="18">
                  <c:v>2043</c:v>
                </c:pt>
                <c:pt idx="19">
                  <c:v>2044</c:v>
                </c:pt>
                <c:pt idx="20">
                  <c:v>2045</c:v>
                </c:pt>
                <c:pt idx="21">
                  <c:v>2046</c:v>
                </c:pt>
                <c:pt idx="22">
                  <c:v>2047</c:v>
                </c:pt>
                <c:pt idx="23">
                  <c:v>2048</c:v>
                </c:pt>
                <c:pt idx="24">
                  <c:v>2049</c:v>
                </c:pt>
                <c:pt idx="25">
                  <c:v>2050</c:v>
                </c:pt>
              </c:numCache>
            </c:numRef>
          </c:cat>
          <c:val>
            <c:numRef>
              <c:f>Tables!$X$4:$X$29</c:f>
              <c:numCache>
                <c:formatCode>0</c:formatCode>
                <c:ptCount val="26"/>
                <c:pt idx="0">
                  <c:v>35609724748.966461</c:v>
                </c:pt>
                <c:pt idx="1">
                  <c:v>35787432736.024773</c:v>
                </c:pt>
                <c:pt idx="2">
                  <c:v>35965140723.083076</c:v>
                </c:pt>
                <c:pt idx="3">
                  <c:v>36142848710.141388</c:v>
                </c:pt>
                <c:pt idx="4">
                  <c:v>36320556697.199692</c:v>
                </c:pt>
                <c:pt idx="5">
                  <c:v>36498264684.258003</c:v>
                </c:pt>
                <c:pt idx="6">
                  <c:v>36446900833.638069</c:v>
                </c:pt>
                <c:pt idx="7">
                  <c:v>36395536983.018127</c:v>
                </c:pt>
                <c:pt idx="8">
                  <c:v>36344173132.398193</c:v>
                </c:pt>
                <c:pt idx="9">
                  <c:v>36292809281.778252</c:v>
                </c:pt>
                <c:pt idx="10">
                  <c:v>36241445431.158318</c:v>
                </c:pt>
                <c:pt idx="11">
                  <c:v>36202657917.941116</c:v>
                </c:pt>
                <c:pt idx="12">
                  <c:v>36163870404.723915</c:v>
                </c:pt>
                <c:pt idx="13">
                  <c:v>36125082891.506706</c:v>
                </c:pt>
                <c:pt idx="14">
                  <c:v>36086295378.289505</c:v>
                </c:pt>
                <c:pt idx="15">
                  <c:v>36047507865.072304</c:v>
                </c:pt>
                <c:pt idx="16">
                  <c:v>36016592932.167709</c:v>
                </c:pt>
                <c:pt idx="17">
                  <c:v>35985677999.263123</c:v>
                </c:pt>
                <c:pt idx="18">
                  <c:v>35954763066.358528</c:v>
                </c:pt>
                <c:pt idx="19">
                  <c:v>35923848133.453941</c:v>
                </c:pt>
                <c:pt idx="20">
                  <c:v>35892933200.549347</c:v>
                </c:pt>
                <c:pt idx="21">
                  <c:v>35862018267.644753</c:v>
                </c:pt>
                <c:pt idx="22">
                  <c:v>35831103334.740166</c:v>
                </c:pt>
                <c:pt idx="23">
                  <c:v>35800188401.835571</c:v>
                </c:pt>
                <c:pt idx="24">
                  <c:v>35769273468.930984</c:v>
                </c:pt>
                <c:pt idx="25">
                  <c:v>35738358536.02639</c:v>
                </c:pt>
              </c:numCache>
            </c:numRef>
          </c:val>
          <c:extLst>
            <c:ext xmlns:c16="http://schemas.microsoft.com/office/drawing/2014/chart" uri="{C3380CC4-5D6E-409C-BE32-E72D297353CC}">
              <c16:uniqueId val="{00000001-40A3-45B6-97D8-9017D28DBEDB}"/>
            </c:ext>
          </c:extLst>
        </c:ser>
        <c:ser>
          <c:idx val="2"/>
          <c:order val="2"/>
          <c:tx>
            <c:strRef>
              <c:f>Tables!$Y$3</c:f>
              <c:strCache>
                <c:ptCount val="1"/>
                <c:pt idx="0">
                  <c:v>Class 2b-3</c:v>
                </c:pt>
              </c:strCache>
            </c:strRef>
          </c:tx>
          <c:spPr>
            <a:solidFill>
              <a:schemeClr val="accent3"/>
            </a:solidFill>
            <a:ln>
              <a:noFill/>
            </a:ln>
            <a:effectLst/>
          </c:spPr>
          <c:cat>
            <c:numRef>
              <c:f>Tables!$V$4:$V$29</c:f>
              <c:numCache>
                <c:formatCode>General</c:formatCode>
                <c:ptCount val="26"/>
                <c:pt idx="0">
                  <c:v>2025</c:v>
                </c:pt>
                <c:pt idx="1">
                  <c:v>2026</c:v>
                </c:pt>
                <c:pt idx="2">
                  <c:v>2027</c:v>
                </c:pt>
                <c:pt idx="3">
                  <c:v>2028</c:v>
                </c:pt>
                <c:pt idx="4">
                  <c:v>2029</c:v>
                </c:pt>
                <c:pt idx="5">
                  <c:v>2030</c:v>
                </c:pt>
                <c:pt idx="6">
                  <c:v>2031</c:v>
                </c:pt>
                <c:pt idx="7">
                  <c:v>2032</c:v>
                </c:pt>
                <c:pt idx="8">
                  <c:v>2033</c:v>
                </c:pt>
                <c:pt idx="9">
                  <c:v>2034</c:v>
                </c:pt>
                <c:pt idx="10">
                  <c:v>2035</c:v>
                </c:pt>
                <c:pt idx="11">
                  <c:v>2036</c:v>
                </c:pt>
                <c:pt idx="12">
                  <c:v>2037</c:v>
                </c:pt>
                <c:pt idx="13">
                  <c:v>2038</c:v>
                </c:pt>
                <c:pt idx="14">
                  <c:v>2039</c:v>
                </c:pt>
                <c:pt idx="15" formatCode="0">
                  <c:v>2040</c:v>
                </c:pt>
                <c:pt idx="16">
                  <c:v>2041</c:v>
                </c:pt>
                <c:pt idx="17">
                  <c:v>2042</c:v>
                </c:pt>
                <c:pt idx="18">
                  <c:v>2043</c:v>
                </c:pt>
                <c:pt idx="19">
                  <c:v>2044</c:v>
                </c:pt>
                <c:pt idx="20">
                  <c:v>2045</c:v>
                </c:pt>
                <c:pt idx="21">
                  <c:v>2046</c:v>
                </c:pt>
                <c:pt idx="22">
                  <c:v>2047</c:v>
                </c:pt>
                <c:pt idx="23">
                  <c:v>2048</c:v>
                </c:pt>
                <c:pt idx="24">
                  <c:v>2049</c:v>
                </c:pt>
                <c:pt idx="25">
                  <c:v>2050</c:v>
                </c:pt>
              </c:numCache>
            </c:numRef>
          </c:cat>
          <c:val>
            <c:numRef>
              <c:f>Tables!$Y$4:$Y$29</c:f>
              <c:numCache>
                <c:formatCode>0</c:formatCode>
                <c:ptCount val="26"/>
                <c:pt idx="0">
                  <c:v>2974451108.3076925</c:v>
                </c:pt>
                <c:pt idx="1">
                  <c:v>3005044821.8461542</c:v>
                </c:pt>
                <c:pt idx="2">
                  <c:v>3035638535.3846154</c:v>
                </c:pt>
                <c:pt idx="3">
                  <c:v>3066232248.9230771</c:v>
                </c:pt>
                <c:pt idx="4">
                  <c:v>3096825962.4615383</c:v>
                </c:pt>
                <c:pt idx="5">
                  <c:v>3127419676</c:v>
                </c:pt>
                <c:pt idx="6">
                  <c:v>3156830036.6554098</c:v>
                </c:pt>
                <c:pt idx="7">
                  <c:v>3186240397.3108201</c:v>
                </c:pt>
                <c:pt idx="8">
                  <c:v>3215650757.9662299</c:v>
                </c:pt>
                <c:pt idx="9">
                  <c:v>3245061118.6216402</c:v>
                </c:pt>
                <c:pt idx="10">
                  <c:v>3274471479.27705</c:v>
                </c:pt>
                <c:pt idx="11">
                  <c:v>3304087915.4216399</c:v>
                </c:pt>
                <c:pt idx="12">
                  <c:v>3333704351.5662298</c:v>
                </c:pt>
                <c:pt idx="13">
                  <c:v>3363320787.7108202</c:v>
                </c:pt>
                <c:pt idx="14">
                  <c:v>3392937223.8554101</c:v>
                </c:pt>
                <c:pt idx="15">
                  <c:v>3422553660</c:v>
                </c:pt>
                <c:pt idx="16">
                  <c:v>3458278868.1104956</c:v>
                </c:pt>
                <c:pt idx="17">
                  <c:v>3494004076.2209911</c:v>
                </c:pt>
                <c:pt idx="18">
                  <c:v>3529729284.3314872</c:v>
                </c:pt>
                <c:pt idx="19">
                  <c:v>3565454492.4419827</c:v>
                </c:pt>
                <c:pt idx="20">
                  <c:v>3601179700.5524783</c:v>
                </c:pt>
                <c:pt idx="21">
                  <c:v>3636904908.6629739</c:v>
                </c:pt>
                <c:pt idx="22">
                  <c:v>3672630116.7734694</c:v>
                </c:pt>
                <c:pt idx="23">
                  <c:v>3708355324.883965</c:v>
                </c:pt>
                <c:pt idx="24">
                  <c:v>3744080532.9944606</c:v>
                </c:pt>
                <c:pt idx="25">
                  <c:v>3779805741.1049562</c:v>
                </c:pt>
              </c:numCache>
            </c:numRef>
          </c:val>
          <c:extLst>
            <c:ext xmlns:c16="http://schemas.microsoft.com/office/drawing/2014/chart" uri="{C3380CC4-5D6E-409C-BE32-E72D297353CC}">
              <c16:uniqueId val="{00000002-40A3-45B6-97D8-9017D28DBEDB}"/>
            </c:ext>
          </c:extLst>
        </c:ser>
        <c:dLbls>
          <c:showLegendKey val="0"/>
          <c:showVal val="0"/>
          <c:showCatName val="0"/>
          <c:showSerName val="0"/>
          <c:showPercent val="0"/>
          <c:showBubbleSize val="0"/>
        </c:dLbls>
        <c:axId val="1140208223"/>
        <c:axId val="1140209055"/>
        <c:extLst>
          <c:ext xmlns:c15="http://schemas.microsoft.com/office/drawing/2012/chart" uri="{02D57815-91ED-43cb-92C2-25804820EDAC}">
            <c15:filteredAreaSeries>
              <c15:ser>
                <c:idx val="3"/>
                <c:order val="3"/>
                <c:tx>
                  <c:strRef>
                    <c:extLst>
                      <c:ext uri="{02D57815-91ED-43cb-92C2-25804820EDAC}">
                        <c15:formulaRef>
                          <c15:sqref>Tables!$Z$3</c15:sqref>
                        </c15:formulaRef>
                      </c:ext>
                    </c:extLst>
                    <c:strCache>
                      <c:ptCount val="1"/>
                      <c:pt idx="0">
                        <c:v>Total</c:v>
                      </c:pt>
                    </c:strCache>
                  </c:strRef>
                </c:tx>
                <c:spPr>
                  <a:solidFill>
                    <a:schemeClr val="accent4"/>
                  </a:solidFill>
                  <a:ln>
                    <a:noFill/>
                  </a:ln>
                  <a:effectLst/>
                </c:spPr>
                <c:cat>
                  <c:numRef>
                    <c:extLst>
                      <c:ext uri="{02D57815-91ED-43cb-92C2-25804820EDAC}">
                        <c15:formulaRef>
                          <c15:sqref>Tables!$V$4:$V$29</c15:sqref>
                        </c15:formulaRef>
                      </c:ext>
                    </c:extLst>
                    <c:numCache>
                      <c:formatCode>General</c:formatCode>
                      <c:ptCount val="26"/>
                      <c:pt idx="0">
                        <c:v>2025</c:v>
                      </c:pt>
                      <c:pt idx="1">
                        <c:v>2026</c:v>
                      </c:pt>
                      <c:pt idx="2">
                        <c:v>2027</c:v>
                      </c:pt>
                      <c:pt idx="3">
                        <c:v>2028</c:v>
                      </c:pt>
                      <c:pt idx="4">
                        <c:v>2029</c:v>
                      </c:pt>
                      <c:pt idx="5">
                        <c:v>2030</c:v>
                      </c:pt>
                      <c:pt idx="6">
                        <c:v>2031</c:v>
                      </c:pt>
                      <c:pt idx="7">
                        <c:v>2032</c:v>
                      </c:pt>
                      <c:pt idx="8">
                        <c:v>2033</c:v>
                      </c:pt>
                      <c:pt idx="9">
                        <c:v>2034</c:v>
                      </c:pt>
                      <c:pt idx="10">
                        <c:v>2035</c:v>
                      </c:pt>
                      <c:pt idx="11">
                        <c:v>2036</c:v>
                      </c:pt>
                      <c:pt idx="12">
                        <c:v>2037</c:v>
                      </c:pt>
                      <c:pt idx="13">
                        <c:v>2038</c:v>
                      </c:pt>
                      <c:pt idx="14">
                        <c:v>2039</c:v>
                      </c:pt>
                      <c:pt idx="15" formatCode="0">
                        <c:v>2040</c:v>
                      </c:pt>
                      <c:pt idx="16">
                        <c:v>2041</c:v>
                      </c:pt>
                      <c:pt idx="17">
                        <c:v>2042</c:v>
                      </c:pt>
                      <c:pt idx="18">
                        <c:v>2043</c:v>
                      </c:pt>
                      <c:pt idx="19">
                        <c:v>2044</c:v>
                      </c:pt>
                      <c:pt idx="20">
                        <c:v>2045</c:v>
                      </c:pt>
                      <c:pt idx="21">
                        <c:v>2046</c:v>
                      </c:pt>
                      <c:pt idx="22">
                        <c:v>2047</c:v>
                      </c:pt>
                      <c:pt idx="23">
                        <c:v>2048</c:v>
                      </c:pt>
                      <c:pt idx="24">
                        <c:v>2049</c:v>
                      </c:pt>
                      <c:pt idx="25">
                        <c:v>2050</c:v>
                      </c:pt>
                    </c:numCache>
                  </c:numRef>
                </c:cat>
                <c:val>
                  <c:numRef>
                    <c:extLst>
                      <c:ext uri="{02D57815-91ED-43cb-92C2-25804820EDAC}">
                        <c15:formulaRef>
                          <c15:sqref>Tables!$Z$4:$Z$29</c15:sqref>
                        </c15:formulaRef>
                      </c:ext>
                    </c:extLst>
                    <c:numCache>
                      <c:formatCode>0</c:formatCode>
                      <c:ptCount val="26"/>
                      <c:pt idx="0">
                        <c:v>76596895999.799545</c:v>
                      </c:pt>
                      <c:pt idx="1">
                        <c:v>77066700665.273239</c:v>
                      </c:pt>
                      <c:pt idx="2">
                        <c:v>77536505330.746918</c:v>
                      </c:pt>
                      <c:pt idx="3">
                        <c:v>78006309996.220627</c:v>
                      </c:pt>
                      <c:pt idx="4">
                        <c:v>78476114661.69429</c:v>
                      </c:pt>
                      <c:pt idx="5">
                        <c:v>78945919327.167999</c:v>
                      </c:pt>
                      <c:pt idx="6">
                        <c:v>79319833808.604416</c:v>
                      </c:pt>
                      <c:pt idx="7">
                        <c:v>79693748290.040817</c:v>
                      </c:pt>
                      <c:pt idx="8">
                        <c:v>80067662771.477219</c:v>
                      </c:pt>
                      <c:pt idx="9">
                        <c:v>80441577252.913635</c:v>
                      </c:pt>
                      <c:pt idx="10">
                        <c:v>80815491734.350052</c:v>
                      </c:pt>
                      <c:pt idx="11">
                        <c:v>81374099411.014908</c:v>
                      </c:pt>
                      <c:pt idx="12">
                        <c:v>81932707087.679749</c:v>
                      </c:pt>
                      <c:pt idx="13">
                        <c:v>82491314764.344589</c:v>
                      </c:pt>
                      <c:pt idx="14">
                        <c:v>83049922441.009445</c:v>
                      </c:pt>
                      <c:pt idx="15">
                        <c:v>83608530117.674301</c:v>
                      </c:pt>
                      <c:pt idx="16">
                        <c:v>84194324770.322037</c:v>
                      </c:pt>
                      <c:pt idx="17">
                        <c:v>84780119422.969803</c:v>
                      </c:pt>
                      <c:pt idx="18">
                        <c:v>85365914075.617554</c:v>
                      </c:pt>
                      <c:pt idx="19">
                        <c:v>85951708728.26532</c:v>
                      </c:pt>
                      <c:pt idx="20">
                        <c:v>86634123507.407608</c:v>
                      </c:pt>
                      <c:pt idx="21">
                        <c:v>87123298033.560837</c:v>
                      </c:pt>
                      <c:pt idx="22">
                        <c:v>87709092686.208588</c:v>
                      </c:pt>
                      <c:pt idx="23">
                        <c:v>88294887338.856354</c:v>
                      </c:pt>
                      <c:pt idx="24">
                        <c:v>88880681991.504105</c:v>
                      </c:pt>
                      <c:pt idx="25">
                        <c:v>89659716897.140915</c:v>
                      </c:pt>
                    </c:numCache>
                  </c:numRef>
                </c:val>
                <c:extLst>
                  <c:ext xmlns:c16="http://schemas.microsoft.com/office/drawing/2014/chart" uri="{C3380CC4-5D6E-409C-BE32-E72D297353CC}">
                    <c16:uniqueId val="{00000003-40A3-45B6-97D8-9017D28DBEDB}"/>
                  </c:ext>
                </c:extLst>
              </c15:ser>
            </c15:filteredAreaSeries>
          </c:ext>
        </c:extLst>
      </c:areaChart>
      <c:catAx>
        <c:axId val="1140208223"/>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40209055"/>
        <c:crosses val="autoZero"/>
        <c:auto val="1"/>
        <c:lblAlgn val="ctr"/>
        <c:lblOffset val="100"/>
        <c:tickLblSkip val="5"/>
        <c:noMultiLvlLbl val="0"/>
      </c:catAx>
      <c:valAx>
        <c:axId val="1140209055"/>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40208223"/>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a:t> Light-Duty Zero Emission Vehicle Population, 2025-2050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Tables!$AI$3</c:f>
              <c:strCache>
                <c:ptCount val="1"/>
                <c:pt idx="0">
                  <c:v>BAU</c:v>
                </c:pt>
              </c:strCache>
            </c:strRef>
          </c:tx>
          <c:spPr>
            <a:ln w="28575" cap="rnd">
              <a:solidFill>
                <a:schemeClr val="bg1">
                  <a:lumMod val="50000"/>
                </a:schemeClr>
              </a:solidFill>
              <a:round/>
            </a:ln>
            <a:effectLst/>
          </c:spPr>
          <c:marker>
            <c:symbol val="none"/>
          </c:marker>
          <c:cat>
            <c:numRef>
              <c:f>Tables!$AH$4:$AH$29</c:f>
              <c:numCache>
                <c:formatCode>General</c:formatCode>
                <c:ptCount val="26"/>
                <c:pt idx="0">
                  <c:v>2025</c:v>
                </c:pt>
                <c:pt idx="1">
                  <c:v>2026</c:v>
                </c:pt>
                <c:pt idx="2">
                  <c:v>2027</c:v>
                </c:pt>
                <c:pt idx="3">
                  <c:v>2028</c:v>
                </c:pt>
                <c:pt idx="4">
                  <c:v>2029</c:v>
                </c:pt>
                <c:pt idx="5">
                  <c:v>2030</c:v>
                </c:pt>
                <c:pt idx="6">
                  <c:v>2031</c:v>
                </c:pt>
                <c:pt idx="7">
                  <c:v>2032</c:v>
                </c:pt>
                <c:pt idx="8">
                  <c:v>2033</c:v>
                </c:pt>
                <c:pt idx="9">
                  <c:v>2034</c:v>
                </c:pt>
                <c:pt idx="10">
                  <c:v>2035</c:v>
                </c:pt>
                <c:pt idx="11">
                  <c:v>2036</c:v>
                </c:pt>
                <c:pt idx="12">
                  <c:v>2037</c:v>
                </c:pt>
                <c:pt idx="13">
                  <c:v>2038</c:v>
                </c:pt>
                <c:pt idx="14">
                  <c:v>2039</c:v>
                </c:pt>
                <c:pt idx="15">
                  <c:v>2040</c:v>
                </c:pt>
                <c:pt idx="16">
                  <c:v>2041</c:v>
                </c:pt>
                <c:pt idx="17">
                  <c:v>2042</c:v>
                </c:pt>
                <c:pt idx="18">
                  <c:v>2043</c:v>
                </c:pt>
                <c:pt idx="19">
                  <c:v>2044</c:v>
                </c:pt>
                <c:pt idx="20">
                  <c:v>2045</c:v>
                </c:pt>
                <c:pt idx="21">
                  <c:v>2046</c:v>
                </c:pt>
                <c:pt idx="22">
                  <c:v>2047</c:v>
                </c:pt>
                <c:pt idx="23">
                  <c:v>2048</c:v>
                </c:pt>
                <c:pt idx="24">
                  <c:v>2049</c:v>
                </c:pt>
                <c:pt idx="25">
                  <c:v>2050</c:v>
                </c:pt>
              </c:numCache>
            </c:numRef>
          </c:cat>
          <c:val>
            <c:numRef>
              <c:f>Tables!$AI$4:$AI$29</c:f>
              <c:numCache>
                <c:formatCode>_(* #,##0_);_(* \(#,##0\);_(* "-"??_);_(@_)</c:formatCode>
                <c:ptCount val="26"/>
                <c:pt idx="0">
                  <c:v>198663.10981509608</c:v>
                </c:pt>
                <c:pt idx="1">
                  <c:v>260348.75746608747</c:v>
                </c:pt>
                <c:pt idx="2">
                  <c:v>322073.85818255343</c:v>
                </c:pt>
                <c:pt idx="3">
                  <c:v>383838.08192091598</c:v>
                </c:pt>
                <c:pt idx="4">
                  <c:v>445641.09863759723</c:v>
                </c:pt>
                <c:pt idx="5">
                  <c:v>507482.57828901923</c:v>
                </c:pt>
                <c:pt idx="6">
                  <c:v>569663.34996473952</c:v>
                </c:pt>
                <c:pt idx="7">
                  <c:v>632183.50571897486</c:v>
                </c:pt>
                <c:pt idx="8">
                  <c:v>695043.1376059422</c:v>
                </c:pt>
                <c:pt idx="9">
                  <c:v>758242.33767985832</c:v>
                </c:pt>
                <c:pt idx="10">
                  <c:v>821781.19799493998</c:v>
                </c:pt>
                <c:pt idx="11">
                  <c:v>885407.40619898087</c:v>
                </c:pt>
                <c:pt idx="12">
                  <c:v>949120.96229198098</c:v>
                </c:pt>
                <c:pt idx="13">
                  <c:v>1012921.8662739403</c:v>
                </c:pt>
                <c:pt idx="14">
                  <c:v>1076810.1181448589</c:v>
                </c:pt>
                <c:pt idx="15">
                  <c:v>1115668.537642689</c:v>
                </c:pt>
                <c:pt idx="16">
                  <c:v>1120391.7785042396</c:v>
                </c:pt>
                <c:pt idx="17">
                  <c:v>1122523.0610607832</c:v>
                </c:pt>
                <c:pt idx="18">
                  <c:v>1124653.8877266953</c:v>
                </c:pt>
                <c:pt idx="19">
                  <c:v>1126784.2585019763</c:v>
                </c:pt>
                <c:pt idx="20">
                  <c:v>1128914.1733866264</c:v>
                </c:pt>
                <c:pt idx="21">
                  <c:v>1131070.9275380312</c:v>
                </c:pt>
                <c:pt idx="22">
                  <c:v>1133227.2403158585</c:v>
                </c:pt>
                <c:pt idx="23">
                  <c:v>1135383.1117201087</c:v>
                </c:pt>
                <c:pt idx="24">
                  <c:v>1137538.541750781</c:v>
                </c:pt>
                <c:pt idx="25">
                  <c:v>1139693.530407876</c:v>
                </c:pt>
              </c:numCache>
            </c:numRef>
          </c:val>
          <c:smooth val="1"/>
          <c:extLst>
            <c:ext xmlns:c16="http://schemas.microsoft.com/office/drawing/2014/chart" uri="{C3380CC4-5D6E-409C-BE32-E72D297353CC}">
              <c16:uniqueId val="{00000000-C0BD-4D74-AA6E-8CDBAEAF3B2B}"/>
            </c:ext>
          </c:extLst>
        </c:ser>
        <c:ser>
          <c:idx val="2"/>
          <c:order val="2"/>
          <c:tx>
            <c:strRef>
              <c:f>Tables!$AK$3</c:f>
              <c:strCache>
                <c:ptCount val="1"/>
                <c:pt idx="0">
                  <c:v>ACC II: 2027</c:v>
                </c:pt>
              </c:strCache>
            </c:strRef>
          </c:tx>
          <c:spPr>
            <a:ln w="28575" cap="rnd">
              <a:solidFill>
                <a:schemeClr val="accent6">
                  <a:lumMod val="75000"/>
                </a:schemeClr>
              </a:solidFill>
              <a:round/>
            </a:ln>
            <a:effectLst/>
          </c:spPr>
          <c:marker>
            <c:symbol val="none"/>
          </c:marker>
          <c:cat>
            <c:numRef>
              <c:f>Tables!$AH$4:$AH$29</c:f>
              <c:numCache>
                <c:formatCode>General</c:formatCode>
                <c:ptCount val="26"/>
                <c:pt idx="0">
                  <c:v>2025</c:v>
                </c:pt>
                <c:pt idx="1">
                  <c:v>2026</c:v>
                </c:pt>
                <c:pt idx="2">
                  <c:v>2027</c:v>
                </c:pt>
                <c:pt idx="3">
                  <c:v>2028</c:v>
                </c:pt>
                <c:pt idx="4">
                  <c:v>2029</c:v>
                </c:pt>
                <c:pt idx="5">
                  <c:v>2030</c:v>
                </c:pt>
                <c:pt idx="6">
                  <c:v>2031</c:v>
                </c:pt>
                <c:pt idx="7">
                  <c:v>2032</c:v>
                </c:pt>
                <c:pt idx="8">
                  <c:v>2033</c:v>
                </c:pt>
                <c:pt idx="9">
                  <c:v>2034</c:v>
                </c:pt>
                <c:pt idx="10">
                  <c:v>2035</c:v>
                </c:pt>
                <c:pt idx="11">
                  <c:v>2036</c:v>
                </c:pt>
                <c:pt idx="12">
                  <c:v>2037</c:v>
                </c:pt>
                <c:pt idx="13">
                  <c:v>2038</c:v>
                </c:pt>
                <c:pt idx="14">
                  <c:v>2039</c:v>
                </c:pt>
                <c:pt idx="15">
                  <c:v>2040</c:v>
                </c:pt>
                <c:pt idx="16">
                  <c:v>2041</c:v>
                </c:pt>
                <c:pt idx="17">
                  <c:v>2042</c:v>
                </c:pt>
                <c:pt idx="18">
                  <c:v>2043</c:v>
                </c:pt>
                <c:pt idx="19">
                  <c:v>2044</c:v>
                </c:pt>
                <c:pt idx="20">
                  <c:v>2045</c:v>
                </c:pt>
                <c:pt idx="21">
                  <c:v>2046</c:v>
                </c:pt>
                <c:pt idx="22">
                  <c:v>2047</c:v>
                </c:pt>
                <c:pt idx="23">
                  <c:v>2048</c:v>
                </c:pt>
                <c:pt idx="24">
                  <c:v>2049</c:v>
                </c:pt>
                <c:pt idx="25">
                  <c:v>2050</c:v>
                </c:pt>
              </c:numCache>
            </c:numRef>
          </c:cat>
          <c:val>
            <c:numRef>
              <c:f>Tables!$AK$4:$AK$29</c:f>
              <c:numCache>
                <c:formatCode>_(* #,##0_);_(* \(#,##0\);_(* "-"??_);_(@_)</c:formatCode>
                <c:ptCount val="26"/>
                <c:pt idx="0">
                  <c:v>198663.10981509608</c:v>
                </c:pt>
                <c:pt idx="1">
                  <c:v>260348.75746608747</c:v>
                </c:pt>
                <c:pt idx="2">
                  <c:v>383798.95889901934</c:v>
                </c:pt>
                <c:pt idx="3">
                  <c:v>530309.44311560027</c:v>
                </c:pt>
                <c:pt idx="4">
                  <c:v>699908.41922184173</c:v>
                </c:pt>
                <c:pt idx="5">
                  <c:v>895500.07579378108</c:v>
                </c:pt>
                <c:pt idx="6">
                  <c:v>1115301.8733451643</c:v>
                </c:pt>
                <c:pt idx="7">
                  <c:v>1353750.839477597</c:v>
                </c:pt>
                <c:pt idx="8">
                  <c:v>1611036.7746428587</c:v>
                </c:pt>
                <c:pt idx="9">
                  <c:v>1887349.5563613756</c:v>
                </c:pt>
                <c:pt idx="10">
                  <c:v>2182879.1392222205</c:v>
                </c:pt>
                <c:pt idx="11">
                  <c:v>2478814.9913340388</c:v>
                </c:pt>
                <c:pt idx="12">
                  <c:v>2775157.1126968302</c:v>
                </c:pt>
                <c:pt idx="13">
                  <c:v>3071905.5033105947</c:v>
                </c:pt>
                <c:pt idx="14">
                  <c:v>3369060.1631753319</c:v>
                </c:pt>
                <c:pt idx="15">
                  <c:v>3666621.0922910422</c:v>
                </c:pt>
                <c:pt idx="16">
                  <c:v>3964158.2865391588</c:v>
                </c:pt>
                <c:pt idx="17">
                  <c:v>4262261.4755082205</c:v>
                </c:pt>
                <c:pt idx="18">
                  <c:v>4560930.5381294889</c:v>
                </c:pt>
                <c:pt idx="19">
                  <c:v>4860165.3533342257</c:v>
                </c:pt>
                <c:pt idx="20">
                  <c:v>5159965.8000536924</c:v>
                </c:pt>
                <c:pt idx="21">
                  <c:v>5460339.0058661867</c:v>
                </c:pt>
                <c:pt idx="22">
                  <c:v>5761284.8535581967</c:v>
                </c:pt>
                <c:pt idx="23">
                  <c:v>6062803.2259162096</c:v>
                </c:pt>
                <c:pt idx="24">
                  <c:v>6364894.0057267118</c:v>
                </c:pt>
                <c:pt idx="25">
                  <c:v>6667557.0757761914</c:v>
                </c:pt>
              </c:numCache>
            </c:numRef>
          </c:val>
          <c:smooth val="1"/>
          <c:extLst>
            <c:ext xmlns:c16="http://schemas.microsoft.com/office/drawing/2014/chart" uri="{C3380CC4-5D6E-409C-BE32-E72D297353CC}">
              <c16:uniqueId val="{00000002-C0BD-4D74-AA6E-8CDBAEAF3B2B}"/>
            </c:ext>
          </c:extLst>
        </c:ser>
        <c:dLbls>
          <c:showLegendKey val="0"/>
          <c:showVal val="0"/>
          <c:showCatName val="0"/>
          <c:showSerName val="0"/>
          <c:showPercent val="0"/>
          <c:showBubbleSize val="0"/>
        </c:dLbls>
        <c:smooth val="0"/>
        <c:axId val="1330441935"/>
        <c:axId val="1330435695"/>
        <c:extLst>
          <c:ext xmlns:c15="http://schemas.microsoft.com/office/drawing/2012/chart" uri="{02D57815-91ED-43cb-92C2-25804820EDAC}">
            <c15:filteredLineSeries>
              <c15:ser>
                <c:idx val="1"/>
                <c:order val="1"/>
                <c:tx>
                  <c:strRef>
                    <c:extLst>
                      <c:ext uri="{02D57815-91ED-43cb-92C2-25804820EDAC}">
                        <c15:formulaRef>
                          <c15:sqref>Tables!$AJ$3</c15:sqref>
                        </c15:formulaRef>
                      </c:ext>
                    </c:extLst>
                    <c:strCache>
                      <c:ptCount val="1"/>
                      <c:pt idx="0">
                        <c:v>ACC II: 2026</c:v>
                      </c:pt>
                    </c:strCache>
                  </c:strRef>
                </c:tx>
                <c:spPr>
                  <a:ln w="28575" cap="rnd">
                    <a:solidFill>
                      <a:schemeClr val="accent2"/>
                    </a:solidFill>
                    <a:round/>
                  </a:ln>
                  <a:effectLst/>
                </c:spPr>
                <c:marker>
                  <c:symbol val="none"/>
                </c:marker>
                <c:cat>
                  <c:numRef>
                    <c:extLst>
                      <c:ext uri="{02D57815-91ED-43cb-92C2-25804820EDAC}">
                        <c15:formulaRef>
                          <c15:sqref>Tables!$AH$4:$AH$29</c15:sqref>
                        </c15:formulaRef>
                      </c:ext>
                    </c:extLst>
                    <c:numCache>
                      <c:formatCode>General</c:formatCode>
                      <c:ptCount val="26"/>
                      <c:pt idx="0">
                        <c:v>2025</c:v>
                      </c:pt>
                      <c:pt idx="1">
                        <c:v>2026</c:v>
                      </c:pt>
                      <c:pt idx="2">
                        <c:v>2027</c:v>
                      </c:pt>
                      <c:pt idx="3">
                        <c:v>2028</c:v>
                      </c:pt>
                      <c:pt idx="4">
                        <c:v>2029</c:v>
                      </c:pt>
                      <c:pt idx="5">
                        <c:v>2030</c:v>
                      </c:pt>
                      <c:pt idx="6">
                        <c:v>2031</c:v>
                      </c:pt>
                      <c:pt idx="7">
                        <c:v>2032</c:v>
                      </c:pt>
                      <c:pt idx="8">
                        <c:v>2033</c:v>
                      </c:pt>
                      <c:pt idx="9">
                        <c:v>2034</c:v>
                      </c:pt>
                      <c:pt idx="10">
                        <c:v>2035</c:v>
                      </c:pt>
                      <c:pt idx="11">
                        <c:v>2036</c:v>
                      </c:pt>
                      <c:pt idx="12">
                        <c:v>2037</c:v>
                      </c:pt>
                      <c:pt idx="13">
                        <c:v>2038</c:v>
                      </c:pt>
                      <c:pt idx="14">
                        <c:v>2039</c:v>
                      </c:pt>
                      <c:pt idx="15">
                        <c:v>2040</c:v>
                      </c:pt>
                      <c:pt idx="16">
                        <c:v>2041</c:v>
                      </c:pt>
                      <c:pt idx="17">
                        <c:v>2042</c:v>
                      </c:pt>
                      <c:pt idx="18">
                        <c:v>2043</c:v>
                      </c:pt>
                      <c:pt idx="19">
                        <c:v>2044</c:v>
                      </c:pt>
                      <c:pt idx="20">
                        <c:v>2045</c:v>
                      </c:pt>
                      <c:pt idx="21">
                        <c:v>2046</c:v>
                      </c:pt>
                      <c:pt idx="22">
                        <c:v>2047</c:v>
                      </c:pt>
                      <c:pt idx="23">
                        <c:v>2048</c:v>
                      </c:pt>
                      <c:pt idx="24">
                        <c:v>2049</c:v>
                      </c:pt>
                      <c:pt idx="25">
                        <c:v>2050</c:v>
                      </c:pt>
                    </c:numCache>
                  </c:numRef>
                </c:cat>
                <c:val>
                  <c:numRef>
                    <c:extLst>
                      <c:ext uri="{02D57815-91ED-43cb-92C2-25804820EDAC}">
                        <c15:formulaRef>
                          <c15:sqref>Tables!$AJ$4:$AJ$29</c15:sqref>
                        </c15:formulaRef>
                      </c:ext>
                    </c:extLst>
                    <c:numCache>
                      <c:formatCode>_(* #,##0_);_(* \(#,##0\);_(* "-"??_);_(@_)</c:formatCode>
                      <c:ptCount val="26"/>
                      <c:pt idx="0">
                        <c:v>198663.10981509608</c:v>
                      </c:pt>
                      <c:pt idx="1">
                        <c:v>299081.60599112854</c:v>
                      </c:pt>
                      <c:pt idx="2">
                        <c:v>422531.80742406042</c:v>
                      </c:pt>
                      <c:pt idx="3">
                        <c:v>569042.2916406414</c:v>
                      </c:pt>
                      <c:pt idx="4">
                        <c:v>738641.26774688298</c:v>
                      </c:pt>
                      <c:pt idx="5">
                        <c:v>934232.92431882233</c:v>
                      </c:pt>
                      <c:pt idx="6">
                        <c:v>1154034.7218702056</c:v>
                      </c:pt>
                      <c:pt idx="7">
                        <c:v>1392483.6880026383</c:v>
                      </c:pt>
                      <c:pt idx="8">
                        <c:v>1649769.6231678999</c:v>
                      </c:pt>
                      <c:pt idx="9">
                        <c:v>1926082.4048864169</c:v>
                      </c:pt>
                      <c:pt idx="10">
                        <c:v>2221611.9877472622</c:v>
                      </c:pt>
                      <c:pt idx="11">
                        <c:v>2517547.8398590805</c:v>
                      </c:pt>
                      <c:pt idx="12">
                        <c:v>2813889.9612218719</c:v>
                      </c:pt>
                      <c:pt idx="13">
                        <c:v>3110638.3518356364</c:v>
                      </c:pt>
                      <c:pt idx="14">
                        <c:v>3407793.0117003736</c:v>
                      </c:pt>
                      <c:pt idx="15">
                        <c:v>3705353.9408160839</c:v>
                      </c:pt>
                    </c:numCache>
                  </c:numRef>
                </c:val>
                <c:smooth val="1"/>
                <c:extLst>
                  <c:ext xmlns:c16="http://schemas.microsoft.com/office/drawing/2014/chart" uri="{C3380CC4-5D6E-409C-BE32-E72D297353CC}">
                    <c16:uniqueId val="{00000001-C0BD-4D74-AA6E-8CDBAEAF3B2B}"/>
                  </c:ext>
                </c:extLst>
              </c15:ser>
            </c15:filteredLineSeries>
          </c:ext>
        </c:extLst>
      </c:lineChart>
      <c:catAx>
        <c:axId val="1330441935"/>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30435695"/>
        <c:crosses val="autoZero"/>
        <c:auto val="1"/>
        <c:lblAlgn val="ctr"/>
        <c:lblOffset val="100"/>
        <c:tickLblSkip val="5"/>
        <c:noMultiLvlLbl val="0"/>
      </c:catAx>
      <c:valAx>
        <c:axId val="1330435695"/>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30441935"/>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a:t> Light-Duty Zero Emission Vehicle Miles</a:t>
            </a:r>
            <a:r>
              <a:rPr lang="en-US" b="1" baseline="0"/>
              <a:t> Traveled</a:t>
            </a:r>
            <a:r>
              <a:rPr lang="en-US" b="1"/>
              <a:t>, 2025-2050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21561922157628877"/>
          <c:y val="0.17200004299463642"/>
          <c:w val="0.75631059678090273"/>
          <c:h val="0.65100453718398632"/>
        </c:manualLayout>
      </c:layout>
      <c:lineChart>
        <c:grouping val="standard"/>
        <c:varyColors val="0"/>
        <c:ser>
          <c:idx val="0"/>
          <c:order val="0"/>
          <c:tx>
            <c:strRef>
              <c:f>Tables!$AO$3</c:f>
              <c:strCache>
                <c:ptCount val="1"/>
                <c:pt idx="0">
                  <c:v>BAU</c:v>
                </c:pt>
              </c:strCache>
            </c:strRef>
          </c:tx>
          <c:spPr>
            <a:ln w="28575" cap="rnd">
              <a:solidFill>
                <a:schemeClr val="bg1">
                  <a:lumMod val="50000"/>
                </a:schemeClr>
              </a:solidFill>
              <a:round/>
            </a:ln>
            <a:effectLst/>
          </c:spPr>
          <c:marker>
            <c:symbol val="none"/>
          </c:marker>
          <c:cat>
            <c:numRef>
              <c:f>Tables!$AN$4:$AN$29</c:f>
              <c:numCache>
                <c:formatCode>General</c:formatCode>
                <c:ptCount val="26"/>
                <c:pt idx="0">
                  <c:v>2025</c:v>
                </c:pt>
                <c:pt idx="1">
                  <c:v>2026</c:v>
                </c:pt>
                <c:pt idx="2">
                  <c:v>2027</c:v>
                </c:pt>
                <c:pt idx="3">
                  <c:v>2028</c:v>
                </c:pt>
                <c:pt idx="4">
                  <c:v>2029</c:v>
                </c:pt>
                <c:pt idx="5">
                  <c:v>2030</c:v>
                </c:pt>
                <c:pt idx="6">
                  <c:v>2031</c:v>
                </c:pt>
                <c:pt idx="7">
                  <c:v>2032</c:v>
                </c:pt>
                <c:pt idx="8">
                  <c:v>2033</c:v>
                </c:pt>
                <c:pt idx="9">
                  <c:v>2034</c:v>
                </c:pt>
                <c:pt idx="10">
                  <c:v>2035</c:v>
                </c:pt>
                <c:pt idx="11">
                  <c:v>2036</c:v>
                </c:pt>
                <c:pt idx="12">
                  <c:v>2037</c:v>
                </c:pt>
                <c:pt idx="13">
                  <c:v>2038</c:v>
                </c:pt>
                <c:pt idx="14">
                  <c:v>2039</c:v>
                </c:pt>
                <c:pt idx="15">
                  <c:v>2040</c:v>
                </c:pt>
                <c:pt idx="16">
                  <c:v>2041</c:v>
                </c:pt>
                <c:pt idx="17">
                  <c:v>2042</c:v>
                </c:pt>
                <c:pt idx="18">
                  <c:v>2043</c:v>
                </c:pt>
                <c:pt idx="19">
                  <c:v>2044</c:v>
                </c:pt>
                <c:pt idx="20">
                  <c:v>2045</c:v>
                </c:pt>
                <c:pt idx="21">
                  <c:v>2046</c:v>
                </c:pt>
                <c:pt idx="22">
                  <c:v>2047</c:v>
                </c:pt>
                <c:pt idx="23">
                  <c:v>2048</c:v>
                </c:pt>
                <c:pt idx="24">
                  <c:v>2049</c:v>
                </c:pt>
                <c:pt idx="25">
                  <c:v>2050</c:v>
                </c:pt>
              </c:numCache>
            </c:numRef>
          </c:cat>
          <c:val>
            <c:numRef>
              <c:f>Tables!$AO$4:$AO$29</c:f>
              <c:numCache>
                <c:formatCode>_(* #,##0_);_(* \(#,##0\);_(* "-"??_);_(@_)</c:formatCode>
                <c:ptCount val="26"/>
                <c:pt idx="0">
                  <c:v>2324945381.5771575</c:v>
                </c:pt>
                <c:pt idx="1">
                  <c:v>3059442212.980649</c:v>
                </c:pt>
                <c:pt idx="2">
                  <c:v>3800315533.6144276</c:v>
                </c:pt>
                <c:pt idx="3">
                  <c:v>4547521704.4861488</c:v>
                </c:pt>
                <c:pt idx="4">
                  <c:v>5301032242.9754705</c:v>
                </c:pt>
                <c:pt idx="5">
                  <c:v>6060817055.2882624</c:v>
                </c:pt>
                <c:pt idx="6">
                  <c:v>6822548497.2106209</c:v>
                </c:pt>
                <c:pt idx="7">
                  <c:v>7592439245.6373882</c:v>
                </c:pt>
                <c:pt idx="8">
                  <c:v>8370507122.5350475</c:v>
                </c:pt>
                <c:pt idx="9">
                  <c:v>9156763599.8961353</c:v>
                </c:pt>
                <c:pt idx="10">
                  <c:v>9951220243.7741985</c:v>
                </c:pt>
                <c:pt idx="11">
                  <c:v>10773233393.834255</c:v>
                </c:pt>
                <c:pt idx="12">
                  <c:v>11603509191.489056</c:v>
                </c:pt>
                <c:pt idx="13">
                  <c:v>12442002892.085007</c:v>
                </c:pt>
                <c:pt idx="14">
                  <c:v>13288704815.314911</c:v>
                </c:pt>
                <c:pt idx="15">
                  <c:v>13832125159.728401</c:v>
                </c:pt>
                <c:pt idx="16">
                  <c:v>13959975990.91073</c:v>
                </c:pt>
                <c:pt idx="17">
                  <c:v>14055677498.794857</c:v>
                </c:pt>
                <c:pt idx="18">
                  <c:v>14151359285.084091</c:v>
                </c:pt>
                <c:pt idx="19">
                  <c:v>14247021349.778448</c:v>
                </c:pt>
                <c:pt idx="20">
                  <c:v>14358677443.288248</c:v>
                </c:pt>
                <c:pt idx="21">
                  <c:v>14438347128.423464</c:v>
                </c:pt>
                <c:pt idx="22">
                  <c:v>14534011660.170065</c:v>
                </c:pt>
                <c:pt idx="23">
                  <c:v>14629657288.117737</c:v>
                </c:pt>
                <c:pt idx="24">
                  <c:v>14725284012.266468</c:v>
                </c:pt>
                <c:pt idx="25">
                  <c:v>14852903743.610025</c:v>
                </c:pt>
              </c:numCache>
            </c:numRef>
          </c:val>
          <c:smooth val="1"/>
          <c:extLst>
            <c:ext xmlns:c16="http://schemas.microsoft.com/office/drawing/2014/chart" uri="{C3380CC4-5D6E-409C-BE32-E72D297353CC}">
              <c16:uniqueId val="{00000000-7561-47BD-97C9-557EBE5271A2}"/>
            </c:ext>
          </c:extLst>
        </c:ser>
        <c:ser>
          <c:idx val="2"/>
          <c:order val="2"/>
          <c:tx>
            <c:strRef>
              <c:f>Tables!$AQ$3</c:f>
              <c:strCache>
                <c:ptCount val="1"/>
                <c:pt idx="0">
                  <c:v>ACC II: 2027</c:v>
                </c:pt>
              </c:strCache>
            </c:strRef>
          </c:tx>
          <c:spPr>
            <a:ln w="28575" cap="rnd">
              <a:solidFill>
                <a:schemeClr val="accent6">
                  <a:lumMod val="75000"/>
                </a:schemeClr>
              </a:solidFill>
              <a:round/>
            </a:ln>
            <a:effectLst/>
          </c:spPr>
          <c:marker>
            <c:symbol val="none"/>
          </c:marker>
          <c:cat>
            <c:numRef>
              <c:f>Tables!$AN$4:$AN$29</c:f>
              <c:numCache>
                <c:formatCode>General</c:formatCode>
                <c:ptCount val="26"/>
                <c:pt idx="0">
                  <c:v>2025</c:v>
                </c:pt>
                <c:pt idx="1">
                  <c:v>2026</c:v>
                </c:pt>
                <c:pt idx="2">
                  <c:v>2027</c:v>
                </c:pt>
                <c:pt idx="3">
                  <c:v>2028</c:v>
                </c:pt>
                <c:pt idx="4">
                  <c:v>2029</c:v>
                </c:pt>
                <c:pt idx="5">
                  <c:v>2030</c:v>
                </c:pt>
                <c:pt idx="6">
                  <c:v>2031</c:v>
                </c:pt>
                <c:pt idx="7">
                  <c:v>2032</c:v>
                </c:pt>
                <c:pt idx="8">
                  <c:v>2033</c:v>
                </c:pt>
                <c:pt idx="9">
                  <c:v>2034</c:v>
                </c:pt>
                <c:pt idx="10">
                  <c:v>2035</c:v>
                </c:pt>
                <c:pt idx="11">
                  <c:v>2036</c:v>
                </c:pt>
                <c:pt idx="12">
                  <c:v>2037</c:v>
                </c:pt>
                <c:pt idx="13">
                  <c:v>2038</c:v>
                </c:pt>
                <c:pt idx="14">
                  <c:v>2039</c:v>
                </c:pt>
                <c:pt idx="15">
                  <c:v>2040</c:v>
                </c:pt>
                <c:pt idx="16">
                  <c:v>2041</c:v>
                </c:pt>
                <c:pt idx="17">
                  <c:v>2042</c:v>
                </c:pt>
                <c:pt idx="18">
                  <c:v>2043</c:v>
                </c:pt>
                <c:pt idx="19">
                  <c:v>2044</c:v>
                </c:pt>
                <c:pt idx="20">
                  <c:v>2045</c:v>
                </c:pt>
                <c:pt idx="21">
                  <c:v>2046</c:v>
                </c:pt>
                <c:pt idx="22">
                  <c:v>2047</c:v>
                </c:pt>
                <c:pt idx="23">
                  <c:v>2048</c:v>
                </c:pt>
                <c:pt idx="24">
                  <c:v>2049</c:v>
                </c:pt>
                <c:pt idx="25">
                  <c:v>2050</c:v>
                </c:pt>
              </c:numCache>
            </c:numRef>
          </c:cat>
          <c:val>
            <c:numRef>
              <c:f>Tables!$AQ$4:$AQ$29</c:f>
              <c:numCache>
                <c:formatCode>_(* #,##0_);_(* \(#,##0\);_(* "-"??_);_(@_)</c:formatCode>
                <c:ptCount val="26"/>
                <c:pt idx="0">
                  <c:v>2324945381.5771575</c:v>
                </c:pt>
                <c:pt idx="1">
                  <c:v>3059442212.980649</c:v>
                </c:pt>
                <c:pt idx="2">
                  <c:v>4528641826.1933861</c:v>
                </c:pt>
                <c:pt idx="3">
                  <c:v>6282841167.2790384</c:v>
                </c:pt>
                <c:pt idx="4">
                  <c:v>8325616979.1516523</c:v>
                </c:pt>
                <c:pt idx="5">
                  <c:v>10694873803.710865</c:v>
                </c:pt>
                <c:pt idx="6">
                  <c:v>13357364696.883217</c:v>
                </c:pt>
                <c:pt idx="7">
                  <c:v>16258366296.309664</c:v>
                </c:pt>
                <c:pt idx="8">
                  <c:v>19401953730.905594</c:v>
                </c:pt>
                <c:pt idx="9">
                  <c:v>22792203572.872368</c:v>
                </c:pt>
                <c:pt idx="10">
                  <c:v>26433205253.345684</c:v>
                </c:pt>
                <c:pt idx="11">
                  <c:v>30161089973.732788</c:v>
                </c:pt>
                <c:pt idx="12">
                  <c:v>33927773533.98885</c:v>
                </c:pt>
                <c:pt idx="13">
                  <c:v>37733075401.95372</c:v>
                </c:pt>
                <c:pt idx="14">
                  <c:v>41576918027.669281</c:v>
                </c:pt>
                <c:pt idx="15">
                  <c:v>45458987280.425362</c:v>
                </c:pt>
                <c:pt idx="16">
                  <c:v>49393038726.271828</c:v>
                </c:pt>
                <c:pt idx="17">
                  <c:v>53369926011.735687</c:v>
                </c:pt>
                <c:pt idx="18">
                  <c:v>57389537726.887901</c:v>
                </c:pt>
                <c:pt idx="19">
                  <c:v>61451763307.789223</c:v>
                </c:pt>
                <c:pt idx="20">
                  <c:v>65629687613.103935</c:v>
                </c:pt>
                <c:pt idx="21">
                  <c:v>69702322008.374496</c:v>
                </c:pt>
                <c:pt idx="22">
                  <c:v>73890371022.000076</c:v>
                </c:pt>
                <c:pt idx="23">
                  <c:v>78120532606.895126</c:v>
                </c:pt>
                <c:pt idx="24">
                  <c:v>82392700117.260773</c:v>
                </c:pt>
                <c:pt idx="25">
                  <c:v>86894047223.45639</c:v>
                </c:pt>
              </c:numCache>
            </c:numRef>
          </c:val>
          <c:smooth val="1"/>
          <c:extLst>
            <c:ext xmlns:c16="http://schemas.microsoft.com/office/drawing/2014/chart" uri="{C3380CC4-5D6E-409C-BE32-E72D297353CC}">
              <c16:uniqueId val="{00000002-7561-47BD-97C9-557EBE5271A2}"/>
            </c:ext>
          </c:extLst>
        </c:ser>
        <c:dLbls>
          <c:showLegendKey val="0"/>
          <c:showVal val="0"/>
          <c:showCatName val="0"/>
          <c:showSerName val="0"/>
          <c:showPercent val="0"/>
          <c:showBubbleSize val="0"/>
        </c:dLbls>
        <c:smooth val="0"/>
        <c:axId val="1330441935"/>
        <c:axId val="1330435695"/>
        <c:extLst>
          <c:ext xmlns:c15="http://schemas.microsoft.com/office/drawing/2012/chart" uri="{02D57815-91ED-43cb-92C2-25804820EDAC}">
            <c15:filteredLineSeries>
              <c15:ser>
                <c:idx val="1"/>
                <c:order val="1"/>
                <c:tx>
                  <c:strRef>
                    <c:extLst>
                      <c:ext uri="{02D57815-91ED-43cb-92C2-25804820EDAC}">
                        <c15:formulaRef>
                          <c15:sqref>Tables!$AP$3</c15:sqref>
                        </c15:formulaRef>
                      </c:ext>
                    </c:extLst>
                    <c:strCache>
                      <c:ptCount val="1"/>
                      <c:pt idx="0">
                        <c:v>ACC II: 2026</c:v>
                      </c:pt>
                    </c:strCache>
                  </c:strRef>
                </c:tx>
                <c:spPr>
                  <a:ln w="28575" cap="rnd">
                    <a:solidFill>
                      <a:schemeClr val="accent2"/>
                    </a:solidFill>
                    <a:round/>
                  </a:ln>
                  <a:effectLst/>
                </c:spPr>
                <c:marker>
                  <c:symbol val="none"/>
                </c:marker>
                <c:cat>
                  <c:numRef>
                    <c:extLst>
                      <c:ext uri="{02D57815-91ED-43cb-92C2-25804820EDAC}">
                        <c15:formulaRef>
                          <c15:sqref>Tables!$AN$4:$AN$29</c15:sqref>
                        </c15:formulaRef>
                      </c:ext>
                    </c:extLst>
                    <c:numCache>
                      <c:formatCode>General</c:formatCode>
                      <c:ptCount val="26"/>
                      <c:pt idx="0">
                        <c:v>2025</c:v>
                      </c:pt>
                      <c:pt idx="1">
                        <c:v>2026</c:v>
                      </c:pt>
                      <c:pt idx="2">
                        <c:v>2027</c:v>
                      </c:pt>
                      <c:pt idx="3">
                        <c:v>2028</c:v>
                      </c:pt>
                      <c:pt idx="4">
                        <c:v>2029</c:v>
                      </c:pt>
                      <c:pt idx="5">
                        <c:v>2030</c:v>
                      </c:pt>
                      <c:pt idx="6">
                        <c:v>2031</c:v>
                      </c:pt>
                      <c:pt idx="7">
                        <c:v>2032</c:v>
                      </c:pt>
                      <c:pt idx="8">
                        <c:v>2033</c:v>
                      </c:pt>
                      <c:pt idx="9">
                        <c:v>2034</c:v>
                      </c:pt>
                      <c:pt idx="10">
                        <c:v>2035</c:v>
                      </c:pt>
                      <c:pt idx="11">
                        <c:v>2036</c:v>
                      </c:pt>
                      <c:pt idx="12">
                        <c:v>2037</c:v>
                      </c:pt>
                      <c:pt idx="13">
                        <c:v>2038</c:v>
                      </c:pt>
                      <c:pt idx="14">
                        <c:v>2039</c:v>
                      </c:pt>
                      <c:pt idx="15">
                        <c:v>2040</c:v>
                      </c:pt>
                      <c:pt idx="16">
                        <c:v>2041</c:v>
                      </c:pt>
                      <c:pt idx="17">
                        <c:v>2042</c:v>
                      </c:pt>
                      <c:pt idx="18">
                        <c:v>2043</c:v>
                      </c:pt>
                      <c:pt idx="19">
                        <c:v>2044</c:v>
                      </c:pt>
                      <c:pt idx="20">
                        <c:v>2045</c:v>
                      </c:pt>
                      <c:pt idx="21">
                        <c:v>2046</c:v>
                      </c:pt>
                      <c:pt idx="22">
                        <c:v>2047</c:v>
                      </c:pt>
                      <c:pt idx="23">
                        <c:v>2048</c:v>
                      </c:pt>
                      <c:pt idx="24">
                        <c:v>2049</c:v>
                      </c:pt>
                      <c:pt idx="25">
                        <c:v>2050</c:v>
                      </c:pt>
                    </c:numCache>
                  </c:numRef>
                </c:cat>
                <c:val>
                  <c:numRef>
                    <c:extLst>
                      <c:ext uri="{02D57815-91ED-43cb-92C2-25804820EDAC}">
                        <c15:formulaRef>
                          <c15:sqref>Tables!$AP$4:$AP$29</c15:sqref>
                        </c15:formulaRef>
                      </c:ext>
                    </c:extLst>
                    <c:numCache>
                      <c:formatCode>_(* #,##0_);_(* \(#,##0\);_(* "-"??_);_(@_)</c:formatCode>
                      <c:ptCount val="26"/>
                      <c:pt idx="0">
                        <c:v>2324945381.5771575</c:v>
                      </c:pt>
                      <c:pt idx="1">
                        <c:v>3514604407.5685439</c:v>
                      </c:pt>
                      <c:pt idx="2">
                        <c:v>4985670678.9586296</c:v>
                      </c:pt>
                      <c:pt idx="3">
                        <c:v>6741728593.0985785</c:v>
                      </c:pt>
                      <c:pt idx="4">
                        <c:v>8786355630.7734184</c:v>
                      </c:pt>
                      <c:pt idx="5">
                        <c:v>11157456597.65019</c:v>
                      </c:pt>
                      <c:pt idx="6">
                        <c:v>13821246983.699745</c:v>
                      </c:pt>
                      <c:pt idx="7">
                        <c:v>16723542620.235422</c:v>
                      </c:pt>
                      <c:pt idx="8">
                        <c:v>19868419144.220333</c:v>
                      </c:pt>
                      <c:pt idx="9">
                        <c:v>23259953156.177929</c:v>
                      </c:pt>
                      <c:pt idx="10">
                        <c:v>26902234122.930271</c:v>
                      </c:pt>
                      <c:pt idx="11">
                        <c:v>30632373604.575298</c:v>
                      </c:pt>
                      <c:pt idx="12">
                        <c:v>34401303233.288246</c:v>
                      </c:pt>
                      <c:pt idx="13">
                        <c:v>38208841825.22187</c:v>
                      </c:pt>
                      <c:pt idx="14">
                        <c:v>42054912598.887024</c:v>
                      </c:pt>
                      <c:pt idx="15">
                        <c:v>45939199449.644707</c:v>
                      </c:pt>
                    </c:numCache>
                  </c:numRef>
                </c:val>
                <c:smooth val="1"/>
                <c:extLst>
                  <c:ext xmlns:c16="http://schemas.microsoft.com/office/drawing/2014/chart" uri="{C3380CC4-5D6E-409C-BE32-E72D297353CC}">
                    <c16:uniqueId val="{00000001-7561-47BD-97C9-557EBE5271A2}"/>
                  </c:ext>
                </c:extLst>
              </c15:ser>
            </c15:filteredLineSeries>
            <c15:filteredLineSeries>
              <c15:ser>
                <c:idx val="3"/>
                <c:order val="3"/>
                <c:tx>
                  <c:strRef>
                    <c:extLst xmlns:c15="http://schemas.microsoft.com/office/drawing/2012/chart">
                      <c:ext xmlns:c15="http://schemas.microsoft.com/office/drawing/2012/chart" uri="{02D57815-91ED-43cb-92C2-25804820EDAC}">
                        <c15:formulaRef>
                          <c15:sqref>Tables!$AR$3</c15:sqref>
                        </c15:formulaRef>
                      </c:ext>
                    </c:extLst>
                    <c:strCache>
                      <c:ptCount val="1"/>
                    </c:strCache>
                  </c:strRef>
                </c:tx>
                <c:spPr>
                  <a:ln w="28575" cap="rnd">
                    <a:solidFill>
                      <a:schemeClr val="accent4"/>
                    </a:solidFill>
                    <a:round/>
                  </a:ln>
                  <a:effectLst/>
                </c:spPr>
                <c:marker>
                  <c:symbol val="none"/>
                </c:marker>
                <c:cat>
                  <c:numRef>
                    <c:extLst xmlns:c15="http://schemas.microsoft.com/office/drawing/2012/chart">
                      <c:ext xmlns:c15="http://schemas.microsoft.com/office/drawing/2012/chart" uri="{02D57815-91ED-43cb-92C2-25804820EDAC}">
                        <c15:formulaRef>
                          <c15:sqref>Tables!$AN$4:$AN$29</c15:sqref>
                        </c15:formulaRef>
                      </c:ext>
                    </c:extLst>
                    <c:numCache>
                      <c:formatCode>General</c:formatCode>
                      <c:ptCount val="26"/>
                      <c:pt idx="0">
                        <c:v>2025</c:v>
                      </c:pt>
                      <c:pt idx="1">
                        <c:v>2026</c:v>
                      </c:pt>
                      <c:pt idx="2">
                        <c:v>2027</c:v>
                      </c:pt>
                      <c:pt idx="3">
                        <c:v>2028</c:v>
                      </c:pt>
                      <c:pt idx="4">
                        <c:v>2029</c:v>
                      </c:pt>
                      <c:pt idx="5">
                        <c:v>2030</c:v>
                      </c:pt>
                      <c:pt idx="6">
                        <c:v>2031</c:v>
                      </c:pt>
                      <c:pt idx="7">
                        <c:v>2032</c:v>
                      </c:pt>
                      <c:pt idx="8">
                        <c:v>2033</c:v>
                      </c:pt>
                      <c:pt idx="9">
                        <c:v>2034</c:v>
                      </c:pt>
                      <c:pt idx="10">
                        <c:v>2035</c:v>
                      </c:pt>
                      <c:pt idx="11">
                        <c:v>2036</c:v>
                      </c:pt>
                      <c:pt idx="12">
                        <c:v>2037</c:v>
                      </c:pt>
                      <c:pt idx="13">
                        <c:v>2038</c:v>
                      </c:pt>
                      <c:pt idx="14">
                        <c:v>2039</c:v>
                      </c:pt>
                      <c:pt idx="15">
                        <c:v>2040</c:v>
                      </c:pt>
                      <c:pt idx="16">
                        <c:v>2041</c:v>
                      </c:pt>
                      <c:pt idx="17">
                        <c:v>2042</c:v>
                      </c:pt>
                      <c:pt idx="18">
                        <c:v>2043</c:v>
                      </c:pt>
                      <c:pt idx="19">
                        <c:v>2044</c:v>
                      </c:pt>
                      <c:pt idx="20">
                        <c:v>2045</c:v>
                      </c:pt>
                      <c:pt idx="21">
                        <c:v>2046</c:v>
                      </c:pt>
                      <c:pt idx="22">
                        <c:v>2047</c:v>
                      </c:pt>
                      <c:pt idx="23">
                        <c:v>2048</c:v>
                      </c:pt>
                      <c:pt idx="24">
                        <c:v>2049</c:v>
                      </c:pt>
                      <c:pt idx="25">
                        <c:v>2050</c:v>
                      </c:pt>
                    </c:numCache>
                  </c:numRef>
                </c:cat>
                <c:val>
                  <c:numRef>
                    <c:extLst xmlns:c15="http://schemas.microsoft.com/office/drawing/2012/chart">
                      <c:ext xmlns:c15="http://schemas.microsoft.com/office/drawing/2012/chart" uri="{02D57815-91ED-43cb-92C2-25804820EDAC}">
                        <c15:formulaRef>
                          <c15:sqref>Tables!$AR$4:$AR$29</c15:sqref>
                        </c15:formulaRef>
                      </c:ext>
                    </c:extLst>
                    <c:numCache>
                      <c:formatCode>_(* #,##0_);_(* \(#,##0\);_(* "-"??_);_(@_)</c:formatCode>
                      <c:ptCount val="26"/>
                    </c:numCache>
                  </c:numRef>
                </c:val>
                <c:smooth val="1"/>
                <c:extLst xmlns:c15="http://schemas.microsoft.com/office/drawing/2012/chart">
                  <c:ext xmlns:c16="http://schemas.microsoft.com/office/drawing/2014/chart" uri="{C3380CC4-5D6E-409C-BE32-E72D297353CC}">
                    <c16:uniqueId val="{00000003-7561-47BD-97C9-557EBE5271A2}"/>
                  </c:ext>
                </c:extLst>
              </c15:ser>
            </c15:filteredLineSeries>
          </c:ext>
        </c:extLst>
      </c:lineChart>
      <c:catAx>
        <c:axId val="1330441935"/>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30435695"/>
        <c:crosses val="autoZero"/>
        <c:auto val="1"/>
        <c:lblAlgn val="ctr"/>
        <c:lblOffset val="100"/>
        <c:noMultiLvlLbl val="0"/>
      </c:catAx>
      <c:valAx>
        <c:axId val="1330435695"/>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30441935"/>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_rels/drawing6.xml.rels><?xml version="1.0" encoding="UTF-8" standalone="yes"?>
<Relationships xmlns="http://schemas.openxmlformats.org/package/2006/relationships"><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editAs="oneCell">
    <xdr:from>
      <xdr:col>0</xdr:col>
      <xdr:colOff>209550</xdr:colOff>
      <xdr:row>37</xdr:row>
      <xdr:rowOff>171450</xdr:rowOff>
    </xdr:from>
    <xdr:to>
      <xdr:col>7</xdr:col>
      <xdr:colOff>218395</xdr:colOff>
      <xdr:row>55</xdr:row>
      <xdr:rowOff>171021</xdr:rowOff>
    </xdr:to>
    <xdr:pic>
      <xdr:nvPicPr>
        <xdr:cNvPr id="4" name="Picture 3">
          <a:extLst>
            <a:ext uri="{FF2B5EF4-FFF2-40B4-BE49-F238E27FC236}">
              <a16:creationId xmlns:a16="http://schemas.microsoft.com/office/drawing/2014/main" id="{B54957F4-D5E8-4533-A1D8-8491BEAEE6D7}"/>
            </a:ext>
          </a:extLst>
        </xdr:cNvPr>
        <xdr:cNvPicPr>
          <a:picLocks noChangeAspect="1"/>
        </xdr:cNvPicPr>
      </xdr:nvPicPr>
      <xdr:blipFill>
        <a:blip xmlns:r="http://schemas.openxmlformats.org/officeDocument/2006/relationships" r:embed="rId1"/>
        <a:stretch>
          <a:fillRect/>
        </a:stretch>
      </xdr:blipFill>
      <xdr:spPr>
        <a:xfrm>
          <a:off x="209550" y="18792825"/>
          <a:ext cx="5361895" cy="342857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406399</xdr:colOff>
      <xdr:row>33</xdr:row>
      <xdr:rowOff>28575</xdr:rowOff>
    </xdr:from>
    <xdr:to>
      <xdr:col>6</xdr:col>
      <xdr:colOff>628650</xdr:colOff>
      <xdr:row>52</xdr:row>
      <xdr:rowOff>73025</xdr:rowOff>
    </xdr:to>
    <xdr:graphicFrame macro="">
      <xdr:nvGraphicFramePr>
        <xdr:cNvPr id="3" name="Chart 2">
          <a:extLst>
            <a:ext uri="{FF2B5EF4-FFF2-40B4-BE49-F238E27FC236}">
              <a16:creationId xmlns:a16="http://schemas.microsoft.com/office/drawing/2014/main" id="{00000000-0008-0000-02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38100</xdr:colOff>
      <xdr:row>32</xdr:row>
      <xdr:rowOff>152400</xdr:rowOff>
    </xdr:from>
    <xdr:to>
      <xdr:col>12</xdr:col>
      <xdr:colOff>571500</xdr:colOff>
      <xdr:row>53</xdr:row>
      <xdr:rowOff>0</xdr:rowOff>
    </xdr:to>
    <xdr:graphicFrame macro="">
      <xdr:nvGraphicFramePr>
        <xdr:cNvPr id="4" name="Chart 3">
          <a:extLst>
            <a:ext uri="{FF2B5EF4-FFF2-40B4-BE49-F238E27FC236}">
              <a16:creationId xmlns:a16="http://schemas.microsoft.com/office/drawing/2014/main" id="{00000000-0008-0000-02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25400</xdr:colOff>
      <xdr:row>33</xdr:row>
      <xdr:rowOff>25400</xdr:rowOff>
    </xdr:from>
    <xdr:to>
      <xdr:col>19</xdr:col>
      <xdr:colOff>609600</xdr:colOff>
      <xdr:row>53</xdr:row>
      <xdr:rowOff>116840</xdr:rowOff>
    </xdr:to>
    <xdr:graphicFrame macro="">
      <xdr:nvGraphicFramePr>
        <xdr:cNvPr id="5" name="Chart 4">
          <a:extLst>
            <a:ext uri="{FF2B5EF4-FFF2-40B4-BE49-F238E27FC236}">
              <a16:creationId xmlns:a16="http://schemas.microsoft.com/office/drawing/2014/main" id="{00000000-0008-0000-02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27</xdr:col>
      <xdr:colOff>1019175</xdr:colOff>
      <xdr:row>31</xdr:row>
      <xdr:rowOff>142875</xdr:rowOff>
    </xdr:from>
    <xdr:to>
      <xdr:col>32</xdr:col>
      <xdr:colOff>12700</xdr:colOff>
      <xdr:row>52</xdr:row>
      <xdr:rowOff>43815</xdr:rowOff>
    </xdr:to>
    <xdr:graphicFrame macro="">
      <xdr:nvGraphicFramePr>
        <xdr:cNvPr id="6" name="Chart 5">
          <a:extLst>
            <a:ext uri="{FF2B5EF4-FFF2-40B4-BE49-F238E27FC236}">
              <a16:creationId xmlns:a16="http://schemas.microsoft.com/office/drawing/2014/main" id="{00000000-0008-0000-02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22</xdr:col>
      <xdr:colOff>190500</xdr:colOff>
      <xdr:row>31</xdr:row>
      <xdr:rowOff>190499</xdr:rowOff>
    </xdr:from>
    <xdr:to>
      <xdr:col>25</xdr:col>
      <xdr:colOff>809625</xdr:colOff>
      <xdr:row>52</xdr:row>
      <xdr:rowOff>85724</xdr:rowOff>
    </xdr:to>
    <xdr:graphicFrame macro="">
      <xdr:nvGraphicFramePr>
        <xdr:cNvPr id="2" name="Chart 1">
          <a:extLst>
            <a:ext uri="{FF2B5EF4-FFF2-40B4-BE49-F238E27FC236}">
              <a16:creationId xmlns:a16="http://schemas.microsoft.com/office/drawing/2014/main" id="{00000000-0008-0000-02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695326</xdr:colOff>
      <xdr:row>31</xdr:row>
      <xdr:rowOff>104775</xdr:rowOff>
    </xdr:from>
    <xdr:to>
      <xdr:col>38</xdr:col>
      <xdr:colOff>219075</xdr:colOff>
      <xdr:row>52</xdr:row>
      <xdr:rowOff>104774</xdr:rowOff>
    </xdr:to>
    <xdr:graphicFrame macro="">
      <xdr:nvGraphicFramePr>
        <xdr:cNvPr id="8" name="Chart 7">
          <a:extLst>
            <a:ext uri="{FF2B5EF4-FFF2-40B4-BE49-F238E27FC236}">
              <a16:creationId xmlns:a16="http://schemas.microsoft.com/office/drawing/2014/main" id="{00000000-0008-0000-02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39</xdr:col>
      <xdr:colOff>142875</xdr:colOff>
      <xdr:row>31</xdr:row>
      <xdr:rowOff>171450</xdr:rowOff>
    </xdr:from>
    <xdr:to>
      <xdr:col>43</xdr:col>
      <xdr:colOff>419099</xdr:colOff>
      <xdr:row>52</xdr:row>
      <xdr:rowOff>171449</xdr:rowOff>
    </xdr:to>
    <xdr:graphicFrame macro="">
      <xdr:nvGraphicFramePr>
        <xdr:cNvPr id="9" name="Chart 8">
          <a:extLst>
            <a:ext uri="{FF2B5EF4-FFF2-40B4-BE49-F238E27FC236}">
              <a16:creationId xmlns:a16="http://schemas.microsoft.com/office/drawing/2014/main" id="{75B11358-2B46-486B-8A68-1A521226C33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695325</xdr:colOff>
      <xdr:row>48</xdr:row>
      <xdr:rowOff>57150</xdr:rowOff>
    </xdr:from>
    <xdr:to>
      <xdr:col>16</xdr:col>
      <xdr:colOff>333691</xdr:colOff>
      <xdr:row>67</xdr:row>
      <xdr:rowOff>152589</xdr:rowOff>
    </xdr:to>
    <xdr:pic>
      <xdr:nvPicPr>
        <xdr:cNvPr id="3" name="Picture 2">
          <a:extLst>
            <a:ext uri="{FF2B5EF4-FFF2-40B4-BE49-F238E27FC236}">
              <a16:creationId xmlns:a16="http://schemas.microsoft.com/office/drawing/2014/main" id="{6C6D288A-8723-3C96-20B6-C504AE70B18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29325" y="7286625"/>
          <a:ext cx="6153466" cy="367683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4</xdr:col>
      <xdr:colOff>723900</xdr:colOff>
      <xdr:row>32</xdr:row>
      <xdr:rowOff>152400</xdr:rowOff>
    </xdr:from>
    <xdr:to>
      <xdr:col>10</xdr:col>
      <xdr:colOff>342369</xdr:colOff>
      <xdr:row>41</xdr:row>
      <xdr:rowOff>104567</xdr:rowOff>
    </xdr:to>
    <xdr:pic>
      <xdr:nvPicPr>
        <xdr:cNvPr id="2" name="Picture 1">
          <a:extLst>
            <a:ext uri="{FF2B5EF4-FFF2-40B4-BE49-F238E27FC236}">
              <a16:creationId xmlns:a16="http://schemas.microsoft.com/office/drawing/2014/main" id="{E68CD2D3-D093-487B-9F63-3CDC8D5C5DE1}"/>
            </a:ext>
          </a:extLst>
        </xdr:cNvPr>
        <xdr:cNvPicPr>
          <a:picLocks noChangeAspect="1"/>
        </xdr:cNvPicPr>
      </xdr:nvPicPr>
      <xdr:blipFill>
        <a:blip xmlns:r="http://schemas.openxmlformats.org/officeDocument/2006/relationships" r:embed="rId1"/>
        <a:stretch>
          <a:fillRect/>
        </a:stretch>
      </xdr:blipFill>
      <xdr:spPr>
        <a:xfrm>
          <a:off x="3048000" y="4343400"/>
          <a:ext cx="4066644" cy="1666667"/>
        </a:xfrm>
        <a:prstGeom prst="rect">
          <a:avLst/>
        </a:prstGeom>
      </xdr:spPr>
    </xdr:pic>
    <xdr:clientData/>
  </xdr:twoCellAnchor>
  <xdr:twoCellAnchor editAs="oneCell">
    <xdr:from>
      <xdr:col>4</xdr:col>
      <xdr:colOff>742950</xdr:colOff>
      <xdr:row>42</xdr:row>
      <xdr:rowOff>28575</xdr:rowOff>
    </xdr:from>
    <xdr:to>
      <xdr:col>9</xdr:col>
      <xdr:colOff>752001</xdr:colOff>
      <xdr:row>47</xdr:row>
      <xdr:rowOff>95123</xdr:rowOff>
    </xdr:to>
    <xdr:pic>
      <xdr:nvPicPr>
        <xdr:cNvPr id="3" name="Picture 2">
          <a:extLst>
            <a:ext uri="{FF2B5EF4-FFF2-40B4-BE49-F238E27FC236}">
              <a16:creationId xmlns:a16="http://schemas.microsoft.com/office/drawing/2014/main" id="{85F97088-60D7-4C51-A7DF-C45B95B7821E}"/>
            </a:ext>
          </a:extLst>
        </xdr:cNvPr>
        <xdr:cNvPicPr>
          <a:picLocks noChangeAspect="1"/>
        </xdr:cNvPicPr>
      </xdr:nvPicPr>
      <xdr:blipFill>
        <a:blip xmlns:r="http://schemas.openxmlformats.org/officeDocument/2006/relationships" r:embed="rId2"/>
        <a:stretch>
          <a:fillRect/>
        </a:stretch>
      </xdr:blipFill>
      <xdr:spPr>
        <a:xfrm>
          <a:off x="3067050" y="6124575"/>
          <a:ext cx="3619026" cy="1019048"/>
        </a:xfrm>
        <a:prstGeom prst="rect">
          <a:avLst/>
        </a:prstGeom>
      </xdr:spPr>
    </xdr:pic>
    <xdr:clientData/>
  </xdr:twoCellAnchor>
  <xdr:twoCellAnchor editAs="oneCell">
    <xdr:from>
      <xdr:col>4</xdr:col>
      <xdr:colOff>723900</xdr:colOff>
      <xdr:row>93</xdr:row>
      <xdr:rowOff>152400</xdr:rowOff>
    </xdr:from>
    <xdr:to>
      <xdr:col>10</xdr:col>
      <xdr:colOff>523344</xdr:colOff>
      <xdr:row>102</xdr:row>
      <xdr:rowOff>104567</xdr:rowOff>
    </xdr:to>
    <xdr:pic>
      <xdr:nvPicPr>
        <xdr:cNvPr id="4" name="Picture 3">
          <a:extLst>
            <a:ext uri="{FF2B5EF4-FFF2-40B4-BE49-F238E27FC236}">
              <a16:creationId xmlns:a16="http://schemas.microsoft.com/office/drawing/2014/main" id="{A23EC425-1BAF-4946-9B5B-9FAA1D564189}"/>
            </a:ext>
          </a:extLst>
        </xdr:cNvPr>
        <xdr:cNvPicPr>
          <a:picLocks noChangeAspect="1"/>
        </xdr:cNvPicPr>
      </xdr:nvPicPr>
      <xdr:blipFill>
        <a:blip xmlns:r="http://schemas.openxmlformats.org/officeDocument/2006/relationships" r:embed="rId1"/>
        <a:stretch>
          <a:fillRect/>
        </a:stretch>
      </xdr:blipFill>
      <xdr:spPr>
        <a:xfrm>
          <a:off x="3048000" y="3962400"/>
          <a:ext cx="4247619" cy="1666667"/>
        </a:xfrm>
        <a:prstGeom prst="rect">
          <a:avLst/>
        </a:prstGeom>
      </xdr:spPr>
    </xdr:pic>
    <xdr:clientData/>
  </xdr:twoCellAnchor>
  <xdr:twoCellAnchor editAs="oneCell">
    <xdr:from>
      <xdr:col>4</xdr:col>
      <xdr:colOff>742950</xdr:colOff>
      <xdr:row>103</xdr:row>
      <xdr:rowOff>28575</xdr:rowOff>
    </xdr:from>
    <xdr:to>
      <xdr:col>10</xdr:col>
      <xdr:colOff>85251</xdr:colOff>
      <xdr:row>108</xdr:row>
      <xdr:rowOff>95123</xdr:rowOff>
    </xdr:to>
    <xdr:pic>
      <xdr:nvPicPr>
        <xdr:cNvPr id="5" name="Picture 4">
          <a:extLst>
            <a:ext uri="{FF2B5EF4-FFF2-40B4-BE49-F238E27FC236}">
              <a16:creationId xmlns:a16="http://schemas.microsoft.com/office/drawing/2014/main" id="{E1D5EAAE-5BFD-4CA0-BC93-AAC5C2DBDB35}"/>
            </a:ext>
          </a:extLst>
        </xdr:cNvPr>
        <xdr:cNvPicPr>
          <a:picLocks noChangeAspect="1"/>
        </xdr:cNvPicPr>
      </xdr:nvPicPr>
      <xdr:blipFill>
        <a:blip xmlns:r="http://schemas.openxmlformats.org/officeDocument/2006/relationships" r:embed="rId2"/>
        <a:stretch>
          <a:fillRect/>
        </a:stretch>
      </xdr:blipFill>
      <xdr:spPr>
        <a:xfrm>
          <a:off x="3067050" y="5743575"/>
          <a:ext cx="3790476" cy="1019048"/>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14</xdr:col>
      <xdr:colOff>0</xdr:colOff>
      <xdr:row>32</xdr:row>
      <xdr:rowOff>0</xdr:rowOff>
    </xdr:from>
    <xdr:to>
      <xdr:col>19</xdr:col>
      <xdr:colOff>466725</xdr:colOff>
      <xdr:row>38</xdr:row>
      <xdr:rowOff>155805</xdr:rowOff>
    </xdr:to>
    <xdr:pic>
      <xdr:nvPicPr>
        <xdr:cNvPr id="2" name="Picture 1">
          <a:extLst>
            <a:ext uri="{FF2B5EF4-FFF2-40B4-BE49-F238E27FC236}">
              <a16:creationId xmlns:a16="http://schemas.microsoft.com/office/drawing/2014/main" id="{1FC5D9A9-BAFE-411C-B5D0-15B4D64DC74C}"/>
            </a:ext>
          </a:extLst>
        </xdr:cNvPr>
        <xdr:cNvPicPr>
          <a:picLocks noChangeAspect="1"/>
        </xdr:cNvPicPr>
      </xdr:nvPicPr>
      <xdr:blipFill>
        <a:blip xmlns:r="http://schemas.openxmlformats.org/officeDocument/2006/relationships" r:embed="rId1"/>
        <a:stretch>
          <a:fillRect/>
        </a:stretch>
      </xdr:blipFill>
      <xdr:spPr>
        <a:xfrm>
          <a:off x="8801100" y="6181725"/>
          <a:ext cx="3514725" cy="129880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180975</xdr:colOff>
      <xdr:row>4</xdr:row>
      <xdr:rowOff>19051</xdr:rowOff>
    </xdr:from>
    <xdr:to>
      <xdr:col>3</xdr:col>
      <xdr:colOff>857250</xdr:colOff>
      <xdr:row>22</xdr:row>
      <xdr:rowOff>108245</xdr:rowOff>
    </xdr:to>
    <xdr:pic>
      <xdr:nvPicPr>
        <xdr:cNvPr id="3" name="Picture 2">
          <a:extLst>
            <a:ext uri="{FF2B5EF4-FFF2-40B4-BE49-F238E27FC236}">
              <a16:creationId xmlns:a16="http://schemas.microsoft.com/office/drawing/2014/main" id="{00000000-0008-0000-1800-000003000000}"/>
            </a:ext>
          </a:extLst>
        </xdr:cNvPr>
        <xdr:cNvPicPr>
          <a:picLocks noChangeAspect="1"/>
        </xdr:cNvPicPr>
      </xdr:nvPicPr>
      <xdr:blipFill>
        <a:blip xmlns:r="http://schemas.openxmlformats.org/officeDocument/2006/relationships" r:embed="rId1"/>
        <a:stretch>
          <a:fillRect/>
        </a:stretch>
      </xdr:blipFill>
      <xdr:spPr>
        <a:xfrm>
          <a:off x="180975" y="781051"/>
          <a:ext cx="4933950" cy="351819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theicct-my.sharepoint.com/Users/jhouk/Desktop/ICCT%20ACC/CARB%20Proposed%20Rule/CARB%20resources/ZEV_Cost_Modeling_Workbook_Update_March2022_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theicct-my.sharepoint.com/fileserv2/storage/Users/jhouk/Desktop/GREET_2020/GREET1_2020.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theicct-my.sharepoint.com/fileserv2/storage/Users/jhouk/Desktop/GREET%202021/GREET1_2021.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Overview"/>
      <sheetName val="References"/>
      <sheetName val="Vehicle Attributes Overview"/>
      <sheetName val="BEV"/>
      <sheetName val="PHEV"/>
      <sheetName val="FCEV"/>
      <sheetName val="Vehicle Attributes - Base Year"/>
      <sheetName val="Battery Capacity and Power"/>
      <sheetName val="Battery Costs"/>
      <sheetName val="Motor Power"/>
      <sheetName val="Non-Battery Cost Input"/>
      <sheetName val="Non-Battery Costs"/>
      <sheetName val="Fuel Cell Tank Size"/>
      <sheetName val="Fuel Cell Tank Cost"/>
      <sheetName val="Fuel Cell Stack Power"/>
      <sheetName val="Fuel Cell Stack Cost"/>
      <sheetName val="Rolled Up Non-Incremental Costs"/>
      <sheetName val="ICE Removal Cost"/>
      <sheetName val="Trans Removal Cost"/>
      <sheetName val="LEV3 Criteria Emissions Cost"/>
      <sheetName val="Current GHG Compliance"/>
      <sheetName val="ACCII Criteria Compliance Cost"/>
      <sheetName val="ACCII GHG Compliance"/>
      <sheetName val="ZEV Assembly Reductions"/>
      <sheetName val="Cold Weather Package"/>
      <sheetName val="eAWD Motor2 Power"/>
      <sheetName val="eAWD Package"/>
      <sheetName val="Tow Package - Added Bat and Pwr"/>
      <sheetName val="Towing Package Cost"/>
      <sheetName val="Incremental Cost"/>
      <sheetName val="Incremental Cost Pivot"/>
    </sheetNames>
    <sheetDataSet>
      <sheetData sheetId="0"/>
      <sheetData sheetId="1"/>
      <sheetData sheetId="2">
        <row r="8">
          <cell r="A8">
            <v>5.0000000000000001E-3</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Overview"/>
      <sheetName val="Inputs"/>
      <sheetName val="Results"/>
      <sheetName val="Petroleum"/>
      <sheetName val="NG"/>
      <sheetName val="MeOH_FTD"/>
      <sheetName val="EtOH"/>
      <sheetName val="Electric"/>
      <sheetName val="Hydrogen"/>
      <sheetName val="BioOil"/>
      <sheetName val="Algae"/>
      <sheetName val="RNG"/>
      <sheetName val="Pyrolysis_IDL"/>
      <sheetName val="IBR"/>
      <sheetName val="PTF"/>
      <sheetName val="E_fuel"/>
      <sheetName val="Fuel_Prod_TS"/>
      <sheetName val="EF_TS"/>
      <sheetName val="AgMining_EF_TS"/>
      <sheetName val="EF"/>
      <sheetName val="WCF"/>
      <sheetName val="Fuel_Specs"/>
      <sheetName val="Car_TS"/>
      <sheetName val="LDT1_TS"/>
      <sheetName val="LDT2_TS"/>
      <sheetName val="Vehicles"/>
      <sheetName val="Urban_Shares"/>
      <sheetName val="Compression"/>
      <sheetName val="Coal"/>
      <sheetName val="T&amp;D_Flowcharts"/>
      <sheetName val="T&amp;D"/>
      <sheetName val="Uranium"/>
      <sheetName val="Ag_Inputs"/>
      <sheetName val="Enzymes_Yeast"/>
      <sheetName val="Pretreatment"/>
      <sheetName val="Catalyst"/>
      <sheetName val="Chemicals"/>
      <sheetName val="Bioproducts"/>
      <sheetName val="Animal_Feed"/>
      <sheetName val="E-D Additives"/>
      <sheetName val="OilGasCoalInfra"/>
      <sheetName val="ElecInfra"/>
      <sheetName val="Woody"/>
      <sheetName val="HDV_TS"/>
      <sheetName val="HDV_WTW"/>
      <sheetName val="JetFuel_WTP"/>
      <sheetName val="JetFuel_PTWa"/>
      <sheetName val="JetFuel_WTWa"/>
      <sheetName val="Rail_PTW"/>
      <sheetName val="Rail_WTW"/>
      <sheetName val="Marine_WTH"/>
      <sheetName val="Dist_Spec"/>
      <sheetName val="Forecast_Specs"/>
      <sheetName val="Forecast_Deleted"/>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387">
          <cell r="AZ387">
            <v>1.05756129080821E-3</v>
          </cell>
        </row>
      </sheetData>
      <sheetData sheetId="17"/>
      <sheetData sheetId="18"/>
      <sheetData sheetId="19"/>
      <sheetData sheetId="20"/>
      <sheetData sheetId="21">
        <row r="181">
          <cell r="F181">
            <v>3412.141641601248</v>
          </cell>
        </row>
      </sheetData>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Overview"/>
      <sheetName val="Inputs"/>
      <sheetName val="Results"/>
      <sheetName val="Petroleum"/>
      <sheetName val="Co_processing"/>
      <sheetName val="NG"/>
      <sheetName val="MeOH_FTD"/>
      <sheetName val="EtOH"/>
      <sheetName val="Electric"/>
      <sheetName val="Bio_electricity"/>
      <sheetName val="Hydrogen"/>
      <sheetName val="BioOil"/>
      <sheetName val="Algae"/>
      <sheetName val="Waste"/>
      <sheetName val="RNG"/>
      <sheetName val="Pyrolysis_IDL"/>
      <sheetName val="IBR"/>
      <sheetName val="PTF"/>
      <sheetName val="E_fuel"/>
      <sheetName val="Fuel_Prod_TS"/>
      <sheetName val="EF_TS"/>
      <sheetName val="AgMining_EF_TS"/>
      <sheetName val="EF"/>
      <sheetName val="WCF"/>
      <sheetName val="Fuel_Specs"/>
      <sheetName val="Car_TS"/>
      <sheetName val="LDT1_TS"/>
      <sheetName val="LDT2_TS"/>
      <sheetName val="Vehicles"/>
      <sheetName val="Urban_Shares"/>
      <sheetName val="Compression"/>
      <sheetName val="Coal"/>
      <sheetName val="T&amp;D_Flowcharts"/>
      <sheetName val="T&amp;D"/>
      <sheetName val="Uranium"/>
      <sheetName val="Ag_Inputs"/>
      <sheetName val="Enzymes_Yeast"/>
      <sheetName val="Pretreatment"/>
      <sheetName val="Catalyst"/>
      <sheetName val="Steam_Cracking"/>
      <sheetName val="Chemicals"/>
      <sheetName val="Plastics"/>
      <sheetName val="Animal_Feed"/>
      <sheetName val="EtOH-Diesel Additives"/>
      <sheetName val="OilGasCoalInfra"/>
      <sheetName val="ElecInfra"/>
      <sheetName val="Woody"/>
      <sheetName val="HDV_TS"/>
      <sheetName val="HDV_WTW"/>
      <sheetName val="JetFuel_WTP"/>
      <sheetName val="JetFuel_PTWa"/>
      <sheetName val="JetFuel_WTWa"/>
      <sheetName val="Rail_PTW"/>
      <sheetName val="Rail_WTW"/>
      <sheetName val="Marine_WTH"/>
      <sheetName val="Dist_Spec"/>
      <sheetName val="Forecast_Specs"/>
      <sheetName val="Forecast_Delete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ow r="875">
          <cell r="CF875">
            <v>1.5976147714583499E-3</v>
          </cell>
          <cell r="CG875">
            <v>0.4568836038497196</v>
          </cell>
          <cell r="CH875">
            <v>7.2640851718008294E-4</v>
          </cell>
          <cell r="CI875">
            <v>0.29721983353590098</v>
          </cell>
          <cell r="CJ875">
            <v>1.2862421489830919E-2</v>
          </cell>
          <cell r="CK875">
            <v>0.23071011783591</v>
          </cell>
          <cell r="CN875">
            <v>1.5976147714583499E-3</v>
          </cell>
          <cell r="CO875">
            <v>0.4568836038497196</v>
          </cell>
          <cell r="CP875">
            <v>7.2640851718008294E-4</v>
          </cell>
          <cell r="CQ875">
            <v>0.29721983353590098</v>
          </cell>
          <cell r="CR875">
            <v>1.2862421489830919E-2</v>
          </cell>
          <cell r="CS875">
            <v>0.23071011783591</v>
          </cell>
          <cell r="CV875">
            <v>1.1525216005103397E-3</v>
          </cell>
          <cell r="CW875">
            <v>0.42338739877550041</v>
          </cell>
          <cell r="CX875">
            <v>0.18220635648586389</v>
          </cell>
          <cell r="CY875">
            <v>0.33250596730454346</v>
          </cell>
          <cell r="CZ875">
            <v>1.5735294807847386E-3</v>
          </cell>
          <cell r="DA875">
            <v>5.9174226352797121E-2</v>
          </cell>
          <cell r="DD875">
            <v>1.1525216005103397E-3</v>
          </cell>
        </row>
        <row r="900">
          <cell r="D900">
            <v>1.94096776665011E-3</v>
          </cell>
          <cell r="E900">
            <v>0.41502767356791553</v>
          </cell>
          <cell r="F900">
            <v>0.16953420629385921</v>
          </cell>
          <cell r="G900">
            <v>0.33917126787407992</v>
          </cell>
          <cell r="H900">
            <v>5.8132981751973381E-3</v>
          </cell>
          <cell r="I900">
            <v>6.8512586322297842E-2</v>
          </cell>
          <cell r="L900">
            <v>1.94096776665011E-3</v>
          </cell>
          <cell r="M900">
            <v>0.41502767356791553</v>
          </cell>
          <cell r="N900">
            <v>0.16953420629385921</v>
          </cell>
          <cell r="O900">
            <v>0.33917126787407992</v>
          </cell>
          <cell r="P900">
            <v>5.8132981751973381E-3</v>
          </cell>
          <cell r="Q900">
            <v>6.8512586322297842E-2</v>
          </cell>
        </row>
      </sheetData>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CFBE214-6CF4-40F4-90EA-034A60ABBE0F}" name="Table466" displayName="Table466" ref="A5:M15" totalsRowShown="0" headerRowDxfId="63" dataDxfId="61" headerRowBorderDxfId="62" tableBorderDxfId="60">
  <tableColumns count="13">
    <tableColumn id="1" xr3:uid="{77A01D85-72DB-4C9F-8FA8-0BBBBD847CCF}" name="Vehicle Class" dataDxfId="59"/>
    <tableColumn id="3" xr3:uid="{CD89F5ED-F568-4DDF-923D-534A6D89CDFB}" name="Tech Type" dataDxfId="58"/>
    <tableColumn id="4" xr3:uid="{A649F4F4-4AE7-4BC8-83C0-9D000AD156AB}" name="2025" dataDxfId="57"/>
    <tableColumn id="5" xr3:uid="{27204AE4-5488-4BE4-8A16-9C810745B083}" name="2026" dataDxfId="56">
      <calculatedColumnFormula>C6*(1-BEV_Annual_Efficiency_Improvement)</calculatedColumnFormula>
    </tableColumn>
    <tableColumn id="6" xr3:uid="{D3DF9952-9C8E-4CF4-B72A-BDC584BB9D25}" name="2027" dataDxfId="55">
      <calculatedColumnFormula>D6*(1-BEV_Annual_Efficiency_Improvement)</calculatedColumnFormula>
    </tableColumn>
    <tableColumn id="7" xr3:uid="{F04E819C-B8B4-4C5D-9D1A-0EB57646675A}" name="2028" dataDxfId="54">
      <calculatedColumnFormula>E6*(1-BEV_Annual_Efficiency_Improvement)</calculatedColumnFormula>
    </tableColumn>
    <tableColumn id="8" xr3:uid="{A789790B-0BE5-45EC-9E1D-FA9E3F6DC200}" name="2029" dataDxfId="53">
      <calculatedColumnFormula>F6*(1-BEV_Annual_Efficiency_Improvement)</calculatedColumnFormula>
    </tableColumn>
    <tableColumn id="9" xr3:uid="{35F041A0-51E4-47EF-921D-3FDEBE5A3C82}" name="2030" dataDxfId="52">
      <calculatedColumnFormula>G6*(1-BEV_Annual_Efficiency_Improvement)</calculatedColumnFormula>
    </tableColumn>
    <tableColumn id="10" xr3:uid="{90F0EF49-C0A5-4662-BF5B-2AEC423FC912}" name="2031" dataDxfId="51">
      <calculatedColumnFormula>H6*(1-BEV_Annual_Efficiency_Improvement)</calculatedColumnFormula>
    </tableColumn>
    <tableColumn id="11" xr3:uid="{977065BB-8AD3-4971-A6DC-558A345D2E0B}" name="2032" dataDxfId="50">
      <calculatedColumnFormula>I6*(1-BEV_Annual_Efficiency_Improvement)</calculatedColumnFormula>
    </tableColumn>
    <tableColumn id="12" xr3:uid="{34ED9AB2-DEE5-470B-965C-64CBBD1F0769}" name="2033" dataDxfId="49">
      <calculatedColumnFormula>J6*(1-BEV_Annual_Efficiency_Improvement)</calculatedColumnFormula>
    </tableColumn>
    <tableColumn id="13" xr3:uid="{0C409B82-545D-4A6B-A8EF-318B0AAA2BFE}" name="2034" dataDxfId="48">
      <calculatedColumnFormula>K6*(1-BEV_Annual_Efficiency_Improvement)</calculatedColumnFormula>
    </tableColumn>
    <tableColumn id="14" xr3:uid="{EFB543BE-DECB-485C-82F7-151585E29E1E}" name="2035" dataDxfId="47">
      <calculatedColumnFormula>L6*(1-BEV_Annual_Efficiency_Improvement)</calculatedColumnFormula>
    </tableColumn>
  </tableColumns>
  <tableStyleInfo name="TableStyleMedium1" showFirstColumn="0" showLastColumn="0" showRowStripes="1" showColumnStripes="0"/>
  <extLst>
    <ext xmlns:x14="http://schemas.microsoft.com/office/spreadsheetml/2009/9/main" uri="{504A1905-F514-4f6f-8877-14C23A59335A}">
      <x14:table altText="DC Energy - CD AER Efficiency (Wh/mi)" altTextSummary="Direct Current (DC) Energy - Charge Depleting (CD) All-Electric Range (AER) Efficiency in WattHours per mile of all the different vehicle types on a year by year basis for BEVs."/>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B087B2DA-1CFA-48F1-B470-39BA7D85020A}" name="Table4647" displayName="Table4647" ref="A19:M29" totalsRowShown="0" headerRowDxfId="46" dataDxfId="44" headerRowBorderDxfId="45" tableBorderDxfId="43">
  <tableColumns count="13">
    <tableColumn id="1" xr3:uid="{4763D262-0F82-4B20-97F8-A546F40AFDA3}" name="Vehicle Class" dataDxfId="42"/>
    <tableColumn id="3" xr3:uid="{34DA75DC-FBD2-476C-82D5-3D88643F72C5}" name="Tech Type" dataDxfId="41"/>
    <tableColumn id="4" xr3:uid="{419E7BAE-8F29-4F27-845B-9DE5DD3DB515}" name="2025" dataDxfId="40"/>
    <tableColumn id="5" xr3:uid="{ECB0D3A8-3B68-48D4-AB39-CABE98A3D1CB}" name="2026" dataDxfId="39">
      <calculatedColumnFormula>C20*(1-BEV_Annual_Efficiency_Improvement)</calculatedColumnFormula>
    </tableColumn>
    <tableColumn id="6" xr3:uid="{271C58D0-1B8E-4A19-A86F-2D318FDD0633}" name="2027" dataDxfId="38">
      <calculatedColumnFormula>D20*(1-BEV_Annual_Efficiency_Improvement)</calculatedColumnFormula>
    </tableColumn>
    <tableColumn id="7" xr3:uid="{25E644AD-9164-4FCC-BDF5-CB155BD21629}" name="2028" dataDxfId="37">
      <calculatedColumnFormula>E20*(1-BEV_Annual_Efficiency_Improvement)</calculatedColumnFormula>
    </tableColumn>
    <tableColumn id="8" xr3:uid="{A4572E97-FF6D-4462-8D95-51AFFA76EC84}" name="2029" dataDxfId="36">
      <calculatedColumnFormula>F20*(1-BEV_Annual_Efficiency_Improvement)</calculatedColumnFormula>
    </tableColumn>
    <tableColumn id="9" xr3:uid="{D8AE4DD0-9399-423B-B87E-B97BB8300B67}" name="2030" dataDxfId="35">
      <calculatedColumnFormula>G20*(1-BEV_Annual_Efficiency_Improvement)</calculatedColumnFormula>
    </tableColumn>
    <tableColumn id="10" xr3:uid="{EA5FA15C-165A-4D3D-872E-0AEBDCFA55EA}" name="2031" dataDxfId="34">
      <calculatedColumnFormula>H20*(1-BEV_Annual_Efficiency_Improvement)</calculatedColumnFormula>
    </tableColumn>
    <tableColumn id="11" xr3:uid="{2062C4BD-EEFF-4240-935E-EF850F2122F9}" name="2032" dataDxfId="33">
      <calculatedColumnFormula>I20*(1-BEV_Annual_Efficiency_Improvement)</calculatedColumnFormula>
    </tableColumn>
    <tableColumn id="12" xr3:uid="{BFB7CA07-6E46-4AB2-BEAA-FB4D22DACF94}" name="2033" dataDxfId="32">
      <calculatedColumnFormula>J20*(1-BEV_Annual_Efficiency_Improvement)</calculatedColumnFormula>
    </tableColumn>
    <tableColumn id="13" xr3:uid="{47D67ED7-7DBD-4D48-B434-5B50DEAEB21A}" name="2034" dataDxfId="31">
      <calculatedColumnFormula>K20*(1-BEV_Annual_Efficiency_Improvement)</calculatedColumnFormula>
    </tableColumn>
    <tableColumn id="14" xr3:uid="{5A531446-789A-45FB-BEAB-E9A8E3C1137E}" name="2035" dataDxfId="30">
      <calculatedColumnFormula>L20*(1-BEV_Annual_Efficiency_Improvement)</calculatedColumnFormula>
    </tableColumn>
  </tableColumns>
  <tableStyleInfo name="TableStyleMedium1" showFirstColumn="0" showLastColumn="0" showRowStripes="1" showColumnStripes="0"/>
  <extLst>
    <ext xmlns:x14="http://schemas.microsoft.com/office/spreadsheetml/2009/9/main" uri="{504A1905-F514-4f6f-8877-14C23A59335A}">
      <x14:table altText="DC Energy - CD AER Efficiency (Wh/mi)" altTextSummary="Direct Current (DC) Energy - Charge Depleting (CD) All-Electric Range (AER) Efficiency in WattHours per mile of all the different vehicle types on a year by year basis for BEVs."/>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369E7E15-334C-4AB0-AFEB-D68133756CE6}" name="Table4658" displayName="Table4658" ref="A33:M40" totalsRowShown="0" headerRowDxfId="29" dataDxfId="27" headerRowBorderDxfId="28" tableBorderDxfId="26">
  <tableColumns count="13">
    <tableColumn id="1" xr3:uid="{71539390-75F2-41A8-A360-6CBB6C979772}" name="Vehicle Class" dataDxfId="25" totalsRowDxfId="24"/>
    <tableColumn id="3" xr3:uid="{1B58B187-2A85-4320-8D18-ECCA315A9073}" name="Tech Type" dataDxfId="23" totalsRowDxfId="22"/>
    <tableColumn id="4" xr3:uid="{1B48F085-BD5F-46A2-8FEC-EA9D4FEDB4C4}" name="2025" dataDxfId="21" totalsRowDxfId="20"/>
    <tableColumn id="5" xr3:uid="{29B4A8A3-3381-40CB-8880-31DC6FE52236}" name="2026" dataDxfId="19" totalsRowDxfId="18">
      <calculatedColumnFormula>C34*(1-BEV_Annual_Efficiency_Improvement)</calculatedColumnFormula>
    </tableColumn>
    <tableColumn id="6" xr3:uid="{C0F43957-249D-47FE-83F4-D8C290C1CFC0}" name="2027" dataDxfId="17" totalsRowDxfId="16">
      <calculatedColumnFormula>D34*(1-BEV_Annual_Efficiency_Improvement)</calculatedColumnFormula>
    </tableColumn>
    <tableColumn id="7" xr3:uid="{0B508083-DE95-428B-B8A6-01ECB6060FC2}" name="2028" dataDxfId="15" totalsRowDxfId="14">
      <calculatedColumnFormula>E34*(1-BEV_Annual_Efficiency_Improvement)</calculatedColumnFormula>
    </tableColumn>
    <tableColumn id="8" xr3:uid="{F9B6A6DA-436D-4215-9A50-4AA1CA0BF719}" name="2029" dataDxfId="13" totalsRowDxfId="12">
      <calculatedColumnFormula>F34*(1-BEV_Annual_Efficiency_Improvement)</calculatedColumnFormula>
    </tableColumn>
    <tableColumn id="9" xr3:uid="{39137007-90CD-4B8F-9B88-DD39E59722F5}" name="2030" dataDxfId="11" totalsRowDxfId="10">
      <calculatedColumnFormula>G34*(1-BEV_Annual_Efficiency_Improvement)</calculatedColumnFormula>
    </tableColumn>
    <tableColumn id="10" xr3:uid="{720E3511-F9E6-482B-B329-6135EFBDD160}" name="2031" dataDxfId="9" totalsRowDxfId="8">
      <calculatedColumnFormula>H34*(1-BEV_Annual_Efficiency_Improvement)</calculatedColumnFormula>
    </tableColumn>
    <tableColumn id="11" xr3:uid="{76B6A3C5-A292-454C-9524-C4890CCB0557}" name="2032" dataDxfId="7" totalsRowDxfId="6">
      <calculatedColumnFormula>I34*(1-BEV_Annual_Efficiency_Improvement)</calculatedColumnFormula>
    </tableColumn>
    <tableColumn id="12" xr3:uid="{516C7E7C-D7BE-492F-A510-24AF883A124F}" name="2033" dataDxfId="5" totalsRowDxfId="4">
      <calculatedColumnFormula>J34*(1-BEV_Annual_Efficiency_Improvement)</calculatedColumnFormula>
    </tableColumn>
    <tableColumn id="13" xr3:uid="{295AFB2F-5938-49FE-BBC2-F217E3B838BC}" name="2034" dataDxfId="3" totalsRowDxfId="2">
      <calculatedColumnFormula>K34*(1-BEV_Annual_Efficiency_Improvement)</calculatedColumnFormula>
    </tableColumn>
    <tableColumn id="14" xr3:uid="{11FD51B2-8A30-4ABA-AB78-637B87D73EC9}" name="2035" dataDxfId="1" totalsRowDxfId="0">
      <calculatedColumnFormula>L34*(1-BEV_Annual_Efficiency_Improvement)</calculatedColumnFormula>
    </tableColumn>
  </tableColumns>
  <tableStyleInfo name="TableStyleMedium1" showFirstColumn="0" showLastColumn="0" showRowStripes="1" showColumnStripes="0"/>
  <extLst>
    <ext xmlns:x14="http://schemas.microsoft.com/office/spreadsheetml/2009/9/main" uri="{504A1905-F514-4f6f-8877-14C23A59335A}">
      <x14:table altText="DC Energy - CD AER Efficiency (Wh/mi)" altTextSummary="Direct Current (DC) Energy - Charge Depleting (CD) All-Electric Range (AER) Efficiency in WattHours per mile of all the different vehicle types on a year by year basis for BEVs."/>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drawing" Target="../drawings/drawing5.xml"/><Relationship Id="rId4" Type="http://schemas.openxmlformats.org/officeDocument/2006/relationships/table" Target="../tables/table3.x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6.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23"/>
  <sheetViews>
    <sheetView workbookViewId="0">
      <selection activeCell="G10" sqref="G10"/>
    </sheetView>
  </sheetViews>
  <sheetFormatPr baseColWidth="10" defaultColWidth="8.83203125" defaultRowHeight="15"/>
  <cols>
    <col min="1" max="1" width="30.1640625" customWidth="1"/>
    <col min="2" max="2" width="52.33203125" customWidth="1"/>
  </cols>
  <sheetData>
    <row r="1" spans="1:2" ht="17" thickBot="1">
      <c r="A1" s="46" t="s">
        <v>84</v>
      </c>
      <c r="B1" s="47" t="s">
        <v>85</v>
      </c>
    </row>
    <row r="2" spans="1:2" ht="32">
      <c r="A2" s="63" t="s">
        <v>86</v>
      </c>
      <c r="B2" s="48" t="s">
        <v>87</v>
      </c>
    </row>
    <row r="3" spans="1:2" ht="32">
      <c r="A3" s="63" t="s">
        <v>183</v>
      </c>
      <c r="B3" s="48" t="s">
        <v>191</v>
      </c>
    </row>
    <row r="4" spans="1:2" ht="48">
      <c r="A4" s="63" t="s">
        <v>182</v>
      </c>
      <c r="B4" s="48" t="s">
        <v>624</v>
      </c>
    </row>
    <row r="5" spans="1:2" ht="16">
      <c r="A5" s="63" t="s">
        <v>184</v>
      </c>
      <c r="B5" s="48" t="s">
        <v>192</v>
      </c>
    </row>
    <row r="6" spans="1:2" ht="16">
      <c r="A6" s="63" t="s">
        <v>185</v>
      </c>
      <c r="B6" s="48" t="s">
        <v>88</v>
      </c>
    </row>
    <row r="7" spans="1:2" ht="16" hidden="1">
      <c r="A7" s="63" t="s">
        <v>173</v>
      </c>
      <c r="B7" s="48" t="s">
        <v>193</v>
      </c>
    </row>
    <row r="8" spans="1:2" ht="16">
      <c r="A8" s="63" t="s">
        <v>174</v>
      </c>
      <c r="B8" s="48" t="s">
        <v>194</v>
      </c>
    </row>
    <row r="9" spans="1:2" ht="32">
      <c r="A9" s="63" t="s">
        <v>175</v>
      </c>
      <c r="B9" s="48" t="s">
        <v>388</v>
      </c>
    </row>
    <row r="10" spans="1:2" ht="16">
      <c r="A10" s="63" t="s">
        <v>186</v>
      </c>
      <c r="B10" s="48" t="s">
        <v>195</v>
      </c>
    </row>
    <row r="11" spans="1:2" ht="16">
      <c r="A11" s="63" t="s">
        <v>187</v>
      </c>
      <c r="B11" s="48" t="s">
        <v>196</v>
      </c>
    </row>
    <row r="12" spans="1:2" ht="16">
      <c r="A12" s="63" t="s">
        <v>291</v>
      </c>
      <c r="B12" s="48" t="s">
        <v>292</v>
      </c>
    </row>
    <row r="13" spans="1:2" ht="16">
      <c r="A13" s="63" t="s">
        <v>293</v>
      </c>
      <c r="B13" s="48" t="s">
        <v>294</v>
      </c>
    </row>
    <row r="14" spans="1:2" ht="16">
      <c r="A14" s="63" t="s">
        <v>367</v>
      </c>
      <c r="B14" s="48" t="s">
        <v>197</v>
      </c>
    </row>
    <row r="15" spans="1:2" ht="16">
      <c r="A15" s="63" t="s">
        <v>188</v>
      </c>
      <c r="B15" s="48" t="s">
        <v>198</v>
      </c>
    </row>
    <row r="16" spans="1:2" ht="48">
      <c r="A16" s="63" t="s">
        <v>89</v>
      </c>
      <c r="B16" s="48" t="s">
        <v>199</v>
      </c>
    </row>
    <row r="17" spans="1:2" ht="32">
      <c r="A17" s="63" t="s">
        <v>622</v>
      </c>
      <c r="B17" s="48" t="s">
        <v>623</v>
      </c>
    </row>
    <row r="18" spans="1:2" ht="16">
      <c r="A18" s="63" t="s">
        <v>189</v>
      </c>
      <c r="B18" s="48" t="s">
        <v>90</v>
      </c>
    </row>
    <row r="19" spans="1:2" ht="16">
      <c r="A19" s="63" t="s">
        <v>190</v>
      </c>
      <c r="B19" s="48" t="s">
        <v>91</v>
      </c>
    </row>
    <row r="20" spans="1:2" ht="32">
      <c r="A20" s="63" t="s">
        <v>92</v>
      </c>
      <c r="B20" s="48" t="s">
        <v>200</v>
      </c>
    </row>
    <row r="21" spans="1:2" ht="32">
      <c r="A21" s="63" t="s">
        <v>93</v>
      </c>
      <c r="B21" s="48" t="s">
        <v>201</v>
      </c>
    </row>
    <row r="22" spans="1:2" ht="32">
      <c r="A22" s="63" t="s">
        <v>296</v>
      </c>
      <c r="B22" s="48" t="s">
        <v>297</v>
      </c>
    </row>
    <row r="23" spans="1:2" ht="17" thickBot="1">
      <c r="A23" s="64" t="s">
        <v>295</v>
      </c>
      <c r="B23" s="49" t="s">
        <v>436</v>
      </c>
    </row>
  </sheetData>
  <sheetProtection algorithmName="SHA-512" hashValue="9AMPlhNtaWMnYWfGXRtHOl+LhFZNgI4Uh1bjhJpD/2WJLxIQVbMPs3GK9sXL+FLg16qqIn/omcImHgXSSUUwKg==" saltValue="YvLu1Nizc3zPNB9O+NCrcA==" spinCount="100000" sheet="1" objects="1" scenarios="1"/>
  <hyperlinks>
    <hyperlink ref="A2" location="Key!A1" display="Key" xr:uid="{D250AEFF-B5B1-4C92-8706-148A340F6A8D}"/>
    <hyperlink ref="A3" location="Tables!A1" display="Tables" xr:uid="{F4400913-3021-4F3D-9212-34DA90D977E8}"/>
    <hyperlink ref="A4" location="'COBRA Summary'!A1" display="COBRA Summary" xr:uid="{4837D70E-C715-4300-AA12-DF24959EA45B}"/>
    <hyperlink ref="A6" location="'BAU Scenario'!A1" display="BAU Scenario" xr:uid="{3B1FB5A3-2D86-44FD-8E82-9BC3D8FA5253}"/>
    <hyperlink ref="A7" location="'ACC II - MY2026'!A1" display="ACC II - MY2026" xr:uid="{A4280297-54C9-4D35-A5DC-CD2AD227767A}"/>
    <hyperlink ref="A8" location="'ACC II - MY2027'!A1" display="ACC II - MY2027" xr:uid="{2E489D8C-A4D5-4276-9AA8-0CCF6DC2A62E}"/>
    <hyperlink ref="A9" location="'Federal GHG Rule'!A1" display="Federal GHG Rule" xr:uid="{BA46EE00-63A4-4F9E-8BA3-7EE849A3E41D}"/>
    <hyperlink ref="A11" location="'Fleet ZEV fractions'!A1" display="Fleet ZEV fractions" xr:uid="{CE2F0B63-F02C-48DF-9FA3-11E06A91741B}"/>
    <hyperlink ref="A14" location="'ZEV Population'!A1" display="ZEV Population" xr:uid="{B874E2A0-0155-4E4D-A6D5-6B34F65D2DF3}"/>
    <hyperlink ref="A15" location="'ZEV Sales'!A1" display="ZEV Sales" xr:uid="{ACB53F60-8EB4-436A-B9C6-DD538E94F46F}"/>
    <hyperlink ref="A16" location="'Combined MOVES output'!A1" display="Combined MOVES output" xr:uid="{9A5962ED-9C57-4B12-B073-9C1332E1D615}"/>
    <hyperlink ref="A18" location="'County Scale Output 2017-2040'!A1" display="County Scale Output 2017-2040" xr:uid="{6CA4E01D-E031-42F9-9B81-DF25998F8801}"/>
    <hyperlink ref="A19" location="'Default Output 2017-2040'!A1" display="Default Output 2017-2040" xr:uid="{F441BCFA-6A73-46FB-8358-00E21E77D5F8}"/>
    <hyperlink ref="A20" location="'Output Interpolation'!A1" display="Output interpolation" xr:uid="{BBFD16E5-1107-4F17-A8A0-77F8249AAACD}"/>
    <hyperlink ref="A21" location="'GREET factors'!A1" display="GREET factors" xr:uid="{16B5BF23-9B0B-429E-A968-90AE96F29672}"/>
    <hyperlink ref="A23" location="'Regional GREET factors'!A1" display="Regional GREET factors" xr:uid="{792A8141-797D-45D4-8E77-D84B58EA0F06}"/>
    <hyperlink ref="A22" location="'State grid data'!A1" display="State grid data" xr:uid="{F5A31515-D943-41E2-BB99-57C4C1B3AF48}"/>
    <hyperlink ref="A10" location="'ACC emissions benefits'!A1" display="ACC emissions benefits" xr:uid="{818294EC-0446-B043-9687-03900920082E}"/>
    <hyperlink ref="A5" location="'Emissions Summary'!A1" display="Emissions Summary" xr:uid="{46E9E050-613D-4AD7-9EE6-AAD4F2DF8178}"/>
    <hyperlink ref="A12" location="'CARB ZEV counts'!A1" display="CARB ZEV counts" xr:uid="{489B1E50-E993-4FA0-90DE-89E639EF8D82}"/>
    <hyperlink ref="A13" location="'ZEV efficiency'!A1" display="ZEV efficiency" xr:uid="{371785B5-4625-409B-835E-2CCC2A84C7B7}"/>
    <hyperlink ref="A17" location="'2040-2050 extrapolation'!A1" display="2040-2050 extrapolation" xr:uid="{724B6BD9-CA0B-452C-8B25-7B0E30AE194C}"/>
  </hyperlink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3C13E6-3134-470E-B296-70B98398E383}">
  <sheetPr codeName="Sheet10"/>
  <dimension ref="A1:AB813"/>
  <sheetViews>
    <sheetView workbookViewId="0"/>
  </sheetViews>
  <sheetFormatPr baseColWidth="10" defaultColWidth="8.83203125" defaultRowHeight="15"/>
  <cols>
    <col min="3" max="3" width="11" customWidth="1"/>
    <col min="6" max="6" width="11" customWidth="1"/>
    <col min="18" max="18" width="11.1640625" customWidth="1"/>
    <col min="19" max="20" width="12" bestFit="1" customWidth="1"/>
  </cols>
  <sheetData>
    <row r="1" spans="1:28">
      <c r="A1" s="2" t="s">
        <v>146</v>
      </c>
      <c r="P1" s="6"/>
    </row>
    <row r="2" spans="1:28">
      <c r="A2" s="28" t="s">
        <v>447</v>
      </c>
      <c r="F2" s="6"/>
      <c r="R2" s="6"/>
    </row>
    <row r="3" spans="1:28">
      <c r="A3" t="s">
        <v>448</v>
      </c>
      <c r="F3" s="6"/>
      <c r="R3" s="6"/>
    </row>
    <row r="4" spans="1:28">
      <c r="A4" s="28" t="s">
        <v>305</v>
      </c>
    </row>
    <row r="5" spans="1:28">
      <c r="A5" s="28"/>
    </row>
    <row r="6" spans="1:28">
      <c r="A6" s="69" t="s">
        <v>462</v>
      </c>
      <c r="D6" s="6"/>
      <c r="E6" s="6"/>
      <c r="K6" s="32" t="s">
        <v>459</v>
      </c>
      <c r="L6" s="32" t="s">
        <v>460</v>
      </c>
      <c r="O6" s="69" t="s">
        <v>375</v>
      </c>
      <c r="T6" s="6"/>
      <c r="X6" s="141" t="s">
        <v>215</v>
      </c>
    </row>
    <row r="7" spans="1:28">
      <c r="A7" s="69" t="s">
        <v>149</v>
      </c>
      <c r="D7" s="6"/>
      <c r="K7" s="32" t="s">
        <v>461</v>
      </c>
      <c r="L7" s="32" t="s">
        <v>461</v>
      </c>
      <c r="O7" s="134"/>
      <c r="P7" s="327" t="s">
        <v>206</v>
      </c>
      <c r="Q7" s="327"/>
      <c r="R7" s="327"/>
      <c r="S7" s="327"/>
      <c r="T7" s="327" t="s">
        <v>206</v>
      </c>
      <c r="U7" s="327"/>
      <c r="V7" s="327"/>
      <c r="W7" s="327"/>
      <c r="X7" s="327" t="s">
        <v>206</v>
      </c>
      <c r="Y7" s="327"/>
      <c r="Z7" s="327"/>
      <c r="AA7" s="327"/>
    </row>
    <row r="8" spans="1:28">
      <c r="A8" s="18" t="s">
        <v>0</v>
      </c>
      <c r="B8" t="s">
        <v>1</v>
      </c>
      <c r="C8" t="s">
        <v>2</v>
      </c>
      <c r="D8" s="28" t="s">
        <v>3</v>
      </c>
      <c r="E8" t="s">
        <v>22</v>
      </c>
      <c r="F8" t="s">
        <v>24</v>
      </c>
      <c r="G8" t="s">
        <v>115</v>
      </c>
      <c r="H8" t="s">
        <v>116</v>
      </c>
      <c r="I8" t="s">
        <v>117</v>
      </c>
      <c r="K8" s="32" t="s">
        <v>141</v>
      </c>
      <c r="L8" s="32" t="s">
        <v>141</v>
      </c>
      <c r="M8" s="32" t="s">
        <v>246</v>
      </c>
      <c r="O8" s="134"/>
      <c r="P8" s="327" t="s">
        <v>463</v>
      </c>
      <c r="Q8" s="327"/>
      <c r="R8" s="327"/>
      <c r="S8" s="327"/>
      <c r="T8" s="327" t="s">
        <v>207</v>
      </c>
      <c r="U8" s="327"/>
      <c r="V8" s="327"/>
      <c r="W8" s="327"/>
      <c r="X8" s="327" t="s">
        <v>217</v>
      </c>
      <c r="Y8" s="327"/>
      <c r="Z8" s="327"/>
      <c r="AA8" s="327"/>
    </row>
    <row r="9" spans="1:28">
      <c r="A9">
        <v>2025</v>
      </c>
      <c r="B9" s="32" t="s">
        <v>109</v>
      </c>
      <c r="C9">
        <v>0</v>
      </c>
      <c r="D9">
        <v>0</v>
      </c>
      <c r="E9" s="3">
        <v>0</v>
      </c>
      <c r="F9">
        <v>0</v>
      </c>
      <c r="G9">
        <v>0</v>
      </c>
      <c r="H9">
        <v>0</v>
      </c>
      <c r="I9">
        <v>0</v>
      </c>
      <c r="K9" s="259">
        <f>'CARB ZEV counts'!N34</f>
        <v>5.2787319162739099E-2</v>
      </c>
      <c r="L9" s="59">
        <f>'Fleet ZEV fractions'!AA17</f>
        <v>3.1556709314336143E-2</v>
      </c>
      <c r="M9" s="15">
        <f>K9/L9</f>
        <v>1.6727764177476496</v>
      </c>
      <c r="O9" s="135" t="s">
        <v>208</v>
      </c>
      <c r="P9" s="135" t="s">
        <v>42</v>
      </c>
      <c r="Q9" s="135" t="s">
        <v>209</v>
      </c>
      <c r="R9" s="135" t="s">
        <v>210</v>
      </c>
      <c r="S9" s="135" t="s">
        <v>3</v>
      </c>
      <c r="T9" s="135" t="s">
        <v>42</v>
      </c>
      <c r="U9" s="135" t="s">
        <v>209</v>
      </c>
      <c r="V9" s="135" t="s">
        <v>210</v>
      </c>
      <c r="W9" s="135" t="s">
        <v>3</v>
      </c>
      <c r="X9" s="135" t="s">
        <v>42</v>
      </c>
      <c r="Y9" s="135" t="s">
        <v>209</v>
      </c>
      <c r="Z9" s="135" t="s">
        <v>210</v>
      </c>
      <c r="AA9" s="135" t="s">
        <v>3</v>
      </c>
      <c r="AB9" s="6"/>
    </row>
    <row r="10" spans="1:28">
      <c r="A10">
        <v>2026</v>
      </c>
      <c r="B10" s="32" t="s">
        <v>109</v>
      </c>
      <c r="C10" s="140">
        <f>P10*M10</f>
        <v>5.8498325261973827E-3</v>
      </c>
      <c r="D10" s="140">
        <f>S10*M10</f>
        <v>1.2828261629708813E-2</v>
      </c>
      <c r="E10" s="3">
        <v>0</v>
      </c>
      <c r="F10" s="140">
        <f>Q10*M10</f>
        <v>4.2051254444693681E-3</v>
      </c>
      <c r="G10" s="140">
        <f>R10*M10</f>
        <v>3.168776173002574E-3</v>
      </c>
      <c r="H10" s="59">
        <f>'CARB ZEV counts'!Q96*M10</f>
        <v>1.5202872940349176E-2</v>
      </c>
      <c r="I10" s="59">
        <f>H10</f>
        <v>1.5202872940349176E-2</v>
      </c>
      <c r="J10" s="59"/>
      <c r="K10" s="259">
        <f>'CARB ZEV counts'!N35</f>
        <v>6.4089332068279783E-2</v>
      </c>
      <c r="L10" s="59">
        <f>'Fleet ZEV fractions'!AA18</f>
        <v>4.1272974516832185E-2</v>
      </c>
      <c r="M10" s="15">
        <f t="shared" ref="M10:M24" si="0">K10/L10</f>
        <v>1.5528159241864794</v>
      </c>
      <c r="O10" s="136">
        <v>2026</v>
      </c>
      <c r="P10" s="137">
        <v>3.7672414579739133E-3</v>
      </c>
      <c r="Q10" s="137">
        <v>2.70806434875559E-3</v>
      </c>
      <c r="R10" s="137">
        <v>2.0406643979148376E-3</v>
      </c>
      <c r="S10" s="137">
        <v>8.2612893324297554E-3</v>
      </c>
      <c r="T10" s="138">
        <v>138.58699611663516</v>
      </c>
      <c r="U10" s="138">
        <v>9.3266082916718709</v>
      </c>
      <c r="V10" s="138">
        <v>155.29487333222642</v>
      </c>
      <c r="W10" s="139">
        <v>375933.00810797774</v>
      </c>
      <c r="X10" s="138">
        <v>138.0649054393285</v>
      </c>
      <c r="Y10" s="138">
        <v>9.301351236262386</v>
      </c>
      <c r="Z10" s="138">
        <v>154.97796861303866</v>
      </c>
      <c r="AA10" s="139">
        <v>372827.31675838708</v>
      </c>
    </row>
    <row r="11" spans="1:28">
      <c r="A11">
        <v>2027</v>
      </c>
      <c r="B11" s="32" t="s">
        <v>109</v>
      </c>
      <c r="C11" s="140">
        <f t="shared" ref="C11:C24" si="1">P11*M11</f>
        <v>1.5422437898063751E-2</v>
      </c>
      <c r="D11" s="140">
        <f t="shared" ref="D11:D24" si="2">S11*M11</f>
        <v>3.4024251584317503E-2</v>
      </c>
      <c r="E11" s="3">
        <v>0</v>
      </c>
      <c r="F11" s="140">
        <f t="shared" ref="F11:F24" si="3">Q11*M11</f>
        <v>1.0791929972949891E-2</v>
      </c>
      <c r="G11" s="140">
        <f t="shared" ref="G11:G24" si="4">R11*M11</f>
        <v>8.8751152227967423E-3</v>
      </c>
      <c r="H11" s="59">
        <f>'CARB ZEV counts'!Q97*M11</f>
        <v>3.5746510364354014E-2</v>
      </c>
      <c r="I11" s="59">
        <f t="shared" ref="I11:I24" si="5">H11</f>
        <v>3.5746510364354014E-2</v>
      </c>
      <c r="J11" s="59"/>
      <c r="K11" s="259">
        <f>'CARB ZEV counts'!N36</f>
        <v>7.5580722040675494E-2</v>
      </c>
      <c r="L11" s="59">
        <f>'Fleet ZEV fractions'!AA19</f>
        <v>5.0956927319338742E-2</v>
      </c>
      <c r="M11" s="15">
        <f t="shared" si="0"/>
        <v>1.4832276202021257</v>
      </c>
      <c r="O11" s="136">
        <v>2027</v>
      </c>
      <c r="P11" s="137">
        <v>1.0397890174106972E-2</v>
      </c>
      <c r="Q11" s="137">
        <v>7.27597694781279E-3</v>
      </c>
      <c r="R11" s="137">
        <v>5.9836501841755707E-3</v>
      </c>
      <c r="S11" s="137">
        <v>2.2939332521114242E-2</v>
      </c>
      <c r="T11" s="138">
        <v>127.2310138997864</v>
      </c>
      <c r="U11" s="138">
        <v>9.1921289818706047</v>
      </c>
      <c r="V11" s="138">
        <v>148.68337936527007</v>
      </c>
      <c r="W11" s="139">
        <v>366639.39819194184</v>
      </c>
      <c r="X11" s="138">
        <v>125.90807979051615</v>
      </c>
      <c r="Y11" s="138">
        <v>9.1252472632971919</v>
      </c>
      <c r="Z11" s="138">
        <v>147.79371003494722</v>
      </c>
      <c r="AA11" s="139">
        <v>358228.93512147566</v>
      </c>
    </row>
    <row r="12" spans="1:28">
      <c r="A12">
        <v>2028</v>
      </c>
      <c r="B12" s="32" t="s">
        <v>109</v>
      </c>
      <c r="C12" s="140">
        <f t="shared" si="1"/>
        <v>2.7831041570229104E-2</v>
      </c>
      <c r="D12" s="140">
        <f t="shared" si="2"/>
        <v>6.1267804823532557E-2</v>
      </c>
      <c r="E12" s="3">
        <v>0</v>
      </c>
      <c r="F12" s="140">
        <f t="shared" si="3"/>
        <v>1.9002868677561232E-2</v>
      </c>
      <c r="G12" s="140">
        <f t="shared" si="4"/>
        <v>1.6580384387966173E-2</v>
      </c>
      <c r="H12" s="59">
        <f>'CARB ZEV counts'!Q98*M12</f>
        <v>6.1279595133088595E-2</v>
      </c>
      <c r="I12" s="59">
        <f t="shared" si="5"/>
        <v>6.1279595133088595E-2</v>
      </c>
      <c r="J12" s="59"/>
      <c r="K12" s="259">
        <f>'CARB ZEV counts'!N37</f>
        <v>8.6179522162499828E-2</v>
      </c>
      <c r="L12" s="59">
        <f>'Fleet ZEV fractions'!AA20</f>
        <v>6.0608707551614648E-2</v>
      </c>
      <c r="M12" s="15">
        <f t="shared" si="0"/>
        <v>1.421900014764528</v>
      </c>
      <c r="O12" s="136">
        <v>2028</v>
      </c>
      <c r="P12" s="137">
        <v>1.9573135439370559E-2</v>
      </c>
      <c r="Q12" s="137">
        <v>1.3364419776525693E-2</v>
      </c>
      <c r="R12" s="137">
        <v>1.1660724534637512E-2</v>
      </c>
      <c r="S12" s="137">
        <v>4.3088687099900436E-2</v>
      </c>
      <c r="T12" s="138">
        <v>117.29796929239372</v>
      </c>
      <c r="U12" s="138">
        <v>9.0508622063165092</v>
      </c>
      <c r="V12" s="138">
        <v>142.11047615146714</v>
      </c>
      <c r="W12" s="139">
        <v>357800.83030336339</v>
      </c>
      <c r="X12" s="138">
        <v>115.00208025267057</v>
      </c>
      <c r="Y12" s="138">
        <v>8.9299026844518039</v>
      </c>
      <c r="Z12" s="138">
        <v>140.45336503557871</v>
      </c>
      <c r="AA12" s="139">
        <v>342383.6622823372</v>
      </c>
    </row>
    <row r="13" spans="1:28">
      <c r="A13">
        <v>2029</v>
      </c>
      <c r="B13" s="32" t="s">
        <v>109</v>
      </c>
      <c r="C13" s="140">
        <f t="shared" si="1"/>
        <v>4.4732176784238922E-2</v>
      </c>
      <c r="D13" s="140">
        <f t="shared" si="2"/>
        <v>9.4019354932809995E-2</v>
      </c>
      <c r="E13" s="3">
        <v>0</v>
      </c>
      <c r="F13" s="140">
        <f t="shared" si="3"/>
        <v>2.8933188853620253E-2</v>
      </c>
      <c r="G13" s="140">
        <f t="shared" si="4"/>
        <v>2.7522311644043149E-2</v>
      </c>
      <c r="H13" s="59">
        <f>'CARB ZEV counts'!Q99*M13</f>
        <v>9.2909539151332932E-2</v>
      </c>
      <c r="I13" s="59">
        <f t="shared" si="5"/>
        <v>9.2909539151332932E-2</v>
      </c>
      <c r="J13" s="59"/>
      <c r="K13" s="259">
        <f>'CARB ZEV counts'!N38</f>
        <v>9.7753266410346082E-2</v>
      </c>
      <c r="L13" s="59">
        <f>'Fleet ZEV fractions'!AA21</f>
        <v>7.0228453938106311E-2</v>
      </c>
      <c r="M13" s="15">
        <f t="shared" si="0"/>
        <v>1.3919324850365911</v>
      </c>
      <c r="O13" s="136">
        <v>2029</v>
      </c>
      <c r="P13" s="137">
        <v>3.2136743171895299E-2</v>
      </c>
      <c r="Q13" s="137">
        <v>2.0786345002113849E-2</v>
      </c>
      <c r="R13" s="137">
        <v>1.9772734626076094E-2</v>
      </c>
      <c r="S13" s="137">
        <v>6.754591615866945E-2</v>
      </c>
      <c r="T13" s="138">
        <v>108.59988762342687</v>
      </c>
      <c r="U13" s="138">
        <v>8.9075889628798972</v>
      </c>
      <c r="V13" s="138">
        <v>134.88655988598353</v>
      </c>
      <c r="W13" s="139">
        <v>349626.35703916679</v>
      </c>
      <c r="X13" s="138">
        <v>105.10984092637611</v>
      </c>
      <c r="Y13" s="138">
        <v>8.7224327455604538</v>
      </c>
      <c r="Z13" s="138">
        <v>132.21948373273366</v>
      </c>
      <c r="AA13" s="139">
        <v>326010.52443973819</v>
      </c>
    </row>
    <row r="14" spans="1:28">
      <c r="A14">
        <v>2030</v>
      </c>
      <c r="B14" s="32" t="s">
        <v>109</v>
      </c>
      <c r="C14" s="140">
        <f t="shared" si="1"/>
        <v>6.5485463220580922E-2</v>
      </c>
      <c r="D14" s="140">
        <f t="shared" si="2"/>
        <v>0.13237550924753219</v>
      </c>
      <c r="E14" s="3">
        <v>0</v>
      </c>
      <c r="F14" s="140">
        <f t="shared" si="3"/>
        <v>4.0416455093288117E-2</v>
      </c>
      <c r="G14" s="140">
        <f t="shared" si="4"/>
        <v>4.0625330242709319E-2</v>
      </c>
      <c r="H14" s="59">
        <f>'CARB ZEV counts'!Q100*M14</f>
        <v>0.12897147008175885</v>
      </c>
      <c r="I14" s="59">
        <f t="shared" si="5"/>
        <v>0.12897147008175885</v>
      </c>
      <c r="J14" s="59"/>
      <c r="K14" s="259">
        <f>'CARB ZEV counts'!N39</f>
        <v>0.10770155714763756</v>
      </c>
      <c r="L14" s="59">
        <f>'Fleet ZEV fractions'!AA22</f>
        <v>7.9816304108847519E-2</v>
      </c>
      <c r="M14" s="15">
        <f t="shared" si="0"/>
        <v>1.349367881037967</v>
      </c>
      <c r="O14" s="136">
        <v>2030</v>
      </c>
      <c r="P14" s="137">
        <v>4.8530474261924694E-2</v>
      </c>
      <c r="Q14" s="137">
        <v>2.9952139561969404E-2</v>
      </c>
      <c r="R14" s="137">
        <v>3.010693437541978E-2</v>
      </c>
      <c r="S14" s="137">
        <v>9.8101867628348827E-2</v>
      </c>
      <c r="T14" s="138">
        <v>100.91098466269662</v>
      </c>
      <c r="U14" s="138">
        <v>8.76716694609512</v>
      </c>
      <c r="V14" s="138">
        <v>128.84832001074483</v>
      </c>
      <c r="W14" s="139">
        <v>342056.57430707337</v>
      </c>
      <c r="X14" s="138">
        <v>96.013726718778145</v>
      </c>
      <c r="Y14" s="138">
        <v>8.5045715381625939</v>
      </c>
      <c r="Z14" s="138">
        <v>124.96909209579825</v>
      </c>
      <c r="AA14" s="139">
        <v>308500.18553299439</v>
      </c>
    </row>
    <row r="15" spans="1:28">
      <c r="A15">
        <v>2031</v>
      </c>
      <c r="B15" s="32" t="s">
        <v>109</v>
      </c>
      <c r="C15" s="140">
        <f t="shared" si="1"/>
        <v>9.061951679595015E-2</v>
      </c>
      <c r="D15" s="140">
        <f t="shared" si="2"/>
        <v>0.17738467922172524</v>
      </c>
      <c r="E15" s="3">
        <v>0</v>
      </c>
      <c r="F15" s="140">
        <f t="shared" si="3"/>
        <v>5.3366866852241339E-2</v>
      </c>
      <c r="G15" s="140">
        <f t="shared" si="4"/>
        <v>5.5945596169010639E-2</v>
      </c>
      <c r="H15" s="59">
        <f>'CARB ZEV counts'!Q101*M15</f>
        <v>0.16877499112193614</v>
      </c>
      <c r="I15" s="59">
        <f t="shared" si="5"/>
        <v>0.16877499112193614</v>
      </c>
      <c r="J15" s="59"/>
      <c r="K15" s="259">
        <f>'CARB ZEV counts'!N40</f>
        <v>0.11722582033992886</v>
      </c>
      <c r="L15" s="59">
        <f>'Fleet ZEV fractions'!AA23</f>
        <v>8.942486763721301E-2</v>
      </c>
      <c r="M15" s="15">
        <f t="shared" si="0"/>
        <v>1.310886148755638</v>
      </c>
      <c r="O15" s="136">
        <v>2031</v>
      </c>
      <c r="P15" s="137">
        <v>6.9128441765877957E-2</v>
      </c>
      <c r="Q15" s="137">
        <v>4.0710527686099951E-2</v>
      </c>
      <c r="R15" s="137">
        <v>4.2677692660126998E-2</v>
      </c>
      <c r="S15" s="137">
        <v>0.13531661722881738</v>
      </c>
      <c r="T15" s="138">
        <v>94.063543289881423</v>
      </c>
      <c r="U15" s="138">
        <v>8.6360770195287326</v>
      </c>
      <c r="V15" s="138">
        <v>123.47073682804725</v>
      </c>
      <c r="W15" s="139">
        <v>335060.89929365198</v>
      </c>
      <c r="X15" s="138">
        <v>87.561077115274713</v>
      </c>
      <c r="Y15" s="138">
        <v>8.2844977669259166</v>
      </c>
      <c r="Z15" s="138">
        <v>118.20129066918042</v>
      </c>
      <c r="AA15" s="139">
        <v>289721.59183558956</v>
      </c>
    </row>
    <row r="16" spans="1:28">
      <c r="A16">
        <v>2032</v>
      </c>
      <c r="B16" s="32" t="s">
        <v>109</v>
      </c>
      <c r="C16" s="140">
        <f t="shared" si="1"/>
        <v>0.11957905058420228</v>
      </c>
      <c r="D16" s="140">
        <f t="shared" si="2"/>
        <v>0.22611692732183727</v>
      </c>
      <c r="E16" s="3">
        <v>0</v>
      </c>
      <c r="F16" s="140">
        <f t="shared" si="3"/>
        <v>6.7201758758389407E-2</v>
      </c>
      <c r="G16" s="140">
        <f t="shared" si="4"/>
        <v>7.2627506459201574E-2</v>
      </c>
      <c r="H16" s="59">
        <f>'CARB ZEV counts'!Q102*M16</f>
        <v>0.20994859165751001</v>
      </c>
      <c r="I16" s="59">
        <f t="shared" si="5"/>
        <v>0.20994859165751001</v>
      </c>
      <c r="J16" s="59"/>
      <c r="K16" s="259">
        <f>'CARB ZEV counts'!N41</f>
        <v>0.12629478463698698</v>
      </c>
      <c r="L16" s="59">
        <f>'Fleet ZEV fractions'!AA24</f>
        <v>9.9049964049773065E-2</v>
      </c>
      <c r="M16" s="15">
        <f t="shared" si="0"/>
        <v>1.2750613879427888</v>
      </c>
      <c r="O16" s="136">
        <v>2032</v>
      </c>
      <c r="P16" s="137">
        <v>9.3782975247280964E-2</v>
      </c>
      <c r="Q16" s="137">
        <v>5.2704724175527073E-2</v>
      </c>
      <c r="R16" s="137">
        <v>5.696000768745757E-2</v>
      </c>
      <c r="S16" s="137">
        <v>0.17733807129604884</v>
      </c>
      <c r="T16" s="138">
        <v>88.062560663912663</v>
      </c>
      <c r="U16" s="138">
        <v>8.5101922523093041</v>
      </c>
      <c r="V16" s="138">
        <v>119.26235962096919</v>
      </c>
      <c r="W16" s="139">
        <v>328668.19127430569</v>
      </c>
      <c r="X16" s="138">
        <v>79.803791716956766</v>
      </c>
      <c r="Y16" s="138">
        <v>8.0616649169706349</v>
      </c>
      <c r="Z16" s="138">
        <v>112.46917470013446</v>
      </c>
      <c r="AA16" s="139">
        <v>270382.80813735945</v>
      </c>
    </row>
    <row r="17" spans="1:27">
      <c r="A17">
        <v>2033</v>
      </c>
      <c r="B17" s="32" t="s">
        <v>109</v>
      </c>
      <c r="C17" s="140">
        <f t="shared" si="1"/>
        <v>0.15165528903764186</v>
      </c>
      <c r="D17" s="140">
        <f t="shared" si="2"/>
        <v>0.27658835132279425</v>
      </c>
      <c r="E17" s="3">
        <v>0</v>
      </c>
      <c r="F17" s="140">
        <f t="shared" si="3"/>
        <v>8.1581091571013897E-2</v>
      </c>
      <c r="G17" s="140">
        <f t="shared" si="4"/>
        <v>9.0304791941562212E-2</v>
      </c>
      <c r="H17" s="59">
        <f>'CARB ZEV counts'!Q103*M17</f>
        <v>0.25124498162535958</v>
      </c>
      <c r="I17" s="59">
        <f t="shared" si="5"/>
        <v>0.25124498162535958</v>
      </c>
      <c r="J17" s="59"/>
      <c r="K17" s="259">
        <f>'CARB ZEV counts'!N42</f>
        <v>0.13432326202068065</v>
      </c>
      <c r="L17" s="59">
        <f>'Fleet ZEV fractions'!AA25</f>
        <v>0.10869151335170305</v>
      </c>
      <c r="M17" s="15">
        <f t="shared" si="0"/>
        <v>1.2358210671521208</v>
      </c>
      <c r="O17" s="136">
        <v>2033</v>
      </c>
      <c r="P17" s="137">
        <v>0.12271621925585297</v>
      </c>
      <c r="Q17" s="137">
        <v>6.6013676040507119E-2</v>
      </c>
      <c r="R17" s="137">
        <v>7.3072707968690365E-2</v>
      </c>
      <c r="S17" s="137">
        <v>0.22380938363526715</v>
      </c>
      <c r="T17" s="138">
        <v>82.775819125419829</v>
      </c>
      <c r="U17" s="138">
        <v>8.3889579432495651</v>
      </c>
      <c r="V17" s="138">
        <v>115.50678783402272</v>
      </c>
      <c r="W17" s="139">
        <v>322835.29823803843</v>
      </c>
      <c r="X17" s="138">
        <v>72.617883556541983</v>
      </c>
      <c r="Y17" s="138">
        <v>7.8351719912664493</v>
      </c>
      <c r="Z17" s="138">
        <v>107.0663940582257</v>
      </c>
      <c r="AA17" s="139">
        <v>250581.72912367541</v>
      </c>
    </row>
    <row r="18" spans="1:27">
      <c r="A18">
        <v>2034</v>
      </c>
      <c r="B18" s="32" t="s">
        <v>109</v>
      </c>
      <c r="C18" s="140">
        <f t="shared" si="1"/>
        <v>0.18698183768592147</v>
      </c>
      <c r="D18" s="140">
        <f t="shared" si="2"/>
        <v>0.33117182232654718</v>
      </c>
      <c r="E18" s="3">
        <v>0</v>
      </c>
      <c r="F18" s="140">
        <f t="shared" si="3"/>
        <v>9.6300674316557686E-2</v>
      </c>
      <c r="G18" s="140">
        <f t="shared" si="4"/>
        <v>0.10961138267196689</v>
      </c>
      <c r="H18" s="59">
        <f>'CARB ZEV counts'!Q104*M18</f>
        <v>0.2930589754722277</v>
      </c>
      <c r="I18" s="59">
        <f t="shared" si="5"/>
        <v>0.2930589754722277</v>
      </c>
      <c r="J18" s="59"/>
      <c r="K18" s="259">
        <f>'CARB ZEV counts'!N43</f>
        <v>0.1418395665517862</v>
      </c>
      <c r="L18" s="59">
        <f>'Fleet ZEV fractions'!AA26</f>
        <v>0.11834943615596882</v>
      </c>
      <c r="M18" s="15">
        <f t="shared" si="0"/>
        <v>1.1984811348392104</v>
      </c>
      <c r="O18" s="136">
        <v>2034</v>
      </c>
      <c r="P18" s="137">
        <v>0.1560156703768284</v>
      </c>
      <c r="Q18" s="137">
        <v>8.0352265477651841E-2</v>
      </c>
      <c r="R18" s="137">
        <v>9.1458579935571938E-2</v>
      </c>
      <c r="S18" s="137">
        <v>0.27632627055992631</v>
      </c>
      <c r="T18" s="138">
        <v>78.098066082154574</v>
      </c>
      <c r="U18" s="138">
        <v>8.2652907062989662</v>
      </c>
      <c r="V18" s="138">
        <v>111.49052960513755</v>
      </c>
      <c r="W18" s="139">
        <v>317456.57391545404</v>
      </c>
      <c r="X18" s="138">
        <v>65.913543947213384</v>
      </c>
      <c r="Y18" s="138">
        <v>7.601155873216463</v>
      </c>
      <c r="Z18" s="138">
        <v>101.29376409118683</v>
      </c>
      <c r="AA18" s="139">
        <v>229734.98278066504</v>
      </c>
    </row>
    <row r="19" spans="1:27">
      <c r="A19">
        <v>2035</v>
      </c>
      <c r="B19" s="32" t="s">
        <v>109</v>
      </c>
      <c r="C19" s="140">
        <f t="shared" si="1"/>
        <v>0.22528309047235948</v>
      </c>
      <c r="D19" s="140">
        <f t="shared" si="2"/>
        <v>0.38700008367012695</v>
      </c>
      <c r="E19" s="3">
        <v>0</v>
      </c>
      <c r="F19" s="140">
        <f t="shared" si="3"/>
        <v>0.1113154715026921</v>
      </c>
      <c r="G19" s="140">
        <f t="shared" si="4"/>
        <v>0.12941936360343284</v>
      </c>
      <c r="H19" s="59">
        <f>'CARB ZEV counts'!Q105*M19</f>
        <v>0.33404718586824167</v>
      </c>
      <c r="I19" s="59">
        <f t="shared" si="5"/>
        <v>0.33404718586824167</v>
      </c>
      <c r="J19" s="59"/>
      <c r="K19" s="259">
        <f>'CARB ZEV counts'!N44</f>
        <v>0.14881949851245854</v>
      </c>
      <c r="L19" s="59">
        <f>'Fleet ZEV fractions'!AA27</f>
        <v>0.12802365367756524</v>
      </c>
      <c r="M19" s="15">
        <f t="shared" si="0"/>
        <v>1.1624375202356652</v>
      </c>
      <c r="O19" s="136">
        <v>2035</v>
      </c>
      <c r="P19" s="137">
        <v>0.19380232188882462</v>
      </c>
      <c r="Q19" s="137">
        <v>9.5760391044608317E-2</v>
      </c>
      <c r="R19" s="137">
        <v>0.11133446860627416</v>
      </c>
      <c r="S19" s="137">
        <v>0.33292119097434936</v>
      </c>
      <c r="T19" s="138">
        <v>73.905374443095312</v>
      </c>
      <c r="U19" s="138">
        <v>8.1412756679400111</v>
      </c>
      <c r="V19" s="138">
        <v>107.91461244327141</v>
      </c>
      <c r="W19" s="139">
        <v>312566.38375459169</v>
      </c>
      <c r="X19" s="138">
        <v>59.582341275960445</v>
      </c>
      <c r="Y19" s="138">
        <v>7.3616639263761208</v>
      </c>
      <c r="Z19" s="138">
        <v>95.89999641204777</v>
      </c>
      <c r="AA19" s="139">
        <v>208506.41101646749</v>
      </c>
    </row>
    <row r="20" spans="1:27">
      <c r="A20">
        <v>2036</v>
      </c>
      <c r="B20" s="32" t="s">
        <v>109</v>
      </c>
      <c r="C20" s="140">
        <f t="shared" si="1"/>
        <v>0.26533686326505523</v>
      </c>
      <c r="D20" s="140">
        <f t="shared" si="2"/>
        <v>0.43902293615513321</v>
      </c>
      <c r="E20" s="3">
        <v>0</v>
      </c>
      <c r="F20" s="140">
        <f t="shared" si="3"/>
        <v>0.12549510302805694</v>
      </c>
      <c r="G20" s="140">
        <f t="shared" si="4"/>
        <v>0.15043034580490056</v>
      </c>
      <c r="H20" s="59">
        <f>'CARB ZEV counts'!Q106*M20</f>
        <v>0.37151098173906172</v>
      </c>
      <c r="I20" s="59">
        <f t="shared" si="5"/>
        <v>0.37151098173906172</v>
      </c>
      <c r="J20" s="59"/>
      <c r="K20" s="259">
        <f>'CARB ZEV counts'!N45</f>
        <v>0.15564313994187848</v>
      </c>
      <c r="L20" s="59">
        <f>'Fleet ZEV fractions'!AA28</f>
        <v>0.13764651179196724</v>
      </c>
      <c r="M20" s="15">
        <f t="shared" si="0"/>
        <v>1.1307452540251113</v>
      </c>
      <c r="O20" s="136">
        <v>2036</v>
      </c>
      <c r="P20" s="137">
        <v>0.23465662342648463</v>
      </c>
      <c r="Q20" s="137">
        <v>0.11098441720744112</v>
      </c>
      <c r="R20" s="137">
        <v>0.13303646004209524</v>
      </c>
      <c r="S20" s="137">
        <v>0.38825980882284872</v>
      </c>
      <c r="T20" s="138">
        <v>70.20411193179271</v>
      </c>
      <c r="U20" s="138">
        <v>8.0340673204013182</v>
      </c>
      <c r="V20" s="138">
        <v>104.72146075683742</v>
      </c>
      <c r="W20" s="139">
        <v>308274.68971425877</v>
      </c>
      <c r="X20" s="138">
        <v>53.730252075223248</v>
      </c>
      <c r="Y20" s="138">
        <v>7.14241104104123</v>
      </c>
      <c r="Z20" s="138">
        <v>90.789688327310571</v>
      </c>
      <c r="AA20" s="139">
        <v>188584.01762087765</v>
      </c>
    </row>
    <row r="21" spans="1:27">
      <c r="A21">
        <v>2037</v>
      </c>
      <c r="B21" s="32" t="s">
        <v>109</v>
      </c>
      <c r="C21" s="140">
        <f t="shared" si="1"/>
        <v>0.30492660424765911</v>
      </c>
      <c r="D21" s="140">
        <f t="shared" si="2"/>
        <v>0.48387932225280911</v>
      </c>
      <c r="E21" s="3">
        <v>0</v>
      </c>
      <c r="F21" s="140">
        <f t="shared" si="3"/>
        <v>0.13774035851300812</v>
      </c>
      <c r="G21" s="140">
        <f t="shared" si="4"/>
        <v>0.17026832974782086</v>
      </c>
      <c r="H21" s="59">
        <f>'CARB ZEV counts'!Q107*M21</f>
        <v>0.40355768606656078</v>
      </c>
      <c r="I21" s="59">
        <f t="shared" si="5"/>
        <v>0.40355768606656078</v>
      </c>
      <c r="J21" s="59"/>
      <c r="K21" s="259">
        <f>'CARB ZEV counts'!N46</f>
        <v>0.16148796043984739</v>
      </c>
      <c r="L21" s="59">
        <f>'Fleet ZEV fractions'!AA29</f>
        <v>0.14724263430826065</v>
      </c>
      <c r="M21" s="15">
        <f t="shared" si="0"/>
        <v>1.0967472919681902</v>
      </c>
      <c r="O21" s="136">
        <v>2037</v>
      </c>
      <c r="P21" s="137">
        <v>0.2780281350870234</v>
      </c>
      <c r="Q21" s="137">
        <v>0.12558987792513565</v>
      </c>
      <c r="R21" s="137">
        <v>0.15524846151410354</v>
      </c>
      <c r="S21" s="137">
        <v>0.44119490952601637</v>
      </c>
      <c r="T21" s="138">
        <v>66.924428734333446</v>
      </c>
      <c r="U21" s="138">
        <v>7.9324012340853294</v>
      </c>
      <c r="V21" s="138">
        <v>102.25130817074364</v>
      </c>
      <c r="W21" s="139">
        <v>304516.57151557988</v>
      </c>
      <c r="X21" s="138">
        <v>48.317554621562316</v>
      </c>
      <c r="Y21" s="138">
        <v>6.9361719314433579</v>
      </c>
      <c r="Z21" s="138">
        <v>86.376949889431202</v>
      </c>
      <c r="AA21" s="139">
        <v>170165.41029659094</v>
      </c>
    </row>
    <row r="22" spans="1:27">
      <c r="A22">
        <v>2038</v>
      </c>
      <c r="B22" s="32" t="s">
        <v>109</v>
      </c>
      <c r="C22" s="140">
        <f t="shared" si="1"/>
        <v>0.34393641168460154</v>
      </c>
      <c r="D22" s="140">
        <f t="shared" si="2"/>
        <v>0.52262078597199313</v>
      </c>
      <c r="E22" s="3">
        <v>0</v>
      </c>
      <c r="F22" s="140">
        <f t="shared" si="3"/>
        <v>0.14894214571660061</v>
      </c>
      <c r="G22" s="140">
        <f t="shared" si="4"/>
        <v>0.19102340226373468</v>
      </c>
      <c r="H22" s="59">
        <f>'CARB ZEV counts'!Q108*M22</f>
        <v>0.431297665543181</v>
      </c>
      <c r="I22" s="59">
        <f t="shared" si="5"/>
        <v>0.431297665543181</v>
      </c>
      <c r="J22" s="59"/>
      <c r="K22" s="259">
        <f>'CARB ZEV counts'!N47</f>
        <v>0.16676140134679324</v>
      </c>
      <c r="L22" s="59">
        <f>'Fleet ZEV fractions'!AA30</f>
        <v>0.1568121887698001</v>
      </c>
      <c r="M22" s="15">
        <f t="shared" si="0"/>
        <v>1.0634466788267241</v>
      </c>
      <c r="O22" s="136">
        <v>2038</v>
      </c>
      <c r="P22" s="137">
        <v>0.32341669641966309</v>
      </c>
      <c r="Q22" s="137">
        <v>0.14005605422636236</v>
      </c>
      <c r="R22" s="137">
        <v>0.17962668563174822</v>
      </c>
      <c r="S22" s="137">
        <v>0.49144051730791849</v>
      </c>
      <c r="T22" s="138">
        <v>63.996308907900726</v>
      </c>
      <c r="U22" s="138">
        <v>7.8480716468633585</v>
      </c>
      <c r="V22" s="138">
        <v>99.239791765198476</v>
      </c>
      <c r="W22" s="139">
        <v>301209.32241688453</v>
      </c>
      <c r="X22" s="138">
        <v>43.298834097855213</v>
      </c>
      <c r="Y22" s="138">
        <v>6.7489016987178871</v>
      </c>
      <c r="Z22" s="138">
        <v>81.413676887631013</v>
      </c>
      <c r="AA22" s="139">
        <v>153182.8571903632</v>
      </c>
    </row>
    <row r="23" spans="1:27">
      <c r="A23">
        <v>2039</v>
      </c>
      <c r="B23" s="32" t="s">
        <v>109</v>
      </c>
      <c r="C23" s="140">
        <f t="shared" si="1"/>
        <v>0.38223309551188012</v>
      </c>
      <c r="D23" s="140">
        <f t="shared" si="2"/>
        <v>0.55532893454247279</v>
      </c>
      <c r="E23" s="3">
        <v>0</v>
      </c>
      <c r="F23" s="140">
        <f t="shared" si="3"/>
        <v>0.15820087889850265</v>
      </c>
      <c r="G23" s="140">
        <f t="shared" si="4"/>
        <v>0.21268888103709391</v>
      </c>
      <c r="H23" s="59">
        <f>'CARB ZEV counts'!Q109*M23</f>
        <v>0.45496031835449907</v>
      </c>
      <c r="I23" s="59">
        <f t="shared" si="5"/>
        <v>0.45496031835449907</v>
      </c>
      <c r="J23" s="59"/>
      <c r="K23" s="259">
        <f>'CARB ZEV counts'!N48</f>
        <v>0.17149228521211091</v>
      </c>
      <c r="L23" s="59">
        <f>'Fleet ZEV fractions'!AA31</f>
        <v>0.16635534132293822</v>
      </c>
      <c r="M23" s="15">
        <f t="shared" si="0"/>
        <v>1.030879344470224</v>
      </c>
      <c r="O23" s="136">
        <v>2039</v>
      </c>
      <c r="P23" s="137">
        <v>0.37078354277077141</v>
      </c>
      <c r="Q23" s="137">
        <v>0.15346207075261864</v>
      </c>
      <c r="R23" s="137">
        <v>0.20631791894753326</v>
      </c>
      <c r="S23" s="137">
        <v>0.5386944044628813</v>
      </c>
      <c r="T23" s="138">
        <v>61.306533545291607</v>
      </c>
      <c r="U23" s="138">
        <v>7.7650888204016635</v>
      </c>
      <c r="V23" s="138">
        <v>95.839327942750785</v>
      </c>
      <c r="W23" s="139">
        <v>298422.51952566614</v>
      </c>
      <c r="X23" s="138">
        <v>38.575079842373242</v>
      </c>
      <c r="Y23" s="138">
        <v>6.5734422104448154</v>
      </c>
      <c r="Z23" s="138">
        <v>76.065957248272269</v>
      </c>
      <c r="AA23" s="139">
        <v>137663.97809147486</v>
      </c>
    </row>
    <row r="24" spans="1:27">
      <c r="A24">
        <v>2040</v>
      </c>
      <c r="B24" s="32" t="s">
        <v>109</v>
      </c>
      <c r="C24" s="140">
        <f t="shared" si="1"/>
        <v>0.42770477508177718</v>
      </c>
      <c r="D24" s="140">
        <f t="shared" si="2"/>
        <v>0.59527625343205737</v>
      </c>
      <c r="E24" s="3">
        <v>0</v>
      </c>
      <c r="F24" s="140">
        <f t="shared" si="3"/>
        <v>0.16971919131866403</v>
      </c>
      <c r="G24" s="140">
        <f t="shared" si="4"/>
        <v>0.24113306654676084</v>
      </c>
      <c r="H24" s="59">
        <f>'CARB ZEV counts'!Q110*M24</f>
        <v>0.48530740063084005</v>
      </c>
      <c r="I24" s="59">
        <f t="shared" si="5"/>
        <v>0.48530740063084005</v>
      </c>
      <c r="J24" s="59"/>
      <c r="K24" s="259">
        <f>'CARB ZEV counts'!N49</f>
        <v>0.17568933934234149</v>
      </c>
      <c r="L24" s="59">
        <f>'Fleet ZEV fractions'!AA32</f>
        <v>0.17200000000000001</v>
      </c>
      <c r="M24" s="15">
        <f t="shared" si="0"/>
        <v>1.0214496473391945</v>
      </c>
      <c r="O24" s="136">
        <v>2040</v>
      </c>
      <c r="P24" s="137">
        <v>0.41872330779683409</v>
      </c>
      <c r="Q24" s="137">
        <v>0.16615522043673003</v>
      </c>
      <c r="R24" s="137">
        <v>0.23606945988468031</v>
      </c>
      <c r="S24" s="137">
        <v>0.58277591556540331</v>
      </c>
      <c r="T24" s="138">
        <v>58.961173387528028</v>
      </c>
      <c r="U24" s="138">
        <v>7.6908781700882267</v>
      </c>
      <c r="V24" s="138">
        <v>91.9687426155308</v>
      </c>
      <c r="W24" s="139">
        <v>296042.90847056225</v>
      </c>
      <c r="X24" s="138">
        <v>34.272755835119625</v>
      </c>
      <c r="Y24" s="138">
        <v>6.4129986123851825</v>
      </c>
      <c r="Z24" s="138">
        <v>70.257731220009262</v>
      </c>
      <c r="AA24" s="139">
        <v>123516.23143998545</v>
      </c>
    </row>
    <row r="25" spans="1:27">
      <c r="A25" s="8">
        <v>2041</v>
      </c>
      <c r="B25" s="32" t="s">
        <v>109</v>
      </c>
      <c r="C25" s="140">
        <f t="shared" ref="C25:C34" si="6">P25*M25</f>
        <v>0.4858831061592</v>
      </c>
      <c r="D25" s="140">
        <f t="shared" ref="D25:D34" si="7">S25*M25</f>
        <v>0.6500903291741057</v>
      </c>
      <c r="E25" s="3">
        <v>0</v>
      </c>
      <c r="F25" s="140">
        <f t="shared" ref="F25:F34" si="8">Q25*M25</f>
        <v>0.18521462116338233</v>
      </c>
      <c r="G25" s="140">
        <f t="shared" ref="G25:G34" si="9">R25*M25</f>
        <v>0.27845892581359072</v>
      </c>
      <c r="H25" s="59">
        <f>'CARB ZEV counts'!Q111*M25</f>
        <v>0.52841231249646725</v>
      </c>
      <c r="I25" s="59">
        <f t="shared" ref="I25:I34" si="10">H25</f>
        <v>0.52841231249646725</v>
      </c>
      <c r="J25" s="59"/>
      <c r="K25" s="259">
        <f>'CARB ZEV counts'!N50</f>
        <v>0.17935509916109735</v>
      </c>
      <c r="L25" s="59">
        <f>'Fleet ZEV fractions'!AA33</f>
        <v>0.17200000000000001</v>
      </c>
      <c r="M25" s="15">
        <f t="shared" ref="M25:M34" si="11">K25/L25</f>
        <v>1.0427622044249845</v>
      </c>
      <c r="O25" s="136">
        <v>2041</v>
      </c>
      <c r="P25" s="137">
        <v>0.46595772660089163</v>
      </c>
      <c r="Q25" s="137">
        <v>0.17761923128534962</v>
      </c>
      <c r="R25" s="137">
        <v>0.26703971876995936</v>
      </c>
      <c r="S25" s="137">
        <v>0.6234310434492476</v>
      </c>
      <c r="T25" s="138">
        <v>56.977337312628663</v>
      </c>
      <c r="U25" s="138">
        <v>7.624505265485964</v>
      </c>
      <c r="V25" s="138">
        <v>89.327935475426528</v>
      </c>
      <c r="W25" s="139">
        <v>293982.5537906586</v>
      </c>
      <c r="X25" s="138">
        <v>30.428306750664056</v>
      </c>
      <c r="Y25" s="138">
        <v>6.2702465012992468</v>
      </c>
      <c r="Z25" s="138">
        <v>65.473828707767552</v>
      </c>
      <c r="AA25" s="139">
        <v>110704.70352507374</v>
      </c>
    </row>
    <row r="26" spans="1:27">
      <c r="A26" s="8">
        <v>2042</v>
      </c>
      <c r="B26" s="32" t="s">
        <v>109</v>
      </c>
      <c r="C26" s="140">
        <f t="shared" si="6"/>
        <v>0.5451537612094246</v>
      </c>
      <c r="D26" s="140">
        <f t="shared" si="7"/>
        <v>0.70143040831672132</v>
      </c>
      <c r="E26" s="3">
        <v>0</v>
      </c>
      <c r="F26" s="140">
        <f t="shared" si="8"/>
        <v>0.20023784625848146</v>
      </c>
      <c r="G26" s="140">
        <f t="shared" si="9"/>
        <v>0.31770845800744801</v>
      </c>
      <c r="H26" s="59">
        <f>'CARB ZEV counts'!Q112*M26</f>
        <v>0.5693332972251034</v>
      </c>
      <c r="I26" s="59">
        <f t="shared" si="10"/>
        <v>0.5693332972251034</v>
      </c>
      <c r="J26" s="59"/>
      <c r="K26" s="259">
        <f>'CARB ZEV counts'!N51</f>
        <v>0.18258817090875848</v>
      </c>
      <c r="L26" s="59">
        <f>'Fleet ZEV fractions'!AA34</f>
        <v>0.17200000000000001</v>
      </c>
      <c r="M26" s="15">
        <f t="shared" si="11"/>
        <v>1.0615591331904561</v>
      </c>
      <c r="O26" s="136">
        <v>2042</v>
      </c>
      <c r="P26" s="137">
        <v>0.51354064428892976</v>
      </c>
      <c r="Q26" s="137">
        <v>0.18862618199767911</v>
      </c>
      <c r="R26" s="137">
        <v>0.2992847483235278</v>
      </c>
      <c r="S26" s="137">
        <v>0.6607549088750353</v>
      </c>
      <c r="T26" s="138">
        <v>55.123980847078194</v>
      </c>
      <c r="U26" s="138">
        <v>7.5695407210633494</v>
      </c>
      <c r="V26" s="138">
        <v>87.087203344346193</v>
      </c>
      <c r="W26" s="139">
        <v>292308.48622411885</v>
      </c>
      <c r="X26" s="138">
        <v>26.815576207099035</v>
      </c>
      <c r="Y26" s="138">
        <v>6.1417271553732107</v>
      </c>
      <c r="Z26" s="138">
        <v>61.023331609233658</v>
      </c>
      <c r="AA26" s="139">
        <v>99164.219045701713</v>
      </c>
    </row>
    <row r="27" spans="1:27">
      <c r="A27" s="8">
        <v>2043</v>
      </c>
      <c r="B27" s="32" t="s">
        <v>109</v>
      </c>
      <c r="C27" s="140">
        <f t="shared" si="6"/>
        <v>0.60221644742019531</v>
      </c>
      <c r="D27" s="140">
        <f t="shared" si="7"/>
        <v>0.74865126479963262</v>
      </c>
      <c r="E27" s="3">
        <v>0</v>
      </c>
      <c r="F27" s="140">
        <f t="shared" si="8"/>
        <v>0.21420333295630287</v>
      </c>
      <c r="G27" s="140">
        <f t="shared" si="9"/>
        <v>0.3578009647062777</v>
      </c>
      <c r="H27" s="59">
        <f>'CARB ZEV counts'!Q113*M27</f>
        <v>0.60756730899209954</v>
      </c>
      <c r="I27" s="59">
        <f t="shared" si="10"/>
        <v>0.60756730899209954</v>
      </c>
      <c r="J27" s="59"/>
      <c r="K27" s="259">
        <f>'CARB ZEV counts'!N52</f>
        <v>0.18539259849154185</v>
      </c>
      <c r="L27" s="59">
        <f>'Fleet ZEV fractions'!AA35</f>
        <v>0.17200000000000001</v>
      </c>
      <c r="M27" s="15">
        <f t="shared" si="11"/>
        <v>1.0778639447182665</v>
      </c>
      <c r="O27" s="136">
        <v>2043</v>
      </c>
      <c r="P27" s="137">
        <v>0.5587128601630732</v>
      </c>
      <c r="Q27" s="137">
        <v>0.19872947231043303</v>
      </c>
      <c r="R27" s="137">
        <v>0.33195373725929778</v>
      </c>
      <c r="S27" s="137">
        <v>0.69456935494332361</v>
      </c>
      <c r="T27" s="138">
        <v>53.606095171080092</v>
      </c>
      <c r="U27" s="138">
        <v>7.523272912955254</v>
      </c>
      <c r="V27" s="138">
        <v>85.276081240181497</v>
      </c>
      <c r="W27" s="139">
        <v>290936.5596301828</v>
      </c>
      <c r="X27" s="138">
        <v>23.655680415872027</v>
      </c>
      <c r="Y27" s="138">
        <v>6.0281768569162821</v>
      </c>
      <c r="Z27" s="138">
        <v>56.968367373675754</v>
      </c>
      <c r="AA27" s="139">
        <v>88860.941078416916</v>
      </c>
    </row>
    <row r="28" spans="1:27">
      <c r="A28" s="8">
        <v>2044</v>
      </c>
      <c r="B28" s="32" t="s">
        <v>109</v>
      </c>
      <c r="C28" s="140">
        <f t="shared" si="6"/>
        <v>0.66098168291210924</v>
      </c>
      <c r="D28" s="140">
        <f t="shared" si="7"/>
        <v>0.79175910127781624</v>
      </c>
      <c r="E28" s="3">
        <v>0</v>
      </c>
      <c r="F28" s="140">
        <f t="shared" si="8"/>
        <v>0.22718919426523637</v>
      </c>
      <c r="G28" s="140">
        <f t="shared" si="9"/>
        <v>0.39885889245198114</v>
      </c>
      <c r="H28" s="59">
        <f>'CARB ZEV counts'!Q114*M28</f>
        <v>0.64296887149129178</v>
      </c>
      <c r="I28" s="59">
        <f t="shared" si="10"/>
        <v>0.64296887149129178</v>
      </c>
      <c r="J28" s="59"/>
      <c r="K28" s="259">
        <f>'CARB ZEV counts'!N53</f>
        <v>0.18782197417474236</v>
      </c>
      <c r="L28" s="59">
        <f>'Fleet ZEV fractions'!AA36</f>
        <v>0.17200000000000001</v>
      </c>
      <c r="M28" s="15">
        <f t="shared" si="11"/>
        <v>1.0919882219461765</v>
      </c>
      <c r="O28" s="136">
        <v>2044</v>
      </c>
      <c r="P28" s="137">
        <v>0.60530111005600995</v>
      </c>
      <c r="Q28" s="137">
        <v>0.20805095668553319</v>
      </c>
      <c r="R28" s="137">
        <v>0.36525933561913515</v>
      </c>
      <c r="S28" s="137">
        <v>0.72506194239596988</v>
      </c>
      <c r="T28" s="138">
        <v>51.984134646110988</v>
      </c>
      <c r="U28" s="138">
        <v>7.4799232896076804</v>
      </c>
      <c r="V28" s="138">
        <v>83.637128764377692</v>
      </c>
      <c r="W28" s="139">
        <v>289769.31511416647</v>
      </c>
      <c r="X28" s="138">
        <v>20.518080239518923</v>
      </c>
      <c r="Y28" s="138">
        <v>5.9237180932704021</v>
      </c>
      <c r="Z28" s="138">
        <v>53.087886678809042</v>
      </c>
      <c r="AA28" s="139">
        <v>79668.612650739073</v>
      </c>
    </row>
    <row r="29" spans="1:27">
      <c r="A29" s="8">
        <v>2045</v>
      </c>
      <c r="B29" s="32" t="s">
        <v>109</v>
      </c>
      <c r="C29" s="140">
        <f t="shared" si="6"/>
        <v>0.71817388602618637</v>
      </c>
      <c r="D29" s="140">
        <f t="shared" si="7"/>
        <v>0.83074463352180594</v>
      </c>
      <c r="E29" s="3">
        <v>0</v>
      </c>
      <c r="F29" s="140">
        <f t="shared" si="8"/>
        <v>0.23906103046240262</v>
      </c>
      <c r="G29" s="140">
        <f t="shared" si="9"/>
        <v>0.44103923681494539</v>
      </c>
      <c r="H29" s="59">
        <f>'CARB ZEV counts'!Q115*M29</f>
        <v>0.67549489759719505</v>
      </c>
      <c r="I29" s="59">
        <f t="shared" si="10"/>
        <v>0.67549489759719505</v>
      </c>
      <c r="J29" s="59"/>
      <c r="K29" s="259">
        <f>'CARB ZEV counts'!N54</f>
        <v>0.18993147006779904</v>
      </c>
      <c r="L29" s="59">
        <f>'Fleet ZEV fractions'!AA37</f>
        <v>0.17200000000000001</v>
      </c>
      <c r="M29" s="15">
        <f t="shared" si="11"/>
        <v>1.10425273295232</v>
      </c>
      <c r="O29" s="136">
        <v>2045</v>
      </c>
      <c r="P29" s="137">
        <v>0.6503709382779459</v>
      </c>
      <c r="Q29" s="137">
        <v>0.21649122825646194</v>
      </c>
      <c r="R29" s="137">
        <v>0.39940062963284406</v>
      </c>
      <c r="S29" s="137">
        <v>0.75231385780747373</v>
      </c>
      <c r="T29" s="138">
        <v>50.509124951306624</v>
      </c>
      <c r="U29" s="138">
        <v>7.4425450968993685</v>
      </c>
      <c r="V29" s="138">
        <v>82.093814114995808</v>
      </c>
      <c r="W29" s="139">
        <v>288779.18562703318</v>
      </c>
      <c r="X29" s="138">
        <v>17.659457965127331</v>
      </c>
      <c r="Y29" s="138">
        <v>5.8312993675175155</v>
      </c>
      <c r="Z29" s="138">
        <v>49.305493068504823</v>
      </c>
      <c r="AA29" s="139">
        <v>71526.60243345928</v>
      </c>
    </row>
    <row r="30" spans="1:27">
      <c r="A30" s="8">
        <v>2046</v>
      </c>
      <c r="B30" s="32" t="s">
        <v>109</v>
      </c>
      <c r="C30" s="140">
        <f t="shared" si="6"/>
        <v>0.77463130964705706</v>
      </c>
      <c r="D30" s="140">
        <f t="shared" si="7"/>
        <v>0.86551875672516065</v>
      </c>
      <c r="E30" s="3">
        <v>0</v>
      </c>
      <c r="F30" s="140">
        <f t="shared" si="8"/>
        <v>0.24983387226090445</v>
      </c>
      <c r="G30" s="140">
        <f t="shared" si="9"/>
        <v>0.48834939498072422</v>
      </c>
      <c r="H30" s="59">
        <f>'CARB ZEV counts'!Q116*M30</f>
        <v>0.70493182569556312</v>
      </c>
      <c r="I30" s="59">
        <f t="shared" si="10"/>
        <v>0.70493182569556312</v>
      </c>
      <c r="J30" s="59"/>
      <c r="K30" s="259">
        <f>'CARB ZEV counts'!N55</f>
        <v>0.19173704773908481</v>
      </c>
      <c r="L30" s="59">
        <f>'Fleet ZEV fractions'!AA38</f>
        <v>0.17200000000000001</v>
      </c>
      <c r="M30" s="15">
        <f t="shared" si="11"/>
        <v>1.1147502775528186</v>
      </c>
      <c r="O30" s="136">
        <v>2046</v>
      </c>
      <c r="P30" s="137">
        <v>0.69489223303678771</v>
      </c>
      <c r="Q30" s="137">
        <v>0.22411644768490935</v>
      </c>
      <c r="R30" s="137">
        <v>0.43807963524600735</v>
      </c>
      <c r="S30" s="137">
        <v>0.77642389883518192</v>
      </c>
      <c r="T30" s="138">
        <v>49.071554736245467</v>
      </c>
      <c r="U30" s="138">
        <v>7.4085694129189132</v>
      </c>
      <c r="V30" s="138">
        <v>80.553077144832983</v>
      </c>
      <c r="W30" s="139">
        <v>287943.9258865334</v>
      </c>
      <c r="X30" s="138">
        <v>14.972112486988902</v>
      </c>
      <c r="Y30" s="138">
        <v>5.7481871536684519</v>
      </c>
      <c r="Z30" s="138">
        <v>45.264414491281059</v>
      </c>
      <c r="AA30" s="139">
        <v>64377.380303802485</v>
      </c>
    </row>
    <row r="31" spans="1:27">
      <c r="A31" s="8">
        <v>2047</v>
      </c>
      <c r="B31" s="32" t="s">
        <v>109</v>
      </c>
      <c r="C31" s="140">
        <f t="shared" si="6"/>
        <v>0.82625620104107989</v>
      </c>
      <c r="D31" s="140">
        <f t="shared" si="7"/>
        <v>0.89616939264642037</v>
      </c>
      <c r="E31" s="3">
        <v>0</v>
      </c>
      <c r="F31" s="140">
        <f t="shared" si="8"/>
        <v>0.2594381358082592</v>
      </c>
      <c r="G31" s="140">
        <f t="shared" si="9"/>
        <v>0.53579131724576445</v>
      </c>
      <c r="H31" s="59">
        <f>'CARB ZEV counts'!Q117*M31</f>
        <v>0.73126571693159204</v>
      </c>
      <c r="I31" s="59">
        <f t="shared" si="10"/>
        <v>0.73126571693159204</v>
      </c>
      <c r="J31" s="59"/>
      <c r="K31" s="259">
        <f>'CARB ZEV counts'!N56</f>
        <v>0.19327734694740953</v>
      </c>
      <c r="L31" s="59">
        <f>'Fleet ZEV fractions'!AA39</f>
        <v>0.17200000000000001</v>
      </c>
      <c r="M31" s="15">
        <f t="shared" si="11"/>
        <v>1.1237055055081948</v>
      </c>
      <c r="O31" s="136">
        <v>2047</v>
      </c>
      <c r="P31" s="137">
        <v>0.73529603351672312</v>
      </c>
      <c r="Q31" s="137">
        <v>0.23087733800051868</v>
      </c>
      <c r="R31" s="137">
        <v>0.47680759293196961</v>
      </c>
      <c r="S31" s="137">
        <v>0.79751268304156664</v>
      </c>
      <c r="T31" s="138">
        <v>47.893564636765305</v>
      </c>
      <c r="U31" s="138">
        <v>7.3795614339164635</v>
      </c>
      <c r="V31" s="138">
        <v>79.328288954108714</v>
      </c>
      <c r="W31" s="139">
        <v>287249.26698953018</v>
      </c>
      <c r="X31" s="138">
        <v>12.677616528374982</v>
      </c>
      <c r="Y31" s="138">
        <v>5.6757879344425399</v>
      </c>
      <c r="Z31" s="138">
        <v>41.503958446488383</v>
      </c>
      <c r="AA31" s="139">
        <v>58164.333370986657</v>
      </c>
    </row>
    <row r="32" spans="1:27">
      <c r="A32" s="8">
        <v>2048</v>
      </c>
      <c r="B32" s="32" t="s">
        <v>109</v>
      </c>
      <c r="C32" s="140">
        <f t="shared" si="6"/>
        <v>0.87437597681761958</v>
      </c>
      <c r="D32" s="140">
        <f t="shared" si="7"/>
        <v>0.92309710319952565</v>
      </c>
      <c r="E32" s="3">
        <v>0</v>
      </c>
      <c r="F32" s="140">
        <f t="shared" si="8"/>
        <v>0.26799744371654938</v>
      </c>
      <c r="G32" s="140">
        <f t="shared" si="9"/>
        <v>0.58425163999794039</v>
      </c>
      <c r="H32" s="59">
        <f>'CARB ZEV counts'!Q118*M32</f>
        <v>0.7546797825579864</v>
      </c>
      <c r="I32" s="59">
        <f t="shared" si="10"/>
        <v>0.7546797825579864</v>
      </c>
      <c r="J32" s="59"/>
      <c r="K32" s="259">
        <f>'CARB ZEV counts'!N57</f>
        <v>0.19460158979738204</v>
      </c>
      <c r="L32" s="59">
        <f>'Fleet ZEV fractions'!AA40</f>
        <v>0.17200000000000001</v>
      </c>
      <c r="M32" s="15">
        <f t="shared" si="11"/>
        <v>1.1314045918452442</v>
      </c>
      <c r="O32" s="136">
        <v>2048</v>
      </c>
      <c r="P32" s="137">
        <v>0.77282342949622607</v>
      </c>
      <c r="Q32" s="137">
        <v>0.23687144779876113</v>
      </c>
      <c r="R32" s="137">
        <v>0.51639496976502941</v>
      </c>
      <c r="S32" s="137">
        <v>0.81588594376660328</v>
      </c>
      <c r="T32" s="138">
        <v>46.848669769220294</v>
      </c>
      <c r="U32" s="138">
        <v>7.353340281537621</v>
      </c>
      <c r="V32" s="138">
        <v>78.243757015543395</v>
      </c>
      <c r="W32" s="139">
        <v>286653.42866598733</v>
      </c>
      <c r="X32" s="138">
        <v>10.642920130835297</v>
      </c>
      <c r="Y32" s="138">
        <v>5.6115439228928548</v>
      </c>
      <c r="Z32" s="138">
        <v>37.83907447719956</v>
      </c>
      <c r="AA32" s="139">
        <v>52776.92548490558</v>
      </c>
    </row>
    <row r="33" spans="1:27">
      <c r="A33" s="8">
        <v>2049</v>
      </c>
      <c r="B33" s="32" t="s">
        <v>109</v>
      </c>
      <c r="C33" s="140">
        <f t="shared" si="6"/>
        <v>0.9080732439513105</v>
      </c>
      <c r="D33" s="140">
        <f t="shared" si="7"/>
        <v>0.94652722785609322</v>
      </c>
      <c r="E33" s="3">
        <v>0</v>
      </c>
      <c r="F33" s="140">
        <f t="shared" si="8"/>
        <v>0.27557464584415486</v>
      </c>
      <c r="G33" s="140">
        <f t="shared" si="9"/>
        <v>0.63052305925251739</v>
      </c>
      <c r="H33" s="59">
        <f>'CARB ZEV counts'!Q119*M33</f>
        <v>0.77533105191036233</v>
      </c>
      <c r="I33" s="59">
        <f t="shared" si="10"/>
        <v>0.77533105191036233</v>
      </c>
      <c r="J33" s="59"/>
      <c r="K33" s="259">
        <f>'CARB ZEV counts'!N58</f>
        <v>0.19574274981977258</v>
      </c>
      <c r="L33" s="59">
        <f>'Fleet ZEV fractions'!AA41</f>
        <v>0.17200000000000001</v>
      </c>
      <c r="M33" s="15">
        <f t="shared" si="11"/>
        <v>1.1380392431382125</v>
      </c>
      <c r="O33" s="136">
        <v>2049</v>
      </c>
      <c r="P33" s="137">
        <v>0.79792788291486616</v>
      </c>
      <c r="Q33" s="137">
        <v>0.2421486319612679</v>
      </c>
      <c r="R33" s="137">
        <v>0.55404333642644144</v>
      </c>
      <c r="S33" s="137">
        <v>0.83171756471770408</v>
      </c>
      <c r="T33" s="138">
        <v>46.465282097839491</v>
      </c>
      <c r="U33" s="138">
        <v>7.3294020756301812</v>
      </c>
      <c r="V33" s="138">
        <v>77.541425607315588</v>
      </c>
      <c r="W33" s="139">
        <v>286152.39200165513</v>
      </c>
      <c r="X33" s="138">
        <v>9.3893379244683945</v>
      </c>
      <c r="Y33" s="138">
        <v>5.5545973899222556</v>
      </c>
      <c r="Z33" s="138">
        <v>34.580115452575761</v>
      </c>
      <c r="AA33" s="139">
        <v>48154.421387892697</v>
      </c>
    </row>
    <row r="34" spans="1:27">
      <c r="A34" s="8">
        <v>2050</v>
      </c>
      <c r="B34" s="32" t="s">
        <v>109</v>
      </c>
      <c r="C34" s="140">
        <f t="shared" si="6"/>
        <v>0.93826484356159767</v>
      </c>
      <c r="D34" s="140">
        <f t="shared" si="7"/>
        <v>0.96662629313983772</v>
      </c>
      <c r="E34" s="3">
        <v>0</v>
      </c>
      <c r="F34" s="140">
        <f t="shared" si="8"/>
        <v>0.28223383436644278</v>
      </c>
      <c r="G34" s="140">
        <f t="shared" si="9"/>
        <v>0.67618771052232551</v>
      </c>
      <c r="H34" s="59">
        <f>'CARB ZEV counts'!Q120*M34</f>
        <v>0.79333911918408273</v>
      </c>
      <c r="I34" s="59">
        <f t="shared" si="10"/>
        <v>0.79333911918408273</v>
      </c>
      <c r="J34" s="59"/>
      <c r="K34" s="259">
        <f>'CARB ZEV counts'!N59</f>
        <v>0.19671813353418391</v>
      </c>
      <c r="L34" s="59">
        <f>'Fleet ZEV fractions'!AA42</f>
        <v>0.17200000000000001</v>
      </c>
      <c r="M34" s="15">
        <f t="shared" si="11"/>
        <v>1.1437100786871157</v>
      </c>
      <c r="O34" s="136">
        <v>2050</v>
      </c>
      <c r="P34" s="137">
        <v>0.8203694809078258</v>
      </c>
      <c r="Q34" s="137">
        <v>0.24677043564259205</v>
      </c>
      <c r="R34" s="137">
        <v>0.59122300583250342</v>
      </c>
      <c r="S34" s="137">
        <v>0.84516724225202644</v>
      </c>
      <c r="T34" s="138">
        <v>46.11974975541618</v>
      </c>
      <c r="U34" s="138">
        <v>7.3071226768972419</v>
      </c>
      <c r="V34" s="138">
        <v>76.945984931380934</v>
      </c>
      <c r="W34" s="139">
        <v>285753.34795652481</v>
      </c>
      <c r="X34" s="138">
        <v>8.2845145889665837</v>
      </c>
      <c r="Y34" s="138">
        <v>5.5039408306254458</v>
      </c>
      <c r="Z34" s="138">
        <v>31.453748433507382</v>
      </c>
      <c r="AA34" s="139">
        <v>44243.978899824993</v>
      </c>
    </row>
    <row r="36" spans="1:27">
      <c r="A36" s="2" t="s">
        <v>150</v>
      </c>
      <c r="O36" s="160"/>
    </row>
    <row r="37" spans="1:27">
      <c r="A37" t="s">
        <v>0</v>
      </c>
      <c r="B37" t="s">
        <v>1</v>
      </c>
      <c r="C37" t="s">
        <v>2</v>
      </c>
      <c r="D37" t="s">
        <v>3</v>
      </c>
      <c r="E37" t="s">
        <v>22</v>
      </c>
      <c r="F37" t="s">
        <v>24</v>
      </c>
      <c r="G37" t="s">
        <v>115</v>
      </c>
      <c r="H37" t="s">
        <v>116</v>
      </c>
      <c r="I37" t="s">
        <v>117</v>
      </c>
      <c r="O37" t="s">
        <v>403</v>
      </c>
    </row>
    <row r="38" spans="1:27">
      <c r="A38">
        <v>2025</v>
      </c>
      <c r="B38" t="s">
        <v>109</v>
      </c>
      <c r="C38">
        <v>0</v>
      </c>
      <c r="D38">
        <v>0</v>
      </c>
      <c r="E38" s="3">
        <v>0</v>
      </c>
      <c r="F38">
        <v>0</v>
      </c>
      <c r="G38">
        <v>0</v>
      </c>
      <c r="H38">
        <v>0</v>
      </c>
      <c r="I38">
        <v>0</v>
      </c>
      <c r="O38" t="s">
        <v>0</v>
      </c>
      <c r="P38" t="s">
        <v>400</v>
      </c>
      <c r="Q38" t="s">
        <v>401</v>
      </c>
      <c r="R38" t="s">
        <v>402</v>
      </c>
      <c r="S38" t="s">
        <v>49</v>
      </c>
      <c r="T38" t="s">
        <v>404</v>
      </c>
      <c r="U38" t="s">
        <v>405</v>
      </c>
      <c r="X38" t="s">
        <v>406</v>
      </c>
    </row>
    <row r="39" spans="1:27">
      <c r="A39">
        <v>2026</v>
      </c>
      <c r="B39" t="s">
        <v>109</v>
      </c>
      <c r="C39">
        <v>0</v>
      </c>
      <c r="D39">
        <v>0</v>
      </c>
      <c r="E39" s="3">
        <v>0</v>
      </c>
      <c r="F39">
        <v>0</v>
      </c>
      <c r="G39">
        <v>0</v>
      </c>
      <c r="H39">
        <v>0</v>
      </c>
      <c r="I39">
        <v>0</v>
      </c>
      <c r="O39">
        <v>2026</v>
      </c>
      <c r="P39">
        <v>1996</v>
      </c>
      <c r="Q39">
        <v>1</v>
      </c>
      <c r="R39">
        <v>39202800000</v>
      </c>
      <c r="X39">
        <v>2025</v>
      </c>
      <c r="Y39">
        <v>0</v>
      </c>
    </row>
    <row r="40" spans="1:27">
      <c r="A40">
        <v>2027</v>
      </c>
      <c r="B40" t="s">
        <v>109</v>
      </c>
      <c r="C40" s="59">
        <f t="shared" ref="C40:I40" si="12">C11*(1-$Y41)</f>
        <v>1.4304901640607751E-2</v>
      </c>
      <c r="D40" s="59">
        <f t="shared" si="12"/>
        <v>3.1558796055846661E-2</v>
      </c>
      <c r="E40" s="3">
        <f t="shared" si="12"/>
        <v>0</v>
      </c>
      <c r="F40" s="59">
        <f t="shared" si="12"/>
        <v>1.0009928248422811E-2</v>
      </c>
      <c r="G40" s="59">
        <f t="shared" si="12"/>
        <v>8.2320091771682334E-3</v>
      </c>
      <c r="H40" s="59">
        <f t="shared" si="12"/>
        <v>3.3156257015711406E-2</v>
      </c>
      <c r="I40" s="59">
        <f t="shared" si="12"/>
        <v>3.3156257015711406E-2</v>
      </c>
      <c r="J40" s="59"/>
      <c r="K40" s="59"/>
      <c r="L40" s="59"/>
      <c r="O40">
        <v>2026</v>
      </c>
      <c r="P40">
        <v>1997</v>
      </c>
      <c r="Q40">
        <v>1</v>
      </c>
      <c r="R40">
        <v>7270920000</v>
      </c>
      <c r="X40">
        <v>2026</v>
      </c>
      <c r="Y40">
        <f>U69</f>
        <v>7.453940728279905E-2</v>
      </c>
    </row>
    <row r="41" spans="1:27">
      <c r="A41">
        <v>2028</v>
      </c>
      <c r="B41" t="s">
        <v>109</v>
      </c>
      <c r="C41" s="59">
        <f t="shared" ref="C41:C53" si="13">C12*(1-$Y42)</f>
        <v>2.5873751606667893E-2</v>
      </c>
      <c r="D41" s="59">
        <f t="shared" ref="D41:D53" si="14">D12*(1-$Y42)</f>
        <v>5.6958988023847822E-2</v>
      </c>
      <c r="E41" s="3">
        <f t="shared" ref="E41:E53" si="15">E12*(1-$Y42)</f>
        <v>0</v>
      </c>
      <c r="F41" s="59">
        <f t="shared" ref="F41:F53" si="16">F12*(1-$Y42)</f>
        <v>1.7666442800448216E-2</v>
      </c>
      <c r="G41" s="59">
        <f t="shared" ref="G41:G53" si="17">G12*(1-$Y42)</f>
        <v>1.5414325982546386E-2</v>
      </c>
      <c r="H41" s="59">
        <f t="shared" ref="H41:H53" si="18">H12*(1-$Y42)</f>
        <v>5.6969949149397105E-2</v>
      </c>
      <c r="I41" s="59">
        <f t="shared" ref="I41:I53" si="19">I12*(1-$Y42)</f>
        <v>5.6969949149397105E-2</v>
      </c>
      <c r="J41" s="59"/>
      <c r="K41" s="59"/>
      <c r="L41" s="59"/>
      <c r="O41">
        <v>2026</v>
      </c>
      <c r="P41">
        <v>1998</v>
      </c>
      <c r="Q41">
        <v>1</v>
      </c>
      <c r="R41">
        <v>8408160000</v>
      </c>
      <c r="X41">
        <v>2027</v>
      </c>
      <c r="Y41">
        <f>U100</f>
        <v>7.2461712268998862E-2</v>
      </c>
    </row>
    <row r="42" spans="1:27">
      <c r="A42">
        <v>2029</v>
      </c>
      <c r="B42" t="s">
        <v>109</v>
      </c>
      <c r="C42" s="59">
        <f t="shared" si="13"/>
        <v>4.16831859397509E-2</v>
      </c>
      <c r="D42" s="59">
        <f t="shared" si="14"/>
        <v>8.7610899699846423E-2</v>
      </c>
      <c r="E42" s="3">
        <f t="shared" si="15"/>
        <v>0</v>
      </c>
      <c r="F42" s="59">
        <f t="shared" si="16"/>
        <v>2.6961073158423103E-2</v>
      </c>
      <c r="G42" s="59">
        <f t="shared" si="17"/>
        <v>2.5646362780061178E-2</v>
      </c>
      <c r="H42" s="59">
        <f t="shared" si="18"/>
        <v>8.6576730095239154E-2</v>
      </c>
      <c r="I42" s="59">
        <f t="shared" si="19"/>
        <v>8.6576730095239154E-2</v>
      </c>
      <c r="J42" s="59"/>
      <c r="K42" s="59"/>
      <c r="L42" s="59"/>
      <c r="O42">
        <v>2026</v>
      </c>
      <c r="P42">
        <v>1999</v>
      </c>
      <c r="Q42">
        <v>1</v>
      </c>
      <c r="R42">
        <v>10960200000</v>
      </c>
      <c r="X42">
        <v>2028</v>
      </c>
      <c r="Y42">
        <f>U131</f>
        <v>7.03275857866177E-2</v>
      </c>
    </row>
    <row r="43" spans="1:27">
      <c r="A43">
        <v>2030</v>
      </c>
      <c r="B43" t="s">
        <v>109</v>
      </c>
      <c r="C43" s="59">
        <f t="shared" si="13"/>
        <v>6.1183437422250048E-2</v>
      </c>
      <c r="D43" s="59">
        <f t="shared" si="14"/>
        <v>0.12367918447799017</v>
      </c>
      <c r="E43" s="3">
        <f t="shared" si="15"/>
        <v>0</v>
      </c>
      <c r="F43" s="59">
        <f t="shared" si="16"/>
        <v>3.7761321817331363E-2</v>
      </c>
      <c r="G43" s="59">
        <f t="shared" si="17"/>
        <v>3.7956475046844726E-2</v>
      </c>
      <c r="H43" s="59">
        <f t="shared" si="18"/>
        <v>0.12049877149716658</v>
      </c>
      <c r="I43" s="59">
        <f t="shared" si="19"/>
        <v>0.12049877149716658</v>
      </c>
      <c r="J43" s="59"/>
      <c r="K43" s="59"/>
      <c r="L43" s="59"/>
      <c r="O43">
        <v>2026</v>
      </c>
      <c r="P43">
        <v>2000</v>
      </c>
      <c r="Q43">
        <v>1</v>
      </c>
      <c r="R43">
        <v>13445900000</v>
      </c>
      <c r="X43">
        <v>2029</v>
      </c>
      <c r="Y43">
        <f>U162</f>
        <v>6.8161021074259795E-2</v>
      </c>
    </row>
    <row r="44" spans="1:27">
      <c r="A44">
        <v>2031</v>
      </c>
      <c r="B44" t="s">
        <v>109</v>
      </c>
      <c r="C44" s="59">
        <f t="shared" si="13"/>
        <v>8.4920577988864848E-2</v>
      </c>
      <c r="D44" s="59">
        <f t="shared" si="14"/>
        <v>0.16622919673912337</v>
      </c>
      <c r="E44" s="3">
        <f t="shared" si="15"/>
        <v>0</v>
      </c>
      <c r="F44" s="59">
        <f t="shared" si="16"/>
        <v>5.0010696798922491E-2</v>
      </c>
      <c r="G44" s="59">
        <f t="shared" si="17"/>
        <v>5.2427253317867274E-2</v>
      </c>
      <c r="H44" s="59">
        <f t="shared" si="18"/>
        <v>0.1581609602754015</v>
      </c>
      <c r="I44" s="59">
        <f t="shared" si="19"/>
        <v>0.1581609602754015</v>
      </c>
      <c r="J44" s="59"/>
      <c r="K44" s="59"/>
      <c r="L44" s="59"/>
      <c r="O44">
        <v>2026</v>
      </c>
      <c r="P44">
        <v>2001</v>
      </c>
      <c r="Q44">
        <v>1</v>
      </c>
      <c r="R44">
        <v>14970300000</v>
      </c>
      <c r="X44">
        <v>2030</v>
      </c>
      <c r="Y44">
        <f>U193</f>
        <v>6.5694363096126474E-2</v>
      </c>
    </row>
    <row r="45" spans="1:27">
      <c r="A45">
        <v>2032</v>
      </c>
      <c r="B45" t="s">
        <v>109</v>
      </c>
      <c r="C45" s="59">
        <f t="shared" si="13"/>
        <v>0.11241888044983787</v>
      </c>
      <c r="D45" s="59">
        <f t="shared" si="14"/>
        <v>0.21257746817766207</v>
      </c>
      <c r="E45" s="3">
        <f t="shared" si="15"/>
        <v>0</v>
      </c>
      <c r="F45" s="59">
        <f t="shared" si="16"/>
        <v>6.3177842999836378E-2</v>
      </c>
      <c r="G45" s="59">
        <f t="shared" si="17"/>
        <v>6.8278707065478728E-2</v>
      </c>
      <c r="H45" s="59">
        <f t="shared" si="18"/>
        <v>0.19737726224492669</v>
      </c>
      <c r="I45" s="59">
        <f t="shared" si="19"/>
        <v>0.19737726224492669</v>
      </c>
      <c r="J45" s="59"/>
      <c r="K45" s="59"/>
      <c r="L45" s="59"/>
      <c r="O45">
        <v>2026</v>
      </c>
      <c r="P45">
        <v>2002</v>
      </c>
      <c r="Q45">
        <v>1</v>
      </c>
      <c r="R45">
        <v>18529700000</v>
      </c>
      <c r="X45">
        <v>2031</v>
      </c>
      <c r="Y45">
        <f>U224</f>
        <v>6.2888647044076776E-2</v>
      </c>
    </row>
    <row r="46" spans="1:27">
      <c r="A46">
        <v>2033</v>
      </c>
      <c r="B46" t="s">
        <v>109</v>
      </c>
      <c r="C46" s="59">
        <f t="shared" si="13"/>
        <v>0.1430674234264141</v>
      </c>
      <c r="D46" s="59">
        <f t="shared" si="14"/>
        <v>0.26092583400563268</v>
      </c>
      <c r="E46" s="3">
        <f t="shared" si="15"/>
        <v>0</v>
      </c>
      <c r="F46" s="59">
        <f t="shared" si="16"/>
        <v>7.6961355225021788E-2</v>
      </c>
      <c r="G46" s="59">
        <f t="shared" si="17"/>
        <v>8.5191053923156998E-2</v>
      </c>
      <c r="H46" s="59">
        <f t="shared" si="18"/>
        <v>0.23701759693349808</v>
      </c>
      <c r="I46" s="59">
        <f t="shared" si="19"/>
        <v>0.23701759693349808</v>
      </c>
      <c r="J46" s="59"/>
      <c r="K46" s="59"/>
      <c r="L46" s="59"/>
      <c r="O46">
        <v>2026</v>
      </c>
      <c r="P46">
        <v>2003</v>
      </c>
      <c r="Q46">
        <v>1</v>
      </c>
      <c r="R46">
        <v>21602800000</v>
      </c>
      <c r="X46">
        <v>2032</v>
      </c>
      <c r="Y46">
        <f>U255</f>
        <v>5.9878131657539198E-2</v>
      </c>
    </row>
    <row r="47" spans="1:27">
      <c r="A47">
        <v>2034</v>
      </c>
      <c r="B47" t="s">
        <v>109</v>
      </c>
      <c r="C47" s="59">
        <f t="shared" si="13"/>
        <v>0.17703833986281114</v>
      </c>
      <c r="D47" s="59">
        <f t="shared" si="14"/>
        <v>0.31356045249975761</v>
      </c>
      <c r="E47" s="3">
        <f t="shared" si="15"/>
        <v>0</v>
      </c>
      <c r="F47" s="59">
        <f t="shared" si="16"/>
        <v>9.1179505558770649E-2</v>
      </c>
      <c r="G47" s="59">
        <f t="shared" si="17"/>
        <v>0.10378236441823903</v>
      </c>
      <c r="H47" s="59">
        <f t="shared" si="18"/>
        <v>0.27747440682794139</v>
      </c>
      <c r="I47" s="59">
        <f t="shared" si="19"/>
        <v>0.27747440682794139</v>
      </c>
      <c r="J47" s="59"/>
      <c r="K47" s="59"/>
      <c r="L47" s="59"/>
      <c r="O47">
        <v>2026</v>
      </c>
      <c r="P47">
        <v>2004</v>
      </c>
      <c r="Q47">
        <v>1</v>
      </c>
      <c r="R47">
        <v>25842500000</v>
      </c>
      <c r="X47">
        <v>2033</v>
      </c>
      <c r="Y47">
        <f>U286</f>
        <v>5.662753779128795E-2</v>
      </c>
    </row>
    <row r="48" spans="1:27">
      <c r="A48">
        <v>2035</v>
      </c>
      <c r="B48" t="s">
        <v>109</v>
      </c>
      <c r="C48" s="59">
        <f t="shared" si="13"/>
        <v>0.21411127994362156</v>
      </c>
      <c r="D48" s="59">
        <f t="shared" si="14"/>
        <v>0.36780871160441553</v>
      </c>
      <c r="E48" s="3">
        <f t="shared" si="15"/>
        <v>0</v>
      </c>
      <c r="F48" s="59">
        <f t="shared" si="16"/>
        <v>0.10579532636468947</v>
      </c>
      <c r="G48" s="59">
        <f t="shared" si="17"/>
        <v>0.12300144468241739</v>
      </c>
      <c r="H48" s="59">
        <f t="shared" si="18"/>
        <v>0.31748175319261007</v>
      </c>
      <c r="I48" s="59">
        <f t="shared" si="19"/>
        <v>0.31748175319261007</v>
      </c>
      <c r="J48" s="59"/>
      <c r="K48" s="59"/>
      <c r="L48" s="59"/>
      <c r="O48">
        <v>2026</v>
      </c>
      <c r="P48">
        <v>2005</v>
      </c>
      <c r="Q48">
        <v>1</v>
      </c>
      <c r="R48">
        <v>29935400000</v>
      </c>
      <c r="X48">
        <v>2034</v>
      </c>
      <c r="Y48">
        <f>U317</f>
        <v>5.3178950138530023E-2</v>
      </c>
    </row>
    <row r="49" spans="1:25">
      <c r="A49">
        <v>2036</v>
      </c>
      <c r="B49" t="s">
        <v>109</v>
      </c>
      <c r="C49" s="59">
        <f t="shared" si="13"/>
        <v>0.25315389032324576</v>
      </c>
      <c r="D49" s="59">
        <f t="shared" si="14"/>
        <v>0.41886514697275029</v>
      </c>
      <c r="E49" s="3">
        <f t="shared" si="15"/>
        <v>0</v>
      </c>
      <c r="F49" s="59">
        <f t="shared" si="16"/>
        <v>0.11973298077445538</v>
      </c>
      <c r="G49" s="59">
        <f t="shared" si="17"/>
        <v>0.14352331897863782</v>
      </c>
      <c r="H49" s="59">
        <f t="shared" si="18"/>
        <v>0.35445301179694039</v>
      </c>
      <c r="I49" s="59">
        <f t="shared" si="19"/>
        <v>0.35445301179694039</v>
      </c>
      <c r="J49" s="59"/>
      <c r="K49" s="59"/>
      <c r="L49" s="59"/>
      <c r="O49">
        <v>2026</v>
      </c>
      <c r="P49">
        <v>2006</v>
      </c>
      <c r="Q49">
        <v>1</v>
      </c>
      <c r="R49">
        <v>33294400000</v>
      </c>
      <c r="X49">
        <v>2035</v>
      </c>
      <c r="Y49">
        <f>U348</f>
        <v>4.9590097975456431E-2</v>
      </c>
    </row>
    <row r="50" spans="1:25">
      <c r="A50">
        <v>2037</v>
      </c>
      <c r="B50" t="s">
        <v>109</v>
      </c>
      <c r="C50" s="59">
        <f t="shared" si="13"/>
        <v>0.29205349722083462</v>
      </c>
      <c r="D50" s="59">
        <f t="shared" si="14"/>
        <v>0.46345135625490452</v>
      </c>
      <c r="E50" s="3">
        <f t="shared" si="15"/>
        <v>0</v>
      </c>
      <c r="F50" s="59">
        <f t="shared" si="16"/>
        <v>0.13192536450346282</v>
      </c>
      <c r="G50" s="59">
        <f t="shared" si="17"/>
        <v>0.16308010018179026</v>
      </c>
      <c r="H50" s="59">
        <f t="shared" si="18"/>
        <v>0.38652066400333313</v>
      </c>
      <c r="I50" s="59">
        <f t="shared" si="19"/>
        <v>0.38652066400333313</v>
      </c>
      <c r="J50" s="59"/>
      <c r="K50" s="59"/>
      <c r="L50" s="59"/>
      <c r="O50">
        <v>2026</v>
      </c>
      <c r="P50">
        <v>2007</v>
      </c>
      <c r="Q50">
        <v>1</v>
      </c>
      <c r="R50">
        <v>39019700000</v>
      </c>
      <c r="X50">
        <v>2036</v>
      </c>
      <c r="Y50">
        <f>U379</f>
        <v>4.5915116323808527E-2</v>
      </c>
    </row>
    <row r="51" spans="1:25">
      <c r="A51">
        <v>2038</v>
      </c>
      <c r="B51" t="s">
        <v>109</v>
      </c>
      <c r="C51" s="59">
        <f t="shared" si="13"/>
        <v>0.33067754183887854</v>
      </c>
      <c r="D51" s="59">
        <f t="shared" si="14"/>
        <v>0.50247357054361763</v>
      </c>
      <c r="E51" s="3">
        <f t="shared" si="15"/>
        <v>0</v>
      </c>
      <c r="F51" s="59">
        <f t="shared" si="16"/>
        <v>0.14320037352409992</v>
      </c>
      <c r="G51" s="59">
        <f t="shared" si="17"/>
        <v>0.18365938280532199</v>
      </c>
      <c r="H51" s="59">
        <f t="shared" si="18"/>
        <v>0.41467098858219315</v>
      </c>
      <c r="I51" s="59">
        <f t="shared" si="19"/>
        <v>0.41467098858219315</v>
      </c>
      <c r="J51" s="59"/>
      <c r="K51" s="59"/>
      <c r="L51" s="59"/>
      <c r="O51">
        <v>2026</v>
      </c>
      <c r="P51">
        <v>2008</v>
      </c>
      <c r="Q51">
        <v>1</v>
      </c>
      <c r="R51">
        <v>41678900000</v>
      </c>
      <c r="X51">
        <v>2037</v>
      </c>
      <c r="Y51">
        <f>U410</f>
        <v>4.2217067476241044E-2</v>
      </c>
    </row>
    <row r="52" spans="1:25">
      <c r="A52">
        <v>2039</v>
      </c>
      <c r="B52" t="s">
        <v>109</v>
      </c>
      <c r="C52" s="59">
        <f t="shared" si="13"/>
        <v>0.36904552184900141</v>
      </c>
      <c r="D52" s="59">
        <f t="shared" si="14"/>
        <v>0.53616931357454123</v>
      </c>
      <c r="E52" s="3">
        <f t="shared" si="15"/>
        <v>0</v>
      </c>
      <c r="F52" s="59">
        <f t="shared" si="16"/>
        <v>0.1527427284439685</v>
      </c>
      <c r="G52" s="59">
        <f t="shared" si="17"/>
        <v>0.20535081869009666</v>
      </c>
      <c r="H52" s="59">
        <f t="shared" si="18"/>
        <v>0.43926355430545239</v>
      </c>
      <c r="I52" s="59">
        <f t="shared" si="19"/>
        <v>0.43926355430545239</v>
      </c>
      <c r="J52" s="59"/>
      <c r="K52" s="59"/>
      <c r="L52" s="59"/>
      <c r="O52">
        <v>2026</v>
      </c>
      <c r="P52">
        <v>2009</v>
      </c>
      <c r="Q52">
        <v>1</v>
      </c>
      <c r="R52">
        <v>32694800000</v>
      </c>
      <c r="X52">
        <v>2038</v>
      </c>
      <c r="Y52">
        <f>U441</f>
        <v>3.8550352318851601E-2</v>
      </c>
    </row>
    <row r="53" spans="1:25">
      <c r="A53">
        <v>2040</v>
      </c>
      <c r="B53" t="s">
        <v>109</v>
      </c>
      <c r="C53" s="59">
        <f t="shared" si="13"/>
        <v>0.41482041696232785</v>
      </c>
      <c r="D53" s="59">
        <f t="shared" si="14"/>
        <v>0.57734390178188877</v>
      </c>
      <c r="E53" s="3">
        <f t="shared" si="15"/>
        <v>0</v>
      </c>
      <c r="F53" s="59">
        <f t="shared" si="16"/>
        <v>0.16460649918125475</v>
      </c>
      <c r="G53" s="59">
        <f t="shared" si="17"/>
        <v>0.23386907286505493</v>
      </c>
      <c r="H53" s="59">
        <f t="shared" si="18"/>
        <v>0.47068779684794737</v>
      </c>
      <c r="I53" s="59">
        <f t="shared" si="19"/>
        <v>0.47068779684794737</v>
      </c>
      <c r="J53" s="59"/>
      <c r="K53" s="59"/>
      <c r="L53" s="59"/>
      <c r="O53">
        <v>2026</v>
      </c>
      <c r="P53">
        <v>2010</v>
      </c>
      <c r="Q53">
        <v>1</v>
      </c>
      <c r="R53">
        <v>45413900000</v>
      </c>
      <c r="X53">
        <v>2039</v>
      </c>
      <c r="Y53">
        <f>U472</f>
        <v>3.4501391474796743E-2</v>
      </c>
    </row>
    <row r="54" spans="1:25">
      <c r="A54" s="8">
        <v>2041</v>
      </c>
      <c r="B54" t="s">
        <v>109</v>
      </c>
      <c r="C54" s="219">
        <f t="shared" ref="C54:I54" si="20">C25*(1-$Y55)</f>
        <v>0.47331800475046198</v>
      </c>
      <c r="D54" s="219">
        <f t="shared" si="20"/>
        <v>0.63327877345758299</v>
      </c>
      <c r="E54" s="101">
        <f t="shared" si="20"/>
        <v>0</v>
      </c>
      <c r="F54" s="219">
        <f t="shared" si="20"/>
        <v>0.18042490843660075</v>
      </c>
      <c r="G54" s="219">
        <f t="shared" si="20"/>
        <v>0.2712578838414304</v>
      </c>
      <c r="H54" s="219">
        <f t="shared" si="20"/>
        <v>0.51474739143216419</v>
      </c>
      <c r="I54" s="219">
        <f t="shared" si="20"/>
        <v>0.51474739143216419</v>
      </c>
      <c r="O54">
        <v>2026</v>
      </c>
      <c r="P54">
        <v>2011</v>
      </c>
      <c r="Q54">
        <v>1</v>
      </c>
      <c r="R54">
        <v>56994300000</v>
      </c>
      <c r="X54">
        <v>2040</v>
      </c>
      <c r="Y54">
        <f>U503</f>
        <v>3.0124419623292407E-2</v>
      </c>
    </row>
    <row r="55" spans="1:25">
      <c r="A55" s="8">
        <v>2042</v>
      </c>
      <c r="B55" t="s">
        <v>109</v>
      </c>
      <c r="C55" s="219">
        <f t="shared" ref="C55:I55" si="21">C26*(1-$Y56)</f>
        <v>0.53315728792074746</v>
      </c>
      <c r="D55" s="219">
        <f t="shared" si="21"/>
        <v>0.685994962840624</v>
      </c>
      <c r="E55" s="101">
        <f t="shared" si="21"/>
        <v>0</v>
      </c>
      <c r="F55" s="219">
        <f t="shared" si="21"/>
        <v>0.19583147846842358</v>
      </c>
      <c r="G55" s="219">
        <f t="shared" si="21"/>
        <v>0.31071707080392291</v>
      </c>
      <c r="H55" s="219">
        <f t="shared" si="21"/>
        <v>0.55680473706739098</v>
      </c>
      <c r="I55" s="219">
        <f t="shared" si="21"/>
        <v>0.55680473706739098</v>
      </c>
      <c r="O55">
        <v>2026</v>
      </c>
      <c r="P55">
        <v>2012</v>
      </c>
      <c r="Q55">
        <v>1</v>
      </c>
      <c r="R55">
        <v>73285900000</v>
      </c>
      <c r="X55" s="8">
        <v>2041</v>
      </c>
      <c r="Y55">
        <f>U534</f>
        <v>2.5860338113136688E-2</v>
      </c>
    </row>
    <row r="56" spans="1:25">
      <c r="A56" s="8">
        <v>2043</v>
      </c>
      <c r="B56" t="s">
        <v>109</v>
      </c>
      <c r="C56" s="219">
        <f t="shared" ref="C56:I56" si="22">C27*(1-$Y57)</f>
        <v>0.59101339673207398</v>
      </c>
      <c r="D56" s="219">
        <f t="shared" si="22"/>
        <v>0.73472408279853352</v>
      </c>
      <c r="E56" s="101">
        <f t="shared" si="22"/>
        <v>0</v>
      </c>
      <c r="F56" s="219">
        <f t="shared" si="22"/>
        <v>0.21021850190933616</v>
      </c>
      <c r="G56" s="219">
        <f t="shared" si="22"/>
        <v>0.35114478259595044</v>
      </c>
      <c r="H56" s="219">
        <f t="shared" si="22"/>
        <v>0.59626471606518361</v>
      </c>
      <c r="I56" s="219">
        <f t="shared" si="22"/>
        <v>0.59626471606518361</v>
      </c>
      <c r="O56">
        <v>2026</v>
      </c>
      <c r="P56">
        <v>2013</v>
      </c>
      <c r="Q56">
        <v>1</v>
      </c>
      <c r="R56">
        <v>91025400000</v>
      </c>
      <c r="X56" s="8">
        <v>2042</v>
      </c>
      <c r="Y56">
        <f>U565</f>
        <v>2.200566911996157E-2</v>
      </c>
    </row>
    <row r="57" spans="1:25">
      <c r="A57" s="8">
        <v>2044</v>
      </c>
      <c r="B57" t="s">
        <v>109</v>
      </c>
      <c r="C57" s="219">
        <f t="shared" ref="C57:I57" si="23">C28*(1-$Y58)</f>
        <v>0.65063301777107874</v>
      </c>
      <c r="D57" s="219">
        <f t="shared" si="23"/>
        <v>0.77936291841327998</v>
      </c>
      <c r="E57" s="101">
        <f t="shared" si="23"/>
        <v>0</v>
      </c>
      <c r="F57" s="219">
        <f t="shared" si="23"/>
        <v>0.22363220478142326</v>
      </c>
      <c r="G57" s="219">
        <f t="shared" si="23"/>
        <v>0.39261415493017493</v>
      </c>
      <c r="H57" s="219">
        <f t="shared" si="23"/>
        <v>0.6329022240800436</v>
      </c>
      <c r="I57" s="219">
        <f t="shared" si="23"/>
        <v>0.6329022240800436</v>
      </c>
      <c r="J57" s="15"/>
      <c r="K57" s="15"/>
      <c r="L57" s="15"/>
      <c r="O57">
        <v>2026</v>
      </c>
      <c r="P57">
        <v>2014</v>
      </c>
      <c r="Q57">
        <v>1</v>
      </c>
      <c r="R57">
        <v>122686000000</v>
      </c>
      <c r="X57" s="8">
        <v>2043</v>
      </c>
      <c r="Y57">
        <f>U596</f>
        <v>1.8603030083475008E-2</v>
      </c>
    </row>
    <row r="58" spans="1:25">
      <c r="A58" s="8">
        <v>2045</v>
      </c>
      <c r="B58" t="s">
        <v>109</v>
      </c>
      <c r="C58" s="219">
        <f t="shared" ref="C58:I58" si="24">C29*(1-$Y59)</f>
        <v>0.70873407531782162</v>
      </c>
      <c r="D58" s="219">
        <f t="shared" si="24"/>
        <v>0.81982517203758576</v>
      </c>
      <c r="E58" s="101">
        <f t="shared" si="24"/>
        <v>0</v>
      </c>
      <c r="F58" s="219">
        <f t="shared" si="24"/>
        <v>0.23591876795575753</v>
      </c>
      <c r="G58" s="219">
        <f t="shared" si="24"/>
        <v>0.43524213531696232</v>
      </c>
      <c r="H58" s="219">
        <f t="shared" si="24"/>
        <v>0.66661606742548474</v>
      </c>
      <c r="I58" s="219">
        <f t="shared" si="24"/>
        <v>0.66661606742548474</v>
      </c>
      <c r="J58" s="15"/>
      <c r="K58" s="15"/>
      <c r="L58" s="15"/>
      <c r="O58">
        <v>2026</v>
      </c>
      <c r="P58">
        <v>2015</v>
      </c>
      <c r="Q58">
        <v>1</v>
      </c>
      <c r="R58">
        <v>140891000000</v>
      </c>
      <c r="X58" s="8">
        <v>2044</v>
      </c>
      <c r="Y58">
        <f>U627</f>
        <v>1.5656508203732787E-2</v>
      </c>
    </row>
    <row r="59" spans="1:25">
      <c r="A59" s="8">
        <v>2046</v>
      </c>
      <c r="B59" t="s">
        <v>109</v>
      </c>
      <c r="C59" s="219">
        <f t="shared" ref="C59:I59" si="25">C30*(1-$Y60)</f>
        <v>0.76609185771516541</v>
      </c>
      <c r="D59" s="219">
        <f t="shared" si="25"/>
        <v>0.85597737138847363</v>
      </c>
      <c r="E59" s="101">
        <f t="shared" si="25"/>
        <v>0</v>
      </c>
      <c r="F59" s="219">
        <f t="shared" si="25"/>
        <v>0.2470797306240238</v>
      </c>
      <c r="G59" s="219">
        <f t="shared" si="25"/>
        <v>0.4829658839704265</v>
      </c>
      <c r="H59" s="219">
        <f t="shared" si="25"/>
        <v>0.69716073335031481</v>
      </c>
      <c r="I59" s="219">
        <f t="shared" si="25"/>
        <v>0.69716073335031481</v>
      </c>
      <c r="J59" s="15"/>
      <c r="K59" s="15"/>
      <c r="L59" s="15"/>
      <c r="O59">
        <v>2026</v>
      </c>
      <c r="P59">
        <v>2016</v>
      </c>
      <c r="Q59">
        <v>1</v>
      </c>
      <c r="R59">
        <v>152958000000</v>
      </c>
      <c r="X59" s="8">
        <v>2045</v>
      </c>
      <c r="Y59">
        <f>U658</f>
        <v>1.3144185401389757E-2</v>
      </c>
    </row>
    <row r="60" spans="1:25">
      <c r="A60" s="8">
        <v>2047</v>
      </c>
      <c r="B60" t="s">
        <v>109</v>
      </c>
      <c r="C60" s="219">
        <f t="shared" ref="C60:I60" si="26">C31*(1-$Y61)</f>
        <v>0.81860165747505276</v>
      </c>
      <c r="D60" s="219">
        <f t="shared" si="26"/>
        <v>0.88786716429411416</v>
      </c>
      <c r="E60" s="101">
        <f t="shared" si="26"/>
        <v>0</v>
      </c>
      <c r="F60" s="219">
        <f t="shared" si="26"/>
        <v>0.25703466759739318</v>
      </c>
      <c r="G60" s="219">
        <f t="shared" si="26"/>
        <v>0.53082767766885208</v>
      </c>
      <c r="H60" s="219">
        <f t="shared" si="26"/>
        <v>0.72449117741038538</v>
      </c>
      <c r="I60" s="219">
        <f t="shared" si="26"/>
        <v>0.72449117741038538</v>
      </c>
      <c r="J60" s="15"/>
      <c r="K60" s="15"/>
      <c r="L60" s="15"/>
      <c r="O60">
        <v>2026</v>
      </c>
      <c r="P60">
        <v>2017</v>
      </c>
      <c r="Q60">
        <v>1</v>
      </c>
      <c r="R60">
        <v>161362000000</v>
      </c>
      <c r="X60" s="8">
        <v>2046</v>
      </c>
      <c r="Y60">
        <f>U689</f>
        <v>1.1023892044568181E-2</v>
      </c>
    </row>
    <row r="61" spans="1:25">
      <c r="A61" s="8">
        <v>2048</v>
      </c>
      <c r="B61" t="s">
        <v>109</v>
      </c>
      <c r="C61" s="219">
        <f t="shared" ref="C61:I61" si="27">C32*(1-$Y62)</f>
        <v>0.86756170305607594</v>
      </c>
      <c r="D61" s="219">
        <f t="shared" si="27"/>
        <v>0.91590313111376065</v>
      </c>
      <c r="E61" s="101">
        <f t="shared" si="27"/>
        <v>0</v>
      </c>
      <c r="F61" s="219">
        <f t="shared" si="27"/>
        <v>0.2659088594035115</v>
      </c>
      <c r="G61" s="219">
        <f t="shared" si="27"/>
        <v>0.57969839205182572</v>
      </c>
      <c r="H61" s="219">
        <f t="shared" si="27"/>
        <v>0.74879833707343713</v>
      </c>
      <c r="I61" s="219">
        <f t="shared" si="27"/>
        <v>0.74879833707343713</v>
      </c>
      <c r="J61" s="15"/>
      <c r="K61" s="15"/>
      <c r="L61" s="15"/>
      <c r="O61">
        <v>2026</v>
      </c>
      <c r="P61">
        <v>2018</v>
      </c>
      <c r="Q61">
        <v>1</v>
      </c>
      <c r="R61">
        <v>160430000000</v>
      </c>
      <c r="X61" s="8">
        <v>2047</v>
      </c>
      <c r="Y61">
        <f>U720</f>
        <v>9.2641284342343186E-3</v>
      </c>
    </row>
    <row r="62" spans="1:25">
      <c r="A62" s="8">
        <v>2049</v>
      </c>
      <c r="B62" t="s">
        <v>109</v>
      </c>
      <c r="C62" s="219">
        <f t="shared" ref="C62:I62" si="28">C33*(1-$Y63)</f>
        <v>0.90209104090794223</v>
      </c>
      <c r="D62" s="219">
        <f t="shared" si="28"/>
        <v>0.94029169773687826</v>
      </c>
      <c r="E62" s="101">
        <f t="shared" si="28"/>
        <v>0</v>
      </c>
      <c r="F62" s="219">
        <f t="shared" si="28"/>
        <v>0.27375921576070616</v>
      </c>
      <c r="G62" s="219">
        <f t="shared" si="28"/>
        <v>0.62636930074338937</v>
      </c>
      <c r="H62" s="219">
        <f t="shared" si="28"/>
        <v>0.77022332760590662</v>
      </c>
      <c r="I62" s="219">
        <f t="shared" si="28"/>
        <v>0.77022332760590662</v>
      </c>
      <c r="J62" s="15"/>
      <c r="K62" s="15"/>
      <c r="L62" s="15"/>
      <c r="O62">
        <v>2026</v>
      </c>
      <c r="P62">
        <v>2019</v>
      </c>
      <c r="Q62">
        <v>1</v>
      </c>
      <c r="R62">
        <v>170830000000</v>
      </c>
      <c r="X62" s="8">
        <v>2048</v>
      </c>
      <c r="Y62">
        <f>U751</f>
        <v>7.793299384030246E-3</v>
      </c>
    </row>
    <row r="63" spans="1:25">
      <c r="A63" s="8">
        <v>2050</v>
      </c>
      <c r="B63" t="s">
        <v>109</v>
      </c>
      <c r="C63" s="219">
        <f t="shared" ref="C63:I63" si="29">C34*(1-$Y64)</f>
        <v>0.93301387086185306</v>
      </c>
      <c r="D63" s="219">
        <f t="shared" si="29"/>
        <v>0.96121659638847545</v>
      </c>
      <c r="E63" s="101">
        <f t="shared" si="29"/>
        <v>0</v>
      </c>
      <c r="F63" s="219">
        <f t="shared" si="29"/>
        <v>0.28065432068288959</v>
      </c>
      <c r="G63" s="219">
        <f t="shared" si="29"/>
        <v>0.67240344509639571</v>
      </c>
      <c r="H63" s="219">
        <f t="shared" si="29"/>
        <v>0.7888992192080142</v>
      </c>
      <c r="I63" s="219">
        <f t="shared" si="29"/>
        <v>0.7888992192080142</v>
      </c>
      <c r="J63" s="15"/>
      <c r="K63" s="15"/>
      <c r="L63" s="15"/>
      <c r="O63">
        <v>2026</v>
      </c>
      <c r="P63">
        <v>2020</v>
      </c>
      <c r="Q63">
        <v>1</v>
      </c>
      <c r="R63">
        <v>179506000000</v>
      </c>
      <c r="X63" s="8">
        <v>2049</v>
      </c>
      <c r="Y63">
        <f>U782</f>
        <v>6.5877979372433101E-3</v>
      </c>
    </row>
    <row r="64" spans="1:25">
      <c r="J64" s="15"/>
      <c r="K64" s="15"/>
      <c r="L64" s="15"/>
      <c r="O64">
        <v>2026</v>
      </c>
      <c r="P64">
        <v>2021</v>
      </c>
      <c r="Q64">
        <v>1</v>
      </c>
      <c r="R64">
        <v>187633000000</v>
      </c>
      <c r="X64" s="8">
        <v>2050</v>
      </c>
      <c r="Y64">
        <f>U813</f>
        <v>5.5964717593086763E-3</v>
      </c>
    </row>
    <row r="65" spans="1:21">
      <c r="J65" s="15"/>
      <c r="K65" s="15"/>
      <c r="L65" s="15"/>
      <c r="O65">
        <v>2026</v>
      </c>
      <c r="P65">
        <v>2022</v>
      </c>
      <c r="Q65">
        <v>1</v>
      </c>
      <c r="R65">
        <v>191348000000</v>
      </c>
    </row>
    <row r="66" spans="1:21">
      <c r="A66" s="2"/>
      <c r="D66" t="s">
        <v>276</v>
      </c>
      <c r="J66" s="15"/>
      <c r="K66" s="15"/>
      <c r="L66" s="15"/>
      <c r="O66">
        <v>2026</v>
      </c>
      <c r="P66">
        <v>2023</v>
      </c>
      <c r="Q66">
        <v>1</v>
      </c>
      <c r="R66">
        <v>199005000000</v>
      </c>
    </row>
    <row r="67" spans="1:21">
      <c r="A67" t="s">
        <v>0</v>
      </c>
      <c r="B67" t="s">
        <v>275</v>
      </c>
      <c r="D67" t="s">
        <v>2</v>
      </c>
      <c r="E67" t="s">
        <v>3</v>
      </c>
      <c r="F67" t="s">
        <v>24</v>
      </c>
      <c r="G67" t="s">
        <v>115</v>
      </c>
      <c r="J67" s="15"/>
      <c r="K67" s="15"/>
      <c r="L67" s="15"/>
      <c r="O67">
        <v>2026</v>
      </c>
      <c r="P67">
        <v>2024</v>
      </c>
      <c r="Q67">
        <v>1</v>
      </c>
      <c r="R67">
        <v>205203000000</v>
      </c>
    </row>
    <row r="68" spans="1:21">
      <c r="A68">
        <v>2026</v>
      </c>
      <c r="B68" s="15"/>
      <c r="C68" s="15">
        <f>'CARB ZEV counts'!Q96</f>
        <v>9.7905184404352141E-3</v>
      </c>
      <c r="D68" s="15">
        <f t="shared" ref="D68:E82" si="30">C10/$C68</f>
        <v>0.59749977100674789</v>
      </c>
      <c r="E68" s="15">
        <f t="shared" si="30"/>
        <v>1.3102739867919153</v>
      </c>
      <c r="F68" s="15">
        <f t="shared" ref="F68:G82" si="31">F10/$C68</f>
        <v>0.42950998663176404</v>
      </c>
      <c r="G68" s="15">
        <f t="shared" si="31"/>
        <v>0.32365764819107101</v>
      </c>
      <c r="H68" s="15"/>
      <c r="I68" s="15"/>
      <c r="J68" s="15"/>
      <c r="K68" s="15"/>
      <c r="L68" s="15"/>
      <c r="O68">
        <v>2026</v>
      </c>
      <c r="P68">
        <v>2025</v>
      </c>
      <c r="Q68">
        <v>1</v>
      </c>
      <c r="R68">
        <v>210577000000</v>
      </c>
    </row>
    <row r="69" spans="1:21">
      <c r="A69">
        <v>2027</v>
      </c>
      <c r="B69" s="15"/>
      <c r="C69" s="15">
        <f>'CARB ZEV counts'!Q97</f>
        <v>2.410048860840569E-2</v>
      </c>
      <c r="D69" s="15">
        <f t="shared" si="30"/>
        <v>0.63992220857650006</v>
      </c>
      <c r="E69" s="15">
        <f t="shared" si="30"/>
        <v>1.4117660491103337</v>
      </c>
      <c r="F69" s="15">
        <f t="shared" si="31"/>
        <v>0.44778884562472798</v>
      </c>
      <c r="G69" s="15">
        <f t="shared" si="31"/>
        <v>0.3682545763699292</v>
      </c>
      <c r="H69" s="15"/>
      <c r="I69" s="15"/>
      <c r="J69" s="15"/>
      <c r="K69" s="15"/>
      <c r="L69" s="15"/>
      <c r="O69">
        <v>2026</v>
      </c>
      <c r="P69">
        <v>2026</v>
      </c>
      <c r="Q69">
        <v>1</v>
      </c>
      <c r="R69">
        <v>216339000000</v>
      </c>
      <c r="S69">
        <f>SUM(R39:R69)</f>
        <v>2902343980000</v>
      </c>
      <c r="T69">
        <f>R69</f>
        <v>216339000000</v>
      </c>
      <c r="U69">
        <f>T69/S69</f>
        <v>7.453940728279905E-2</v>
      </c>
    </row>
    <row r="70" spans="1:21">
      <c r="A70">
        <v>2028</v>
      </c>
      <c r="B70" s="15"/>
      <c r="C70" s="15">
        <f>'CARB ZEV counts'!Q98</f>
        <v>4.3096979039863592E-2</v>
      </c>
      <c r="D70" s="15">
        <f t="shared" si="30"/>
        <v>0.64577708670684575</v>
      </c>
      <c r="E70" s="15">
        <f t="shared" si="30"/>
        <v>1.4216264385227888</v>
      </c>
      <c r="F70" s="15">
        <f t="shared" si="31"/>
        <v>0.44093273127065519</v>
      </c>
      <c r="G70" s="15">
        <f t="shared" si="31"/>
        <v>0.38472265939173478</v>
      </c>
      <c r="H70" s="15"/>
      <c r="I70" s="15"/>
      <c r="J70" s="15"/>
      <c r="K70" s="15"/>
      <c r="L70" s="15"/>
      <c r="O70">
        <v>2027</v>
      </c>
      <c r="P70">
        <v>1997</v>
      </c>
      <c r="Q70">
        <v>1</v>
      </c>
      <c r="R70">
        <v>39543600000</v>
      </c>
    </row>
    <row r="71" spans="1:21">
      <c r="A71">
        <v>2029</v>
      </c>
      <c r="B71" s="15"/>
      <c r="C71" s="15">
        <f>'CARB ZEV counts'!Q99</f>
        <v>6.67485960347355E-2</v>
      </c>
      <c r="D71" s="15">
        <f t="shared" si="30"/>
        <v>0.67015906613167731</v>
      </c>
      <c r="E71" s="15">
        <f t="shared" si="30"/>
        <v>1.4085592884063507</v>
      </c>
      <c r="F71" s="15">
        <f t="shared" si="31"/>
        <v>0.43346512994166386</v>
      </c>
      <c r="G71" s="15">
        <f t="shared" si="31"/>
        <v>0.41232794813722723</v>
      </c>
      <c r="H71" s="15"/>
      <c r="I71" s="15"/>
      <c r="J71" s="15"/>
      <c r="K71" s="15"/>
      <c r="L71" s="15"/>
      <c r="O71">
        <v>2027</v>
      </c>
      <c r="P71">
        <v>1998</v>
      </c>
      <c r="Q71">
        <v>1</v>
      </c>
      <c r="R71">
        <v>7335800000</v>
      </c>
    </row>
    <row r="72" spans="1:21">
      <c r="A72">
        <v>2030</v>
      </c>
      <c r="B72" s="15"/>
      <c r="C72" s="15">
        <f>'CARB ZEV counts'!Q100</f>
        <v>9.5579175919431866E-2</v>
      </c>
      <c r="D72" s="15">
        <f t="shared" si="30"/>
        <v>0.68514362663873207</v>
      </c>
      <c r="E72" s="15">
        <f t="shared" si="30"/>
        <v>1.3849827430937223</v>
      </c>
      <c r="F72" s="15">
        <f t="shared" si="31"/>
        <v>0.42285837583865576</v>
      </c>
      <c r="G72" s="15">
        <f t="shared" si="31"/>
        <v>0.42504373836571158</v>
      </c>
      <c r="H72" s="15"/>
      <c r="I72" s="15"/>
      <c r="O72">
        <v>2027</v>
      </c>
      <c r="P72">
        <v>1999</v>
      </c>
      <c r="Q72">
        <v>1</v>
      </c>
      <c r="R72">
        <v>9563350000</v>
      </c>
    </row>
    <row r="73" spans="1:21">
      <c r="A73">
        <v>2031</v>
      </c>
      <c r="B73" s="15"/>
      <c r="C73" s="15">
        <f>'CARB ZEV counts'!Q101</f>
        <v>0.12874877904701809</v>
      </c>
      <c r="D73" s="15">
        <f t="shared" si="30"/>
        <v>0.70384758183109897</v>
      </c>
      <c r="E73" s="15">
        <f t="shared" si="30"/>
        <v>1.3777581467933431</v>
      </c>
      <c r="F73" s="15">
        <f t="shared" si="31"/>
        <v>0.41450386751048068</v>
      </c>
      <c r="G73" s="15">
        <f t="shared" si="31"/>
        <v>0.43453302301670549</v>
      </c>
      <c r="H73" s="15"/>
      <c r="I73" s="15"/>
      <c r="O73">
        <v>2027</v>
      </c>
      <c r="P73">
        <v>2000</v>
      </c>
      <c r="Q73">
        <v>1</v>
      </c>
      <c r="R73">
        <v>11698200000</v>
      </c>
    </row>
    <row r="74" spans="1:21">
      <c r="A74">
        <v>2032</v>
      </c>
      <c r="B74" s="15"/>
      <c r="C74" s="15">
        <f>'CARB ZEV counts'!Q102</f>
        <v>0.16465763424633659</v>
      </c>
      <c r="D74" s="15">
        <f t="shared" si="30"/>
        <v>0.72622840192945837</v>
      </c>
      <c r="E74" s="15">
        <f t="shared" si="30"/>
        <v>1.373255047400683</v>
      </c>
      <c r="F74" s="15">
        <f t="shared" si="31"/>
        <v>0.40813023377860513</v>
      </c>
      <c r="G74" s="15">
        <f t="shared" si="31"/>
        <v>0.44108192609245772</v>
      </c>
      <c r="H74" s="15"/>
      <c r="I74" s="15"/>
      <c r="O74">
        <v>2027</v>
      </c>
      <c r="P74">
        <v>2001</v>
      </c>
      <c r="Q74">
        <v>1</v>
      </c>
      <c r="R74">
        <v>13000700000</v>
      </c>
    </row>
    <row r="75" spans="1:21">
      <c r="A75">
        <v>2033</v>
      </c>
      <c r="B75" s="15"/>
      <c r="C75" s="15">
        <f>'CARB ZEV counts'!Q103</f>
        <v>0.20330207042378659</v>
      </c>
      <c r="D75" s="15">
        <f t="shared" si="30"/>
        <v>0.74596037670208604</v>
      </c>
      <c r="E75" s="15">
        <f t="shared" si="30"/>
        <v>1.3604797567788718</v>
      </c>
      <c r="F75" s="15">
        <f t="shared" si="31"/>
        <v>0.40128018077217187</v>
      </c>
      <c r="G75" s="15">
        <f t="shared" si="31"/>
        <v>0.44419022272286923</v>
      </c>
      <c r="H75" s="15"/>
      <c r="I75" s="15"/>
      <c r="O75">
        <v>2027</v>
      </c>
      <c r="P75">
        <v>2002</v>
      </c>
      <c r="Q75">
        <v>1</v>
      </c>
      <c r="R75">
        <v>15976000000</v>
      </c>
    </row>
    <row r="76" spans="1:21">
      <c r="A76">
        <v>2034</v>
      </c>
      <c r="B76" s="15"/>
      <c r="C76" s="15">
        <f>'CARB ZEV counts'!Q104</f>
        <v>0.24452531371012765</v>
      </c>
      <c r="D76" s="15">
        <f t="shared" si="30"/>
        <v>0.76467272385377227</v>
      </c>
      <c r="E76" s="15">
        <f t="shared" si="30"/>
        <v>1.3543457620061969</v>
      </c>
      <c r="F76" s="15">
        <f t="shared" si="31"/>
        <v>0.39382701469802528</v>
      </c>
      <c r="G76" s="15">
        <f t="shared" si="31"/>
        <v>0.44826190388576959</v>
      </c>
      <c r="H76" s="15"/>
      <c r="I76" s="15"/>
      <c r="O76">
        <v>2027</v>
      </c>
      <c r="P76">
        <v>2003</v>
      </c>
      <c r="Q76">
        <v>1</v>
      </c>
      <c r="R76">
        <v>18486000000</v>
      </c>
    </row>
    <row r="77" spans="1:21">
      <c r="A77">
        <v>2035</v>
      </c>
      <c r="B77" s="15"/>
      <c r="C77" s="15">
        <f>'CARB ZEV counts'!Q105</f>
        <v>0.28736786283405502</v>
      </c>
      <c r="D77" s="15">
        <f t="shared" si="30"/>
        <v>0.78395366917717113</v>
      </c>
      <c r="E77" s="15">
        <f t="shared" si="30"/>
        <v>1.3467062038652737</v>
      </c>
      <c r="F77" s="15">
        <f t="shared" si="31"/>
        <v>0.38736228332871347</v>
      </c>
      <c r="G77" s="15">
        <f t="shared" si="31"/>
        <v>0.4503612976311413</v>
      </c>
      <c r="H77" s="15"/>
      <c r="I77" s="15"/>
      <c r="O77">
        <v>2027</v>
      </c>
      <c r="P77">
        <v>2004</v>
      </c>
      <c r="Q77">
        <v>1</v>
      </c>
      <c r="R77">
        <v>22044200000</v>
      </c>
    </row>
    <row r="78" spans="1:21">
      <c r="A78">
        <v>2036</v>
      </c>
      <c r="B78" s="15"/>
      <c r="C78" s="15">
        <f>'CARB ZEV counts'!Q106</f>
        <v>0.32855409334383223</v>
      </c>
      <c r="D78" s="15">
        <f t="shared" si="30"/>
        <v>0.80758958308694673</v>
      </c>
      <c r="E78" s="15">
        <f t="shared" si="30"/>
        <v>1.3362272607442307</v>
      </c>
      <c r="F78" s="15">
        <f t="shared" si="31"/>
        <v>0.38196176998082981</v>
      </c>
      <c r="G78" s="15">
        <f t="shared" si="31"/>
        <v>0.45785564341599916</v>
      </c>
      <c r="H78" s="15"/>
      <c r="I78" s="15"/>
      <c r="O78">
        <v>2027</v>
      </c>
      <c r="P78">
        <v>2005</v>
      </c>
      <c r="Q78">
        <v>1</v>
      </c>
      <c r="R78">
        <v>25388900000</v>
      </c>
    </row>
    <row r="79" spans="1:21">
      <c r="A79">
        <v>2037</v>
      </c>
      <c r="B79" s="15"/>
      <c r="C79" s="15">
        <f>'CARB ZEV counts'!Q107</f>
        <v>0.36795868020093137</v>
      </c>
      <c r="D79" s="15">
        <f t="shared" si="30"/>
        <v>0.82869795076215536</v>
      </c>
      <c r="E79" s="15">
        <f t="shared" si="30"/>
        <v>1.3150371177235904</v>
      </c>
      <c r="F79" s="15">
        <f t="shared" si="31"/>
        <v>0.37433648375353495</v>
      </c>
      <c r="G79" s="15">
        <f t="shared" si="31"/>
        <v>0.46273763579878685</v>
      </c>
      <c r="H79" s="15"/>
      <c r="I79" s="15"/>
      <c r="O79">
        <v>2027</v>
      </c>
      <c r="P79">
        <v>2006</v>
      </c>
      <c r="Q79">
        <v>1</v>
      </c>
      <c r="R79">
        <v>28149400000</v>
      </c>
    </row>
    <row r="80" spans="1:21">
      <c r="A80">
        <v>2038</v>
      </c>
      <c r="B80" s="15"/>
      <c r="C80" s="15">
        <f>'CARB ZEV counts'!Q108</f>
        <v>0.4055658587593895</v>
      </c>
      <c r="D80" s="15">
        <f t="shared" si="30"/>
        <v>0.84804084036237648</v>
      </c>
      <c r="E80" s="15">
        <f t="shared" si="30"/>
        <v>1.2886212551783087</v>
      </c>
      <c r="F80" s="15">
        <f t="shared" si="31"/>
        <v>0.3672452759515038</v>
      </c>
      <c r="G80" s="15">
        <f t="shared" si="31"/>
        <v>0.47100464237317213</v>
      </c>
      <c r="H80" s="15"/>
      <c r="I80" s="15"/>
      <c r="O80">
        <v>2027</v>
      </c>
      <c r="P80">
        <v>2007</v>
      </c>
      <c r="Q80">
        <v>1</v>
      </c>
      <c r="R80">
        <v>32926300000</v>
      </c>
    </row>
    <row r="81" spans="1:18">
      <c r="A81">
        <v>2039</v>
      </c>
      <c r="B81" s="15"/>
      <c r="C81" s="15">
        <f>'CARB ZEV counts'!Q109</f>
        <v>0.44133226724831343</v>
      </c>
      <c r="D81" s="15">
        <f t="shared" si="30"/>
        <v>0.8660891665481113</v>
      </c>
      <c r="E81" s="15">
        <f t="shared" si="30"/>
        <v>1.2583012296039975</v>
      </c>
      <c r="F81" s="15">
        <f t="shared" si="31"/>
        <v>0.35846207186453399</v>
      </c>
      <c r="G81" s="15">
        <f t="shared" si="31"/>
        <v>0.4819246105960015</v>
      </c>
      <c r="H81" s="15"/>
      <c r="I81" s="15"/>
      <c r="O81">
        <v>2027</v>
      </c>
      <c r="P81">
        <v>2008</v>
      </c>
      <c r="Q81">
        <v>1</v>
      </c>
      <c r="R81">
        <v>35240100000</v>
      </c>
    </row>
    <row r="82" spans="1:18">
      <c r="A82">
        <v>2040</v>
      </c>
      <c r="B82" s="15"/>
      <c r="C82" s="15">
        <f>'CARB ZEV counts'!Q110</f>
        <v>0.47511632305618995</v>
      </c>
      <c r="D82" s="15">
        <f t="shared" si="30"/>
        <v>0.90021065226840125</v>
      </c>
      <c r="E82" s="15">
        <f t="shared" si="30"/>
        <v>1.2529063400788625</v>
      </c>
      <c r="F82" s="15">
        <f t="shared" si="31"/>
        <v>0.35721608179433584</v>
      </c>
      <c r="G82" s="15">
        <f t="shared" si="31"/>
        <v>0.50752427320465487</v>
      </c>
      <c r="H82" s="15"/>
      <c r="I82" s="15"/>
      <c r="O82">
        <v>2027</v>
      </c>
      <c r="P82">
        <v>2009</v>
      </c>
      <c r="Q82">
        <v>1</v>
      </c>
      <c r="R82">
        <v>27613300000</v>
      </c>
    </row>
    <row r="83" spans="1:18">
      <c r="O83">
        <v>2027</v>
      </c>
      <c r="P83">
        <v>2010</v>
      </c>
      <c r="Q83">
        <v>1</v>
      </c>
      <c r="R83">
        <v>38654800000</v>
      </c>
    </row>
    <row r="84" spans="1:18">
      <c r="O84">
        <v>2027</v>
      </c>
      <c r="P84">
        <v>2011</v>
      </c>
      <c r="Q84">
        <v>1</v>
      </c>
      <c r="R84">
        <v>49010300000</v>
      </c>
    </row>
    <row r="85" spans="1:18">
      <c r="O85">
        <v>2027</v>
      </c>
      <c r="P85">
        <v>2012</v>
      </c>
      <c r="Q85">
        <v>1</v>
      </c>
      <c r="R85">
        <v>63449400000</v>
      </c>
    </row>
    <row r="86" spans="1:18">
      <c r="O86">
        <v>2027</v>
      </c>
      <c r="P86">
        <v>2013</v>
      </c>
      <c r="Q86">
        <v>1</v>
      </c>
      <c r="R86">
        <v>80125000000</v>
      </c>
    </row>
    <row r="87" spans="1:18">
      <c r="O87">
        <v>2027</v>
      </c>
      <c r="P87">
        <v>2014</v>
      </c>
      <c r="Q87">
        <v>1</v>
      </c>
      <c r="R87">
        <v>110948000000</v>
      </c>
    </row>
    <row r="88" spans="1:18">
      <c r="O88">
        <v>2027</v>
      </c>
      <c r="P88">
        <v>2015</v>
      </c>
      <c r="Q88">
        <v>1</v>
      </c>
      <c r="R88">
        <v>129672000000</v>
      </c>
    </row>
    <row r="89" spans="1:18">
      <c r="O89">
        <v>2027</v>
      </c>
      <c r="P89">
        <v>2016</v>
      </c>
      <c r="Q89">
        <v>1</v>
      </c>
      <c r="R89">
        <v>141515000000</v>
      </c>
    </row>
    <row r="90" spans="1:18">
      <c r="O90">
        <v>2027</v>
      </c>
      <c r="P90">
        <v>2017</v>
      </c>
      <c r="Q90">
        <v>1</v>
      </c>
      <c r="R90">
        <v>150124000000</v>
      </c>
    </row>
    <row r="91" spans="1:18">
      <c r="O91">
        <v>2027</v>
      </c>
      <c r="P91">
        <v>2018</v>
      </c>
      <c r="Q91">
        <v>1</v>
      </c>
      <c r="R91">
        <v>150558000000</v>
      </c>
    </row>
    <row r="92" spans="1:18">
      <c r="O92">
        <v>2027</v>
      </c>
      <c r="P92">
        <v>2019</v>
      </c>
      <c r="Q92">
        <v>1</v>
      </c>
      <c r="R92">
        <v>161384000000</v>
      </c>
    </row>
    <row r="93" spans="1:18">
      <c r="O93">
        <v>2027</v>
      </c>
      <c r="P93">
        <v>2020</v>
      </c>
      <c r="Q93">
        <v>1</v>
      </c>
      <c r="R93">
        <v>170719000000</v>
      </c>
    </row>
    <row r="94" spans="1:18">
      <c r="O94">
        <v>2027</v>
      </c>
      <c r="P94">
        <v>2021</v>
      </c>
      <c r="Q94">
        <v>1</v>
      </c>
      <c r="R94">
        <v>179595000000</v>
      </c>
    </row>
    <row r="95" spans="1:18">
      <c r="O95">
        <v>2027</v>
      </c>
      <c r="P95">
        <v>2022</v>
      </c>
      <c r="Q95">
        <v>1</v>
      </c>
      <c r="R95">
        <v>184270000000</v>
      </c>
    </row>
    <row r="96" spans="1:18">
      <c r="O96">
        <v>2027</v>
      </c>
      <c r="P96">
        <v>2023</v>
      </c>
      <c r="Q96">
        <v>1</v>
      </c>
      <c r="R96">
        <v>192753000000</v>
      </c>
    </row>
    <row r="97" spans="15:21">
      <c r="O97">
        <v>2027</v>
      </c>
      <c r="P97">
        <v>2024</v>
      </c>
      <c r="Q97">
        <v>1</v>
      </c>
      <c r="R97">
        <v>199974000000</v>
      </c>
    </row>
    <row r="98" spans="15:21">
      <c r="O98">
        <v>2027</v>
      </c>
      <c r="P98">
        <v>2025</v>
      </c>
      <c r="Q98">
        <v>1</v>
      </c>
      <c r="R98">
        <v>205704000000</v>
      </c>
    </row>
    <row r="99" spans="15:21">
      <c r="O99">
        <v>2027</v>
      </c>
      <c r="P99">
        <v>2026</v>
      </c>
      <c r="Q99">
        <v>1</v>
      </c>
      <c r="R99">
        <v>211863000000</v>
      </c>
    </row>
    <row r="100" spans="15:21">
      <c r="O100">
        <v>2027</v>
      </c>
      <c r="P100">
        <v>2027</v>
      </c>
      <c r="Q100">
        <v>1</v>
      </c>
      <c r="R100">
        <v>216508000000</v>
      </c>
      <c r="S100">
        <f>SUM(R70:R100)</f>
        <v>2923792350000</v>
      </c>
      <c r="T100">
        <f>R99</f>
        <v>211863000000</v>
      </c>
      <c r="U100">
        <f>T100/S100</f>
        <v>7.2461712268998862E-2</v>
      </c>
    </row>
    <row r="101" spans="15:21">
      <c r="O101">
        <v>2028</v>
      </c>
      <c r="P101">
        <v>1998</v>
      </c>
      <c r="Q101">
        <v>1</v>
      </c>
      <c r="R101">
        <v>39886000000</v>
      </c>
    </row>
    <row r="102" spans="15:21">
      <c r="O102">
        <v>2028</v>
      </c>
      <c r="P102">
        <v>1999</v>
      </c>
      <c r="Q102">
        <v>1</v>
      </c>
      <c r="R102">
        <v>8349210000</v>
      </c>
    </row>
    <row r="103" spans="15:21">
      <c r="O103">
        <v>2028</v>
      </c>
      <c r="P103">
        <v>2000</v>
      </c>
      <c r="Q103">
        <v>1</v>
      </c>
      <c r="R103">
        <v>10194200000</v>
      </c>
    </row>
    <row r="104" spans="15:21">
      <c r="O104">
        <v>2028</v>
      </c>
      <c r="P104">
        <v>2001</v>
      </c>
      <c r="Q104">
        <v>1</v>
      </c>
      <c r="R104">
        <v>11316200000</v>
      </c>
    </row>
    <row r="105" spans="15:21">
      <c r="O105">
        <v>2028</v>
      </c>
      <c r="P105">
        <v>2002</v>
      </c>
      <c r="Q105">
        <v>1</v>
      </c>
      <c r="R105">
        <v>13875100000</v>
      </c>
    </row>
    <row r="106" spans="15:21">
      <c r="O106">
        <v>2028</v>
      </c>
      <c r="P106">
        <v>2003</v>
      </c>
      <c r="Q106">
        <v>1</v>
      </c>
      <c r="R106">
        <v>15917700000</v>
      </c>
    </row>
    <row r="107" spans="15:21">
      <c r="O107">
        <v>2028</v>
      </c>
      <c r="P107">
        <v>2004</v>
      </c>
      <c r="Q107">
        <v>1</v>
      </c>
      <c r="R107">
        <v>18877600000</v>
      </c>
    </row>
    <row r="108" spans="15:21">
      <c r="O108">
        <v>2028</v>
      </c>
      <c r="P108">
        <v>2005</v>
      </c>
      <c r="Q108">
        <v>1</v>
      </c>
      <c r="R108">
        <v>21601700000</v>
      </c>
    </row>
    <row r="109" spans="15:21">
      <c r="O109">
        <v>2028</v>
      </c>
      <c r="P109">
        <v>2006</v>
      </c>
      <c r="Q109">
        <v>1</v>
      </c>
      <c r="R109">
        <v>23826500000</v>
      </c>
    </row>
    <row r="110" spans="15:21">
      <c r="O110">
        <v>2028</v>
      </c>
      <c r="P110">
        <v>2007</v>
      </c>
      <c r="Q110">
        <v>1</v>
      </c>
      <c r="R110">
        <v>27782300000</v>
      </c>
    </row>
    <row r="111" spans="15:21">
      <c r="O111">
        <v>2028</v>
      </c>
      <c r="P111">
        <v>2008</v>
      </c>
      <c r="Q111">
        <v>1</v>
      </c>
      <c r="R111">
        <v>29728200000</v>
      </c>
    </row>
    <row r="112" spans="15:21">
      <c r="O112">
        <v>2028</v>
      </c>
      <c r="P112">
        <v>2009</v>
      </c>
      <c r="Q112">
        <v>1</v>
      </c>
      <c r="R112">
        <v>23228900000</v>
      </c>
    </row>
    <row r="113" spans="15:18">
      <c r="O113">
        <v>2028</v>
      </c>
      <c r="P113">
        <v>2010</v>
      </c>
      <c r="Q113">
        <v>1</v>
      </c>
      <c r="R113">
        <v>32708800000</v>
      </c>
    </row>
    <row r="114" spans="15:18">
      <c r="O114">
        <v>2028</v>
      </c>
      <c r="P114">
        <v>2011</v>
      </c>
      <c r="Q114">
        <v>1</v>
      </c>
      <c r="R114">
        <v>41821600000</v>
      </c>
    </row>
    <row r="115" spans="15:18">
      <c r="O115">
        <v>2028</v>
      </c>
      <c r="P115">
        <v>2012</v>
      </c>
      <c r="Q115">
        <v>1</v>
      </c>
      <c r="R115">
        <v>54360300000</v>
      </c>
    </row>
    <row r="116" spans="15:18">
      <c r="O116">
        <v>2028</v>
      </c>
      <c r="P116">
        <v>2013</v>
      </c>
      <c r="Q116">
        <v>1</v>
      </c>
      <c r="R116">
        <v>69343300000</v>
      </c>
    </row>
    <row r="117" spans="15:18">
      <c r="O117">
        <v>2028</v>
      </c>
      <c r="P117">
        <v>2014</v>
      </c>
      <c r="Q117">
        <v>1</v>
      </c>
      <c r="R117">
        <v>97900400000</v>
      </c>
    </row>
    <row r="118" spans="15:18">
      <c r="O118">
        <v>2028</v>
      </c>
      <c r="P118">
        <v>2015</v>
      </c>
      <c r="Q118">
        <v>1</v>
      </c>
      <c r="R118">
        <v>117287000000</v>
      </c>
    </row>
    <row r="119" spans="15:18">
      <c r="O119">
        <v>2028</v>
      </c>
      <c r="P119">
        <v>2016</v>
      </c>
      <c r="Q119">
        <v>1</v>
      </c>
      <c r="R119">
        <v>130162000000</v>
      </c>
    </row>
    <row r="120" spans="15:18">
      <c r="O120">
        <v>2028</v>
      </c>
      <c r="P120">
        <v>2017</v>
      </c>
      <c r="Q120">
        <v>1</v>
      </c>
      <c r="R120">
        <v>138820000000</v>
      </c>
    </row>
    <row r="121" spans="15:18">
      <c r="O121">
        <v>2028</v>
      </c>
      <c r="P121">
        <v>2018</v>
      </c>
      <c r="Q121">
        <v>1</v>
      </c>
      <c r="R121">
        <v>140419000000</v>
      </c>
    </row>
    <row r="122" spans="15:18">
      <c r="O122">
        <v>2028</v>
      </c>
      <c r="P122">
        <v>2019</v>
      </c>
      <c r="Q122">
        <v>1</v>
      </c>
      <c r="R122">
        <v>151522000000</v>
      </c>
    </row>
    <row r="123" spans="15:18">
      <c r="O123">
        <v>2028</v>
      </c>
      <c r="P123">
        <v>2020</v>
      </c>
      <c r="Q123">
        <v>1</v>
      </c>
      <c r="R123">
        <v>161378000000</v>
      </c>
    </row>
    <row r="124" spans="15:18">
      <c r="O124">
        <v>2028</v>
      </c>
      <c r="P124">
        <v>2021</v>
      </c>
      <c r="Q124">
        <v>1</v>
      </c>
      <c r="R124">
        <v>170909000000</v>
      </c>
    </row>
    <row r="125" spans="15:18">
      <c r="O125">
        <v>2028</v>
      </c>
      <c r="P125">
        <v>2022</v>
      </c>
      <c r="Q125">
        <v>1</v>
      </c>
      <c r="R125">
        <v>176498000000</v>
      </c>
    </row>
    <row r="126" spans="15:18">
      <c r="O126">
        <v>2028</v>
      </c>
      <c r="P126">
        <v>2023</v>
      </c>
      <c r="Q126">
        <v>1</v>
      </c>
      <c r="R126">
        <v>185762000000</v>
      </c>
    </row>
    <row r="127" spans="15:18">
      <c r="O127">
        <v>2028</v>
      </c>
      <c r="P127">
        <v>2024</v>
      </c>
      <c r="Q127">
        <v>1</v>
      </c>
      <c r="R127">
        <v>193840000000</v>
      </c>
    </row>
    <row r="128" spans="15:18">
      <c r="O128">
        <v>2028</v>
      </c>
      <c r="P128">
        <v>2025</v>
      </c>
      <c r="Q128">
        <v>1</v>
      </c>
      <c r="R128">
        <v>200619000000</v>
      </c>
    </row>
    <row r="129" spans="15:21">
      <c r="O129">
        <v>2028</v>
      </c>
      <c r="P129">
        <v>2026</v>
      </c>
      <c r="Q129">
        <v>1</v>
      </c>
      <c r="R129">
        <v>207121000000</v>
      </c>
    </row>
    <row r="130" spans="15:21">
      <c r="O130">
        <v>2028</v>
      </c>
      <c r="P130">
        <v>2027</v>
      </c>
      <c r="Q130">
        <v>1</v>
      </c>
      <c r="R130">
        <v>212191000000</v>
      </c>
    </row>
    <row r="131" spans="15:21">
      <c r="O131">
        <v>2028</v>
      </c>
      <c r="P131">
        <v>2028</v>
      </c>
      <c r="Q131">
        <v>1</v>
      </c>
      <c r="R131">
        <v>217843000000</v>
      </c>
      <c r="S131">
        <f>SUM(R101:R131)</f>
        <v>2945089010000</v>
      </c>
      <c r="T131">
        <f>R129</f>
        <v>207121000000</v>
      </c>
      <c r="U131">
        <f>T131/S131</f>
        <v>7.03275857866177E-2</v>
      </c>
    </row>
    <row r="132" spans="15:21">
      <c r="O132">
        <v>2029</v>
      </c>
      <c r="P132">
        <v>1999</v>
      </c>
      <c r="Q132">
        <v>1</v>
      </c>
      <c r="R132">
        <v>40158800000</v>
      </c>
    </row>
    <row r="133" spans="15:21">
      <c r="O133">
        <v>2029</v>
      </c>
      <c r="P133">
        <v>2000</v>
      </c>
      <c r="Q133">
        <v>1</v>
      </c>
      <c r="R133">
        <v>8892150000</v>
      </c>
    </row>
    <row r="134" spans="15:21">
      <c r="O134">
        <v>2029</v>
      </c>
      <c r="P134">
        <v>2001</v>
      </c>
      <c r="Q134">
        <v>1</v>
      </c>
      <c r="R134">
        <v>9867760000</v>
      </c>
    </row>
    <row r="135" spans="15:21">
      <c r="O135">
        <v>2029</v>
      </c>
      <c r="P135">
        <v>2002</v>
      </c>
      <c r="Q135">
        <v>1</v>
      </c>
      <c r="R135">
        <v>12080500000</v>
      </c>
    </row>
    <row r="136" spans="15:21">
      <c r="O136">
        <v>2029</v>
      </c>
      <c r="P136">
        <v>2003</v>
      </c>
      <c r="Q136">
        <v>1</v>
      </c>
      <c r="R136">
        <v>13808100000</v>
      </c>
    </row>
    <row r="137" spans="15:21">
      <c r="O137">
        <v>2029</v>
      </c>
      <c r="P137">
        <v>2004</v>
      </c>
      <c r="Q137">
        <v>1</v>
      </c>
      <c r="R137">
        <v>16268800000</v>
      </c>
    </row>
    <row r="138" spans="15:21">
      <c r="O138">
        <v>2029</v>
      </c>
      <c r="P138">
        <v>2005</v>
      </c>
      <c r="Q138">
        <v>1</v>
      </c>
      <c r="R138">
        <v>18448900000</v>
      </c>
    </row>
    <row r="139" spans="15:21">
      <c r="O139">
        <v>2029</v>
      </c>
      <c r="P139">
        <v>2006</v>
      </c>
      <c r="Q139">
        <v>1</v>
      </c>
      <c r="R139">
        <v>20225300000</v>
      </c>
    </row>
    <row r="140" spans="15:21">
      <c r="O140">
        <v>2029</v>
      </c>
      <c r="P140">
        <v>2007</v>
      </c>
      <c r="Q140">
        <v>1</v>
      </c>
      <c r="R140">
        <v>23457600000</v>
      </c>
    </row>
    <row r="141" spans="15:21">
      <c r="O141">
        <v>2029</v>
      </c>
      <c r="P141">
        <v>2008</v>
      </c>
      <c r="Q141">
        <v>1</v>
      </c>
      <c r="R141">
        <v>25064100000</v>
      </c>
    </row>
    <row r="142" spans="15:21">
      <c r="O142">
        <v>2029</v>
      </c>
      <c r="P142">
        <v>2009</v>
      </c>
      <c r="Q142">
        <v>1</v>
      </c>
      <c r="R142">
        <v>19473500000</v>
      </c>
    </row>
    <row r="143" spans="15:21">
      <c r="O143">
        <v>2029</v>
      </c>
      <c r="P143">
        <v>2010</v>
      </c>
      <c r="Q143">
        <v>1</v>
      </c>
      <c r="R143">
        <v>27550700000</v>
      </c>
    </row>
    <row r="144" spans="15:21">
      <c r="O144">
        <v>2029</v>
      </c>
      <c r="P144">
        <v>2011</v>
      </c>
      <c r="Q144">
        <v>1</v>
      </c>
      <c r="R144">
        <v>35463900000</v>
      </c>
    </row>
    <row r="145" spans="15:18">
      <c r="O145">
        <v>2029</v>
      </c>
      <c r="P145">
        <v>2012</v>
      </c>
      <c r="Q145">
        <v>1</v>
      </c>
      <c r="R145">
        <v>46140700000</v>
      </c>
    </row>
    <row r="146" spans="15:18">
      <c r="O146">
        <v>2029</v>
      </c>
      <c r="P146">
        <v>2013</v>
      </c>
      <c r="Q146">
        <v>1</v>
      </c>
      <c r="R146">
        <v>59311900000</v>
      </c>
    </row>
    <row r="147" spans="15:18">
      <c r="O147">
        <v>2029</v>
      </c>
      <c r="P147">
        <v>2014</v>
      </c>
      <c r="Q147">
        <v>1</v>
      </c>
      <c r="R147">
        <v>84849300000</v>
      </c>
    </row>
    <row r="148" spans="15:18">
      <c r="O148">
        <v>2029</v>
      </c>
      <c r="P148">
        <v>2015</v>
      </c>
      <c r="Q148">
        <v>1</v>
      </c>
      <c r="R148">
        <v>103525000000</v>
      </c>
    </row>
    <row r="149" spans="15:18">
      <c r="O149">
        <v>2029</v>
      </c>
      <c r="P149">
        <v>2016</v>
      </c>
      <c r="Q149">
        <v>1</v>
      </c>
      <c r="R149">
        <v>117639000000</v>
      </c>
    </row>
    <row r="150" spans="15:18">
      <c r="O150">
        <v>2029</v>
      </c>
      <c r="P150">
        <v>2017</v>
      </c>
      <c r="Q150">
        <v>1</v>
      </c>
      <c r="R150">
        <v>127486000000</v>
      </c>
    </row>
    <row r="151" spans="15:18">
      <c r="O151">
        <v>2029</v>
      </c>
      <c r="P151">
        <v>2018</v>
      </c>
      <c r="Q151">
        <v>1</v>
      </c>
      <c r="R151">
        <v>130047000000</v>
      </c>
    </row>
    <row r="152" spans="15:18">
      <c r="O152">
        <v>2029</v>
      </c>
      <c r="P152">
        <v>2019</v>
      </c>
      <c r="Q152">
        <v>1</v>
      </c>
      <c r="R152">
        <v>141214000000</v>
      </c>
    </row>
    <row r="153" spans="15:18">
      <c r="O153">
        <v>2029</v>
      </c>
      <c r="P153">
        <v>2020</v>
      </c>
      <c r="Q153">
        <v>1</v>
      </c>
      <c r="R153">
        <v>151423000000</v>
      </c>
    </row>
    <row r="154" spans="15:18">
      <c r="O154">
        <v>2029</v>
      </c>
      <c r="P154">
        <v>2021</v>
      </c>
      <c r="Q154">
        <v>1</v>
      </c>
      <c r="R154">
        <v>161451000000</v>
      </c>
    </row>
    <row r="155" spans="15:18">
      <c r="O155">
        <v>2029</v>
      </c>
      <c r="P155">
        <v>2022</v>
      </c>
      <c r="Q155">
        <v>1</v>
      </c>
      <c r="R155">
        <v>167858000000</v>
      </c>
    </row>
    <row r="156" spans="15:18">
      <c r="O156">
        <v>2029</v>
      </c>
      <c r="P156">
        <v>2023</v>
      </c>
      <c r="Q156">
        <v>1</v>
      </c>
      <c r="R156">
        <v>177820000000</v>
      </c>
    </row>
    <row r="157" spans="15:18">
      <c r="O157">
        <v>2029</v>
      </c>
      <c r="P157">
        <v>2024</v>
      </c>
      <c r="Q157">
        <v>1</v>
      </c>
      <c r="R157">
        <v>186694000000</v>
      </c>
    </row>
    <row r="158" spans="15:18">
      <c r="O158">
        <v>2029</v>
      </c>
      <c r="P158">
        <v>2025</v>
      </c>
      <c r="Q158">
        <v>1</v>
      </c>
      <c r="R158">
        <v>194339000000</v>
      </c>
    </row>
    <row r="159" spans="15:18">
      <c r="O159">
        <v>2029</v>
      </c>
      <c r="P159">
        <v>2026</v>
      </c>
      <c r="Q159">
        <v>1</v>
      </c>
      <c r="R159">
        <v>201862000000</v>
      </c>
    </row>
    <row r="160" spans="15:18">
      <c r="O160">
        <v>2029</v>
      </c>
      <c r="P160">
        <v>2027</v>
      </c>
      <c r="Q160">
        <v>1</v>
      </c>
      <c r="R160">
        <v>207298000000</v>
      </c>
    </row>
    <row r="161" spans="15:21">
      <c r="O161">
        <v>2029</v>
      </c>
      <c r="P161">
        <v>2028</v>
      </c>
      <c r="Q161">
        <v>1</v>
      </c>
      <c r="R161">
        <v>213348000000</v>
      </c>
    </row>
    <row r="162" spans="15:21">
      <c r="O162">
        <v>2029</v>
      </c>
      <c r="P162">
        <v>2029</v>
      </c>
      <c r="Q162">
        <v>1</v>
      </c>
      <c r="R162">
        <v>218480000000</v>
      </c>
      <c r="S162">
        <f>SUM(R132:R162)</f>
        <v>2961546010000</v>
      </c>
      <c r="T162">
        <f>R159</f>
        <v>201862000000</v>
      </c>
      <c r="U162">
        <f>T162/S162</f>
        <v>6.8161021074259795E-2</v>
      </c>
    </row>
    <row r="163" spans="15:21">
      <c r="O163">
        <v>2030</v>
      </c>
      <c r="P163">
        <v>2000</v>
      </c>
      <c r="Q163">
        <v>1</v>
      </c>
      <c r="R163">
        <v>40424900000</v>
      </c>
    </row>
    <row r="164" spans="15:21">
      <c r="O164">
        <v>2030</v>
      </c>
      <c r="P164">
        <v>2001</v>
      </c>
      <c r="Q164">
        <v>1</v>
      </c>
      <c r="R164">
        <v>8600540000</v>
      </c>
    </row>
    <row r="165" spans="15:21">
      <c r="O165">
        <v>2030</v>
      </c>
      <c r="P165">
        <v>2002</v>
      </c>
      <c r="Q165">
        <v>1</v>
      </c>
      <c r="R165">
        <v>10522900000</v>
      </c>
    </row>
    <row r="166" spans="15:21">
      <c r="O166">
        <v>2030</v>
      </c>
      <c r="P166">
        <v>2003</v>
      </c>
      <c r="Q166">
        <v>1</v>
      </c>
      <c r="R166">
        <v>11994000000</v>
      </c>
    </row>
    <row r="167" spans="15:21">
      <c r="O167">
        <v>2030</v>
      </c>
      <c r="P167">
        <v>2004</v>
      </c>
      <c r="Q167">
        <v>1</v>
      </c>
      <c r="R167">
        <v>14109600000</v>
      </c>
    </row>
    <row r="168" spans="15:21">
      <c r="O168">
        <v>2030</v>
      </c>
      <c r="P168">
        <v>2005</v>
      </c>
      <c r="Q168">
        <v>1</v>
      </c>
      <c r="R168">
        <v>15839400000</v>
      </c>
    </row>
    <row r="169" spans="15:21">
      <c r="O169">
        <v>2030</v>
      </c>
      <c r="P169">
        <v>2006</v>
      </c>
      <c r="Q169">
        <v>1</v>
      </c>
      <c r="R169">
        <v>17217400000</v>
      </c>
    </row>
    <row r="170" spans="15:21">
      <c r="O170">
        <v>2030</v>
      </c>
      <c r="P170">
        <v>2007</v>
      </c>
      <c r="Q170">
        <v>1</v>
      </c>
      <c r="R170">
        <v>19847000000</v>
      </c>
    </row>
    <row r="171" spans="15:21">
      <c r="O171">
        <v>2030</v>
      </c>
      <c r="P171">
        <v>2008</v>
      </c>
      <c r="Q171">
        <v>1</v>
      </c>
      <c r="R171">
        <v>21134800000</v>
      </c>
    </row>
    <row r="172" spans="15:21">
      <c r="O172">
        <v>2030</v>
      </c>
      <c r="P172">
        <v>2009</v>
      </c>
      <c r="Q172">
        <v>1</v>
      </c>
      <c r="R172">
        <v>16304100000</v>
      </c>
    </row>
    <row r="173" spans="15:21">
      <c r="O173">
        <v>2030</v>
      </c>
      <c r="P173">
        <v>2010</v>
      </c>
      <c r="Q173">
        <v>1</v>
      </c>
      <c r="R173">
        <v>23127900000</v>
      </c>
    </row>
    <row r="174" spans="15:21">
      <c r="O174">
        <v>2030</v>
      </c>
      <c r="P174">
        <v>2011</v>
      </c>
      <c r="Q174">
        <v>1</v>
      </c>
      <c r="R174">
        <v>29938800000</v>
      </c>
    </row>
    <row r="175" spans="15:21">
      <c r="O175">
        <v>2030</v>
      </c>
      <c r="P175">
        <v>2012</v>
      </c>
      <c r="Q175">
        <v>1</v>
      </c>
      <c r="R175">
        <v>38892000000</v>
      </c>
    </row>
    <row r="176" spans="15:21">
      <c r="O176">
        <v>2030</v>
      </c>
      <c r="P176">
        <v>2013</v>
      </c>
      <c r="Q176">
        <v>1</v>
      </c>
      <c r="R176">
        <v>50263400000</v>
      </c>
    </row>
    <row r="177" spans="15:18">
      <c r="O177">
        <v>2030</v>
      </c>
      <c r="P177">
        <v>2014</v>
      </c>
      <c r="Q177">
        <v>1</v>
      </c>
      <c r="R177">
        <v>72747200000</v>
      </c>
    </row>
    <row r="178" spans="15:18">
      <c r="O178">
        <v>2030</v>
      </c>
      <c r="P178">
        <v>2015</v>
      </c>
      <c r="Q178">
        <v>1</v>
      </c>
      <c r="R178">
        <v>89771900000</v>
      </c>
    </row>
    <row r="179" spans="15:18">
      <c r="O179">
        <v>2030</v>
      </c>
      <c r="P179">
        <v>2016</v>
      </c>
      <c r="Q179">
        <v>1</v>
      </c>
      <c r="R179">
        <v>103926000000</v>
      </c>
    </row>
    <row r="180" spans="15:18">
      <c r="O180">
        <v>2030</v>
      </c>
      <c r="P180">
        <v>2017</v>
      </c>
      <c r="Q180">
        <v>1</v>
      </c>
      <c r="R180">
        <v>115185000000</v>
      </c>
    </row>
    <row r="181" spans="15:18">
      <c r="O181">
        <v>2030</v>
      </c>
      <c r="P181">
        <v>2018</v>
      </c>
      <c r="Q181">
        <v>1</v>
      </c>
      <c r="R181">
        <v>119687000000</v>
      </c>
    </row>
    <row r="182" spans="15:18">
      <c r="O182">
        <v>2030</v>
      </c>
      <c r="P182">
        <v>2019</v>
      </c>
      <c r="Q182">
        <v>1</v>
      </c>
      <c r="R182">
        <v>130772000000</v>
      </c>
    </row>
    <row r="183" spans="15:18">
      <c r="O183">
        <v>2030</v>
      </c>
      <c r="P183">
        <v>2020</v>
      </c>
      <c r="Q183">
        <v>1</v>
      </c>
      <c r="R183">
        <v>141138000000</v>
      </c>
    </row>
    <row r="184" spans="15:18">
      <c r="O184">
        <v>2030</v>
      </c>
      <c r="P184">
        <v>2021</v>
      </c>
      <c r="Q184">
        <v>1</v>
      </c>
      <c r="R184">
        <v>151514000000</v>
      </c>
    </row>
    <row r="185" spans="15:18">
      <c r="O185">
        <v>2030</v>
      </c>
      <c r="P185">
        <v>2022</v>
      </c>
      <c r="Q185">
        <v>1</v>
      </c>
      <c r="R185">
        <v>158612000000</v>
      </c>
    </row>
    <row r="186" spans="15:18">
      <c r="O186">
        <v>2030</v>
      </c>
      <c r="P186">
        <v>2023</v>
      </c>
      <c r="Q186">
        <v>1</v>
      </c>
      <c r="R186">
        <v>169182000000</v>
      </c>
    </row>
    <row r="187" spans="15:18">
      <c r="O187">
        <v>2030</v>
      </c>
      <c r="P187">
        <v>2024</v>
      </c>
      <c r="Q187">
        <v>1</v>
      </c>
      <c r="R187">
        <v>178795000000</v>
      </c>
    </row>
    <row r="188" spans="15:18">
      <c r="O188">
        <v>2030</v>
      </c>
      <c r="P188">
        <v>2025</v>
      </c>
      <c r="Q188">
        <v>1</v>
      </c>
      <c r="R188">
        <v>187268000000</v>
      </c>
    </row>
    <row r="189" spans="15:18">
      <c r="O189">
        <v>2030</v>
      </c>
      <c r="P189">
        <v>2026</v>
      </c>
      <c r="Q189">
        <v>1</v>
      </c>
      <c r="R189">
        <v>195647000000</v>
      </c>
    </row>
    <row r="190" spans="15:18">
      <c r="O190">
        <v>2030</v>
      </c>
      <c r="P190">
        <v>2027</v>
      </c>
      <c r="Q190">
        <v>1</v>
      </c>
      <c r="R190">
        <v>202153000000</v>
      </c>
    </row>
    <row r="191" spans="15:18">
      <c r="O191">
        <v>2030</v>
      </c>
      <c r="P191">
        <v>2028</v>
      </c>
      <c r="Q191">
        <v>1</v>
      </c>
      <c r="R191">
        <v>208549000000</v>
      </c>
    </row>
    <row r="192" spans="15:18">
      <c r="O192">
        <v>2030</v>
      </c>
      <c r="P192">
        <v>2029</v>
      </c>
      <c r="Q192">
        <v>1</v>
      </c>
      <c r="R192">
        <v>214095000000</v>
      </c>
    </row>
    <row r="193" spans="15:21">
      <c r="O193">
        <v>2030</v>
      </c>
      <c r="P193">
        <v>2030</v>
      </c>
      <c r="Q193">
        <v>1</v>
      </c>
      <c r="R193">
        <v>220881000000</v>
      </c>
      <c r="S193">
        <f>SUM(R163:R193)</f>
        <v>2978139840000</v>
      </c>
      <c r="T193">
        <f>R189</f>
        <v>195647000000</v>
      </c>
      <c r="U193">
        <f>T193/S193</f>
        <v>6.5694363096126474E-2</v>
      </c>
    </row>
    <row r="194" spans="15:21">
      <c r="O194">
        <v>2031</v>
      </c>
      <c r="P194">
        <v>2001</v>
      </c>
      <c r="Q194">
        <v>1</v>
      </c>
      <c r="R194">
        <v>40681100000</v>
      </c>
    </row>
    <row r="195" spans="15:21">
      <c r="O195">
        <v>2031</v>
      </c>
      <c r="P195">
        <v>2002</v>
      </c>
      <c r="Q195">
        <v>1</v>
      </c>
      <c r="R195">
        <v>9185510000</v>
      </c>
    </row>
    <row r="196" spans="15:21">
      <c r="O196">
        <v>2031</v>
      </c>
      <c r="P196">
        <v>2003</v>
      </c>
      <c r="Q196">
        <v>1</v>
      </c>
      <c r="R196">
        <v>10449800000</v>
      </c>
    </row>
    <row r="197" spans="15:21">
      <c r="O197">
        <v>2031</v>
      </c>
      <c r="P197">
        <v>2004</v>
      </c>
      <c r="Q197">
        <v>1</v>
      </c>
      <c r="R197">
        <v>12281800000</v>
      </c>
    </row>
    <row r="198" spans="15:21">
      <c r="O198">
        <v>2031</v>
      </c>
      <c r="P198">
        <v>2005</v>
      </c>
      <c r="Q198">
        <v>1</v>
      </c>
      <c r="R198">
        <v>13713800000</v>
      </c>
    </row>
    <row r="199" spans="15:21">
      <c r="O199">
        <v>2031</v>
      </c>
      <c r="P199">
        <v>2006</v>
      </c>
      <c r="Q199">
        <v>1</v>
      </c>
      <c r="R199">
        <v>14761800000</v>
      </c>
    </row>
    <row r="200" spans="15:21">
      <c r="O200">
        <v>2031</v>
      </c>
      <c r="P200">
        <v>2007</v>
      </c>
      <c r="Q200">
        <v>1</v>
      </c>
      <c r="R200">
        <v>16866000000</v>
      </c>
    </row>
    <row r="201" spans="15:21">
      <c r="O201">
        <v>2031</v>
      </c>
      <c r="P201">
        <v>2008</v>
      </c>
      <c r="Q201">
        <v>1</v>
      </c>
      <c r="R201">
        <v>17883400000</v>
      </c>
    </row>
    <row r="202" spans="15:21">
      <c r="O202">
        <v>2031</v>
      </c>
      <c r="P202">
        <v>2009</v>
      </c>
      <c r="Q202">
        <v>1</v>
      </c>
      <c r="R202">
        <v>13660500000</v>
      </c>
    </row>
    <row r="203" spans="15:21">
      <c r="O203">
        <v>2031</v>
      </c>
      <c r="P203">
        <v>2010</v>
      </c>
      <c r="Q203">
        <v>1</v>
      </c>
      <c r="R203">
        <v>19409300000</v>
      </c>
    </row>
    <row r="204" spans="15:21">
      <c r="O204">
        <v>2031</v>
      </c>
      <c r="P204">
        <v>2011</v>
      </c>
      <c r="Q204">
        <v>1</v>
      </c>
      <c r="R204">
        <v>25218100000</v>
      </c>
    </row>
    <row r="205" spans="15:21">
      <c r="O205">
        <v>2031</v>
      </c>
      <c r="P205">
        <v>2012</v>
      </c>
      <c r="Q205">
        <v>1</v>
      </c>
      <c r="R205">
        <v>32634000000</v>
      </c>
    </row>
    <row r="206" spans="15:21">
      <c r="O206">
        <v>2031</v>
      </c>
      <c r="P206">
        <v>2013</v>
      </c>
      <c r="Q206">
        <v>1</v>
      </c>
      <c r="R206">
        <v>42300600000</v>
      </c>
    </row>
    <row r="207" spans="15:21">
      <c r="O207">
        <v>2031</v>
      </c>
      <c r="P207">
        <v>2014</v>
      </c>
      <c r="Q207">
        <v>1</v>
      </c>
      <c r="R207">
        <v>61840600000</v>
      </c>
    </row>
    <row r="208" spans="15:21">
      <c r="O208">
        <v>2031</v>
      </c>
      <c r="P208">
        <v>2015</v>
      </c>
      <c r="Q208">
        <v>1</v>
      </c>
      <c r="R208">
        <v>77045900000</v>
      </c>
    </row>
    <row r="209" spans="15:21">
      <c r="O209">
        <v>2031</v>
      </c>
      <c r="P209">
        <v>2016</v>
      </c>
      <c r="Q209">
        <v>1</v>
      </c>
      <c r="R209">
        <v>90200300000</v>
      </c>
    </row>
    <row r="210" spans="15:21">
      <c r="O210">
        <v>2031</v>
      </c>
      <c r="P210">
        <v>2017</v>
      </c>
      <c r="Q210">
        <v>1</v>
      </c>
      <c r="R210">
        <v>101832000000</v>
      </c>
    </row>
    <row r="211" spans="15:21">
      <c r="O211">
        <v>2031</v>
      </c>
      <c r="P211">
        <v>2018</v>
      </c>
      <c r="Q211">
        <v>1</v>
      </c>
      <c r="R211">
        <v>108044000000</v>
      </c>
    </row>
    <row r="212" spans="15:21">
      <c r="O212">
        <v>2031</v>
      </c>
      <c r="P212">
        <v>2019</v>
      </c>
      <c r="Q212">
        <v>1</v>
      </c>
      <c r="R212">
        <v>120238000000</v>
      </c>
    </row>
    <row r="213" spans="15:21">
      <c r="O213">
        <v>2031</v>
      </c>
      <c r="P213">
        <v>2020</v>
      </c>
      <c r="Q213">
        <v>1</v>
      </c>
      <c r="R213">
        <v>130588000000</v>
      </c>
    </row>
    <row r="214" spans="15:21">
      <c r="O214">
        <v>2031</v>
      </c>
      <c r="P214">
        <v>2021</v>
      </c>
      <c r="Q214">
        <v>1</v>
      </c>
      <c r="R214">
        <v>141084000000</v>
      </c>
    </row>
    <row r="215" spans="15:21">
      <c r="O215">
        <v>2031</v>
      </c>
      <c r="P215">
        <v>2022</v>
      </c>
      <c r="Q215">
        <v>1</v>
      </c>
      <c r="R215">
        <v>148703000000</v>
      </c>
    </row>
    <row r="216" spans="15:21">
      <c r="O216">
        <v>2031</v>
      </c>
      <c r="P216">
        <v>2023</v>
      </c>
      <c r="Q216">
        <v>1</v>
      </c>
      <c r="R216">
        <v>159701000000</v>
      </c>
    </row>
    <row r="217" spans="15:21">
      <c r="O217">
        <v>2031</v>
      </c>
      <c r="P217">
        <v>2024</v>
      </c>
      <c r="Q217">
        <v>1</v>
      </c>
      <c r="R217">
        <v>169922000000</v>
      </c>
    </row>
    <row r="218" spans="15:21">
      <c r="O218">
        <v>2031</v>
      </c>
      <c r="P218">
        <v>2025</v>
      </c>
      <c r="Q218">
        <v>1</v>
      </c>
      <c r="R218">
        <v>179132000000</v>
      </c>
    </row>
    <row r="219" spans="15:21">
      <c r="O219">
        <v>2031</v>
      </c>
      <c r="P219">
        <v>2026</v>
      </c>
      <c r="Q219">
        <v>1</v>
      </c>
      <c r="R219">
        <v>188286000000</v>
      </c>
    </row>
    <row r="220" spans="15:21">
      <c r="O220">
        <v>2031</v>
      </c>
      <c r="P220">
        <v>2027</v>
      </c>
      <c r="Q220">
        <v>1</v>
      </c>
      <c r="R220">
        <v>195667000000</v>
      </c>
    </row>
    <row r="221" spans="15:21">
      <c r="O221">
        <v>2031</v>
      </c>
      <c r="P221">
        <v>2028</v>
      </c>
      <c r="Q221">
        <v>1</v>
      </c>
      <c r="R221">
        <v>203081000000</v>
      </c>
    </row>
    <row r="222" spans="15:21">
      <c r="O222">
        <v>2031</v>
      </c>
      <c r="P222">
        <v>2029</v>
      </c>
      <c r="Q222">
        <v>1</v>
      </c>
      <c r="R222">
        <v>208976000000</v>
      </c>
    </row>
    <row r="223" spans="15:21">
      <c r="O223">
        <v>2031</v>
      </c>
      <c r="P223">
        <v>2030</v>
      </c>
      <c r="Q223">
        <v>1</v>
      </c>
      <c r="R223">
        <v>216131000000</v>
      </c>
    </row>
    <row r="224" spans="15:21">
      <c r="O224">
        <v>2031</v>
      </c>
      <c r="P224">
        <v>2031</v>
      </c>
      <c r="Q224">
        <v>1</v>
      </c>
      <c r="R224">
        <v>224441000000</v>
      </c>
      <c r="S224">
        <f>SUM(R194:R224)</f>
        <v>2993958510000</v>
      </c>
      <c r="T224">
        <f>R219</f>
        <v>188286000000</v>
      </c>
      <c r="U224">
        <f>T224/S224</f>
        <v>6.2888647044076776E-2</v>
      </c>
    </row>
    <row r="225" spans="15:18">
      <c r="O225">
        <v>2032</v>
      </c>
      <c r="P225">
        <v>2002</v>
      </c>
      <c r="Q225">
        <v>1</v>
      </c>
      <c r="R225">
        <v>40926400000</v>
      </c>
    </row>
    <row r="226" spans="15:18">
      <c r="O226">
        <v>2032</v>
      </c>
      <c r="P226">
        <v>2003</v>
      </c>
      <c r="Q226">
        <v>1</v>
      </c>
      <c r="R226">
        <v>9108730000</v>
      </c>
    </row>
    <row r="227" spans="15:18">
      <c r="O227">
        <v>2032</v>
      </c>
      <c r="P227">
        <v>2004</v>
      </c>
      <c r="Q227">
        <v>1</v>
      </c>
      <c r="R227">
        <v>10705200000</v>
      </c>
    </row>
    <row r="228" spans="15:18">
      <c r="O228">
        <v>2032</v>
      </c>
      <c r="P228">
        <v>2005</v>
      </c>
      <c r="Q228">
        <v>1</v>
      </c>
      <c r="R228">
        <v>11902100000</v>
      </c>
    </row>
    <row r="229" spans="15:18">
      <c r="O229">
        <v>2032</v>
      </c>
      <c r="P229">
        <v>2006</v>
      </c>
      <c r="Q229">
        <v>1</v>
      </c>
      <c r="R229">
        <v>12748100000</v>
      </c>
    </row>
    <row r="230" spans="15:18">
      <c r="O230">
        <v>2032</v>
      </c>
      <c r="P230">
        <v>2007</v>
      </c>
      <c r="Q230">
        <v>1</v>
      </c>
      <c r="R230">
        <v>14423100000</v>
      </c>
    </row>
    <row r="231" spans="15:18">
      <c r="O231">
        <v>2032</v>
      </c>
      <c r="P231">
        <v>2008</v>
      </c>
      <c r="Q231">
        <v>1</v>
      </c>
      <c r="R231">
        <v>15190700000</v>
      </c>
    </row>
    <row r="232" spans="15:18">
      <c r="O232">
        <v>2032</v>
      </c>
      <c r="P232">
        <v>2009</v>
      </c>
      <c r="Q232">
        <v>1</v>
      </c>
      <c r="R232">
        <v>11477400000</v>
      </c>
    </row>
    <row r="233" spans="15:18">
      <c r="O233">
        <v>2032</v>
      </c>
      <c r="P233">
        <v>2010</v>
      </c>
      <c r="Q233">
        <v>1</v>
      </c>
      <c r="R233">
        <v>16305700000</v>
      </c>
    </row>
    <row r="234" spans="15:18">
      <c r="O234">
        <v>2032</v>
      </c>
      <c r="P234">
        <v>2011</v>
      </c>
      <c r="Q234">
        <v>1</v>
      </c>
      <c r="R234">
        <v>21241700000</v>
      </c>
    </row>
    <row r="235" spans="15:18">
      <c r="O235">
        <v>2032</v>
      </c>
      <c r="P235">
        <v>2012</v>
      </c>
      <c r="Q235">
        <v>1</v>
      </c>
      <c r="R235">
        <v>27313400000</v>
      </c>
    </row>
    <row r="236" spans="15:18">
      <c r="O236">
        <v>2032</v>
      </c>
      <c r="P236">
        <v>2013</v>
      </c>
      <c r="Q236">
        <v>1</v>
      </c>
      <c r="R236">
        <v>35456600000</v>
      </c>
    </row>
    <row r="237" spans="15:18">
      <c r="O237">
        <v>2032</v>
      </c>
      <c r="P237">
        <v>2014</v>
      </c>
      <c r="Q237">
        <v>1</v>
      </c>
      <c r="R237">
        <v>52265600000</v>
      </c>
    </row>
    <row r="238" spans="15:18">
      <c r="O238">
        <v>2032</v>
      </c>
      <c r="P238">
        <v>2015</v>
      </c>
      <c r="Q238">
        <v>1</v>
      </c>
      <c r="R238">
        <v>65610900000</v>
      </c>
    </row>
    <row r="239" spans="15:18">
      <c r="O239">
        <v>2032</v>
      </c>
      <c r="P239">
        <v>2016</v>
      </c>
      <c r="Q239">
        <v>1</v>
      </c>
      <c r="R239">
        <v>77548000000</v>
      </c>
    </row>
    <row r="240" spans="15:18">
      <c r="O240">
        <v>2032</v>
      </c>
      <c r="P240">
        <v>2017</v>
      </c>
      <c r="Q240">
        <v>1</v>
      </c>
      <c r="R240">
        <v>88504900000</v>
      </c>
    </row>
    <row r="241" spans="15:21">
      <c r="O241">
        <v>2032</v>
      </c>
      <c r="P241">
        <v>2018</v>
      </c>
      <c r="Q241">
        <v>1</v>
      </c>
      <c r="R241">
        <v>95168700000</v>
      </c>
    </row>
    <row r="242" spans="15:21">
      <c r="O242">
        <v>2032</v>
      </c>
      <c r="P242">
        <v>2019</v>
      </c>
      <c r="Q242">
        <v>1</v>
      </c>
      <c r="R242">
        <v>108544000000</v>
      </c>
    </row>
    <row r="243" spans="15:21">
      <c r="O243">
        <v>2032</v>
      </c>
      <c r="P243">
        <v>2020</v>
      </c>
      <c r="Q243">
        <v>1</v>
      </c>
      <c r="R243">
        <v>120085000000</v>
      </c>
    </row>
    <row r="244" spans="15:21">
      <c r="O244">
        <v>2032</v>
      </c>
      <c r="P244">
        <v>2021</v>
      </c>
      <c r="Q244">
        <v>1</v>
      </c>
      <c r="R244">
        <v>130555000000</v>
      </c>
    </row>
    <row r="245" spans="15:21">
      <c r="O245">
        <v>2032</v>
      </c>
      <c r="P245">
        <v>2022</v>
      </c>
      <c r="Q245">
        <v>1</v>
      </c>
      <c r="R245">
        <v>138502000000</v>
      </c>
    </row>
    <row r="246" spans="15:21">
      <c r="O246">
        <v>2032</v>
      </c>
      <c r="P246">
        <v>2023</v>
      </c>
      <c r="Q246">
        <v>1</v>
      </c>
      <c r="R246">
        <v>149778000000</v>
      </c>
    </row>
    <row r="247" spans="15:21">
      <c r="O247">
        <v>2032</v>
      </c>
      <c r="P247">
        <v>2024</v>
      </c>
      <c r="Q247">
        <v>1</v>
      </c>
      <c r="R247">
        <v>160467000000</v>
      </c>
    </row>
    <row r="248" spans="15:21">
      <c r="O248">
        <v>2032</v>
      </c>
      <c r="P248">
        <v>2025</v>
      </c>
      <c r="Q248">
        <v>1</v>
      </c>
      <c r="R248">
        <v>170320000000</v>
      </c>
    </row>
    <row r="249" spans="15:21">
      <c r="O249">
        <v>2032</v>
      </c>
      <c r="P249">
        <v>2026</v>
      </c>
      <c r="Q249">
        <v>1</v>
      </c>
      <c r="R249">
        <v>180189000000</v>
      </c>
    </row>
    <row r="250" spans="15:21">
      <c r="O250">
        <v>2032</v>
      </c>
      <c r="P250">
        <v>2027</v>
      </c>
      <c r="Q250">
        <v>1</v>
      </c>
      <c r="R250">
        <v>188407000000</v>
      </c>
    </row>
    <row r="251" spans="15:21">
      <c r="O251">
        <v>2032</v>
      </c>
      <c r="P251">
        <v>2028</v>
      </c>
      <c r="Q251">
        <v>1</v>
      </c>
      <c r="R251">
        <v>196672000000</v>
      </c>
    </row>
    <row r="252" spans="15:21">
      <c r="O252">
        <v>2032</v>
      </c>
      <c r="P252">
        <v>2029</v>
      </c>
      <c r="Q252">
        <v>1</v>
      </c>
      <c r="R252">
        <v>203610000000</v>
      </c>
    </row>
    <row r="253" spans="15:21">
      <c r="O253">
        <v>2032</v>
      </c>
      <c r="P253">
        <v>2030</v>
      </c>
      <c r="Q253">
        <v>1</v>
      </c>
      <c r="R253">
        <v>211080000000</v>
      </c>
    </row>
    <row r="254" spans="15:21">
      <c r="O254">
        <v>2032</v>
      </c>
      <c r="P254">
        <v>2031</v>
      </c>
      <c r="Q254">
        <v>1</v>
      </c>
      <c r="R254">
        <v>219734000000</v>
      </c>
    </row>
    <row r="255" spans="15:21">
      <c r="O255">
        <v>2032</v>
      </c>
      <c r="P255">
        <v>2032</v>
      </c>
      <c r="Q255">
        <v>1</v>
      </c>
      <c r="R255">
        <v>225422000000</v>
      </c>
      <c r="S255">
        <f>SUM(R225:R255)</f>
        <v>3009262230000</v>
      </c>
      <c r="T255">
        <f>R249</f>
        <v>180189000000</v>
      </c>
      <c r="U255">
        <f>T255/S255</f>
        <v>5.9878131657539198E-2</v>
      </c>
    </row>
    <row r="256" spans="15:21">
      <c r="O256">
        <v>2033</v>
      </c>
      <c r="P256">
        <v>2003</v>
      </c>
      <c r="Q256">
        <v>1</v>
      </c>
      <c r="R256">
        <v>41167100000</v>
      </c>
    </row>
    <row r="257" spans="15:18">
      <c r="O257">
        <v>2033</v>
      </c>
      <c r="P257">
        <v>2004</v>
      </c>
      <c r="Q257">
        <v>1</v>
      </c>
      <c r="R257">
        <v>9340440000</v>
      </c>
    </row>
    <row r="258" spans="15:18">
      <c r="O258">
        <v>2033</v>
      </c>
      <c r="P258">
        <v>2005</v>
      </c>
      <c r="Q258">
        <v>1</v>
      </c>
      <c r="R258">
        <v>10352400000</v>
      </c>
    </row>
    <row r="259" spans="15:18">
      <c r="O259">
        <v>2033</v>
      </c>
      <c r="P259">
        <v>2006</v>
      </c>
      <c r="Q259">
        <v>1</v>
      </c>
      <c r="R259">
        <v>11043300000</v>
      </c>
    </row>
    <row r="260" spans="15:18">
      <c r="O260">
        <v>2033</v>
      </c>
      <c r="P260">
        <v>2007</v>
      </c>
      <c r="Q260">
        <v>1</v>
      </c>
      <c r="R260">
        <v>12428100000</v>
      </c>
    </row>
    <row r="261" spans="15:18">
      <c r="O261">
        <v>2033</v>
      </c>
      <c r="P261">
        <v>2008</v>
      </c>
      <c r="Q261">
        <v>1</v>
      </c>
      <c r="R261">
        <v>12989700000</v>
      </c>
    </row>
    <row r="262" spans="15:18">
      <c r="O262">
        <v>2033</v>
      </c>
      <c r="P262">
        <v>2009</v>
      </c>
      <c r="Q262">
        <v>1</v>
      </c>
      <c r="R262">
        <v>9680760000</v>
      </c>
    </row>
    <row r="263" spans="15:18">
      <c r="O263">
        <v>2033</v>
      </c>
      <c r="P263">
        <v>2010</v>
      </c>
      <c r="Q263">
        <v>1</v>
      </c>
      <c r="R263">
        <v>13741600000</v>
      </c>
    </row>
    <row r="264" spans="15:18">
      <c r="O264">
        <v>2033</v>
      </c>
      <c r="P264">
        <v>2011</v>
      </c>
      <c r="Q264">
        <v>1</v>
      </c>
      <c r="R264">
        <v>17917200000</v>
      </c>
    </row>
    <row r="265" spans="15:18">
      <c r="O265">
        <v>2033</v>
      </c>
      <c r="P265">
        <v>2012</v>
      </c>
      <c r="Q265">
        <v>1</v>
      </c>
      <c r="R265">
        <v>22855400000</v>
      </c>
    </row>
    <row r="266" spans="15:18">
      <c r="O266">
        <v>2033</v>
      </c>
      <c r="P266">
        <v>2013</v>
      </c>
      <c r="Q266">
        <v>1</v>
      </c>
      <c r="R266">
        <v>29642000000</v>
      </c>
    </row>
    <row r="267" spans="15:18">
      <c r="O267">
        <v>2033</v>
      </c>
      <c r="P267">
        <v>2014</v>
      </c>
      <c r="Q267">
        <v>1</v>
      </c>
      <c r="R267">
        <v>44010700000</v>
      </c>
    </row>
    <row r="268" spans="15:18">
      <c r="O268">
        <v>2033</v>
      </c>
      <c r="P268">
        <v>2015</v>
      </c>
      <c r="Q268">
        <v>1</v>
      </c>
      <c r="R268">
        <v>55560100000</v>
      </c>
    </row>
    <row r="269" spans="15:18">
      <c r="O269">
        <v>2033</v>
      </c>
      <c r="P269">
        <v>2016</v>
      </c>
      <c r="Q269">
        <v>1</v>
      </c>
      <c r="R269">
        <v>66166400000</v>
      </c>
    </row>
    <row r="270" spans="15:18">
      <c r="O270">
        <v>2033</v>
      </c>
      <c r="P270">
        <v>2017</v>
      </c>
      <c r="Q270">
        <v>1</v>
      </c>
      <c r="R270">
        <v>76215500000</v>
      </c>
    </row>
    <row r="271" spans="15:18">
      <c r="O271">
        <v>2033</v>
      </c>
      <c r="P271">
        <v>2018</v>
      </c>
      <c r="Q271">
        <v>1</v>
      </c>
      <c r="R271">
        <v>82365500000</v>
      </c>
    </row>
    <row r="272" spans="15:18">
      <c r="O272">
        <v>2033</v>
      </c>
      <c r="P272">
        <v>2019</v>
      </c>
      <c r="Q272">
        <v>1</v>
      </c>
      <c r="R272">
        <v>95579100000</v>
      </c>
    </row>
    <row r="273" spans="15:21">
      <c r="O273">
        <v>2033</v>
      </c>
      <c r="P273">
        <v>2020</v>
      </c>
      <c r="Q273">
        <v>1</v>
      </c>
      <c r="R273">
        <v>108358000000</v>
      </c>
    </row>
    <row r="274" spans="15:21">
      <c r="O274">
        <v>2033</v>
      </c>
      <c r="P274">
        <v>2021</v>
      </c>
      <c r="Q274">
        <v>1</v>
      </c>
      <c r="R274">
        <v>120004000000</v>
      </c>
    </row>
    <row r="275" spans="15:21">
      <c r="O275">
        <v>2033</v>
      </c>
      <c r="P275">
        <v>2022</v>
      </c>
      <c r="Q275">
        <v>1</v>
      </c>
      <c r="R275">
        <v>128118000000</v>
      </c>
    </row>
    <row r="276" spans="15:21">
      <c r="O276">
        <v>2033</v>
      </c>
      <c r="P276">
        <v>2023</v>
      </c>
      <c r="Q276">
        <v>1</v>
      </c>
      <c r="R276">
        <v>139460000000</v>
      </c>
    </row>
    <row r="277" spans="15:21">
      <c r="O277">
        <v>2033</v>
      </c>
      <c r="P277">
        <v>2024</v>
      </c>
      <c r="Q277">
        <v>1</v>
      </c>
      <c r="R277">
        <v>150450000000</v>
      </c>
    </row>
    <row r="278" spans="15:21">
      <c r="O278">
        <v>2033</v>
      </c>
      <c r="P278">
        <v>2025</v>
      </c>
      <c r="Q278">
        <v>1</v>
      </c>
      <c r="R278">
        <v>160790000000</v>
      </c>
    </row>
    <row r="279" spans="15:21">
      <c r="O279">
        <v>2033</v>
      </c>
      <c r="P279">
        <v>2026</v>
      </c>
      <c r="Q279">
        <v>1</v>
      </c>
      <c r="R279">
        <v>171258000000</v>
      </c>
    </row>
    <row r="280" spans="15:21">
      <c r="O280">
        <v>2033</v>
      </c>
      <c r="P280">
        <v>2027</v>
      </c>
      <c r="Q280">
        <v>1</v>
      </c>
      <c r="R280">
        <v>180242000000</v>
      </c>
    </row>
    <row r="281" spans="15:21">
      <c r="O281">
        <v>2033</v>
      </c>
      <c r="P281">
        <v>2028</v>
      </c>
      <c r="Q281">
        <v>1</v>
      </c>
      <c r="R281">
        <v>189301000000</v>
      </c>
    </row>
    <row r="282" spans="15:21">
      <c r="O282">
        <v>2033</v>
      </c>
      <c r="P282">
        <v>2029</v>
      </c>
      <c r="Q282">
        <v>1</v>
      </c>
      <c r="R282">
        <v>197104000000</v>
      </c>
    </row>
    <row r="283" spans="15:21">
      <c r="O283">
        <v>2033</v>
      </c>
      <c r="P283">
        <v>2030</v>
      </c>
      <c r="Q283">
        <v>1</v>
      </c>
      <c r="R283">
        <v>205568000000</v>
      </c>
    </row>
    <row r="284" spans="15:21">
      <c r="O284">
        <v>2033</v>
      </c>
      <c r="P284">
        <v>2031</v>
      </c>
      <c r="Q284">
        <v>1</v>
      </c>
      <c r="R284">
        <v>214502000000</v>
      </c>
    </row>
    <row r="285" spans="15:21">
      <c r="O285">
        <v>2033</v>
      </c>
      <c r="P285">
        <v>2032</v>
      </c>
      <c r="Q285">
        <v>1</v>
      </c>
      <c r="R285">
        <v>220593000000</v>
      </c>
    </row>
    <row r="286" spans="15:21">
      <c r="O286">
        <v>2033</v>
      </c>
      <c r="P286">
        <v>2033</v>
      </c>
      <c r="Q286">
        <v>1</v>
      </c>
      <c r="R286">
        <v>227485000000</v>
      </c>
      <c r="S286">
        <f>SUM(R256:R286)</f>
        <v>3024288300000</v>
      </c>
      <c r="T286">
        <f>R279</f>
        <v>171258000000</v>
      </c>
      <c r="U286">
        <f>T286/S286</f>
        <v>5.662753779128795E-2</v>
      </c>
    </row>
    <row r="287" spans="15:21">
      <c r="O287">
        <v>2034</v>
      </c>
      <c r="P287">
        <v>2004</v>
      </c>
      <c r="Q287">
        <v>1</v>
      </c>
      <c r="R287">
        <v>41398200000</v>
      </c>
    </row>
    <row r="288" spans="15:21">
      <c r="O288">
        <v>2034</v>
      </c>
      <c r="P288">
        <v>2005</v>
      </c>
      <c r="Q288">
        <v>1</v>
      </c>
      <c r="R288">
        <v>9006540000</v>
      </c>
    </row>
    <row r="289" spans="15:18">
      <c r="O289">
        <v>2034</v>
      </c>
      <c r="P289">
        <v>2006</v>
      </c>
      <c r="Q289">
        <v>1</v>
      </c>
      <c r="R289">
        <v>9579920000</v>
      </c>
    </row>
    <row r="290" spans="15:18">
      <c r="O290">
        <v>2034</v>
      </c>
      <c r="P290">
        <v>2007</v>
      </c>
      <c r="Q290">
        <v>1</v>
      </c>
      <c r="R290">
        <v>10734600000</v>
      </c>
    </row>
    <row r="291" spans="15:18">
      <c r="O291">
        <v>2034</v>
      </c>
      <c r="P291">
        <v>2008</v>
      </c>
      <c r="Q291">
        <v>1</v>
      </c>
      <c r="R291">
        <v>11183700000</v>
      </c>
    </row>
    <row r="292" spans="15:18">
      <c r="O292">
        <v>2034</v>
      </c>
      <c r="P292">
        <v>2009</v>
      </c>
      <c r="Q292">
        <v>1</v>
      </c>
      <c r="R292">
        <v>8213060000</v>
      </c>
    </row>
    <row r="293" spans="15:18">
      <c r="O293">
        <v>2034</v>
      </c>
      <c r="P293">
        <v>2010</v>
      </c>
      <c r="Q293">
        <v>1</v>
      </c>
      <c r="R293">
        <v>11620000000</v>
      </c>
    </row>
    <row r="294" spans="15:18">
      <c r="O294">
        <v>2034</v>
      </c>
      <c r="P294">
        <v>2011</v>
      </c>
      <c r="Q294">
        <v>1</v>
      </c>
      <c r="R294">
        <v>15154600000</v>
      </c>
    </row>
    <row r="295" spans="15:18">
      <c r="O295">
        <v>2034</v>
      </c>
      <c r="P295">
        <v>2012</v>
      </c>
      <c r="Q295">
        <v>1</v>
      </c>
      <c r="R295">
        <v>19135300000</v>
      </c>
    </row>
    <row r="296" spans="15:18">
      <c r="O296">
        <v>2034</v>
      </c>
      <c r="P296">
        <v>2013</v>
      </c>
      <c r="Q296">
        <v>1</v>
      </c>
      <c r="R296">
        <v>24762100000</v>
      </c>
    </row>
    <row r="297" spans="15:18">
      <c r="O297">
        <v>2034</v>
      </c>
      <c r="P297">
        <v>2014</v>
      </c>
      <c r="Q297">
        <v>1</v>
      </c>
      <c r="R297">
        <v>36956500000</v>
      </c>
    </row>
    <row r="298" spans="15:18">
      <c r="O298">
        <v>2034</v>
      </c>
      <c r="P298">
        <v>2015</v>
      </c>
      <c r="Q298">
        <v>1</v>
      </c>
      <c r="R298">
        <v>46860100000</v>
      </c>
    </row>
    <row r="299" spans="15:18">
      <c r="O299">
        <v>2034</v>
      </c>
      <c r="P299">
        <v>2016</v>
      </c>
      <c r="Q299">
        <v>1</v>
      </c>
      <c r="R299">
        <v>56124100000</v>
      </c>
    </row>
    <row r="300" spans="15:18">
      <c r="O300">
        <v>2034</v>
      </c>
      <c r="P300">
        <v>2017</v>
      </c>
      <c r="Q300">
        <v>1</v>
      </c>
      <c r="R300">
        <v>65122000000</v>
      </c>
    </row>
    <row r="301" spans="15:18">
      <c r="O301">
        <v>2034</v>
      </c>
      <c r="P301">
        <v>2018</v>
      </c>
      <c r="Q301">
        <v>1</v>
      </c>
      <c r="R301">
        <v>70533800000</v>
      </c>
    </row>
    <row r="302" spans="15:18">
      <c r="O302">
        <v>2034</v>
      </c>
      <c r="P302">
        <v>2019</v>
      </c>
      <c r="Q302">
        <v>1</v>
      </c>
      <c r="R302">
        <v>82665700000</v>
      </c>
    </row>
    <row r="303" spans="15:18">
      <c r="O303">
        <v>2034</v>
      </c>
      <c r="P303">
        <v>2020</v>
      </c>
      <c r="Q303">
        <v>1</v>
      </c>
      <c r="R303">
        <v>95339400000</v>
      </c>
    </row>
    <row r="304" spans="15:18">
      <c r="O304">
        <v>2034</v>
      </c>
      <c r="P304">
        <v>2021</v>
      </c>
      <c r="Q304">
        <v>1</v>
      </c>
      <c r="R304">
        <v>108214000000</v>
      </c>
    </row>
    <row r="305" spans="15:21">
      <c r="O305">
        <v>2034</v>
      </c>
      <c r="P305">
        <v>2022</v>
      </c>
      <c r="Q305">
        <v>1</v>
      </c>
      <c r="R305">
        <v>117701000000</v>
      </c>
    </row>
    <row r="306" spans="15:21">
      <c r="O306">
        <v>2034</v>
      </c>
      <c r="P306">
        <v>2023</v>
      </c>
      <c r="Q306">
        <v>1</v>
      </c>
      <c r="R306">
        <v>128949000000</v>
      </c>
    </row>
    <row r="307" spans="15:21">
      <c r="O307">
        <v>2034</v>
      </c>
      <c r="P307">
        <v>2024</v>
      </c>
      <c r="Q307">
        <v>1</v>
      </c>
      <c r="R307">
        <v>140032000000</v>
      </c>
    </row>
    <row r="308" spans="15:21">
      <c r="O308">
        <v>2034</v>
      </c>
      <c r="P308">
        <v>2025</v>
      </c>
      <c r="Q308">
        <v>1</v>
      </c>
      <c r="R308">
        <v>150698000000</v>
      </c>
    </row>
    <row r="309" spans="15:21">
      <c r="O309">
        <v>2034</v>
      </c>
      <c r="P309">
        <v>2026</v>
      </c>
      <c r="Q309">
        <v>1</v>
      </c>
      <c r="R309">
        <v>161614000000</v>
      </c>
    </row>
    <row r="310" spans="15:21">
      <c r="O310">
        <v>2034</v>
      </c>
      <c r="P310">
        <v>2027</v>
      </c>
      <c r="Q310">
        <v>1</v>
      </c>
      <c r="R310">
        <v>171262000000</v>
      </c>
    </row>
    <row r="311" spans="15:21">
      <c r="O311">
        <v>2034</v>
      </c>
      <c r="P311">
        <v>2028</v>
      </c>
      <c r="Q311">
        <v>1</v>
      </c>
      <c r="R311">
        <v>181047000000</v>
      </c>
    </row>
    <row r="312" spans="15:21">
      <c r="O312">
        <v>2034</v>
      </c>
      <c r="P312">
        <v>2029</v>
      </c>
      <c r="Q312">
        <v>1</v>
      </c>
      <c r="R312">
        <v>189666000000</v>
      </c>
    </row>
    <row r="313" spans="15:21">
      <c r="O313">
        <v>2034</v>
      </c>
      <c r="P313">
        <v>2030</v>
      </c>
      <c r="Q313">
        <v>1</v>
      </c>
      <c r="R313">
        <v>198944000000</v>
      </c>
    </row>
    <row r="314" spans="15:21">
      <c r="O314">
        <v>2034</v>
      </c>
      <c r="P314">
        <v>2031</v>
      </c>
      <c r="Q314">
        <v>1</v>
      </c>
      <c r="R314">
        <v>208845000000</v>
      </c>
    </row>
    <row r="315" spans="15:21">
      <c r="O315">
        <v>2034</v>
      </c>
      <c r="P315">
        <v>2032</v>
      </c>
      <c r="Q315">
        <v>1</v>
      </c>
      <c r="R315">
        <v>215281000000</v>
      </c>
    </row>
    <row r="316" spans="15:21">
      <c r="O316">
        <v>2034</v>
      </c>
      <c r="P316">
        <v>2033</v>
      </c>
      <c r="Q316">
        <v>1</v>
      </c>
      <c r="R316">
        <v>222550000000</v>
      </c>
    </row>
    <row r="317" spans="15:21">
      <c r="O317">
        <v>2034</v>
      </c>
      <c r="P317">
        <v>2034</v>
      </c>
      <c r="Q317">
        <v>1</v>
      </c>
      <c r="R317">
        <v>229867000000</v>
      </c>
      <c r="S317">
        <f>SUM(R287:R317)</f>
        <v>3039059620000</v>
      </c>
      <c r="T317">
        <f>R309</f>
        <v>161614000000</v>
      </c>
      <c r="U317">
        <f>T317/S317</f>
        <v>5.3178950138530023E-2</v>
      </c>
    </row>
    <row r="318" spans="15:21">
      <c r="O318">
        <v>2035</v>
      </c>
      <c r="P318">
        <v>2005</v>
      </c>
      <c r="Q318">
        <v>1</v>
      </c>
      <c r="R318">
        <v>41613600000</v>
      </c>
    </row>
    <row r="319" spans="15:21">
      <c r="O319">
        <v>2035</v>
      </c>
      <c r="P319">
        <v>2006</v>
      </c>
      <c r="Q319">
        <v>1</v>
      </c>
      <c r="R319">
        <v>8316550000</v>
      </c>
    </row>
    <row r="320" spans="15:21">
      <c r="O320">
        <v>2035</v>
      </c>
      <c r="P320">
        <v>2007</v>
      </c>
      <c r="Q320">
        <v>1</v>
      </c>
      <c r="R320">
        <v>9289520000</v>
      </c>
    </row>
    <row r="321" spans="15:18">
      <c r="O321">
        <v>2035</v>
      </c>
      <c r="P321">
        <v>2008</v>
      </c>
      <c r="Q321">
        <v>1</v>
      </c>
      <c r="R321">
        <v>9654510000</v>
      </c>
    </row>
    <row r="322" spans="15:18">
      <c r="O322">
        <v>2035</v>
      </c>
      <c r="P322">
        <v>2009</v>
      </c>
      <c r="Q322">
        <v>1</v>
      </c>
      <c r="R322">
        <v>7015880000</v>
      </c>
    </row>
    <row r="323" spans="15:18">
      <c r="O323">
        <v>2035</v>
      </c>
      <c r="P323">
        <v>2010</v>
      </c>
      <c r="Q323">
        <v>1</v>
      </c>
      <c r="R323">
        <v>9887100000</v>
      </c>
    </row>
    <row r="324" spans="15:18">
      <c r="O324">
        <v>2035</v>
      </c>
      <c r="P324">
        <v>2011</v>
      </c>
      <c r="Q324">
        <v>1</v>
      </c>
      <c r="R324">
        <v>12866400000</v>
      </c>
    </row>
    <row r="325" spans="15:18">
      <c r="O325">
        <v>2035</v>
      </c>
      <c r="P325">
        <v>2012</v>
      </c>
      <c r="Q325">
        <v>1</v>
      </c>
      <c r="R325">
        <v>16064400000</v>
      </c>
    </row>
    <row r="326" spans="15:18">
      <c r="O326">
        <v>2035</v>
      </c>
      <c r="P326">
        <v>2013</v>
      </c>
      <c r="Q326">
        <v>1</v>
      </c>
      <c r="R326">
        <v>20702100000</v>
      </c>
    </row>
    <row r="327" spans="15:18">
      <c r="O327">
        <v>2035</v>
      </c>
      <c r="P327">
        <v>2014</v>
      </c>
      <c r="Q327">
        <v>1</v>
      </c>
      <c r="R327">
        <v>31025000000</v>
      </c>
    </row>
    <row r="328" spans="15:18">
      <c r="O328">
        <v>2035</v>
      </c>
      <c r="P328">
        <v>2015</v>
      </c>
      <c r="Q328">
        <v>1</v>
      </c>
      <c r="R328">
        <v>39425900000</v>
      </c>
    </row>
    <row r="329" spans="15:18">
      <c r="O329">
        <v>2035</v>
      </c>
      <c r="P329">
        <v>2016</v>
      </c>
      <c r="Q329">
        <v>1</v>
      </c>
      <c r="R329">
        <v>47430400000</v>
      </c>
    </row>
    <row r="330" spans="15:18">
      <c r="O330">
        <v>2035</v>
      </c>
      <c r="P330">
        <v>2017</v>
      </c>
      <c r="Q330">
        <v>1</v>
      </c>
      <c r="R330">
        <v>55335100000</v>
      </c>
    </row>
    <row r="331" spans="15:18">
      <c r="O331">
        <v>2035</v>
      </c>
      <c r="P331">
        <v>2018</v>
      </c>
      <c r="Q331">
        <v>1</v>
      </c>
      <c r="R331">
        <v>59901000000</v>
      </c>
    </row>
    <row r="332" spans="15:18">
      <c r="O332">
        <v>2035</v>
      </c>
      <c r="P332">
        <v>2019</v>
      </c>
      <c r="Q332">
        <v>1</v>
      </c>
      <c r="R332">
        <v>70751800000</v>
      </c>
    </row>
    <row r="333" spans="15:18">
      <c r="O333">
        <v>2035</v>
      </c>
      <c r="P333">
        <v>2020</v>
      </c>
      <c r="Q333">
        <v>1</v>
      </c>
      <c r="R333">
        <v>82389300000</v>
      </c>
    </row>
    <row r="334" spans="15:18">
      <c r="O334">
        <v>2035</v>
      </c>
      <c r="P334">
        <v>2021</v>
      </c>
      <c r="Q334">
        <v>1</v>
      </c>
      <c r="R334">
        <v>95144500000</v>
      </c>
    </row>
    <row r="335" spans="15:18">
      <c r="O335">
        <v>2035</v>
      </c>
      <c r="P335">
        <v>2022</v>
      </c>
      <c r="Q335">
        <v>1</v>
      </c>
      <c r="R335">
        <v>106058000000</v>
      </c>
    </row>
    <row r="336" spans="15:18">
      <c r="O336">
        <v>2035</v>
      </c>
      <c r="P336">
        <v>2023</v>
      </c>
      <c r="Q336">
        <v>1</v>
      </c>
      <c r="R336">
        <v>118392000000</v>
      </c>
    </row>
    <row r="337" spans="15:21">
      <c r="O337">
        <v>2035</v>
      </c>
      <c r="P337">
        <v>2024</v>
      </c>
      <c r="Q337">
        <v>1</v>
      </c>
      <c r="R337">
        <v>129402000000</v>
      </c>
    </row>
    <row r="338" spans="15:21">
      <c r="O338">
        <v>2035</v>
      </c>
      <c r="P338">
        <v>2025</v>
      </c>
      <c r="Q338">
        <v>1</v>
      </c>
      <c r="R338">
        <v>140180000000</v>
      </c>
    </row>
    <row r="339" spans="15:21">
      <c r="O339">
        <v>2035</v>
      </c>
      <c r="P339">
        <v>2026</v>
      </c>
      <c r="Q339">
        <v>1</v>
      </c>
      <c r="R339">
        <v>151371000000</v>
      </c>
    </row>
    <row r="340" spans="15:21">
      <c r="O340">
        <v>2035</v>
      </c>
      <c r="P340">
        <v>2027</v>
      </c>
      <c r="Q340">
        <v>1</v>
      </c>
      <c r="R340">
        <v>161528000000</v>
      </c>
    </row>
    <row r="341" spans="15:21">
      <c r="O341">
        <v>2035</v>
      </c>
      <c r="P341">
        <v>2028</v>
      </c>
      <c r="Q341">
        <v>1</v>
      </c>
      <c r="R341">
        <v>171925000000</v>
      </c>
    </row>
    <row r="342" spans="15:21">
      <c r="O342">
        <v>2035</v>
      </c>
      <c r="P342">
        <v>2029</v>
      </c>
      <c r="Q342">
        <v>1</v>
      </c>
      <c r="R342">
        <v>181288000000</v>
      </c>
    </row>
    <row r="343" spans="15:21">
      <c r="O343">
        <v>2035</v>
      </c>
      <c r="P343">
        <v>2030</v>
      </c>
      <c r="Q343">
        <v>1</v>
      </c>
      <c r="R343">
        <v>191318000000</v>
      </c>
    </row>
    <row r="344" spans="15:21">
      <c r="O344">
        <v>2035</v>
      </c>
      <c r="P344">
        <v>2031</v>
      </c>
      <c r="Q344">
        <v>1</v>
      </c>
      <c r="R344">
        <v>201986000000</v>
      </c>
    </row>
    <row r="345" spans="15:21">
      <c r="O345">
        <v>2035</v>
      </c>
      <c r="P345">
        <v>2032</v>
      </c>
      <c r="Q345">
        <v>1</v>
      </c>
      <c r="R345">
        <v>209466000000</v>
      </c>
    </row>
    <row r="346" spans="15:21">
      <c r="O346">
        <v>2035</v>
      </c>
      <c r="P346">
        <v>2033</v>
      </c>
      <c r="Q346">
        <v>1</v>
      </c>
      <c r="R346">
        <v>217049000000</v>
      </c>
    </row>
    <row r="347" spans="15:21">
      <c r="O347">
        <v>2035</v>
      </c>
      <c r="P347">
        <v>2034</v>
      </c>
      <c r="Q347">
        <v>1</v>
      </c>
      <c r="R347">
        <v>224732000000</v>
      </c>
    </row>
    <row r="348" spans="15:21">
      <c r="O348">
        <v>2035</v>
      </c>
      <c r="P348">
        <v>2035</v>
      </c>
      <c r="Q348">
        <v>1</v>
      </c>
      <c r="R348">
        <v>230936000000</v>
      </c>
      <c r="S348">
        <f>SUM(R318:R348)</f>
        <v>3052444060000</v>
      </c>
      <c r="T348">
        <f>R339</f>
        <v>151371000000</v>
      </c>
      <c r="U348">
        <f>T348/S348</f>
        <v>4.9590097975456431E-2</v>
      </c>
    </row>
    <row r="349" spans="15:21">
      <c r="O349">
        <v>2036</v>
      </c>
      <c r="P349">
        <v>2006</v>
      </c>
      <c r="Q349">
        <v>1</v>
      </c>
      <c r="R349">
        <v>41906900000</v>
      </c>
    </row>
    <row r="350" spans="15:21">
      <c r="O350">
        <v>2036</v>
      </c>
      <c r="P350">
        <v>2007</v>
      </c>
      <c r="Q350">
        <v>1</v>
      </c>
      <c r="R350">
        <v>8058880000</v>
      </c>
    </row>
    <row r="351" spans="15:21">
      <c r="O351">
        <v>2036</v>
      </c>
      <c r="P351">
        <v>2008</v>
      </c>
      <c r="Q351">
        <v>1</v>
      </c>
      <c r="R351">
        <v>8363300000</v>
      </c>
    </row>
    <row r="352" spans="15:21">
      <c r="O352">
        <v>2036</v>
      </c>
      <c r="P352">
        <v>2009</v>
      </c>
      <c r="Q352">
        <v>1</v>
      </c>
      <c r="R352">
        <v>6022610000</v>
      </c>
    </row>
    <row r="353" spans="15:18">
      <c r="O353">
        <v>2036</v>
      </c>
      <c r="P353">
        <v>2010</v>
      </c>
      <c r="Q353">
        <v>1</v>
      </c>
      <c r="R353">
        <v>8486230000</v>
      </c>
    </row>
    <row r="354" spans="15:18">
      <c r="O354">
        <v>2036</v>
      </c>
      <c r="P354">
        <v>2011</v>
      </c>
      <c r="Q354">
        <v>1</v>
      </c>
      <c r="R354">
        <v>11010200000</v>
      </c>
    </row>
    <row r="355" spans="15:18">
      <c r="O355">
        <v>2036</v>
      </c>
      <c r="P355">
        <v>2012</v>
      </c>
      <c r="Q355">
        <v>1</v>
      </c>
      <c r="R355">
        <v>13559500000</v>
      </c>
    </row>
    <row r="356" spans="15:18">
      <c r="O356">
        <v>2036</v>
      </c>
      <c r="P356">
        <v>2013</v>
      </c>
      <c r="Q356">
        <v>1</v>
      </c>
      <c r="R356">
        <v>17385900000</v>
      </c>
    </row>
    <row r="357" spans="15:18">
      <c r="O357">
        <v>2036</v>
      </c>
      <c r="P357">
        <v>2014</v>
      </c>
      <c r="Q357">
        <v>1</v>
      </c>
      <c r="R357">
        <v>26117000000</v>
      </c>
    </row>
    <row r="358" spans="15:18">
      <c r="O358">
        <v>2036</v>
      </c>
      <c r="P358">
        <v>2015</v>
      </c>
      <c r="Q358">
        <v>1</v>
      </c>
      <c r="R358">
        <v>33224300000</v>
      </c>
    </row>
    <row r="359" spans="15:18">
      <c r="O359">
        <v>2036</v>
      </c>
      <c r="P359">
        <v>2016</v>
      </c>
      <c r="Q359">
        <v>1</v>
      </c>
      <c r="R359">
        <v>40060200000</v>
      </c>
    </row>
    <row r="360" spans="15:18">
      <c r="O360">
        <v>2036</v>
      </c>
      <c r="P360">
        <v>2017</v>
      </c>
      <c r="Q360">
        <v>1</v>
      </c>
      <c r="R360">
        <v>46933600000</v>
      </c>
    </row>
    <row r="361" spans="15:18">
      <c r="O361">
        <v>2036</v>
      </c>
      <c r="P361">
        <v>2018</v>
      </c>
      <c r="Q361">
        <v>1</v>
      </c>
      <c r="R361">
        <v>50659900000</v>
      </c>
    </row>
    <row r="362" spans="15:18">
      <c r="O362">
        <v>2036</v>
      </c>
      <c r="P362">
        <v>2019</v>
      </c>
      <c r="Q362">
        <v>1</v>
      </c>
      <c r="R362">
        <v>60168200000</v>
      </c>
    </row>
    <row r="363" spans="15:18">
      <c r="O363">
        <v>2036</v>
      </c>
      <c r="P363">
        <v>2020</v>
      </c>
      <c r="Q363">
        <v>1</v>
      </c>
      <c r="R363">
        <v>70590500000</v>
      </c>
    </row>
    <row r="364" spans="15:18">
      <c r="O364">
        <v>2036</v>
      </c>
      <c r="P364">
        <v>2021</v>
      </c>
      <c r="Q364">
        <v>1</v>
      </c>
      <c r="R364">
        <v>82320700000</v>
      </c>
    </row>
    <row r="365" spans="15:18">
      <c r="O365">
        <v>2036</v>
      </c>
      <c r="P365">
        <v>2022</v>
      </c>
      <c r="Q365">
        <v>1</v>
      </c>
      <c r="R365">
        <v>93358400000</v>
      </c>
    </row>
    <row r="366" spans="15:18">
      <c r="O366">
        <v>2036</v>
      </c>
      <c r="P366">
        <v>2023</v>
      </c>
      <c r="Q366">
        <v>1</v>
      </c>
      <c r="R366">
        <v>106818000000</v>
      </c>
    </row>
    <row r="367" spans="15:18">
      <c r="O367">
        <v>2036</v>
      </c>
      <c r="P367">
        <v>2024</v>
      </c>
      <c r="Q367">
        <v>1</v>
      </c>
      <c r="R367">
        <v>118983000000</v>
      </c>
    </row>
    <row r="368" spans="15:18">
      <c r="O368">
        <v>2036</v>
      </c>
      <c r="P368">
        <v>2025</v>
      </c>
      <c r="Q368">
        <v>1</v>
      </c>
      <c r="R368">
        <v>129731000000</v>
      </c>
    </row>
    <row r="369" spans="15:21">
      <c r="O369">
        <v>2036</v>
      </c>
      <c r="P369">
        <v>2026</v>
      </c>
      <c r="Q369">
        <v>1</v>
      </c>
      <c r="R369">
        <v>141008000000</v>
      </c>
    </row>
    <row r="370" spans="15:21">
      <c r="O370">
        <v>2036</v>
      </c>
      <c r="P370">
        <v>2027</v>
      </c>
      <c r="Q370">
        <v>1</v>
      </c>
      <c r="R370">
        <v>151529000000</v>
      </c>
    </row>
    <row r="371" spans="15:21">
      <c r="O371">
        <v>2036</v>
      </c>
      <c r="P371">
        <v>2028</v>
      </c>
      <c r="Q371">
        <v>1</v>
      </c>
      <c r="R371">
        <v>162406000000</v>
      </c>
    </row>
    <row r="372" spans="15:21">
      <c r="O372">
        <v>2036</v>
      </c>
      <c r="P372">
        <v>2029</v>
      </c>
      <c r="Q372">
        <v>1</v>
      </c>
      <c r="R372">
        <v>172426000000</v>
      </c>
    </row>
    <row r="373" spans="15:21">
      <c r="O373">
        <v>2036</v>
      </c>
      <c r="P373">
        <v>2030</v>
      </c>
      <c r="Q373">
        <v>1</v>
      </c>
      <c r="R373">
        <v>183154000000</v>
      </c>
    </row>
    <row r="374" spans="15:21">
      <c r="O374">
        <v>2036</v>
      </c>
      <c r="P374">
        <v>2031</v>
      </c>
      <c r="Q374">
        <v>1</v>
      </c>
      <c r="R374">
        <v>194549000000</v>
      </c>
    </row>
    <row r="375" spans="15:21">
      <c r="O375">
        <v>2036</v>
      </c>
      <c r="P375">
        <v>2032</v>
      </c>
      <c r="Q375">
        <v>1</v>
      </c>
      <c r="R375">
        <v>202906000000</v>
      </c>
    </row>
    <row r="376" spans="15:21">
      <c r="O376">
        <v>2036</v>
      </c>
      <c r="P376">
        <v>2033</v>
      </c>
      <c r="Q376">
        <v>1</v>
      </c>
      <c r="R376">
        <v>211519000000</v>
      </c>
    </row>
    <row r="377" spans="15:21">
      <c r="O377">
        <v>2036</v>
      </c>
      <c r="P377">
        <v>2034</v>
      </c>
      <c r="Q377">
        <v>1</v>
      </c>
      <c r="R377">
        <v>219523000000</v>
      </c>
    </row>
    <row r="378" spans="15:21">
      <c r="O378">
        <v>2036</v>
      </c>
      <c r="P378">
        <v>2035</v>
      </c>
      <c r="Q378">
        <v>1</v>
      </c>
      <c r="R378">
        <v>226134000000</v>
      </c>
    </row>
    <row r="379" spans="15:21">
      <c r="O379">
        <v>2036</v>
      </c>
      <c r="P379">
        <v>2036</v>
      </c>
      <c r="Q379">
        <v>1</v>
      </c>
      <c r="R379">
        <v>232146000000</v>
      </c>
      <c r="S379">
        <f>SUM(R349:R379)</f>
        <v>3071058320000</v>
      </c>
      <c r="T379">
        <f>R369</f>
        <v>141008000000</v>
      </c>
      <c r="U379">
        <f>T379/S379</f>
        <v>4.5915116323808527E-2</v>
      </c>
    </row>
    <row r="380" spans="15:21">
      <c r="O380">
        <v>2037</v>
      </c>
      <c r="P380">
        <v>2007</v>
      </c>
      <c r="Q380">
        <v>1</v>
      </c>
      <c r="R380">
        <v>42225000000</v>
      </c>
    </row>
    <row r="381" spans="15:21">
      <c r="O381">
        <v>2037</v>
      </c>
      <c r="P381">
        <v>2008</v>
      </c>
      <c r="Q381">
        <v>1</v>
      </c>
      <c r="R381">
        <v>7253820000</v>
      </c>
    </row>
    <row r="382" spans="15:21">
      <c r="O382">
        <v>2037</v>
      </c>
      <c r="P382">
        <v>2009</v>
      </c>
      <c r="Q382">
        <v>1</v>
      </c>
      <c r="R382">
        <v>5185200000</v>
      </c>
    </row>
    <row r="383" spans="15:21">
      <c r="O383">
        <v>2037</v>
      </c>
      <c r="P383">
        <v>2010</v>
      </c>
      <c r="Q383">
        <v>1</v>
      </c>
      <c r="R383">
        <v>7308540000</v>
      </c>
    </row>
    <row r="384" spans="15:21">
      <c r="O384">
        <v>2037</v>
      </c>
      <c r="P384">
        <v>2011</v>
      </c>
      <c r="Q384">
        <v>1</v>
      </c>
      <c r="R384">
        <v>9493970000</v>
      </c>
    </row>
    <row r="385" spans="15:18">
      <c r="O385">
        <v>2037</v>
      </c>
      <c r="P385">
        <v>2012</v>
      </c>
      <c r="Q385">
        <v>1</v>
      </c>
      <c r="R385">
        <v>11522900000</v>
      </c>
    </row>
    <row r="386" spans="15:18">
      <c r="O386">
        <v>2037</v>
      </c>
      <c r="P386">
        <v>2013</v>
      </c>
      <c r="Q386">
        <v>1</v>
      </c>
      <c r="R386">
        <v>14663200000</v>
      </c>
    </row>
    <row r="387" spans="15:18">
      <c r="O387">
        <v>2037</v>
      </c>
      <c r="P387">
        <v>2014</v>
      </c>
      <c r="Q387">
        <v>1</v>
      </c>
      <c r="R387">
        <v>22063700000</v>
      </c>
    </row>
    <row r="388" spans="15:18">
      <c r="O388">
        <v>2037</v>
      </c>
      <c r="P388">
        <v>2015</v>
      </c>
      <c r="Q388">
        <v>1</v>
      </c>
      <c r="R388">
        <v>28042800000</v>
      </c>
    </row>
    <row r="389" spans="15:18">
      <c r="O389">
        <v>2037</v>
      </c>
      <c r="P389">
        <v>2016</v>
      </c>
      <c r="Q389">
        <v>1</v>
      </c>
      <c r="R389">
        <v>33851200000</v>
      </c>
    </row>
    <row r="390" spans="15:18">
      <c r="O390">
        <v>2037</v>
      </c>
      <c r="P390">
        <v>2017</v>
      </c>
      <c r="Q390">
        <v>1</v>
      </c>
      <c r="R390">
        <v>39739900000</v>
      </c>
    </row>
    <row r="391" spans="15:18">
      <c r="O391">
        <v>2037</v>
      </c>
      <c r="P391">
        <v>2018</v>
      </c>
      <c r="Q391">
        <v>1</v>
      </c>
      <c r="R391">
        <v>42707100000</v>
      </c>
    </row>
    <row r="392" spans="15:18">
      <c r="O392">
        <v>2037</v>
      </c>
      <c r="P392">
        <v>2019</v>
      </c>
      <c r="Q392">
        <v>1</v>
      </c>
      <c r="R392">
        <v>50897000000</v>
      </c>
    </row>
    <row r="393" spans="15:18">
      <c r="O393">
        <v>2037</v>
      </c>
      <c r="P393">
        <v>2020</v>
      </c>
      <c r="Q393">
        <v>1</v>
      </c>
      <c r="R393">
        <v>60023900000</v>
      </c>
    </row>
    <row r="394" spans="15:18">
      <c r="O394">
        <v>2037</v>
      </c>
      <c r="P394">
        <v>2021</v>
      </c>
      <c r="Q394">
        <v>1</v>
      </c>
      <c r="R394">
        <v>70534400000</v>
      </c>
    </row>
    <row r="395" spans="15:18">
      <c r="O395">
        <v>2037</v>
      </c>
      <c r="P395">
        <v>2022</v>
      </c>
      <c r="Q395">
        <v>1</v>
      </c>
      <c r="R395">
        <v>80769300000</v>
      </c>
    </row>
    <row r="396" spans="15:18">
      <c r="O396">
        <v>2037</v>
      </c>
      <c r="P396">
        <v>2023</v>
      </c>
      <c r="Q396">
        <v>1</v>
      </c>
      <c r="R396">
        <v>94014300000</v>
      </c>
    </row>
    <row r="397" spans="15:18">
      <c r="O397">
        <v>2037</v>
      </c>
      <c r="P397">
        <v>2024</v>
      </c>
      <c r="Q397">
        <v>1</v>
      </c>
      <c r="R397">
        <v>107358000000</v>
      </c>
    </row>
    <row r="398" spans="15:18">
      <c r="O398">
        <v>2037</v>
      </c>
      <c r="P398">
        <v>2025</v>
      </c>
      <c r="Q398">
        <v>1</v>
      </c>
      <c r="R398">
        <v>119312000000</v>
      </c>
    </row>
    <row r="399" spans="15:18">
      <c r="O399">
        <v>2037</v>
      </c>
      <c r="P399">
        <v>2026</v>
      </c>
      <c r="Q399">
        <v>1</v>
      </c>
      <c r="R399">
        <v>130518000000</v>
      </c>
    </row>
    <row r="400" spans="15:18">
      <c r="O400">
        <v>2037</v>
      </c>
      <c r="P400">
        <v>2027</v>
      </c>
      <c r="Q400">
        <v>1</v>
      </c>
      <c r="R400">
        <v>141200000000</v>
      </c>
    </row>
    <row r="401" spans="15:21">
      <c r="O401">
        <v>2037</v>
      </c>
      <c r="P401">
        <v>2028</v>
      </c>
      <c r="Q401">
        <v>1</v>
      </c>
      <c r="R401">
        <v>152397000000</v>
      </c>
    </row>
    <row r="402" spans="15:21">
      <c r="O402">
        <v>2037</v>
      </c>
      <c r="P402">
        <v>2029</v>
      </c>
      <c r="Q402">
        <v>1</v>
      </c>
      <c r="R402">
        <v>162931000000</v>
      </c>
    </row>
    <row r="403" spans="15:21">
      <c r="O403">
        <v>2037</v>
      </c>
      <c r="P403">
        <v>2030</v>
      </c>
      <c r="Q403">
        <v>1</v>
      </c>
      <c r="R403">
        <v>174252000000</v>
      </c>
    </row>
    <row r="404" spans="15:21">
      <c r="O404">
        <v>2037</v>
      </c>
      <c r="P404">
        <v>2031</v>
      </c>
      <c r="Q404">
        <v>1</v>
      </c>
      <c r="R404">
        <v>186302000000</v>
      </c>
    </row>
    <row r="405" spans="15:21">
      <c r="O405">
        <v>2037</v>
      </c>
      <c r="P405">
        <v>2032</v>
      </c>
      <c r="Q405">
        <v>1</v>
      </c>
      <c r="R405">
        <v>195491000000</v>
      </c>
    </row>
    <row r="406" spans="15:21">
      <c r="O406">
        <v>2037</v>
      </c>
      <c r="P406">
        <v>2033</v>
      </c>
      <c r="Q406">
        <v>1</v>
      </c>
      <c r="R406">
        <v>204953000000</v>
      </c>
    </row>
    <row r="407" spans="15:21">
      <c r="O407">
        <v>2037</v>
      </c>
      <c r="P407">
        <v>2034</v>
      </c>
      <c r="Q407">
        <v>1</v>
      </c>
      <c r="R407">
        <v>213991000000</v>
      </c>
    </row>
    <row r="408" spans="15:21">
      <c r="O408">
        <v>2037</v>
      </c>
      <c r="P408">
        <v>2035</v>
      </c>
      <c r="Q408">
        <v>1</v>
      </c>
      <c r="R408">
        <v>220954000000</v>
      </c>
    </row>
    <row r="409" spans="15:21">
      <c r="O409">
        <v>2037</v>
      </c>
      <c r="P409">
        <v>2036</v>
      </c>
      <c r="Q409">
        <v>1</v>
      </c>
      <c r="R409">
        <v>227383000000</v>
      </c>
    </row>
    <row r="410" spans="15:21">
      <c r="O410">
        <v>2037</v>
      </c>
      <c r="P410">
        <v>2037</v>
      </c>
      <c r="Q410">
        <v>1</v>
      </c>
      <c r="R410">
        <v>234255000000</v>
      </c>
      <c r="S410">
        <f>SUM(R380:R410)</f>
        <v>3091593230000</v>
      </c>
      <c r="T410">
        <f>R399</f>
        <v>130518000000</v>
      </c>
      <c r="U410">
        <f>T410/S410</f>
        <v>4.2217067476241044E-2</v>
      </c>
    </row>
    <row r="411" spans="15:21">
      <c r="O411">
        <v>2038</v>
      </c>
      <c r="P411">
        <v>2008</v>
      </c>
      <c r="Q411">
        <v>1</v>
      </c>
      <c r="R411">
        <v>42565800000</v>
      </c>
    </row>
    <row r="412" spans="15:21">
      <c r="O412">
        <v>2038</v>
      </c>
      <c r="P412">
        <v>2009</v>
      </c>
      <c r="Q412">
        <v>1</v>
      </c>
      <c r="R412">
        <v>4476490000</v>
      </c>
    </row>
    <row r="413" spans="15:21">
      <c r="O413">
        <v>2038</v>
      </c>
      <c r="P413">
        <v>2010</v>
      </c>
      <c r="Q413">
        <v>1</v>
      </c>
      <c r="R413">
        <v>6315320000</v>
      </c>
    </row>
    <row r="414" spans="15:21">
      <c r="O414">
        <v>2038</v>
      </c>
      <c r="P414">
        <v>2011</v>
      </c>
      <c r="Q414">
        <v>1</v>
      </c>
      <c r="R414">
        <v>8216950000</v>
      </c>
    </row>
    <row r="415" spans="15:21">
      <c r="O415">
        <v>2038</v>
      </c>
      <c r="P415">
        <v>2012</v>
      </c>
      <c r="Q415">
        <v>1</v>
      </c>
      <c r="R415">
        <v>9872020000</v>
      </c>
    </row>
    <row r="416" spans="15:21">
      <c r="O416">
        <v>2038</v>
      </c>
      <c r="P416">
        <v>2013</v>
      </c>
      <c r="Q416">
        <v>1</v>
      </c>
      <c r="R416">
        <v>12457800000</v>
      </c>
    </row>
    <row r="417" spans="15:18">
      <c r="O417">
        <v>2038</v>
      </c>
      <c r="P417">
        <v>2014</v>
      </c>
      <c r="Q417">
        <v>1</v>
      </c>
      <c r="R417">
        <v>18731200000</v>
      </c>
    </row>
    <row r="418" spans="15:18">
      <c r="O418">
        <v>2038</v>
      </c>
      <c r="P418">
        <v>2015</v>
      </c>
      <c r="Q418">
        <v>1</v>
      </c>
      <c r="R418">
        <v>23769800000</v>
      </c>
    </row>
    <row r="419" spans="15:18">
      <c r="O419">
        <v>2038</v>
      </c>
      <c r="P419">
        <v>2016</v>
      </c>
      <c r="Q419">
        <v>1</v>
      </c>
      <c r="R419">
        <v>28667600000</v>
      </c>
    </row>
    <row r="420" spans="15:18">
      <c r="O420">
        <v>2038</v>
      </c>
      <c r="P420">
        <v>2017</v>
      </c>
      <c r="Q420">
        <v>1</v>
      </c>
      <c r="R420">
        <v>33685400000</v>
      </c>
    </row>
    <row r="421" spans="15:18">
      <c r="O421">
        <v>2038</v>
      </c>
      <c r="P421">
        <v>2018</v>
      </c>
      <c r="Q421">
        <v>1</v>
      </c>
      <c r="R421">
        <v>35951700000</v>
      </c>
    </row>
    <row r="422" spans="15:18">
      <c r="O422">
        <v>2038</v>
      </c>
      <c r="P422">
        <v>2019</v>
      </c>
      <c r="Q422">
        <v>1</v>
      </c>
      <c r="R422">
        <v>42932000000</v>
      </c>
    </row>
    <row r="423" spans="15:18">
      <c r="O423">
        <v>2038</v>
      </c>
      <c r="P423">
        <v>2020</v>
      </c>
      <c r="Q423">
        <v>1</v>
      </c>
      <c r="R423">
        <v>50783000000</v>
      </c>
    </row>
    <row r="424" spans="15:18">
      <c r="O424">
        <v>2038</v>
      </c>
      <c r="P424">
        <v>2021</v>
      </c>
      <c r="Q424">
        <v>1</v>
      </c>
      <c r="R424">
        <v>59991700000</v>
      </c>
    </row>
    <row r="425" spans="15:18">
      <c r="O425">
        <v>2038</v>
      </c>
      <c r="P425">
        <v>2022</v>
      </c>
      <c r="Q425">
        <v>1</v>
      </c>
      <c r="R425">
        <v>69208100000</v>
      </c>
    </row>
    <row r="426" spans="15:18">
      <c r="O426">
        <v>2038</v>
      </c>
      <c r="P426">
        <v>2023</v>
      </c>
      <c r="Q426">
        <v>1</v>
      </c>
      <c r="R426">
        <v>81325800000</v>
      </c>
    </row>
    <row r="427" spans="15:18">
      <c r="O427">
        <v>2038</v>
      </c>
      <c r="P427">
        <v>2024</v>
      </c>
      <c r="Q427">
        <v>1</v>
      </c>
      <c r="R427">
        <v>94464200000</v>
      </c>
    </row>
    <row r="428" spans="15:18">
      <c r="O428">
        <v>2038</v>
      </c>
      <c r="P428">
        <v>2025</v>
      </c>
      <c r="Q428">
        <v>1</v>
      </c>
      <c r="R428">
        <v>107640000000</v>
      </c>
    </row>
    <row r="429" spans="15:18">
      <c r="O429">
        <v>2038</v>
      </c>
      <c r="P429">
        <v>2026</v>
      </c>
      <c r="Q429">
        <v>1</v>
      </c>
      <c r="R429">
        <v>120019000000</v>
      </c>
    </row>
    <row r="430" spans="15:18">
      <c r="O430">
        <v>2038</v>
      </c>
      <c r="P430">
        <v>2027</v>
      </c>
      <c r="Q430">
        <v>1</v>
      </c>
      <c r="R430">
        <v>130693000000</v>
      </c>
    </row>
    <row r="431" spans="15:18">
      <c r="O431">
        <v>2038</v>
      </c>
      <c r="P431">
        <v>2028</v>
      </c>
      <c r="Q431">
        <v>1</v>
      </c>
      <c r="R431">
        <v>141994000000</v>
      </c>
    </row>
    <row r="432" spans="15:18">
      <c r="O432">
        <v>2038</v>
      </c>
      <c r="P432">
        <v>2029</v>
      </c>
      <c r="Q432">
        <v>1</v>
      </c>
      <c r="R432">
        <v>152870000000</v>
      </c>
    </row>
    <row r="433" spans="15:21">
      <c r="O433">
        <v>2038</v>
      </c>
      <c r="P433">
        <v>2030</v>
      </c>
      <c r="Q433">
        <v>1</v>
      </c>
      <c r="R433">
        <v>164622000000</v>
      </c>
    </row>
    <row r="434" spans="15:21">
      <c r="O434">
        <v>2038</v>
      </c>
      <c r="P434">
        <v>2031</v>
      </c>
      <c r="Q434">
        <v>1</v>
      </c>
      <c r="R434">
        <v>177200000000</v>
      </c>
    </row>
    <row r="435" spans="15:21">
      <c r="O435">
        <v>2038</v>
      </c>
      <c r="P435">
        <v>2032</v>
      </c>
      <c r="Q435">
        <v>1</v>
      </c>
      <c r="R435">
        <v>187146000000</v>
      </c>
    </row>
    <row r="436" spans="15:21">
      <c r="O436">
        <v>2038</v>
      </c>
      <c r="P436">
        <v>2033</v>
      </c>
      <c r="Q436">
        <v>1</v>
      </c>
      <c r="R436">
        <v>197390000000</v>
      </c>
    </row>
    <row r="437" spans="15:21">
      <c r="O437">
        <v>2038</v>
      </c>
      <c r="P437">
        <v>2034</v>
      </c>
      <c r="Q437">
        <v>1</v>
      </c>
      <c r="R437">
        <v>207262000000</v>
      </c>
    </row>
    <row r="438" spans="15:21">
      <c r="O438">
        <v>2038</v>
      </c>
      <c r="P438">
        <v>2035</v>
      </c>
      <c r="Q438">
        <v>1</v>
      </c>
      <c r="R438">
        <v>215290000000</v>
      </c>
    </row>
    <row r="439" spans="15:21">
      <c r="O439">
        <v>2038</v>
      </c>
      <c r="P439">
        <v>2036</v>
      </c>
      <c r="Q439">
        <v>1</v>
      </c>
      <c r="R439">
        <v>222075000000</v>
      </c>
    </row>
    <row r="440" spans="15:21">
      <c r="O440">
        <v>2038</v>
      </c>
      <c r="P440">
        <v>2037</v>
      </c>
      <c r="Q440">
        <v>1</v>
      </c>
      <c r="R440">
        <v>229343000000</v>
      </c>
    </row>
    <row r="441" spans="15:21">
      <c r="O441">
        <v>2038</v>
      </c>
      <c r="P441">
        <v>2038</v>
      </c>
      <c r="Q441">
        <v>1</v>
      </c>
      <c r="R441">
        <v>236346000000</v>
      </c>
      <c r="S441">
        <f>SUM(R411:R441)</f>
        <v>3113304880000</v>
      </c>
      <c r="T441">
        <f>R429</f>
        <v>120019000000</v>
      </c>
      <c r="U441">
        <f>T441/S441</f>
        <v>3.8550352318851601E-2</v>
      </c>
    </row>
    <row r="442" spans="15:21">
      <c r="O442">
        <v>2039</v>
      </c>
      <c r="P442">
        <v>2009</v>
      </c>
      <c r="Q442">
        <v>1</v>
      </c>
      <c r="R442">
        <v>42937800000</v>
      </c>
    </row>
    <row r="443" spans="15:21">
      <c r="O443">
        <v>2039</v>
      </c>
      <c r="P443">
        <v>2010</v>
      </c>
      <c r="Q443">
        <v>1</v>
      </c>
      <c r="R443">
        <v>5457540000</v>
      </c>
    </row>
    <row r="444" spans="15:21">
      <c r="O444">
        <v>2039</v>
      </c>
      <c r="P444">
        <v>2011</v>
      </c>
      <c r="Q444">
        <v>1</v>
      </c>
      <c r="R444">
        <v>7115270000</v>
      </c>
    </row>
    <row r="445" spans="15:21">
      <c r="O445">
        <v>2039</v>
      </c>
      <c r="P445">
        <v>2012</v>
      </c>
      <c r="Q445">
        <v>1</v>
      </c>
      <c r="R445">
        <v>8476300000</v>
      </c>
    </row>
    <row r="446" spans="15:21">
      <c r="O446">
        <v>2039</v>
      </c>
      <c r="P446">
        <v>2013</v>
      </c>
      <c r="Q446">
        <v>1</v>
      </c>
      <c r="R446">
        <v>10650000000</v>
      </c>
    </row>
    <row r="447" spans="15:21">
      <c r="O447">
        <v>2039</v>
      </c>
      <c r="P447">
        <v>2014</v>
      </c>
      <c r="Q447">
        <v>1</v>
      </c>
      <c r="R447">
        <v>15987000000</v>
      </c>
    </row>
    <row r="448" spans="15:21">
      <c r="O448">
        <v>2039</v>
      </c>
      <c r="P448">
        <v>2015</v>
      </c>
      <c r="Q448">
        <v>1</v>
      </c>
      <c r="R448">
        <v>20205500000</v>
      </c>
    </row>
    <row r="449" spans="15:18">
      <c r="O449">
        <v>2039</v>
      </c>
      <c r="P449">
        <v>2016</v>
      </c>
      <c r="Q449">
        <v>1</v>
      </c>
      <c r="R449">
        <v>24331400000</v>
      </c>
    </row>
    <row r="450" spans="15:18">
      <c r="O450">
        <v>2039</v>
      </c>
      <c r="P450">
        <v>2017</v>
      </c>
      <c r="Q450">
        <v>1</v>
      </c>
      <c r="R450">
        <v>28555600000</v>
      </c>
    </row>
    <row r="451" spans="15:18">
      <c r="O451">
        <v>2039</v>
      </c>
      <c r="P451">
        <v>2018</v>
      </c>
      <c r="Q451">
        <v>1</v>
      </c>
      <c r="R451">
        <v>30240100000</v>
      </c>
    </row>
    <row r="452" spans="15:18">
      <c r="O452">
        <v>2039</v>
      </c>
      <c r="P452">
        <v>2019</v>
      </c>
      <c r="Q452">
        <v>1</v>
      </c>
      <c r="R452">
        <v>36104000000</v>
      </c>
    </row>
    <row r="453" spans="15:18">
      <c r="O453">
        <v>2039</v>
      </c>
      <c r="P453">
        <v>2020</v>
      </c>
      <c r="Q453">
        <v>1</v>
      </c>
      <c r="R453">
        <v>42778100000</v>
      </c>
    </row>
    <row r="454" spans="15:18">
      <c r="O454">
        <v>2039</v>
      </c>
      <c r="P454">
        <v>2021</v>
      </c>
      <c r="Q454">
        <v>1</v>
      </c>
      <c r="R454">
        <v>50698500000</v>
      </c>
    </row>
    <row r="455" spans="15:18">
      <c r="O455">
        <v>2039</v>
      </c>
      <c r="P455">
        <v>2022</v>
      </c>
      <c r="Q455">
        <v>1</v>
      </c>
      <c r="R455">
        <v>58790600000</v>
      </c>
    </row>
    <row r="456" spans="15:18">
      <c r="O456">
        <v>2039</v>
      </c>
      <c r="P456">
        <v>2023</v>
      </c>
      <c r="Q456">
        <v>1</v>
      </c>
      <c r="R456">
        <v>69592700000</v>
      </c>
    </row>
    <row r="457" spans="15:18">
      <c r="O457">
        <v>2039</v>
      </c>
      <c r="P457">
        <v>2024</v>
      </c>
      <c r="Q457">
        <v>1</v>
      </c>
      <c r="R457">
        <v>81613100000</v>
      </c>
    </row>
    <row r="458" spans="15:18">
      <c r="O458">
        <v>2039</v>
      </c>
      <c r="P458">
        <v>2025</v>
      </c>
      <c r="Q458">
        <v>1</v>
      </c>
      <c r="R458">
        <v>94607200000</v>
      </c>
    </row>
    <row r="459" spans="15:18">
      <c r="O459">
        <v>2039</v>
      </c>
      <c r="P459">
        <v>2026</v>
      </c>
      <c r="Q459">
        <v>1</v>
      </c>
      <c r="R459">
        <v>108180000000</v>
      </c>
    </row>
    <row r="460" spans="15:18">
      <c r="O460">
        <v>2039</v>
      </c>
      <c r="P460">
        <v>2027</v>
      </c>
      <c r="Q460">
        <v>1</v>
      </c>
      <c r="R460">
        <v>120101000000</v>
      </c>
    </row>
    <row r="461" spans="15:18">
      <c r="O461">
        <v>2039</v>
      </c>
      <c r="P461">
        <v>2028</v>
      </c>
      <c r="Q461">
        <v>1</v>
      </c>
      <c r="R461">
        <v>131339000000</v>
      </c>
    </row>
    <row r="462" spans="15:18">
      <c r="O462">
        <v>2039</v>
      </c>
      <c r="P462">
        <v>2029</v>
      </c>
      <c r="Q462">
        <v>1</v>
      </c>
      <c r="R462">
        <v>142344000000</v>
      </c>
    </row>
    <row r="463" spans="15:18">
      <c r="O463">
        <v>2039</v>
      </c>
      <c r="P463">
        <v>2030</v>
      </c>
      <c r="Q463">
        <v>1</v>
      </c>
      <c r="R463">
        <v>154354000000</v>
      </c>
    </row>
    <row r="464" spans="15:18">
      <c r="O464">
        <v>2039</v>
      </c>
      <c r="P464">
        <v>2031</v>
      </c>
      <c r="Q464">
        <v>1</v>
      </c>
      <c r="R464">
        <v>167299000000</v>
      </c>
    </row>
    <row r="465" spans="15:21">
      <c r="O465">
        <v>2039</v>
      </c>
      <c r="P465">
        <v>2032</v>
      </c>
      <c r="Q465">
        <v>1</v>
      </c>
      <c r="R465">
        <v>177890000000</v>
      </c>
    </row>
    <row r="466" spans="15:21">
      <c r="O466">
        <v>2039</v>
      </c>
      <c r="P466">
        <v>2033</v>
      </c>
      <c r="Q466">
        <v>1</v>
      </c>
      <c r="R466">
        <v>188841000000</v>
      </c>
    </row>
    <row r="467" spans="15:21">
      <c r="O467">
        <v>2039</v>
      </c>
      <c r="P467">
        <v>2034</v>
      </c>
      <c r="Q467">
        <v>1</v>
      </c>
      <c r="R467">
        <v>199489000000</v>
      </c>
    </row>
    <row r="468" spans="15:21">
      <c r="O468">
        <v>2039</v>
      </c>
      <c r="P468">
        <v>2035</v>
      </c>
      <c r="Q468">
        <v>1</v>
      </c>
      <c r="R468">
        <v>208391000000</v>
      </c>
    </row>
    <row r="469" spans="15:21">
      <c r="O469">
        <v>2039</v>
      </c>
      <c r="P469">
        <v>2036</v>
      </c>
      <c r="Q469">
        <v>1</v>
      </c>
      <c r="R469">
        <v>216249000000</v>
      </c>
    </row>
    <row r="470" spans="15:21">
      <c r="O470">
        <v>2039</v>
      </c>
      <c r="P470">
        <v>2037</v>
      </c>
      <c r="Q470">
        <v>1</v>
      </c>
      <c r="R470">
        <v>223853000000</v>
      </c>
    </row>
    <row r="471" spans="15:21">
      <c r="O471">
        <v>2039</v>
      </c>
      <c r="P471">
        <v>2038</v>
      </c>
      <c r="Q471">
        <v>1</v>
      </c>
      <c r="R471">
        <v>231252000000</v>
      </c>
    </row>
    <row r="472" spans="15:21">
      <c r="O472">
        <v>2039</v>
      </c>
      <c r="P472">
        <v>2039</v>
      </c>
      <c r="Q472">
        <v>1</v>
      </c>
      <c r="R472">
        <v>237803000000</v>
      </c>
      <c r="S472">
        <f>SUM(R442:R472)</f>
        <v>3135525710000</v>
      </c>
      <c r="T472">
        <f>R459</f>
        <v>108180000000</v>
      </c>
      <c r="U472">
        <f>T472/S472</f>
        <v>3.4501391474796743E-2</v>
      </c>
    </row>
    <row r="473" spans="15:21">
      <c r="O473">
        <v>2040</v>
      </c>
      <c r="P473">
        <v>2010</v>
      </c>
      <c r="Q473">
        <v>1</v>
      </c>
      <c r="R473">
        <v>43299700000</v>
      </c>
    </row>
    <row r="474" spans="15:21">
      <c r="O474">
        <v>2040</v>
      </c>
      <c r="P474">
        <v>2011</v>
      </c>
      <c r="Q474">
        <v>1</v>
      </c>
      <c r="R474">
        <v>6182180000</v>
      </c>
    </row>
    <row r="475" spans="15:21">
      <c r="O475">
        <v>2040</v>
      </c>
      <c r="P475">
        <v>2012</v>
      </c>
      <c r="Q475">
        <v>1</v>
      </c>
      <c r="R475">
        <v>7312470000</v>
      </c>
    </row>
    <row r="476" spans="15:21">
      <c r="O476">
        <v>2040</v>
      </c>
      <c r="P476">
        <v>2013</v>
      </c>
      <c r="Q476">
        <v>1</v>
      </c>
      <c r="R476">
        <v>9154230000</v>
      </c>
    </row>
    <row r="477" spans="15:21">
      <c r="O477">
        <v>2040</v>
      </c>
      <c r="P477">
        <v>2014</v>
      </c>
      <c r="Q477">
        <v>1</v>
      </c>
      <c r="R477">
        <v>13776500000</v>
      </c>
    </row>
    <row r="478" spans="15:21">
      <c r="O478">
        <v>2040</v>
      </c>
      <c r="P478">
        <v>2015</v>
      </c>
      <c r="Q478">
        <v>1</v>
      </c>
      <c r="R478">
        <v>17325700000</v>
      </c>
    </row>
    <row r="479" spans="15:21">
      <c r="O479">
        <v>2040</v>
      </c>
      <c r="P479">
        <v>2016</v>
      </c>
      <c r="Q479">
        <v>1</v>
      </c>
      <c r="R479">
        <v>20781600000</v>
      </c>
    </row>
    <row r="480" spans="15:21">
      <c r="O480">
        <v>2040</v>
      </c>
      <c r="P480">
        <v>2017</v>
      </c>
      <c r="Q480">
        <v>1</v>
      </c>
      <c r="R480">
        <v>24346600000</v>
      </c>
    </row>
    <row r="481" spans="15:18">
      <c r="O481">
        <v>2040</v>
      </c>
      <c r="P481">
        <v>2018</v>
      </c>
      <c r="Q481">
        <v>1</v>
      </c>
      <c r="R481">
        <v>25518900000</v>
      </c>
    </row>
    <row r="482" spans="15:18">
      <c r="O482">
        <v>2040</v>
      </c>
      <c r="P482">
        <v>2019</v>
      </c>
      <c r="Q482">
        <v>1</v>
      </c>
      <c r="R482">
        <v>30422400000</v>
      </c>
    </row>
    <row r="483" spans="15:18">
      <c r="O483">
        <v>2040</v>
      </c>
      <c r="P483">
        <v>2020</v>
      </c>
      <c r="Q483">
        <v>1</v>
      </c>
      <c r="R483">
        <v>36021200000</v>
      </c>
    </row>
    <row r="484" spans="15:18">
      <c r="O484">
        <v>2040</v>
      </c>
      <c r="P484">
        <v>2021</v>
      </c>
      <c r="Q484">
        <v>1</v>
      </c>
      <c r="R484">
        <v>42764700000</v>
      </c>
    </row>
    <row r="485" spans="15:18">
      <c r="O485">
        <v>2040</v>
      </c>
      <c r="P485">
        <v>2022</v>
      </c>
      <c r="Q485">
        <v>1</v>
      </c>
      <c r="R485">
        <v>49736600000</v>
      </c>
    </row>
    <row r="486" spans="15:18">
      <c r="O486">
        <v>2040</v>
      </c>
      <c r="P486">
        <v>2023</v>
      </c>
      <c r="Q486">
        <v>1</v>
      </c>
      <c r="R486">
        <v>59163400000</v>
      </c>
    </row>
    <row r="487" spans="15:18">
      <c r="O487">
        <v>2040</v>
      </c>
      <c r="P487">
        <v>2024</v>
      </c>
      <c r="Q487">
        <v>1</v>
      </c>
      <c r="R487">
        <v>69884000000</v>
      </c>
    </row>
    <row r="488" spans="15:18">
      <c r="O488">
        <v>2040</v>
      </c>
      <c r="P488">
        <v>2025</v>
      </c>
      <c r="Q488">
        <v>1</v>
      </c>
      <c r="R488">
        <v>81785300000</v>
      </c>
    </row>
    <row r="489" spans="15:18">
      <c r="O489">
        <v>2040</v>
      </c>
      <c r="P489">
        <v>2026</v>
      </c>
      <c r="Q489">
        <v>1</v>
      </c>
      <c r="R489">
        <v>95130600000</v>
      </c>
    </row>
    <row r="490" spans="15:18">
      <c r="O490">
        <v>2040</v>
      </c>
      <c r="P490">
        <v>2027</v>
      </c>
      <c r="Q490">
        <v>1</v>
      </c>
      <c r="R490">
        <v>108304000000</v>
      </c>
    </row>
    <row r="491" spans="15:18">
      <c r="O491">
        <v>2040</v>
      </c>
      <c r="P491">
        <v>2028</v>
      </c>
      <c r="Q491">
        <v>1</v>
      </c>
      <c r="R491">
        <v>120759000000</v>
      </c>
    </row>
    <row r="492" spans="15:18">
      <c r="O492">
        <v>2040</v>
      </c>
      <c r="P492">
        <v>2029</v>
      </c>
      <c r="Q492">
        <v>1</v>
      </c>
      <c r="R492">
        <v>131727000000</v>
      </c>
    </row>
    <row r="493" spans="15:18">
      <c r="O493">
        <v>2040</v>
      </c>
      <c r="P493">
        <v>2030</v>
      </c>
      <c r="Q493">
        <v>1</v>
      </c>
      <c r="R493">
        <v>143779000000</v>
      </c>
    </row>
    <row r="494" spans="15:18">
      <c r="O494">
        <v>2040</v>
      </c>
      <c r="P494">
        <v>2031</v>
      </c>
      <c r="Q494">
        <v>1</v>
      </c>
      <c r="R494">
        <v>156909000000</v>
      </c>
    </row>
    <row r="495" spans="15:18">
      <c r="O495">
        <v>2040</v>
      </c>
      <c r="P495">
        <v>2032</v>
      </c>
      <c r="Q495">
        <v>1</v>
      </c>
      <c r="R495">
        <v>167982000000</v>
      </c>
    </row>
    <row r="496" spans="15:18">
      <c r="O496">
        <v>2040</v>
      </c>
      <c r="P496">
        <v>2033</v>
      </c>
      <c r="Q496">
        <v>1</v>
      </c>
      <c r="R496">
        <v>179515000000</v>
      </c>
    </row>
    <row r="497" spans="15:21">
      <c r="O497">
        <v>2040</v>
      </c>
      <c r="P497">
        <v>2034</v>
      </c>
      <c r="Q497">
        <v>1</v>
      </c>
      <c r="R497">
        <v>190850000000</v>
      </c>
    </row>
    <row r="498" spans="15:21">
      <c r="O498">
        <v>2040</v>
      </c>
      <c r="P498">
        <v>2035</v>
      </c>
      <c r="Q498">
        <v>1</v>
      </c>
      <c r="R498">
        <v>200560000000</v>
      </c>
    </row>
    <row r="499" spans="15:21">
      <c r="O499">
        <v>2040</v>
      </c>
      <c r="P499">
        <v>2036</v>
      </c>
      <c r="Q499">
        <v>1</v>
      </c>
      <c r="R499">
        <v>209291000000</v>
      </c>
    </row>
    <row r="500" spans="15:21">
      <c r="O500">
        <v>2040</v>
      </c>
      <c r="P500">
        <v>2037</v>
      </c>
      <c r="Q500">
        <v>1</v>
      </c>
      <c r="R500">
        <v>217936000000</v>
      </c>
    </row>
    <row r="501" spans="15:21">
      <c r="O501">
        <v>2040</v>
      </c>
      <c r="P501">
        <v>2038</v>
      </c>
      <c r="Q501">
        <v>1</v>
      </c>
      <c r="R501">
        <v>225668000000</v>
      </c>
    </row>
    <row r="502" spans="15:21">
      <c r="O502">
        <v>2040</v>
      </c>
      <c r="P502">
        <v>2039</v>
      </c>
      <c r="Q502">
        <v>1</v>
      </c>
      <c r="R502">
        <v>232627000000</v>
      </c>
    </row>
    <row r="503" spans="15:21">
      <c r="O503">
        <v>2040</v>
      </c>
      <c r="P503">
        <v>2040</v>
      </c>
      <c r="Q503">
        <v>1</v>
      </c>
      <c r="R503">
        <v>239410000000</v>
      </c>
      <c r="S503">
        <f>SUM(R473:R503)</f>
        <v>3157923080000</v>
      </c>
      <c r="T503">
        <f>R489</f>
        <v>95130600000</v>
      </c>
      <c r="U503">
        <f>T503/S503</f>
        <v>3.0124419623292407E-2</v>
      </c>
    </row>
    <row r="504" spans="15:21">
      <c r="O504">
        <v>2041</v>
      </c>
      <c r="P504">
        <v>2011</v>
      </c>
      <c r="Q504">
        <v>1</v>
      </c>
      <c r="R504">
        <v>43651400000</v>
      </c>
    </row>
    <row r="505" spans="15:21">
      <c r="O505">
        <v>2041</v>
      </c>
      <c r="P505">
        <v>2012</v>
      </c>
      <c r="Q505">
        <v>1</v>
      </c>
      <c r="R505">
        <v>6322820000</v>
      </c>
    </row>
    <row r="506" spans="15:21">
      <c r="O506">
        <v>2041</v>
      </c>
      <c r="P506">
        <v>2013</v>
      </c>
      <c r="Q506">
        <v>1</v>
      </c>
      <c r="R506">
        <v>7894230000</v>
      </c>
    </row>
    <row r="507" spans="15:21">
      <c r="O507">
        <v>2041</v>
      </c>
      <c r="P507">
        <v>2014</v>
      </c>
      <c r="Q507">
        <v>1</v>
      </c>
      <c r="R507">
        <v>11913400000</v>
      </c>
    </row>
    <row r="508" spans="15:21">
      <c r="O508">
        <v>2041</v>
      </c>
      <c r="P508">
        <v>2015</v>
      </c>
      <c r="Q508">
        <v>1</v>
      </c>
      <c r="R508">
        <v>14978100000</v>
      </c>
    </row>
    <row r="509" spans="15:21">
      <c r="O509">
        <v>2041</v>
      </c>
      <c r="P509">
        <v>2016</v>
      </c>
      <c r="Q509">
        <v>1</v>
      </c>
      <c r="R509">
        <v>17876700000</v>
      </c>
    </row>
    <row r="510" spans="15:21">
      <c r="O510">
        <v>2041</v>
      </c>
      <c r="P510">
        <v>2017</v>
      </c>
      <c r="Q510">
        <v>1</v>
      </c>
      <c r="R510">
        <v>20857400000</v>
      </c>
    </row>
    <row r="511" spans="15:21">
      <c r="O511">
        <v>2041</v>
      </c>
      <c r="P511">
        <v>2018</v>
      </c>
      <c r="Q511">
        <v>1</v>
      </c>
      <c r="R511">
        <v>21621700000</v>
      </c>
    </row>
    <row r="512" spans="15:21">
      <c r="O512">
        <v>2041</v>
      </c>
      <c r="P512">
        <v>2019</v>
      </c>
      <c r="Q512">
        <v>1</v>
      </c>
      <c r="R512">
        <v>25686600000</v>
      </c>
    </row>
    <row r="513" spans="15:18">
      <c r="O513">
        <v>2041</v>
      </c>
      <c r="P513">
        <v>2020</v>
      </c>
      <c r="Q513">
        <v>1</v>
      </c>
      <c r="R513">
        <v>30356700000</v>
      </c>
    </row>
    <row r="514" spans="15:18">
      <c r="O514">
        <v>2041</v>
      </c>
      <c r="P514">
        <v>2021</v>
      </c>
      <c r="Q514">
        <v>1</v>
      </c>
      <c r="R514">
        <v>36020700000</v>
      </c>
    </row>
    <row r="515" spans="15:18">
      <c r="O515">
        <v>2041</v>
      </c>
      <c r="P515">
        <v>2022</v>
      </c>
      <c r="Q515">
        <v>1</v>
      </c>
      <c r="R515">
        <v>41957600000</v>
      </c>
    </row>
    <row r="516" spans="15:18">
      <c r="O516">
        <v>2041</v>
      </c>
      <c r="P516">
        <v>2023</v>
      </c>
      <c r="Q516">
        <v>1</v>
      </c>
      <c r="R516">
        <v>50046900000</v>
      </c>
    </row>
    <row r="517" spans="15:18">
      <c r="O517">
        <v>2041</v>
      </c>
      <c r="P517">
        <v>2024</v>
      </c>
      <c r="Q517">
        <v>1</v>
      </c>
      <c r="R517">
        <v>59403100000</v>
      </c>
    </row>
    <row r="518" spans="15:18">
      <c r="O518">
        <v>2041</v>
      </c>
      <c r="P518">
        <v>2025</v>
      </c>
      <c r="Q518">
        <v>1</v>
      </c>
      <c r="R518">
        <v>70025400000</v>
      </c>
    </row>
    <row r="519" spans="15:18">
      <c r="O519">
        <v>2041</v>
      </c>
      <c r="P519">
        <v>2026</v>
      </c>
      <c r="Q519">
        <v>1</v>
      </c>
      <c r="R519">
        <v>82245300000</v>
      </c>
    </row>
    <row r="520" spans="15:18">
      <c r="O520">
        <v>2041</v>
      </c>
      <c r="P520">
        <v>2027</v>
      </c>
      <c r="Q520">
        <v>1</v>
      </c>
      <c r="R520">
        <v>95224400000</v>
      </c>
    </row>
    <row r="521" spans="15:18">
      <c r="O521">
        <v>2041</v>
      </c>
      <c r="P521">
        <v>2028</v>
      </c>
      <c r="Q521">
        <v>1</v>
      </c>
      <c r="R521">
        <v>108914000000</v>
      </c>
    </row>
    <row r="522" spans="15:18">
      <c r="O522">
        <v>2041</v>
      </c>
      <c r="P522">
        <v>2029</v>
      </c>
      <c r="Q522">
        <v>1</v>
      </c>
      <c r="R522">
        <v>121157000000</v>
      </c>
    </row>
    <row r="523" spans="15:18">
      <c r="O523">
        <v>2041</v>
      </c>
      <c r="P523">
        <v>2030</v>
      </c>
      <c r="Q523">
        <v>1</v>
      </c>
      <c r="R523">
        <v>133094000000</v>
      </c>
    </row>
    <row r="524" spans="15:18">
      <c r="O524">
        <v>2041</v>
      </c>
      <c r="P524">
        <v>2031</v>
      </c>
      <c r="Q524">
        <v>1</v>
      </c>
      <c r="R524">
        <v>146200000000</v>
      </c>
    </row>
    <row r="525" spans="15:18">
      <c r="O525">
        <v>2041</v>
      </c>
      <c r="P525">
        <v>2032</v>
      </c>
      <c r="Q525">
        <v>1</v>
      </c>
      <c r="R525">
        <v>157592000000</v>
      </c>
    </row>
    <row r="526" spans="15:18">
      <c r="O526">
        <v>2041</v>
      </c>
      <c r="P526">
        <v>2033</v>
      </c>
      <c r="Q526">
        <v>1</v>
      </c>
      <c r="R526">
        <v>169555000000</v>
      </c>
    </row>
    <row r="527" spans="15:18">
      <c r="O527">
        <v>2041</v>
      </c>
      <c r="P527">
        <v>2034</v>
      </c>
      <c r="Q527">
        <v>1</v>
      </c>
      <c r="R527">
        <v>181466000000</v>
      </c>
    </row>
    <row r="528" spans="15:18">
      <c r="O528">
        <v>2041</v>
      </c>
      <c r="P528">
        <v>2035</v>
      </c>
      <c r="Q528">
        <v>1</v>
      </c>
      <c r="R528">
        <v>191915000000</v>
      </c>
    </row>
    <row r="529" spans="15:21">
      <c r="O529">
        <v>2041</v>
      </c>
      <c r="P529">
        <v>2036</v>
      </c>
      <c r="Q529">
        <v>1</v>
      </c>
      <c r="R529">
        <v>201467000000</v>
      </c>
    </row>
    <row r="530" spans="15:21">
      <c r="O530">
        <v>2041</v>
      </c>
      <c r="P530">
        <v>2037</v>
      </c>
      <c r="Q530">
        <v>1</v>
      </c>
      <c r="R530">
        <v>210962000000</v>
      </c>
    </row>
    <row r="531" spans="15:21">
      <c r="O531">
        <v>2041</v>
      </c>
      <c r="P531">
        <v>2038</v>
      </c>
      <c r="Q531">
        <v>1</v>
      </c>
      <c r="R531">
        <v>219742000000</v>
      </c>
    </row>
    <row r="532" spans="15:21">
      <c r="O532">
        <v>2041</v>
      </c>
      <c r="P532">
        <v>2039</v>
      </c>
      <c r="Q532">
        <v>1</v>
      </c>
      <c r="R532">
        <v>227049000000</v>
      </c>
    </row>
    <row r="533" spans="15:21">
      <c r="O533">
        <v>2041</v>
      </c>
      <c r="P533">
        <v>2040</v>
      </c>
      <c r="Q533">
        <v>1</v>
      </c>
      <c r="R533">
        <v>234239000000</v>
      </c>
    </row>
    <row r="534" spans="15:21">
      <c r="O534">
        <v>2041</v>
      </c>
      <c r="P534">
        <v>2041</v>
      </c>
      <c r="Q534">
        <v>1</v>
      </c>
      <c r="R534">
        <v>240930000000</v>
      </c>
      <c r="S534">
        <f>SUM(R504:R534)</f>
        <v>3180364450000</v>
      </c>
      <c r="T534">
        <f>R519</f>
        <v>82245300000</v>
      </c>
      <c r="U534">
        <f>T534/S534</f>
        <v>2.5860338113136688E-2</v>
      </c>
    </row>
    <row r="535" spans="15:21">
      <c r="O535">
        <v>2042</v>
      </c>
      <c r="P535">
        <v>2012</v>
      </c>
      <c r="Q535">
        <v>1</v>
      </c>
      <c r="R535">
        <v>44004900000</v>
      </c>
    </row>
    <row r="536" spans="15:21">
      <c r="O536">
        <v>2042</v>
      </c>
      <c r="P536">
        <v>2013</v>
      </c>
      <c r="Q536">
        <v>1</v>
      </c>
      <c r="R536">
        <v>6834040000</v>
      </c>
    </row>
    <row r="537" spans="15:21">
      <c r="O537">
        <v>2042</v>
      </c>
      <c r="P537">
        <v>2014</v>
      </c>
      <c r="Q537">
        <v>1</v>
      </c>
      <c r="R537">
        <v>10346200000</v>
      </c>
    </row>
    <row r="538" spans="15:21">
      <c r="O538">
        <v>2042</v>
      </c>
      <c r="P538">
        <v>2015</v>
      </c>
      <c r="Q538">
        <v>1</v>
      </c>
      <c r="R538">
        <v>13010700000</v>
      </c>
    </row>
    <row r="539" spans="15:21">
      <c r="O539">
        <v>2042</v>
      </c>
      <c r="P539">
        <v>2016</v>
      </c>
      <c r="Q539">
        <v>1</v>
      </c>
      <c r="R539">
        <v>15528800000</v>
      </c>
    </row>
    <row r="540" spans="15:21">
      <c r="O540">
        <v>2042</v>
      </c>
      <c r="P540">
        <v>2017</v>
      </c>
      <c r="Q540">
        <v>1</v>
      </c>
      <c r="R540">
        <v>18022600000</v>
      </c>
    </row>
    <row r="541" spans="15:21">
      <c r="O541">
        <v>2042</v>
      </c>
      <c r="P541">
        <v>2018</v>
      </c>
      <c r="Q541">
        <v>1</v>
      </c>
      <c r="R541">
        <v>18432300000</v>
      </c>
    </row>
    <row r="542" spans="15:21">
      <c r="O542">
        <v>2042</v>
      </c>
      <c r="P542">
        <v>2019</v>
      </c>
      <c r="Q542">
        <v>1</v>
      </c>
      <c r="R542">
        <v>21804700000</v>
      </c>
    </row>
    <row r="543" spans="15:21">
      <c r="O543">
        <v>2042</v>
      </c>
      <c r="P543">
        <v>2020</v>
      </c>
      <c r="Q543">
        <v>1</v>
      </c>
      <c r="R543">
        <v>25666600000</v>
      </c>
    </row>
    <row r="544" spans="15:21">
      <c r="O544">
        <v>2042</v>
      </c>
      <c r="P544">
        <v>2021</v>
      </c>
      <c r="Q544">
        <v>1</v>
      </c>
      <c r="R544">
        <v>30401400000</v>
      </c>
    </row>
    <row r="545" spans="15:18">
      <c r="O545">
        <v>2042</v>
      </c>
      <c r="P545">
        <v>2022</v>
      </c>
      <c r="Q545">
        <v>1</v>
      </c>
      <c r="R545">
        <v>35383700000</v>
      </c>
    </row>
    <row r="546" spans="15:18">
      <c r="O546">
        <v>2042</v>
      </c>
      <c r="P546">
        <v>2023</v>
      </c>
      <c r="Q546">
        <v>1</v>
      </c>
      <c r="R546">
        <v>42257700000</v>
      </c>
    </row>
    <row r="547" spans="15:18">
      <c r="O547">
        <v>2042</v>
      </c>
      <c r="P547">
        <v>2024</v>
      </c>
      <c r="Q547">
        <v>1</v>
      </c>
      <c r="R547">
        <v>50289400000</v>
      </c>
    </row>
    <row r="548" spans="15:18">
      <c r="O548">
        <v>2042</v>
      </c>
      <c r="P548">
        <v>2025</v>
      </c>
      <c r="Q548">
        <v>1</v>
      </c>
      <c r="R548">
        <v>59568100000</v>
      </c>
    </row>
    <row r="549" spans="15:18">
      <c r="O549">
        <v>2042</v>
      </c>
      <c r="P549">
        <v>2026</v>
      </c>
      <c r="Q549">
        <v>1</v>
      </c>
      <c r="R549">
        <v>70480000000</v>
      </c>
    </row>
    <row r="550" spans="15:18">
      <c r="O550">
        <v>2042</v>
      </c>
      <c r="P550">
        <v>2027</v>
      </c>
      <c r="Q550">
        <v>1</v>
      </c>
      <c r="R550">
        <v>82368000000</v>
      </c>
    </row>
    <row r="551" spans="15:18">
      <c r="O551">
        <v>2042</v>
      </c>
      <c r="P551">
        <v>2028</v>
      </c>
      <c r="Q551">
        <v>1</v>
      </c>
      <c r="R551">
        <v>95796900000</v>
      </c>
    </row>
    <row r="552" spans="15:18">
      <c r="O552">
        <v>2042</v>
      </c>
      <c r="P552">
        <v>2029</v>
      </c>
      <c r="Q552">
        <v>1</v>
      </c>
      <c r="R552">
        <v>109329000000</v>
      </c>
    </row>
    <row r="553" spans="15:18">
      <c r="O553">
        <v>2042</v>
      </c>
      <c r="P553">
        <v>2030</v>
      </c>
      <c r="Q553">
        <v>1</v>
      </c>
      <c r="R553">
        <v>122486000000</v>
      </c>
    </row>
    <row r="554" spans="15:18">
      <c r="O554">
        <v>2042</v>
      </c>
      <c r="P554">
        <v>2031</v>
      </c>
      <c r="Q554">
        <v>1</v>
      </c>
      <c r="R554">
        <v>135404000000</v>
      </c>
    </row>
    <row r="555" spans="15:18">
      <c r="O555">
        <v>2042</v>
      </c>
      <c r="P555">
        <v>2032</v>
      </c>
      <c r="Q555">
        <v>1</v>
      </c>
      <c r="R555">
        <v>146899000000</v>
      </c>
    </row>
    <row r="556" spans="15:18">
      <c r="O556">
        <v>2042</v>
      </c>
      <c r="P556">
        <v>2033</v>
      </c>
      <c r="Q556">
        <v>1</v>
      </c>
      <c r="R556">
        <v>159116000000</v>
      </c>
    </row>
    <row r="557" spans="15:18">
      <c r="O557">
        <v>2042</v>
      </c>
      <c r="P557">
        <v>2034</v>
      </c>
      <c r="Q557">
        <v>1</v>
      </c>
      <c r="R557">
        <v>171437000000</v>
      </c>
    </row>
    <row r="558" spans="15:18">
      <c r="O558">
        <v>2042</v>
      </c>
      <c r="P558">
        <v>2035</v>
      </c>
      <c r="Q558">
        <v>1</v>
      </c>
      <c r="R558">
        <v>182506000000</v>
      </c>
    </row>
    <row r="559" spans="15:18">
      <c r="O559">
        <v>2042</v>
      </c>
      <c r="P559">
        <v>2036</v>
      </c>
      <c r="Q559">
        <v>1</v>
      </c>
      <c r="R559">
        <v>192797000000</v>
      </c>
    </row>
    <row r="560" spans="15:18">
      <c r="O560">
        <v>2042</v>
      </c>
      <c r="P560">
        <v>2037</v>
      </c>
      <c r="Q560">
        <v>1</v>
      </c>
      <c r="R560">
        <v>203076000000</v>
      </c>
    </row>
    <row r="561" spans="15:21">
      <c r="O561">
        <v>2042</v>
      </c>
      <c r="P561">
        <v>2038</v>
      </c>
      <c r="Q561">
        <v>1</v>
      </c>
      <c r="R561">
        <v>212699000000</v>
      </c>
    </row>
    <row r="562" spans="15:21">
      <c r="O562">
        <v>2042</v>
      </c>
      <c r="P562">
        <v>2039</v>
      </c>
      <c r="Q562">
        <v>1</v>
      </c>
      <c r="R562">
        <v>221061000000</v>
      </c>
    </row>
    <row r="563" spans="15:21">
      <c r="O563">
        <v>2042</v>
      </c>
      <c r="P563">
        <v>2040</v>
      </c>
      <c r="Q563">
        <v>1</v>
      </c>
      <c r="R563">
        <v>228595000000</v>
      </c>
    </row>
    <row r="564" spans="15:21">
      <c r="O564">
        <v>2042</v>
      </c>
      <c r="P564">
        <v>2041</v>
      </c>
      <c r="Q564">
        <v>1</v>
      </c>
      <c r="R564">
        <v>235697000000</v>
      </c>
    </row>
    <row r="565" spans="15:21">
      <c r="O565">
        <v>2042</v>
      </c>
      <c r="P565">
        <v>2042</v>
      </c>
      <c r="Q565">
        <v>1</v>
      </c>
      <c r="R565">
        <v>241513000000</v>
      </c>
      <c r="S565">
        <f>SUM(R535:R565)</f>
        <v>3202811040000</v>
      </c>
      <c r="T565">
        <f>R549</f>
        <v>70480000000</v>
      </c>
      <c r="U565">
        <f>T565/S565</f>
        <v>2.200566911996157E-2</v>
      </c>
    </row>
    <row r="566" spans="15:21">
      <c r="O566">
        <v>2043</v>
      </c>
      <c r="P566">
        <v>2013</v>
      </c>
      <c r="Q566">
        <v>1</v>
      </c>
      <c r="R566">
        <v>44359400000</v>
      </c>
    </row>
    <row r="567" spans="15:21">
      <c r="O567">
        <v>2043</v>
      </c>
      <c r="P567">
        <v>2014</v>
      </c>
      <c r="Q567">
        <v>1</v>
      </c>
      <c r="R567">
        <v>9014600000</v>
      </c>
    </row>
    <row r="568" spans="15:21">
      <c r="O568">
        <v>2043</v>
      </c>
      <c r="P568">
        <v>2015</v>
      </c>
      <c r="Q568">
        <v>1</v>
      </c>
      <c r="R568">
        <v>11346700000</v>
      </c>
    </row>
    <row r="569" spans="15:21">
      <c r="O569">
        <v>2043</v>
      </c>
      <c r="P569">
        <v>2016</v>
      </c>
      <c r="Q569">
        <v>1</v>
      </c>
      <c r="R569">
        <v>13550500000</v>
      </c>
    </row>
    <row r="570" spans="15:21">
      <c r="O570">
        <v>2043</v>
      </c>
      <c r="P570">
        <v>2017</v>
      </c>
      <c r="Q570">
        <v>1</v>
      </c>
      <c r="R570">
        <v>15727400000</v>
      </c>
    </row>
    <row r="571" spans="15:21">
      <c r="O571">
        <v>2043</v>
      </c>
      <c r="P571">
        <v>2018</v>
      </c>
      <c r="Q571">
        <v>1</v>
      </c>
      <c r="R571">
        <v>15848200000</v>
      </c>
    </row>
    <row r="572" spans="15:21">
      <c r="O572">
        <v>2043</v>
      </c>
      <c r="P572">
        <v>2019</v>
      </c>
      <c r="Q572">
        <v>1</v>
      </c>
      <c r="R572">
        <v>18622600000</v>
      </c>
    </row>
    <row r="573" spans="15:21">
      <c r="O573">
        <v>2043</v>
      </c>
      <c r="P573">
        <v>2020</v>
      </c>
      <c r="Q573">
        <v>1</v>
      </c>
      <c r="R573">
        <v>21816700000</v>
      </c>
    </row>
    <row r="574" spans="15:21">
      <c r="O574">
        <v>2043</v>
      </c>
      <c r="P574">
        <v>2021</v>
      </c>
      <c r="Q574">
        <v>1</v>
      </c>
      <c r="R574">
        <v>25741700000</v>
      </c>
    </row>
    <row r="575" spans="15:21">
      <c r="O575">
        <v>2043</v>
      </c>
      <c r="P575">
        <v>2022</v>
      </c>
      <c r="Q575">
        <v>1</v>
      </c>
      <c r="R575">
        <v>29898300000</v>
      </c>
    </row>
    <row r="576" spans="15:21">
      <c r="O576">
        <v>2043</v>
      </c>
      <c r="P576">
        <v>2023</v>
      </c>
      <c r="Q576">
        <v>1</v>
      </c>
      <c r="R576">
        <v>35667100000</v>
      </c>
    </row>
    <row r="577" spans="15:18">
      <c r="O577">
        <v>2043</v>
      </c>
      <c r="P577">
        <v>2024</v>
      </c>
      <c r="Q577">
        <v>1</v>
      </c>
      <c r="R577">
        <v>42493100000</v>
      </c>
    </row>
    <row r="578" spans="15:18">
      <c r="O578">
        <v>2043</v>
      </c>
      <c r="P578">
        <v>2025</v>
      </c>
      <c r="Q578">
        <v>1</v>
      </c>
      <c r="R578">
        <v>50463300000</v>
      </c>
    </row>
    <row r="579" spans="15:18">
      <c r="O579">
        <v>2043</v>
      </c>
      <c r="P579">
        <v>2026</v>
      </c>
      <c r="Q579">
        <v>1</v>
      </c>
      <c r="R579">
        <v>60004600000</v>
      </c>
    </row>
    <row r="580" spans="15:18">
      <c r="O580">
        <v>2043</v>
      </c>
      <c r="P580">
        <v>2027</v>
      </c>
      <c r="Q580">
        <v>1</v>
      </c>
      <c r="R580">
        <v>70614300000</v>
      </c>
    </row>
    <row r="581" spans="15:18">
      <c r="O581">
        <v>2043</v>
      </c>
      <c r="P581">
        <v>2028</v>
      </c>
      <c r="Q581">
        <v>1</v>
      </c>
      <c r="R581">
        <v>82904000000</v>
      </c>
    </row>
    <row r="582" spans="15:18">
      <c r="O582">
        <v>2043</v>
      </c>
      <c r="P582">
        <v>2029</v>
      </c>
      <c r="Q582">
        <v>1</v>
      </c>
      <c r="R582">
        <v>96191800000</v>
      </c>
    </row>
    <row r="583" spans="15:18">
      <c r="O583">
        <v>2043</v>
      </c>
      <c r="P583">
        <v>2030</v>
      </c>
      <c r="Q583">
        <v>1</v>
      </c>
      <c r="R583">
        <v>110591000000</v>
      </c>
    </row>
    <row r="584" spans="15:18">
      <c r="O584">
        <v>2043</v>
      </c>
      <c r="P584">
        <v>2031</v>
      </c>
      <c r="Q584">
        <v>1</v>
      </c>
      <c r="R584">
        <v>124697000000</v>
      </c>
    </row>
    <row r="585" spans="15:18">
      <c r="O585">
        <v>2043</v>
      </c>
      <c r="P585">
        <v>2032</v>
      </c>
      <c r="Q585">
        <v>1</v>
      </c>
      <c r="R585">
        <v>136137000000</v>
      </c>
    </row>
    <row r="586" spans="15:18">
      <c r="O586">
        <v>2043</v>
      </c>
      <c r="P586">
        <v>2033</v>
      </c>
      <c r="Q586">
        <v>1</v>
      </c>
      <c r="R586">
        <v>148399000000</v>
      </c>
    </row>
    <row r="587" spans="15:18">
      <c r="O587">
        <v>2043</v>
      </c>
      <c r="P587">
        <v>2034</v>
      </c>
      <c r="Q587">
        <v>1</v>
      </c>
      <c r="R587">
        <v>160961000000</v>
      </c>
    </row>
    <row r="588" spans="15:18">
      <c r="O588">
        <v>2043</v>
      </c>
      <c r="P588">
        <v>2035</v>
      </c>
      <c r="Q588">
        <v>1</v>
      </c>
      <c r="R588">
        <v>172492000000</v>
      </c>
    </row>
    <row r="589" spans="15:18">
      <c r="O589">
        <v>2043</v>
      </c>
      <c r="P589">
        <v>2036</v>
      </c>
      <c r="Q589">
        <v>1</v>
      </c>
      <c r="R589">
        <v>183410000000</v>
      </c>
    </row>
    <row r="590" spans="15:18">
      <c r="O590">
        <v>2043</v>
      </c>
      <c r="P590">
        <v>2037</v>
      </c>
      <c r="Q590">
        <v>1</v>
      </c>
      <c r="R590">
        <v>194394000000</v>
      </c>
    </row>
    <row r="591" spans="15:18">
      <c r="O591">
        <v>2043</v>
      </c>
      <c r="P591">
        <v>2038</v>
      </c>
      <c r="Q591">
        <v>1</v>
      </c>
      <c r="R591">
        <v>204800000000</v>
      </c>
    </row>
    <row r="592" spans="15:18">
      <c r="O592">
        <v>2043</v>
      </c>
      <c r="P592">
        <v>2039</v>
      </c>
      <c r="Q592">
        <v>1</v>
      </c>
      <c r="R592">
        <v>214020000000</v>
      </c>
    </row>
    <row r="593" spans="15:21">
      <c r="O593">
        <v>2043</v>
      </c>
      <c r="P593">
        <v>2040</v>
      </c>
      <c r="Q593">
        <v>1</v>
      </c>
      <c r="R593">
        <v>222603000000</v>
      </c>
    </row>
    <row r="594" spans="15:21">
      <c r="O594">
        <v>2043</v>
      </c>
      <c r="P594">
        <v>2041</v>
      </c>
      <c r="Q594">
        <v>1</v>
      </c>
      <c r="R594">
        <v>230056000000</v>
      </c>
    </row>
    <row r="595" spans="15:21">
      <c r="O595">
        <v>2043</v>
      </c>
      <c r="P595">
        <v>2042</v>
      </c>
      <c r="Q595">
        <v>1</v>
      </c>
      <c r="R595">
        <v>236304000000</v>
      </c>
    </row>
    <row r="596" spans="15:21">
      <c r="O596">
        <v>2043</v>
      </c>
      <c r="P596">
        <v>2043</v>
      </c>
      <c r="Q596">
        <v>1</v>
      </c>
      <c r="R596">
        <v>242400000000</v>
      </c>
      <c r="S596">
        <f>SUM(R566:R596)</f>
        <v>3225528300000</v>
      </c>
      <c r="T596">
        <f>R579</f>
        <v>60004600000</v>
      </c>
      <c r="U596">
        <f>T596/S596</f>
        <v>1.8603030083475008E-2</v>
      </c>
    </row>
    <row r="597" spans="15:21">
      <c r="O597">
        <v>2044</v>
      </c>
      <c r="P597">
        <v>2014</v>
      </c>
      <c r="Q597">
        <v>1</v>
      </c>
      <c r="R597">
        <v>44699200000</v>
      </c>
    </row>
    <row r="598" spans="15:21">
      <c r="O598">
        <v>2044</v>
      </c>
      <c r="P598">
        <v>2015</v>
      </c>
      <c r="Q598">
        <v>1</v>
      </c>
      <c r="R598">
        <v>9919980000</v>
      </c>
    </row>
    <row r="599" spans="15:21">
      <c r="O599">
        <v>2044</v>
      </c>
      <c r="P599">
        <v>2016</v>
      </c>
      <c r="Q599">
        <v>1</v>
      </c>
      <c r="R599">
        <v>11862000000</v>
      </c>
    </row>
    <row r="600" spans="15:21">
      <c r="O600">
        <v>2044</v>
      </c>
      <c r="P600">
        <v>2017</v>
      </c>
      <c r="Q600">
        <v>1</v>
      </c>
      <c r="R600">
        <v>13776600000</v>
      </c>
    </row>
    <row r="601" spans="15:21">
      <c r="O601">
        <v>2044</v>
      </c>
      <c r="P601">
        <v>2018</v>
      </c>
      <c r="Q601">
        <v>1</v>
      </c>
      <c r="R601">
        <v>13751700000</v>
      </c>
    </row>
    <row r="602" spans="15:21">
      <c r="O602">
        <v>2044</v>
      </c>
      <c r="P602">
        <v>2019</v>
      </c>
      <c r="Q602">
        <v>1</v>
      </c>
      <c r="R602">
        <v>16034600000</v>
      </c>
    </row>
    <row r="603" spans="15:21">
      <c r="O603">
        <v>2044</v>
      </c>
      <c r="P603">
        <v>2020</v>
      </c>
      <c r="Q603">
        <v>1</v>
      </c>
      <c r="R603">
        <v>18650300000</v>
      </c>
    </row>
    <row r="604" spans="15:21">
      <c r="O604">
        <v>2044</v>
      </c>
      <c r="P604">
        <v>2021</v>
      </c>
      <c r="Q604">
        <v>1</v>
      </c>
      <c r="R604">
        <v>21904400000</v>
      </c>
    </row>
    <row r="605" spans="15:21">
      <c r="O605">
        <v>2044</v>
      </c>
      <c r="P605">
        <v>2022</v>
      </c>
      <c r="Q605">
        <v>1</v>
      </c>
      <c r="R605">
        <v>25336500000</v>
      </c>
    </row>
    <row r="606" spans="15:21">
      <c r="O606">
        <v>2044</v>
      </c>
      <c r="P606">
        <v>2023</v>
      </c>
      <c r="Q606">
        <v>1</v>
      </c>
      <c r="R606">
        <v>30154000000</v>
      </c>
    </row>
    <row r="607" spans="15:21">
      <c r="O607">
        <v>2044</v>
      </c>
      <c r="P607">
        <v>2024</v>
      </c>
      <c r="Q607">
        <v>1</v>
      </c>
      <c r="R607">
        <v>35881700000</v>
      </c>
    </row>
    <row r="608" spans="15:21">
      <c r="O608">
        <v>2044</v>
      </c>
      <c r="P608">
        <v>2025</v>
      </c>
      <c r="Q608">
        <v>1</v>
      </c>
      <c r="R608">
        <v>42659000000</v>
      </c>
    </row>
    <row r="609" spans="15:18">
      <c r="O609">
        <v>2044</v>
      </c>
      <c r="P609">
        <v>2026</v>
      </c>
      <c r="Q609">
        <v>1</v>
      </c>
      <c r="R609">
        <v>50865900000</v>
      </c>
    </row>
    <row r="610" spans="15:18">
      <c r="O610">
        <v>2044</v>
      </c>
      <c r="P610">
        <v>2027</v>
      </c>
      <c r="Q610">
        <v>1</v>
      </c>
      <c r="R610">
        <v>60131700000</v>
      </c>
    </row>
    <row r="611" spans="15:18">
      <c r="O611">
        <v>2044</v>
      </c>
      <c r="P611">
        <v>2028</v>
      </c>
      <c r="Q611">
        <v>1</v>
      </c>
      <c r="R611">
        <v>71097000000</v>
      </c>
    </row>
    <row r="612" spans="15:18">
      <c r="O612">
        <v>2044</v>
      </c>
      <c r="P612">
        <v>2029</v>
      </c>
      <c r="Q612">
        <v>1</v>
      </c>
      <c r="R612">
        <v>83272200000</v>
      </c>
    </row>
    <row r="613" spans="15:18">
      <c r="O613">
        <v>2044</v>
      </c>
      <c r="P613">
        <v>2030</v>
      </c>
      <c r="Q613">
        <v>1</v>
      </c>
      <c r="R613">
        <v>97341400000</v>
      </c>
    </row>
    <row r="614" spans="15:18">
      <c r="O614">
        <v>2044</v>
      </c>
      <c r="P614">
        <v>2031</v>
      </c>
      <c r="Q614">
        <v>1</v>
      </c>
      <c r="R614">
        <v>112660000000</v>
      </c>
    </row>
    <row r="615" spans="15:18">
      <c r="O615">
        <v>2044</v>
      </c>
      <c r="P615">
        <v>2032</v>
      </c>
      <c r="Q615">
        <v>1</v>
      </c>
      <c r="R615">
        <v>125474000000</v>
      </c>
    </row>
    <row r="616" spans="15:18">
      <c r="O616">
        <v>2044</v>
      </c>
      <c r="P616">
        <v>2033</v>
      </c>
      <c r="Q616">
        <v>1</v>
      </c>
      <c r="R616">
        <v>137634000000</v>
      </c>
    </row>
    <row r="617" spans="15:18">
      <c r="O617">
        <v>2044</v>
      </c>
      <c r="P617">
        <v>2034</v>
      </c>
      <c r="Q617">
        <v>1</v>
      </c>
      <c r="R617">
        <v>150237000000</v>
      </c>
    </row>
    <row r="618" spans="15:18">
      <c r="O618">
        <v>2044</v>
      </c>
      <c r="P618">
        <v>2035</v>
      </c>
      <c r="Q618">
        <v>1</v>
      </c>
      <c r="R618">
        <v>162076000000</v>
      </c>
    </row>
    <row r="619" spans="15:18">
      <c r="O619">
        <v>2044</v>
      </c>
      <c r="P619">
        <v>2036</v>
      </c>
      <c r="Q619">
        <v>1</v>
      </c>
      <c r="R619">
        <v>173480000000</v>
      </c>
    </row>
    <row r="620" spans="15:18">
      <c r="O620">
        <v>2044</v>
      </c>
      <c r="P620">
        <v>2037</v>
      </c>
      <c r="Q620">
        <v>1</v>
      </c>
      <c r="R620">
        <v>185069000000</v>
      </c>
    </row>
    <row r="621" spans="15:18">
      <c r="O621">
        <v>2044</v>
      </c>
      <c r="P621">
        <v>2038</v>
      </c>
      <c r="Q621">
        <v>1</v>
      </c>
      <c r="R621">
        <v>196193000000</v>
      </c>
    </row>
    <row r="622" spans="15:18">
      <c r="O622">
        <v>2044</v>
      </c>
      <c r="P622">
        <v>2039</v>
      </c>
      <c r="Q622">
        <v>1</v>
      </c>
      <c r="R622">
        <v>206226000000</v>
      </c>
    </row>
    <row r="623" spans="15:18">
      <c r="O623">
        <v>2044</v>
      </c>
      <c r="P623">
        <v>2040</v>
      </c>
      <c r="Q623">
        <v>1</v>
      </c>
      <c r="R623">
        <v>215674000000</v>
      </c>
    </row>
    <row r="624" spans="15:18">
      <c r="O624">
        <v>2044</v>
      </c>
      <c r="P624">
        <v>2041</v>
      </c>
      <c r="Q624">
        <v>1</v>
      </c>
      <c r="R624">
        <v>224192000000</v>
      </c>
    </row>
    <row r="625" spans="15:21">
      <c r="O625">
        <v>2044</v>
      </c>
      <c r="P625">
        <v>2042</v>
      </c>
      <c r="Q625">
        <v>1</v>
      </c>
      <c r="R625">
        <v>230819000000</v>
      </c>
    </row>
    <row r="626" spans="15:21">
      <c r="O626">
        <v>2044</v>
      </c>
      <c r="P626">
        <v>2043</v>
      </c>
      <c r="Q626">
        <v>1</v>
      </c>
      <c r="R626">
        <v>237347000000</v>
      </c>
    </row>
    <row r="627" spans="15:21">
      <c r="O627">
        <v>2044</v>
      </c>
      <c r="P627">
        <v>2044</v>
      </c>
      <c r="Q627">
        <v>1</v>
      </c>
      <c r="R627">
        <v>244447000000</v>
      </c>
      <c r="S627">
        <f>SUM(R597:R627)</f>
        <v>3248866180000</v>
      </c>
      <c r="T627">
        <f>R609</f>
        <v>50865900000</v>
      </c>
      <c r="U627">
        <f>T627/S627</f>
        <v>1.5656508203732787E-2</v>
      </c>
    </row>
    <row r="628" spans="15:21">
      <c r="O628">
        <v>2045</v>
      </c>
      <c r="P628">
        <v>2015</v>
      </c>
      <c r="Q628">
        <v>1</v>
      </c>
      <c r="R628">
        <v>45026500000</v>
      </c>
    </row>
    <row r="629" spans="15:21">
      <c r="O629">
        <v>2045</v>
      </c>
      <c r="P629">
        <v>2016</v>
      </c>
      <c r="Q629">
        <v>1</v>
      </c>
      <c r="R629">
        <v>10400300000</v>
      </c>
    </row>
    <row r="630" spans="15:21">
      <c r="O630">
        <v>2045</v>
      </c>
      <c r="P630">
        <v>2017</v>
      </c>
      <c r="Q630">
        <v>1</v>
      </c>
      <c r="R630">
        <v>12095900000</v>
      </c>
    </row>
    <row r="631" spans="15:21">
      <c r="O631">
        <v>2045</v>
      </c>
      <c r="P631">
        <v>2018</v>
      </c>
      <c r="Q631">
        <v>1</v>
      </c>
      <c r="R631">
        <v>11977400000</v>
      </c>
    </row>
    <row r="632" spans="15:21">
      <c r="O632">
        <v>2045</v>
      </c>
      <c r="P632">
        <v>2019</v>
      </c>
      <c r="Q632">
        <v>1</v>
      </c>
      <c r="R632">
        <v>13925800000</v>
      </c>
    </row>
    <row r="633" spans="15:21">
      <c r="O633">
        <v>2045</v>
      </c>
      <c r="P633">
        <v>2020</v>
      </c>
      <c r="Q633">
        <v>1</v>
      </c>
      <c r="R633">
        <v>16064800000</v>
      </c>
    </row>
    <row r="634" spans="15:21">
      <c r="O634">
        <v>2045</v>
      </c>
      <c r="P634">
        <v>2021</v>
      </c>
      <c r="Q634">
        <v>1</v>
      </c>
      <c r="R634">
        <v>18735700000</v>
      </c>
    </row>
    <row r="635" spans="15:21">
      <c r="O635">
        <v>2045</v>
      </c>
      <c r="P635">
        <v>2022</v>
      </c>
      <c r="Q635">
        <v>1</v>
      </c>
      <c r="R635">
        <v>21565900000</v>
      </c>
    </row>
    <row r="636" spans="15:21">
      <c r="O636">
        <v>2045</v>
      </c>
      <c r="P636">
        <v>2023</v>
      </c>
      <c r="Q636">
        <v>1</v>
      </c>
      <c r="R636">
        <v>25553300000</v>
      </c>
    </row>
    <row r="637" spans="15:21">
      <c r="O637">
        <v>2045</v>
      </c>
      <c r="P637">
        <v>2024</v>
      </c>
      <c r="Q637">
        <v>1</v>
      </c>
      <c r="R637">
        <v>30332700000</v>
      </c>
    </row>
    <row r="638" spans="15:21">
      <c r="O638">
        <v>2045</v>
      </c>
      <c r="P638">
        <v>2025</v>
      </c>
      <c r="Q638">
        <v>1</v>
      </c>
      <c r="R638">
        <v>36018300000</v>
      </c>
    </row>
    <row r="639" spans="15:21">
      <c r="O639">
        <v>2045</v>
      </c>
      <c r="P639">
        <v>2026</v>
      </c>
      <c r="Q639">
        <v>1</v>
      </c>
      <c r="R639">
        <v>43004900000</v>
      </c>
    </row>
    <row r="640" spans="15:21">
      <c r="O640">
        <v>2045</v>
      </c>
      <c r="P640">
        <v>2027</v>
      </c>
      <c r="Q640">
        <v>1</v>
      </c>
      <c r="R640">
        <v>50955900000</v>
      </c>
    </row>
    <row r="641" spans="15:18">
      <c r="O641">
        <v>2045</v>
      </c>
      <c r="P641">
        <v>2028</v>
      </c>
      <c r="Q641">
        <v>1</v>
      </c>
      <c r="R641">
        <v>60528900000</v>
      </c>
    </row>
    <row r="642" spans="15:18">
      <c r="O642">
        <v>2045</v>
      </c>
      <c r="P642">
        <v>2029</v>
      </c>
      <c r="Q642">
        <v>1</v>
      </c>
      <c r="R642">
        <v>71393900000</v>
      </c>
    </row>
    <row r="643" spans="15:18">
      <c r="O643">
        <v>2045</v>
      </c>
      <c r="P643">
        <v>2030</v>
      </c>
      <c r="Q643">
        <v>1</v>
      </c>
      <c r="R643">
        <v>84256700000</v>
      </c>
    </row>
    <row r="644" spans="15:18">
      <c r="O644">
        <v>2045</v>
      </c>
      <c r="P644">
        <v>2031</v>
      </c>
      <c r="Q644">
        <v>1</v>
      </c>
      <c r="R644">
        <v>99151400000</v>
      </c>
    </row>
    <row r="645" spans="15:18">
      <c r="O645">
        <v>2045</v>
      </c>
      <c r="P645">
        <v>2032</v>
      </c>
      <c r="Q645">
        <v>1</v>
      </c>
      <c r="R645">
        <v>113376000000</v>
      </c>
    </row>
    <row r="646" spans="15:18">
      <c r="O646">
        <v>2045</v>
      </c>
      <c r="P646">
        <v>2033</v>
      </c>
      <c r="Q646">
        <v>1</v>
      </c>
      <c r="R646">
        <v>126885000000</v>
      </c>
    </row>
    <row r="647" spans="15:18">
      <c r="O647">
        <v>2045</v>
      </c>
      <c r="P647">
        <v>2034</v>
      </c>
      <c r="Q647">
        <v>1</v>
      </c>
      <c r="R647">
        <v>139373000000</v>
      </c>
    </row>
    <row r="648" spans="15:18">
      <c r="O648">
        <v>2045</v>
      </c>
      <c r="P648">
        <v>2035</v>
      </c>
      <c r="Q648">
        <v>1</v>
      </c>
      <c r="R648">
        <v>151314000000</v>
      </c>
    </row>
    <row r="649" spans="15:18">
      <c r="O649">
        <v>2045</v>
      </c>
      <c r="P649">
        <v>2036</v>
      </c>
      <c r="Q649">
        <v>1</v>
      </c>
      <c r="R649">
        <v>163042000000</v>
      </c>
    </row>
    <row r="650" spans="15:18">
      <c r="O650">
        <v>2045</v>
      </c>
      <c r="P650">
        <v>2037</v>
      </c>
      <c r="Q650">
        <v>1</v>
      </c>
      <c r="R650">
        <v>175086000000</v>
      </c>
    </row>
    <row r="651" spans="15:18">
      <c r="O651">
        <v>2045</v>
      </c>
      <c r="P651">
        <v>2038</v>
      </c>
      <c r="Q651">
        <v>1</v>
      </c>
      <c r="R651">
        <v>186820000000</v>
      </c>
    </row>
    <row r="652" spans="15:18">
      <c r="O652">
        <v>2045</v>
      </c>
      <c r="P652">
        <v>2039</v>
      </c>
      <c r="Q652">
        <v>1</v>
      </c>
      <c r="R652">
        <v>197599000000</v>
      </c>
    </row>
    <row r="653" spans="15:18">
      <c r="O653">
        <v>2045</v>
      </c>
      <c r="P653">
        <v>2040</v>
      </c>
      <c r="Q653">
        <v>1</v>
      </c>
      <c r="R653">
        <v>207861000000</v>
      </c>
    </row>
    <row r="654" spans="15:18">
      <c r="O654">
        <v>2045</v>
      </c>
      <c r="P654">
        <v>2041</v>
      </c>
      <c r="Q654">
        <v>1</v>
      </c>
      <c r="R654">
        <v>217256000000</v>
      </c>
    </row>
    <row r="655" spans="15:18">
      <c r="O655">
        <v>2045</v>
      </c>
      <c r="P655">
        <v>2042</v>
      </c>
      <c r="Q655">
        <v>1</v>
      </c>
      <c r="R655">
        <v>224979000000</v>
      </c>
    </row>
    <row r="656" spans="15:18">
      <c r="O656">
        <v>2045</v>
      </c>
      <c r="P656">
        <v>2043</v>
      </c>
      <c r="Q656">
        <v>1</v>
      </c>
      <c r="R656">
        <v>231880000000</v>
      </c>
    </row>
    <row r="657" spans="15:21">
      <c r="O657">
        <v>2045</v>
      </c>
      <c r="P657">
        <v>2044</v>
      </c>
      <c r="Q657">
        <v>1</v>
      </c>
      <c r="R657">
        <v>239395000000</v>
      </c>
    </row>
    <row r="658" spans="15:21">
      <c r="O658">
        <v>2045</v>
      </c>
      <c r="P658">
        <v>2045</v>
      </c>
      <c r="Q658">
        <v>1</v>
      </c>
      <c r="R658">
        <v>245927000000</v>
      </c>
      <c r="S658">
        <f>SUM(R628:R658)</f>
        <v>3271781300000</v>
      </c>
      <c r="T658">
        <f>R639</f>
        <v>43004900000</v>
      </c>
      <c r="U658">
        <f>T658/S658</f>
        <v>1.3144185401389757E-2</v>
      </c>
    </row>
    <row r="659" spans="15:21">
      <c r="O659">
        <v>2046</v>
      </c>
      <c r="P659">
        <v>2016</v>
      </c>
      <c r="Q659">
        <v>1</v>
      </c>
      <c r="R659">
        <v>45354500000</v>
      </c>
    </row>
    <row r="660" spans="15:21">
      <c r="O660">
        <v>2046</v>
      </c>
      <c r="P660">
        <v>2017</v>
      </c>
      <c r="Q660">
        <v>1</v>
      </c>
      <c r="R660">
        <v>10636400000</v>
      </c>
    </row>
    <row r="661" spans="15:21">
      <c r="O661">
        <v>2046</v>
      </c>
      <c r="P661">
        <v>2018</v>
      </c>
      <c r="Q661">
        <v>1</v>
      </c>
      <c r="R661">
        <v>10464900000</v>
      </c>
    </row>
    <row r="662" spans="15:21">
      <c r="O662">
        <v>2046</v>
      </c>
      <c r="P662">
        <v>2019</v>
      </c>
      <c r="Q662">
        <v>1</v>
      </c>
      <c r="R662">
        <v>12142300000</v>
      </c>
    </row>
    <row r="663" spans="15:21">
      <c r="O663">
        <v>2046</v>
      </c>
      <c r="P663">
        <v>2020</v>
      </c>
      <c r="Q663">
        <v>1</v>
      </c>
      <c r="R663">
        <v>13960900000</v>
      </c>
    </row>
    <row r="664" spans="15:21">
      <c r="O664">
        <v>2046</v>
      </c>
      <c r="P664">
        <v>2021</v>
      </c>
      <c r="Q664">
        <v>1</v>
      </c>
      <c r="R664">
        <v>16151100000</v>
      </c>
    </row>
    <row r="665" spans="15:21">
      <c r="O665">
        <v>2046</v>
      </c>
      <c r="P665">
        <v>2022</v>
      </c>
      <c r="Q665">
        <v>1</v>
      </c>
      <c r="R665">
        <v>18455700000</v>
      </c>
    </row>
    <row r="666" spans="15:21">
      <c r="O666">
        <v>2046</v>
      </c>
      <c r="P666">
        <v>2023</v>
      </c>
      <c r="Q666">
        <v>1</v>
      </c>
      <c r="R666">
        <v>21755000000</v>
      </c>
    </row>
    <row r="667" spans="15:21">
      <c r="O667">
        <v>2046</v>
      </c>
      <c r="P667">
        <v>2024</v>
      </c>
      <c r="Q667">
        <v>1</v>
      </c>
      <c r="R667">
        <v>25707500000</v>
      </c>
    </row>
    <row r="668" spans="15:21">
      <c r="O668">
        <v>2046</v>
      </c>
      <c r="P668">
        <v>2025</v>
      </c>
      <c r="Q668">
        <v>1</v>
      </c>
      <c r="R668">
        <v>30451100000</v>
      </c>
    </row>
    <row r="669" spans="15:21">
      <c r="O669">
        <v>2046</v>
      </c>
      <c r="P669">
        <v>2026</v>
      </c>
      <c r="Q669">
        <v>1</v>
      </c>
      <c r="R669">
        <v>36322300000</v>
      </c>
    </row>
    <row r="670" spans="15:21">
      <c r="O670">
        <v>2046</v>
      </c>
      <c r="P670">
        <v>2027</v>
      </c>
      <c r="Q670">
        <v>1</v>
      </c>
      <c r="R670">
        <v>43072400000</v>
      </c>
    </row>
    <row r="671" spans="15:21">
      <c r="O671">
        <v>2046</v>
      </c>
      <c r="P671">
        <v>2028</v>
      </c>
      <c r="Q671">
        <v>1</v>
      </c>
      <c r="R671">
        <v>51288000000</v>
      </c>
    </row>
    <row r="672" spans="15:21">
      <c r="O672">
        <v>2046</v>
      </c>
      <c r="P672">
        <v>2029</v>
      </c>
      <c r="Q672">
        <v>1</v>
      </c>
      <c r="R672">
        <v>60771900000</v>
      </c>
    </row>
    <row r="673" spans="15:18">
      <c r="O673">
        <v>2046</v>
      </c>
      <c r="P673">
        <v>2030</v>
      </c>
      <c r="Q673">
        <v>1</v>
      </c>
      <c r="R673">
        <v>72235600000</v>
      </c>
    </row>
    <row r="674" spans="15:18">
      <c r="O674">
        <v>2046</v>
      </c>
      <c r="P674">
        <v>2031</v>
      </c>
      <c r="Q674">
        <v>1</v>
      </c>
      <c r="R674">
        <v>85824300000</v>
      </c>
    </row>
    <row r="675" spans="15:18">
      <c r="O675">
        <v>2046</v>
      </c>
      <c r="P675">
        <v>2032</v>
      </c>
      <c r="Q675">
        <v>1</v>
      </c>
      <c r="R675">
        <v>99782900000</v>
      </c>
    </row>
    <row r="676" spans="15:18">
      <c r="O676">
        <v>2046</v>
      </c>
      <c r="P676">
        <v>2033</v>
      </c>
      <c r="Q676">
        <v>1</v>
      </c>
      <c r="R676">
        <v>114680000000</v>
      </c>
    </row>
    <row r="677" spans="15:18">
      <c r="O677">
        <v>2046</v>
      </c>
      <c r="P677">
        <v>2034</v>
      </c>
      <c r="Q677">
        <v>1</v>
      </c>
      <c r="R677">
        <v>128535000000</v>
      </c>
    </row>
    <row r="678" spans="15:18">
      <c r="O678">
        <v>2046</v>
      </c>
      <c r="P678">
        <v>2035</v>
      </c>
      <c r="Q678">
        <v>1</v>
      </c>
      <c r="R678">
        <v>140421000000</v>
      </c>
    </row>
    <row r="679" spans="15:18">
      <c r="O679">
        <v>2046</v>
      </c>
      <c r="P679">
        <v>2036</v>
      </c>
      <c r="Q679">
        <v>1</v>
      </c>
      <c r="R679">
        <v>152266000000</v>
      </c>
    </row>
    <row r="680" spans="15:18">
      <c r="O680">
        <v>2046</v>
      </c>
      <c r="P680">
        <v>2037</v>
      </c>
      <c r="Q680">
        <v>1</v>
      </c>
      <c r="R680">
        <v>164601000000</v>
      </c>
    </row>
    <row r="681" spans="15:18">
      <c r="O681">
        <v>2046</v>
      </c>
      <c r="P681">
        <v>2038</v>
      </c>
      <c r="Q681">
        <v>1</v>
      </c>
      <c r="R681">
        <v>176796000000</v>
      </c>
    </row>
    <row r="682" spans="15:18">
      <c r="O682">
        <v>2046</v>
      </c>
      <c r="P682">
        <v>2039</v>
      </c>
      <c r="Q682">
        <v>1</v>
      </c>
      <c r="R682">
        <v>188214000000</v>
      </c>
    </row>
    <row r="683" spans="15:18">
      <c r="O683">
        <v>2046</v>
      </c>
      <c r="P683">
        <v>2040</v>
      </c>
      <c r="Q683">
        <v>1</v>
      </c>
      <c r="R683">
        <v>199222000000</v>
      </c>
    </row>
    <row r="684" spans="15:18">
      <c r="O684">
        <v>2046</v>
      </c>
      <c r="P684">
        <v>2041</v>
      </c>
      <c r="Q684">
        <v>1</v>
      </c>
      <c r="R684">
        <v>209444000000</v>
      </c>
    </row>
    <row r="685" spans="15:18">
      <c r="O685">
        <v>2046</v>
      </c>
      <c r="P685">
        <v>2042</v>
      </c>
      <c r="Q685">
        <v>1</v>
      </c>
      <c r="R685">
        <v>218078000000</v>
      </c>
    </row>
    <row r="686" spans="15:18">
      <c r="O686">
        <v>2046</v>
      </c>
      <c r="P686">
        <v>2043</v>
      </c>
      <c r="Q686">
        <v>1</v>
      </c>
      <c r="R686">
        <v>226074000000</v>
      </c>
    </row>
    <row r="687" spans="15:18">
      <c r="O687">
        <v>2046</v>
      </c>
      <c r="P687">
        <v>2044</v>
      </c>
      <c r="Q687">
        <v>1</v>
      </c>
      <c r="R687">
        <v>233944000000</v>
      </c>
    </row>
    <row r="688" spans="15:18">
      <c r="O688">
        <v>2046</v>
      </c>
      <c r="P688">
        <v>2045</v>
      </c>
      <c r="Q688">
        <v>1</v>
      </c>
      <c r="R688">
        <v>240908000000</v>
      </c>
    </row>
    <row r="689" spans="15:21">
      <c r="O689">
        <v>2046</v>
      </c>
      <c r="P689">
        <v>2046</v>
      </c>
      <c r="Q689">
        <v>1</v>
      </c>
      <c r="R689">
        <v>247311000000</v>
      </c>
      <c r="S689">
        <f>SUM(R659:R689)</f>
        <v>3294870800000</v>
      </c>
      <c r="T689">
        <f>R669</f>
        <v>36322300000</v>
      </c>
      <c r="U689">
        <f>T689/S689</f>
        <v>1.1023892044568181E-2</v>
      </c>
    </row>
    <row r="690" spans="15:21">
      <c r="O690">
        <v>2047</v>
      </c>
      <c r="P690">
        <v>2017</v>
      </c>
      <c r="Q690">
        <v>1</v>
      </c>
      <c r="R690">
        <v>45674200000</v>
      </c>
    </row>
    <row r="691" spans="15:21">
      <c r="O691">
        <v>2047</v>
      </c>
      <c r="P691">
        <v>2018</v>
      </c>
      <c r="Q691">
        <v>1</v>
      </c>
      <c r="R691">
        <v>9168270000</v>
      </c>
    </row>
    <row r="692" spans="15:21">
      <c r="O692">
        <v>2047</v>
      </c>
      <c r="P692">
        <v>2019</v>
      </c>
      <c r="Q692">
        <v>1</v>
      </c>
      <c r="R692">
        <v>10626000000</v>
      </c>
    </row>
    <row r="693" spans="15:21">
      <c r="O693">
        <v>2047</v>
      </c>
      <c r="P693">
        <v>2020</v>
      </c>
      <c r="Q693">
        <v>1</v>
      </c>
      <c r="R693">
        <v>12187100000</v>
      </c>
    </row>
    <row r="694" spans="15:21">
      <c r="O694">
        <v>2047</v>
      </c>
      <c r="P694">
        <v>2021</v>
      </c>
      <c r="Q694">
        <v>1</v>
      </c>
      <c r="R694">
        <v>14054500000</v>
      </c>
    </row>
    <row r="695" spans="15:21">
      <c r="O695">
        <v>2047</v>
      </c>
      <c r="P695">
        <v>2022</v>
      </c>
      <c r="Q695">
        <v>1</v>
      </c>
      <c r="R695">
        <v>15926000000</v>
      </c>
    </row>
    <row r="696" spans="15:21">
      <c r="O696">
        <v>2047</v>
      </c>
      <c r="P696">
        <v>2023</v>
      </c>
      <c r="Q696">
        <v>1</v>
      </c>
      <c r="R696">
        <v>18630100000</v>
      </c>
    </row>
    <row r="697" spans="15:21">
      <c r="O697">
        <v>2047</v>
      </c>
      <c r="P697">
        <v>2024</v>
      </c>
      <c r="Q697">
        <v>1</v>
      </c>
      <c r="R697">
        <v>21897700000</v>
      </c>
    </row>
    <row r="698" spans="15:21">
      <c r="O698">
        <v>2047</v>
      </c>
      <c r="P698">
        <v>2025</v>
      </c>
      <c r="Q698">
        <v>1</v>
      </c>
      <c r="R698">
        <v>25820600000</v>
      </c>
    </row>
    <row r="699" spans="15:21">
      <c r="O699">
        <v>2047</v>
      </c>
      <c r="P699">
        <v>2026</v>
      </c>
      <c r="Q699">
        <v>1</v>
      </c>
      <c r="R699">
        <v>30729400000</v>
      </c>
    </row>
    <row r="700" spans="15:21">
      <c r="O700">
        <v>2047</v>
      </c>
      <c r="P700">
        <v>2027</v>
      </c>
      <c r="Q700">
        <v>1</v>
      </c>
      <c r="R700">
        <v>36382700000</v>
      </c>
    </row>
    <row r="701" spans="15:21">
      <c r="O701">
        <v>2047</v>
      </c>
      <c r="P701">
        <v>2028</v>
      </c>
      <c r="Q701">
        <v>1</v>
      </c>
      <c r="R701">
        <v>43360300000</v>
      </c>
    </row>
    <row r="702" spans="15:21">
      <c r="O702">
        <v>2047</v>
      </c>
      <c r="P702">
        <v>2029</v>
      </c>
      <c r="Q702">
        <v>1</v>
      </c>
      <c r="R702">
        <v>51495500000</v>
      </c>
    </row>
    <row r="703" spans="15:21">
      <c r="O703">
        <v>2047</v>
      </c>
      <c r="P703">
        <v>2030</v>
      </c>
      <c r="Q703">
        <v>1</v>
      </c>
      <c r="R703">
        <v>61495500000</v>
      </c>
    </row>
    <row r="704" spans="15:21">
      <c r="O704">
        <v>2047</v>
      </c>
      <c r="P704">
        <v>2031</v>
      </c>
      <c r="Q704">
        <v>1</v>
      </c>
      <c r="R704">
        <v>73586600000</v>
      </c>
    </row>
    <row r="705" spans="15:21">
      <c r="O705">
        <v>2047</v>
      </c>
      <c r="P705">
        <v>2032</v>
      </c>
      <c r="Q705">
        <v>1</v>
      </c>
      <c r="R705">
        <v>86380400000</v>
      </c>
    </row>
    <row r="706" spans="15:21">
      <c r="O706">
        <v>2047</v>
      </c>
      <c r="P706">
        <v>2033</v>
      </c>
      <c r="Q706">
        <v>1</v>
      </c>
      <c r="R706">
        <v>100942000000</v>
      </c>
    </row>
    <row r="707" spans="15:21">
      <c r="O707">
        <v>2047</v>
      </c>
      <c r="P707">
        <v>2034</v>
      </c>
      <c r="Q707">
        <v>1</v>
      </c>
      <c r="R707">
        <v>116196000000</v>
      </c>
    </row>
    <row r="708" spans="15:21">
      <c r="O708">
        <v>2047</v>
      </c>
      <c r="P708">
        <v>2035</v>
      </c>
      <c r="Q708">
        <v>1</v>
      </c>
      <c r="R708">
        <v>129538000000</v>
      </c>
    </row>
    <row r="709" spans="15:21">
      <c r="O709">
        <v>2047</v>
      </c>
      <c r="P709">
        <v>2036</v>
      </c>
      <c r="Q709">
        <v>1</v>
      </c>
      <c r="R709">
        <v>141340000000</v>
      </c>
    </row>
    <row r="710" spans="15:21">
      <c r="O710">
        <v>2047</v>
      </c>
      <c r="P710">
        <v>2037</v>
      </c>
      <c r="Q710">
        <v>1</v>
      </c>
      <c r="R710">
        <v>153754000000</v>
      </c>
    </row>
    <row r="711" spans="15:21">
      <c r="O711">
        <v>2047</v>
      </c>
      <c r="P711">
        <v>2038</v>
      </c>
      <c r="Q711">
        <v>1</v>
      </c>
      <c r="R711">
        <v>166240000000</v>
      </c>
    </row>
    <row r="712" spans="15:21">
      <c r="O712">
        <v>2047</v>
      </c>
      <c r="P712">
        <v>2039</v>
      </c>
      <c r="Q712">
        <v>1</v>
      </c>
      <c r="R712">
        <v>178141000000</v>
      </c>
    </row>
    <row r="713" spans="15:21">
      <c r="O713">
        <v>2047</v>
      </c>
      <c r="P713">
        <v>2040</v>
      </c>
      <c r="Q713">
        <v>1</v>
      </c>
      <c r="R713">
        <v>189783000000</v>
      </c>
    </row>
    <row r="714" spans="15:21">
      <c r="O714">
        <v>2047</v>
      </c>
      <c r="P714">
        <v>2041</v>
      </c>
      <c r="Q714">
        <v>1</v>
      </c>
      <c r="R714">
        <v>200758000000</v>
      </c>
    </row>
    <row r="715" spans="15:21">
      <c r="O715">
        <v>2047</v>
      </c>
      <c r="P715">
        <v>2042</v>
      </c>
      <c r="Q715">
        <v>1</v>
      </c>
      <c r="R715">
        <v>210251000000</v>
      </c>
    </row>
    <row r="716" spans="15:21">
      <c r="O716">
        <v>2047</v>
      </c>
      <c r="P716">
        <v>2043</v>
      </c>
      <c r="Q716">
        <v>1</v>
      </c>
      <c r="R716">
        <v>219149000000</v>
      </c>
    </row>
    <row r="717" spans="15:21">
      <c r="O717">
        <v>2047</v>
      </c>
      <c r="P717">
        <v>2044</v>
      </c>
      <c r="Q717">
        <v>1</v>
      </c>
      <c r="R717">
        <v>228090000000</v>
      </c>
    </row>
    <row r="718" spans="15:21">
      <c r="O718">
        <v>2047</v>
      </c>
      <c r="P718">
        <v>2045</v>
      </c>
      <c r="Q718">
        <v>1</v>
      </c>
      <c r="R718">
        <v>235426000000</v>
      </c>
    </row>
    <row r="719" spans="15:21">
      <c r="O719">
        <v>2047</v>
      </c>
      <c r="P719">
        <v>2046</v>
      </c>
      <c r="Q719">
        <v>1</v>
      </c>
      <c r="R719">
        <v>242268000000</v>
      </c>
    </row>
    <row r="720" spans="15:21">
      <c r="O720">
        <v>2047</v>
      </c>
      <c r="P720">
        <v>2047</v>
      </c>
      <c r="Q720">
        <v>1</v>
      </c>
      <c r="R720">
        <v>247740000000</v>
      </c>
      <c r="S720">
        <f>SUM(R690:R720)</f>
        <v>3317030870000</v>
      </c>
      <c r="T720">
        <f>R699</f>
        <v>30729400000</v>
      </c>
      <c r="U720">
        <f>T720/S720</f>
        <v>9.2641284342343186E-3</v>
      </c>
    </row>
    <row r="721" spans="15:18">
      <c r="O721">
        <v>2048</v>
      </c>
      <c r="P721">
        <v>2018</v>
      </c>
      <c r="Q721">
        <v>1</v>
      </c>
      <c r="R721">
        <v>45989000000</v>
      </c>
    </row>
    <row r="722" spans="15:18">
      <c r="O722">
        <v>2048</v>
      </c>
      <c r="P722">
        <v>2019</v>
      </c>
      <c r="Q722">
        <v>1</v>
      </c>
      <c r="R722">
        <v>9290670000</v>
      </c>
    </row>
    <row r="723" spans="15:18">
      <c r="O723">
        <v>2048</v>
      </c>
      <c r="P723">
        <v>2020</v>
      </c>
      <c r="Q723">
        <v>1</v>
      </c>
      <c r="R723">
        <v>10641000000</v>
      </c>
    </row>
    <row r="724" spans="15:18">
      <c r="O724">
        <v>2048</v>
      </c>
      <c r="P724">
        <v>2021</v>
      </c>
      <c r="Q724">
        <v>1</v>
      </c>
      <c r="R724">
        <v>12244000000</v>
      </c>
    </row>
    <row r="725" spans="15:18">
      <c r="O725">
        <v>2048</v>
      </c>
      <c r="P725">
        <v>2022</v>
      </c>
      <c r="Q725">
        <v>1</v>
      </c>
      <c r="R725">
        <v>13828800000</v>
      </c>
    </row>
    <row r="726" spans="15:18">
      <c r="O726">
        <v>2048</v>
      </c>
      <c r="P726">
        <v>2023</v>
      </c>
      <c r="Q726">
        <v>1</v>
      </c>
      <c r="R726">
        <v>16039300000</v>
      </c>
    </row>
    <row r="727" spans="15:18">
      <c r="O727">
        <v>2048</v>
      </c>
      <c r="P727">
        <v>2024</v>
      </c>
      <c r="Q727">
        <v>1</v>
      </c>
      <c r="R727">
        <v>18709700000</v>
      </c>
    </row>
    <row r="728" spans="15:18">
      <c r="O728">
        <v>2048</v>
      </c>
      <c r="P728">
        <v>2025</v>
      </c>
      <c r="Q728">
        <v>1</v>
      </c>
      <c r="R728">
        <v>21947400000</v>
      </c>
    </row>
    <row r="729" spans="15:18">
      <c r="O729">
        <v>2048</v>
      </c>
      <c r="P729">
        <v>2026</v>
      </c>
      <c r="Q729">
        <v>1</v>
      </c>
      <c r="R729">
        <v>26011300000</v>
      </c>
    </row>
    <row r="730" spans="15:18">
      <c r="O730">
        <v>2048</v>
      </c>
      <c r="P730">
        <v>2027</v>
      </c>
      <c r="Q730">
        <v>1</v>
      </c>
      <c r="R730">
        <v>30714500000</v>
      </c>
    </row>
    <row r="731" spans="15:18">
      <c r="O731">
        <v>2048</v>
      </c>
      <c r="P731">
        <v>2028</v>
      </c>
      <c r="Q731">
        <v>1</v>
      </c>
      <c r="R731">
        <v>36557400000</v>
      </c>
    </row>
    <row r="732" spans="15:18">
      <c r="O732">
        <v>2048</v>
      </c>
      <c r="P732">
        <v>2029</v>
      </c>
      <c r="Q732">
        <v>1</v>
      </c>
      <c r="R732">
        <v>43457300000</v>
      </c>
    </row>
    <row r="733" spans="15:18">
      <c r="O733">
        <v>2048</v>
      </c>
      <c r="P733">
        <v>2030</v>
      </c>
      <c r="Q733">
        <v>1</v>
      </c>
      <c r="R733">
        <v>52029700000</v>
      </c>
    </row>
    <row r="734" spans="15:18">
      <c r="O734">
        <v>2048</v>
      </c>
      <c r="P734">
        <v>2031</v>
      </c>
      <c r="Q734">
        <v>1</v>
      </c>
      <c r="R734">
        <v>62561300000</v>
      </c>
    </row>
    <row r="735" spans="15:18">
      <c r="O735">
        <v>2048</v>
      </c>
      <c r="P735">
        <v>2032</v>
      </c>
      <c r="Q735">
        <v>1</v>
      </c>
      <c r="R735">
        <v>73976700000</v>
      </c>
    </row>
    <row r="736" spans="15:18">
      <c r="O736">
        <v>2048</v>
      </c>
      <c r="P736">
        <v>2033</v>
      </c>
      <c r="Q736">
        <v>1</v>
      </c>
      <c r="R736">
        <v>87303200000</v>
      </c>
    </row>
    <row r="737" spans="15:21">
      <c r="O737">
        <v>2048</v>
      </c>
      <c r="P737">
        <v>2034</v>
      </c>
      <c r="Q737">
        <v>1</v>
      </c>
      <c r="R737">
        <v>102201000000</v>
      </c>
    </row>
    <row r="738" spans="15:21">
      <c r="O738">
        <v>2048</v>
      </c>
      <c r="P738">
        <v>2035</v>
      </c>
      <c r="Q738">
        <v>1</v>
      </c>
      <c r="R738">
        <v>117044000000</v>
      </c>
    </row>
    <row r="739" spans="15:21">
      <c r="O739">
        <v>2048</v>
      </c>
      <c r="P739">
        <v>2036</v>
      </c>
      <c r="Q739">
        <v>1</v>
      </c>
      <c r="R739">
        <v>130337000000</v>
      </c>
    </row>
    <row r="740" spans="15:21">
      <c r="O740">
        <v>2048</v>
      </c>
      <c r="P740">
        <v>2037</v>
      </c>
      <c r="Q740">
        <v>1</v>
      </c>
      <c r="R740">
        <v>142669000000</v>
      </c>
    </row>
    <row r="741" spans="15:21">
      <c r="O741">
        <v>2048</v>
      </c>
      <c r="P741">
        <v>2038</v>
      </c>
      <c r="Q741">
        <v>1</v>
      </c>
      <c r="R741">
        <v>155234000000</v>
      </c>
    </row>
    <row r="742" spans="15:21">
      <c r="O742">
        <v>2048</v>
      </c>
      <c r="P742">
        <v>2039</v>
      </c>
      <c r="Q742">
        <v>1</v>
      </c>
      <c r="R742">
        <v>167453000000</v>
      </c>
    </row>
    <row r="743" spans="15:21">
      <c r="O743">
        <v>2048</v>
      </c>
      <c r="P743">
        <v>2040</v>
      </c>
      <c r="Q743">
        <v>1</v>
      </c>
      <c r="R743">
        <v>179579000000</v>
      </c>
    </row>
    <row r="744" spans="15:21">
      <c r="O744">
        <v>2048</v>
      </c>
      <c r="P744">
        <v>2041</v>
      </c>
      <c r="Q744">
        <v>1</v>
      </c>
      <c r="R744">
        <v>191202000000</v>
      </c>
    </row>
    <row r="745" spans="15:21">
      <c r="O745">
        <v>2048</v>
      </c>
      <c r="P745">
        <v>2042</v>
      </c>
      <c r="Q745">
        <v>1</v>
      </c>
      <c r="R745">
        <v>201493000000</v>
      </c>
    </row>
    <row r="746" spans="15:21">
      <c r="O746">
        <v>2048</v>
      </c>
      <c r="P746">
        <v>2043</v>
      </c>
      <c r="Q746">
        <v>1</v>
      </c>
      <c r="R746">
        <v>211250000000</v>
      </c>
    </row>
    <row r="747" spans="15:21">
      <c r="O747">
        <v>2048</v>
      </c>
      <c r="P747">
        <v>2044</v>
      </c>
      <c r="Q747">
        <v>1</v>
      </c>
      <c r="R747">
        <v>221076000000</v>
      </c>
    </row>
    <row r="748" spans="15:21">
      <c r="O748">
        <v>2048</v>
      </c>
      <c r="P748">
        <v>2045</v>
      </c>
      <c r="Q748">
        <v>1</v>
      </c>
      <c r="R748">
        <v>229515000000</v>
      </c>
    </row>
    <row r="749" spans="15:21">
      <c r="O749">
        <v>2048</v>
      </c>
      <c r="P749">
        <v>2046</v>
      </c>
      <c r="Q749">
        <v>1</v>
      </c>
      <c r="R749">
        <v>236735000000</v>
      </c>
    </row>
    <row r="750" spans="15:21">
      <c r="O750">
        <v>2048</v>
      </c>
      <c r="P750">
        <v>2047</v>
      </c>
      <c r="Q750">
        <v>1</v>
      </c>
      <c r="R750">
        <v>242669000000</v>
      </c>
    </row>
    <row r="751" spans="15:21">
      <c r="O751">
        <v>2048</v>
      </c>
      <c r="P751">
        <v>2048</v>
      </c>
      <c r="Q751">
        <v>1</v>
      </c>
      <c r="R751">
        <v>247891000000</v>
      </c>
      <c r="S751">
        <f>SUM(R721:R751)</f>
        <v>3337649270000</v>
      </c>
      <c r="T751">
        <f>R729</f>
        <v>26011300000</v>
      </c>
      <c r="U751">
        <f>T751/S751</f>
        <v>7.793299384030246E-3</v>
      </c>
    </row>
    <row r="752" spans="15:21">
      <c r="O752">
        <v>2049</v>
      </c>
      <c r="P752">
        <v>2019</v>
      </c>
      <c r="Q752">
        <v>1</v>
      </c>
      <c r="R752">
        <v>46296100000</v>
      </c>
    </row>
    <row r="753" spans="15:18">
      <c r="O753">
        <v>2049</v>
      </c>
      <c r="P753">
        <v>2020</v>
      </c>
      <c r="Q753">
        <v>1</v>
      </c>
      <c r="R753">
        <v>9311760000</v>
      </c>
    </row>
    <row r="754" spans="15:18">
      <c r="O754">
        <v>2049</v>
      </c>
      <c r="P754">
        <v>2021</v>
      </c>
      <c r="Q754">
        <v>1</v>
      </c>
      <c r="R754">
        <v>10701200000</v>
      </c>
    </row>
    <row r="755" spans="15:18">
      <c r="O755">
        <v>2049</v>
      </c>
      <c r="P755">
        <v>2022</v>
      </c>
      <c r="Q755">
        <v>1</v>
      </c>
      <c r="R755">
        <v>12056500000</v>
      </c>
    </row>
    <row r="756" spans="15:18">
      <c r="O756">
        <v>2049</v>
      </c>
      <c r="P756">
        <v>2023</v>
      </c>
      <c r="Q756">
        <v>1</v>
      </c>
      <c r="R756">
        <v>13933000000</v>
      </c>
    </row>
    <row r="757" spans="15:18">
      <c r="O757">
        <v>2049</v>
      </c>
      <c r="P757">
        <v>2024</v>
      </c>
      <c r="Q757">
        <v>1</v>
      </c>
      <c r="R757">
        <v>16112700000</v>
      </c>
    </row>
    <row r="758" spans="15:18">
      <c r="O758">
        <v>2049</v>
      </c>
      <c r="P758">
        <v>2025</v>
      </c>
      <c r="Q758">
        <v>1</v>
      </c>
      <c r="R758">
        <v>18757200000</v>
      </c>
    </row>
    <row r="759" spans="15:18">
      <c r="O759">
        <v>2049</v>
      </c>
      <c r="P759">
        <v>2026</v>
      </c>
      <c r="Q759">
        <v>1</v>
      </c>
      <c r="R759">
        <v>22120200000</v>
      </c>
    </row>
    <row r="760" spans="15:18">
      <c r="O760">
        <v>2049</v>
      </c>
      <c r="P760">
        <v>2027</v>
      </c>
      <c r="Q760">
        <v>1</v>
      </c>
      <c r="R760">
        <v>25996000000</v>
      </c>
    </row>
    <row r="761" spans="15:18">
      <c r="O761">
        <v>2049</v>
      </c>
      <c r="P761">
        <v>2028</v>
      </c>
      <c r="Q761">
        <v>1</v>
      </c>
      <c r="R761">
        <v>30861200000</v>
      </c>
    </row>
    <row r="762" spans="15:18">
      <c r="O762">
        <v>2049</v>
      </c>
      <c r="P762">
        <v>2029</v>
      </c>
      <c r="Q762">
        <v>1</v>
      </c>
      <c r="R762">
        <v>36633500000</v>
      </c>
    </row>
    <row r="763" spans="15:18">
      <c r="O763">
        <v>2049</v>
      </c>
      <c r="P763">
        <v>2030</v>
      </c>
      <c r="Q763">
        <v>1</v>
      </c>
      <c r="R763">
        <v>43905400000</v>
      </c>
    </row>
    <row r="764" spans="15:18">
      <c r="O764">
        <v>2049</v>
      </c>
      <c r="P764">
        <v>2031</v>
      </c>
      <c r="Q764">
        <v>1</v>
      </c>
      <c r="R764">
        <v>52927200000</v>
      </c>
    </row>
    <row r="765" spans="15:18">
      <c r="O765">
        <v>2049</v>
      </c>
      <c r="P765">
        <v>2032</v>
      </c>
      <c r="Q765">
        <v>1</v>
      </c>
      <c r="R765">
        <v>62888100000</v>
      </c>
    </row>
    <row r="766" spans="15:18">
      <c r="O766">
        <v>2049</v>
      </c>
      <c r="P766">
        <v>2033</v>
      </c>
      <c r="Q766">
        <v>1</v>
      </c>
      <c r="R766">
        <v>74769100000</v>
      </c>
    </row>
    <row r="767" spans="15:18">
      <c r="O767">
        <v>2049</v>
      </c>
      <c r="P767">
        <v>2034</v>
      </c>
      <c r="Q767">
        <v>1</v>
      </c>
      <c r="R767">
        <v>88394100000</v>
      </c>
    </row>
    <row r="768" spans="15:18">
      <c r="O768">
        <v>2049</v>
      </c>
      <c r="P768">
        <v>2035</v>
      </c>
      <c r="Q768">
        <v>1</v>
      </c>
      <c r="R768">
        <v>102944000000</v>
      </c>
    </row>
    <row r="769" spans="15:21">
      <c r="O769">
        <v>2049</v>
      </c>
      <c r="P769">
        <v>2036</v>
      </c>
      <c r="Q769">
        <v>1</v>
      </c>
      <c r="R769">
        <v>117779000000</v>
      </c>
    </row>
    <row r="770" spans="15:21">
      <c r="O770">
        <v>2049</v>
      </c>
      <c r="P770">
        <v>2037</v>
      </c>
      <c r="Q770">
        <v>1</v>
      </c>
      <c r="R770">
        <v>131585000000</v>
      </c>
    </row>
    <row r="771" spans="15:21">
      <c r="O771">
        <v>2049</v>
      </c>
      <c r="P771">
        <v>2038</v>
      </c>
      <c r="Q771">
        <v>1</v>
      </c>
      <c r="R771">
        <v>144064000000</v>
      </c>
    </row>
    <row r="772" spans="15:21">
      <c r="O772">
        <v>2049</v>
      </c>
      <c r="P772">
        <v>2039</v>
      </c>
      <c r="Q772">
        <v>1</v>
      </c>
      <c r="R772">
        <v>156384000000</v>
      </c>
    </row>
    <row r="773" spans="15:21">
      <c r="O773">
        <v>2049</v>
      </c>
      <c r="P773">
        <v>2040</v>
      </c>
      <c r="Q773">
        <v>1</v>
      </c>
      <c r="R773">
        <v>168820000000</v>
      </c>
    </row>
    <row r="774" spans="15:21">
      <c r="O774">
        <v>2049</v>
      </c>
      <c r="P774">
        <v>2041</v>
      </c>
      <c r="Q774">
        <v>1</v>
      </c>
      <c r="R774">
        <v>180932000000</v>
      </c>
    </row>
    <row r="775" spans="15:21">
      <c r="O775">
        <v>2049</v>
      </c>
      <c r="P775">
        <v>2042</v>
      </c>
      <c r="Q775">
        <v>1</v>
      </c>
      <c r="R775">
        <v>191909000000</v>
      </c>
    </row>
    <row r="776" spans="15:21">
      <c r="O776">
        <v>2049</v>
      </c>
      <c r="P776">
        <v>2043</v>
      </c>
      <c r="Q776">
        <v>1</v>
      </c>
      <c r="R776">
        <v>202452000000</v>
      </c>
    </row>
    <row r="777" spans="15:21">
      <c r="O777">
        <v>2049</v>
      </c>
      <c r="P777">
        <v>2044</v>
      </c>
      <c r="Q777">
        <v>1</v>
      </c>
      <c r="R777">
        <v>213104000000</v>
      </c>
    </row>
    <row r="778" spans="15:21">
      <c r="O778">
        <v>2049</v>
      </c>
      <c r="P778">
        <v>2045</v>
      </c>
      <c r="Q778">
        <v>1</v>
      </c>
      <c r="R778">
        <v>222449000000</v>
      </c>
    </row>
    <row r="779" spans="15:21">
      <c r="O779">
        <v>2049</v>
      </c>
      <c r="P779">
        <v>2046</v>
      </c>
      <c r="Q779">
        <v>1</v>
      </c>
      <c r="R779">
        <v>230778000000</v>
      </c>
    </row>
    <row r="780" spans="15:21">
      <c r="O780">
        <v>2049</v>
      </c>
      <c r="P780">
        <v>2047</v>
      </c>
      <c r="Q780">
        <v>1</v>
      </c>
      <c r="R780">
        <v>237114000000</v>
      </c>
    </row>
    <row r="781" spans="15:21">
      <c r="O781">
        <v>2049</v>
      </c>
      <c r="P781">
        <v>2048</v>
      </c>
      <c r="Q781">
        <v>1</v>
      </c>
      <c r="R781">
        <v>242802000000</v>
      </c>
    </row>
    <row r="782" spans="15:21">
      <c r="O782">
        <v>2049</v>
      </c>
      <c r="P782">
        <v>2049</v>
      </c>
      <c r="Q782">
        <v>1</v>
      </c>
      <c r="R782">
        <v>248974000000</v>
      </c>
      <c r="S782">
        <f>SUM(R752:R782)</f>
        <v>3357753260000</v>
      </c>
      <c r="T782">
        <f>R759</f>
        <v>22120200000</v>
      </c>
      <c r="U782">
        <f>T782/S782</f>
        <v>6.5877979372433101E-3</v>
      </c>
    </row>
    <row r="783" spans="15:21">
      <c r="O783">
        <v>2050</v>
      </c>
      <c r="P783">
        <v>2020</v>
      </c>
      <c r="Q783">
        <v>1</v>
      </c>
      <c r="R783">
        <v>46584500000</v>
      </c>
    </row>
    <row r="784" spans="15:21">
      <c r="O784">
        <v>2050</v>
      </c>
      <c r="P784">
        <v>2021</v>
      </c>
      <c r="Q784">
        <v>1</v>
      </c>
      <c r="R784">
        <v>9362310000</v>
      </c>
    </row>
    <row r="785" spans="15:18">
      <c r="O785">
        <v>2050</v>
      </c>
      <c r="P785">
        <v>2022</v>
      </c>
      <c r="Q785">
        <v>1</v>
      </c>
      <c r="R785">
        <v>10533000000</v>
      </c>
    </row>
    <row r="786" spans="15:18">
      <c r="O786">
        <v>2050</v>
      </c>
      <c r="P786">
        <v>2023</v>
      </c>
      <c r="Q786">
        <v>1</v>
      </c>
      <c r="R786">
        <v>12139500000</v>
      </c>
    </row>
    <row r="787" spans="15:18">
      <c r="O787">
        <v>2050</v>
      </c>
      <c r="P787">
        <v>2024</v>
      </c>
      <c r="Q787">
        <v>1</v>
      </c>
      <c r="R787">
        <v>13986300000</v>
      </c>
    </row>
    <row r="788" spans="15:18">
      <c r="O788">
        <v>2050</v>
      </c>
      <c r="P788">
        <v>2025</v>
      </c>
      <c r="Q788">
        <v>1</v>
      </c>
      <c r="R788">
        <v>16142000000</v>
      </c>
    </row>
    <row r="789" spans="15:18">
      <c r="O789">
        <v>2050</v>
      </c>
      <c r="P789">
        <v>2026</v>
      </c>
      <c r="Q789">
        <v>1</v>
      </c>
      <c r="R789">
        <v>18896600000</v>
      </c>
    </row>
    <row r="790" spans="15:18">
      <c r="O790">
        <v>2050</v>
      </c>
      <c r="P790">
        <v>2027</v>
      </c>
      <c r="Q790">
        <v>1</v>
      </c>
      <c r="R790">
        <v>22085300000</v>
      </c>
    </row>
    <row r="791" spans="15:18">
      <c r="O791">
        <v>2050</v>
      </c>
      <c r="P791">
        <v>2028</v>
      </c>
      <c r="Q791">
        <v>1</v>
      </c>
      <c r="R791">
        <v>26098400000</v>
      </c>
    </row>
    <row r="792" spans="15:18">
      <c r="O792">
        <v>2050</v>
      </c>
      <c r="P792">
        <v>2029</v>
      </c>
      <c r="Q792">
        <v>1</v>
      </c>
      <c r="R792">
        <v>30897300000</v>
      </c>
    </row>
    <row r="793" spans="15:18">
      <c r="O793">
        <v>2050</v>
      </c>
      <c r="P793">
        <v>2030</v>
      </c>
      <c r="Q793">
        <v>1</v>
      </c>
      <c r="R793">
        <v>36983500000</v>
      </c>
    </row>
    <row r="794" spans="15:18">
      <c r="O794">
        <v>2050</v>
      </c>
      <c r="P794">
        <v>2031</v>
      </c>
      <c r="Q794">
        <v>1</v>
      </c>
      <c r="R794">
        <v>44630900000</v>
      </c>
    </row>
    <row r="795" spans="15:18">
      <c r="O795">
        <v>2050</v>
      </c>
      <c r="P795">
        <v>2032</v>
      </c>
      <c r="Q795">
        <v>1</v>
      </c>
      <c r="R795">
        <v>53168900000</v>
      </c>
    </row>
    <row r="796" spans="15:18">
      <c r="O796">
        <v>2050</v>
      </c>
      <c r="P796">
        <v>2033</v>
      </c>
      <c r="Q796">
        <v>1</v>
      </c>
      <c r="R796">
        <v>63531100000</v>
      </c>
    </row>
    <row r="797" spans="15:18">
      <c r="O797">
        <v>2050</v>
      </c>
      <c r="P797">
        <v>2034</v>
      </c>
      <c r="Q797">
        <v>1</v>
      </c>
      <c r="R797">
        <v>75669500000</v>
      </c>
    </row>
    <row r="798" spans="15:18">
      <c r="O798">
        <v>2050</v>
      </c>
      <c r="P798">
        <v>2035</v>
      </c>
      <c r="Q798">
        <v>1</v>
      </c>
      <c r="R798">
        <v>89005100000</v>
      </c>
    </row>
    <row r="799" spans="15:18">
      <c r="O799">
        <v>2050</v>
      </c>
      <c r="P799">
        <v>2036</v>
      </c>
      <c r="Q799">
        <v>1</v>
      </c>
      <c r="R799">
        <v>103560000000</v>
      </c>
    </row>
    <row r="800" spans="15:18">
      <c r="O800">
        <v>2050</v>
      </c>
      <c r="P800">
        <v>2037</v>
      </c>
      <c r="Q800">
        <v>1</v>
      </c>
      <c r="R800">
        <v>118890000000</v>
      </c>
    </row>
    <row r="801" spans="15:21">
      <c r="O801">
        <v>2050</v>
      </c>
      <c r="P801">
        <v>2038</v>
      </c>
      <c r="Q801">
        <v>1</v>
      </c>
      <c r="R801">
        <v>132864000000</v>
      </c>
    </row>
    <row r="802" spans="15:21">
      <c r="O802">
        <v>2050</v>
      </c>
      <c r="P802">
        <v>2039</v>
      </c>
      <c r="Q802">
        <v>1</v>
      </c>
      <c r="R802">
        <v>145123000000</v>
      </c>
    </row>
    <row r="803" spans="15:21">
      <c r="O803">
        <v>2050</v>
      </c>
      <c r="P803">
        <v>2040</v>
      </c>
      <c r="Q803">
        <v>1</v>
      </c>
      <c r="R803">
        <v>157653000000</v>
      </c>
    </row>
    <row r="804" spans="15:21">
      <c r="O804">
        <v>2050</v>
      </c>
      <c r="P804">
        <v>2041</v>
      </c>
      <c r="Q804">
        <v>1</v>
      </c>
      <c r="R804">
        <v>170083000000</v>
      </c>
    </row>
    <row r="805" spans="15:21">
      <c r="O805">
        <v>2050</v>
      </c>
      <c r="P805">
        <v>2042</v>
      </c>
      <c r="Q805">
        <v>1</v>
      </c>
      <c r="R805">
        <v>181594000000</v>
      </c>
    </row>
    <row r="806" spans="15:21">
      <c r="O806">
        <v>2050</v>
      </c>
      <c r="P806">
        <v>2043</v>
      </c>
      <c r="Q806">
        <v>1</v>
      </c>
      <c r="R806">
        <v>192815000000</v>
      </c>
    </row>
    <row r="807" spans="15:21">
      <c r="O807">
        <v>2050</v>
      </c>
      <c r="P807">
        <v>2044</v>
      </c>
      <c r="Q807">
        <v>1</v>
      </c>
      <c r="R807">
        <v>204221000000</v>
      </c>
    </row>
    <row r="808" spans="15:21">
      <c r="O808">
        <v>2050</v>
      </c>
      <c r="P808">
        <v>2045</v>
      </c>
      <c r="Q808">
        <v>1</v>
      </c>
      <c r="R808">
        <v>214422000000</v>
      </c>
    </row>
    <row r="809" spans="15:21">
      <c r="O809">
        <v>2050</v>
      </c>
      <c r="P809">
        <v>2046</v>
      </c>
      <c r="Q809">
        <v>1</v>
      </c>
      <c r="R809">
        <v>223668000000</v>
      </c>
    </row>
    <row r="810" spans="15:21">
      <c r="O810">
        <v>2050</v>
      </c>
      <c r="P810">
        <v>2047</v>
      </c>
      <c r="Q810">
        <v>1</v>
      </c>
      <c r="R810">
        <v>231143000000</v>
      </c>
    </row>
    <row r="811" spans="15:21">
      <c r="O811">
        <v>2050</v>
      </c>
      <c r="P811">
        <v>2048</v>
      </c>
      <c r="Q811">
        <v>1</v>
      </c>
      <c r="R811">
        <v>237240000000</v>
      </c>
    </row>
    <row r="812" spans="15:21">
      <c r="O812">
        <v>2050</v>
      </c>
      <c r="P812">
        <v>2049</v>
      </c>
      <c r="Q812">
        <v>1</v>
      </c>
      <c r="R812">
        <v>243859000000</v>
      </c>
    </row>
    <row r="813" spans="15:21">
      <c r="O813">
        <v>2050</v>
      </c>
      <c r="P813">
        <v>2050</v>
      </c>
      <c r="Q813">
        <v>1</v>
      </c>
      <c r="R813">
        <v>249671000000</v>
      </c>
      <c r="S813">
        <f>SUM(R783:R813)</f>
        <v>3376520210000</v>
      </c>
      <c r="T813">
        <f>R789</f>
        <v>18896600000</v>
      </c>
      <c r="U813">
        <f>T813/S813</f>
        <v>5.5964717593086763E-3</v>
      </c>
    </row>
  </sheetData>
  <sheetProtection algorithmName="SHA-512" hashValue="HjND55+1xeSQFId12BH1yP0nKSX9XY9IFDHaBoaiJm9/52dJq7/uCA2WB7Bwo8FRFpa+ANkIhGDTt1u3DMiKEg==" saltValue="mjUvq86j/jddaXiyBefyyw==" spinCount="100000" sheet="1" objects="1" scenarios="1"/>
  <mergeCells count="6">
    <mergeCell ref="P7:S7"/>
    <mergeCell ref="T7:W7"/>
    <mergeCell ref="X7:AA7"/>
    <mergeCell ref="P8:S8"/>
    <mergeCell ref="T8:W8"/>
    <mergeCell ref="X8:AA8"/>
  </mergeCells>
  <pageMargins left="0.7" right="0.7" top="0.75" bottom="0.75" header="0.3" footer="0.3"/>
  <pageSetup orientation="portrait" r:id="rId1"/>
  <ignoredErrors>
    <ignoredError sqref="S69 S100 S131 S162 S193 S224 S255 S286 S317 S348 S379 S410 S441 S472 S503" formulaRange="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1"/>
  <dimension ref="A1:AU113"/>
  <sheetViews>
    <sheetView zoomScaleNormal="100" workbookViewId="0">
      <selection activeCell="S12" sqref="S12:T42"/>
    </sheetView>
  </sheetViews>
  <sheetFormatPr baseColWidth="10" defaultColWidth="8.83203125" defaultRowHeight="15"/>
  <cols>
    <col min="1" max="2" width="10.83203125" customWidth="1"/>
    <col min="3" max="3" width="10.83203125" style="28" customWidth="1"/>
    <col min="4" max="6" width="10.83203125" customWidth="1"/>
    <col min="7" max="7" width="14.83203125" customWidth="1"/>
    <col min="8" max="16" width="10.83203125" customWidth="1"/>
    <col min="17" max="19" width="8.83203125" customWidth="1"/>
    <col min="20" max="20" width="13.1640625" customWidth="1"/>
    <col min="21" max="21" width="14.6640625" customWidth="1"/>
    <col min="22" max="23" width="9" customWidth="1"/>
    <col min="24" max="25" width="8.83203125" customWidth="1"/>
    <col min="26" max="27" width="9.5" customWidth="1"/>
    <col min="28" max="28" width="9.1640625" customWidth="1"/>
    <col min="29" max="39" width="8.83203125" customWidth="1"/>
    <col min="40" max="40" width="10.5" bestFit="1" customWidth="1"/>
    <col min="41" max="41" width="10.33203125" customWidth="1"/>
    <col min="42" max="42" width="10.5" bestFit="1" customWidth="1"/>
    <col min="43" max="44" width="10.5" customWidth="1"/>
    <col min="45" max="45" width="8.6640625" customWidth="1"/>
    <col min="46" max="46" width="11" customWidth="1"/>
    <col min="47" max="47" width="20.5" customWidth="1"/>
  </cols>
  <sheetData>
    <row r="1" spans="1:46">
      <c r="A1" s="69" t="s">
        <v>154</v>
      </c>
      <c r="F1" s="6"/>
    </row>
    <row r="2" spans="1:46">
      <c r="S2" s="28" t="s">
        <v>216</v>
      </c>
      <c r="AD2" s="6"/>
      <c r="AE2" s="6"/>
      <c r="AF2" s="6"/>
    </row>
    <row r="3" spans="1:46">
      <c r="A3" t="s">
        <v>306</v>
      </c>
      <c r="S3" s="28"/>
      <c r="W3" s="6"/>
      <c r="AD3" s="6"/>
      <c r="AE3" s="6"/>
      <c r="AF3" s="6"/>
    </row>
    <row r="4" spans="1:46">
      <c r="S4" s="28"/>
      <c r="V4" s="202" t="s">
        <v>532</v>
      </c>
      <c r="AD4" s="6"/>
      <c r="AE4" s="6"/>
      <c r="AF4" s="6"/>
    </row>
    <row r="5" spans="1:46">
      <c r="A5" s="2" t="s">
        <v>118</v>
      </c>
      <c r="C5" s="29" t="s">
        <v>391</v>
      </c>
      <c r="S5" s="2" t="s">
        <v>139</v>
      </c>
      <c r="T5" s="2"/>
      <c r="U5" s="2"/>
      <c r="V5" s="207" t="s">
        <v>511</v>
      </c>
      <c r="W5" s="28" t="s">
        <v>418</v>
      </c>
      <c r="X5" s="28"/>
      <c r="Y5" s="28"/>
      <c r="Z5" s="28"/>
      <c r="AD5" s="28"/>
      <c r="AE5" s="6"/>
      <c r="AF5" s="6"/>
    </row>
    <row r="6" spans="1:46" ht="16" thickBot="1">
      <c r="A6" s="6"/>
      <c r="H6" s="6"/>
      <c r="N6" s="6"/>
      <c r="S6" s="6"/>
      <c r="T6" s="6"/>
      <c r="U6" s="6"/>
      <c r="V6" s="6"/>
      <c r="W6" s="6"/>
      <c r="X6" s="28"/>
      <c r="Y6" s="28"/>
      <c r="Z6" s="28"/>
      <c r="AB6" s="6"/>
      <c r="AD6" s="141" t="s">
        <v>213</v>
      </c>
      <c r="AE6" s="141"/>
      <c r="AF6" s="141"/>
    </row>
    <row r="7" spans="1:46">
      <c r="A7" s="69" t="s">
        <v>72</v>
      </c>
      <c r="B7" s="329" t="s">
        <v>389</v>
      </c>
      <c r="C7" s="330"/>
      <c r="D7" s="331"/>
      <c r="E7" s="329" t="s">
        <v>390</v>
      </c>
      <c r="F7" s="330"/>
      <c r="G7" s="331"/>
      <c r="H7" s="329" t="s">
        <v>119</v>
      </c>
      <c r="I7" s="330"/>
      <c r="J7" s="331"/>
      <c r="K7" s="329" t="s">
        <v>120</v>
      </c>
      <c r="L7" s="330"/>
      <c r="M7" s="331"/>
      <c r="N7" s="330" t="s">
        <v>123</v>
      </c>
      <c r="O7" s="330"/>
      <c r="P7" s="331"/>
      <c r="S7" s="69" t="s">
        <v>72</v>
      </c>
      <c r="T7" s="69" t="s">
        <v>619</v>
      </c>
      <c r="U7" s="69" t="s">
        <v>212</v>
      </c>
      <c r="V7" s="329" t="s">
        <v>389</v>
      </c>
      <c r="W7" s="330"/>
      <c r="X7" s="330"/>
      <c r="Y7" s="330"/>
      <c r="Z7" s="330"/>
      <c r="AA7" s="331"/>
      <c r="AB7" s="329" t="s">
        <v>119</v>
      </c>
      <c r="AC7" s="330"/>
      <c r="AD7" s="330"/>
      <c r="AE7" s="330"/>
      <c r="AF7" s="330"/>
      <c r="AG7" s="331"/>
      <c r="AH7" s="329" t="s">
        <v>151</v>
      </c>
      <c r="AI7" s="330"/>
      <c r="AJ7" s="330"/>
      <c r="AK7" s="330"/>
      <c r="AL7" s="330"/>
      <c r="AM7" s="331"/>
      <c r="AN7" s="329" t="s">
        <v>152</v>
      </c>
      <c r="AO7" s="330"/>
      <c r="AP7" s="330"/>
      <c r="AQ7" s="330"/>
      <c r="AR7" s="330"/>
      <c r="AS7" s="331"/>
    </row>
    <row r="8" spans="1:46">
      <c r="A8" s="69"/>
      <c r="B8" s="75" t="s">
        <v>121</v>
      </c>
      <c r="C8" s="70" t="s">
        <v>122</v>
      </c>
      <c r="D8" s="71" t="s">
        <v>49</v>
      </c>
      <c r="E8" s="75" t="s">
        <v>121</v>
      </c>
      <c r="F8" s="70" t="s">
        <v>122</v>
      </c>
      <c r="G8" s="71" t="s">
        <v>49</v>
      </c>
      <c r="H8" s="75" t="s">
        <v>124</v>
      </c>
      <c r="I8" s="70" t="s">
        <v>122</v>
      </c>
      <c r="J8" s="71" t="s">
        <v>49</v>
      </c>
      <c r="K8" s="75" t="s">
        <v>121</v>
      </c>
      <c r="L8" s="70" t="s">
        <v>122</v>
      </c>
      <c r="M8" s="71" t="s">
        <v>49</v>
      </c>
      <c r="N8" s="69" t="s">
        <v>124</v>
      </c>
      <c r="O8" s="69" t="s">
        <v>122</v>
      </c>
      <c r="P8" s="71" t="s">
        <v>49</v>
      </c>
      <c r="S8" s="69"/>
      <c r="T8" s="6"/>
      <c r="U8" s="69"/>
      <c r="V8" s="75" t="s">
        <v>121</v>
      </c>
      <c r="W8" s="70" t="s">
        <v>141</v>
      </c>
      <c r="X8" s="70" t="s">
        <v>122</v>
      </c>
      <c r="Y8" s="70" t="s">
        <v>141</v>
      </c>
      <c r="Z8" s="70" t="s">
        <v>140</v>
      </c>
      <c r="AA8" s="71" t="s">
        <v>141</v>
      </c>
      <c r="AB8" s="75" t="s">
        <v>124</v>
      </c>
      <c r="AC8" s="70" t="s">
        <v>141</v>
      </c>
      <c r="AD8" s="70" t="s">
        <v>122</v>
      </c>
      <c r="AE8" s="70" t="s">
        <v>141</v>
      </c>
      <c r="AF8" s="70" t="s">
        <v>140</v>
      </c>
      <c r="AG8" s="71" t="s">
        <v>218</v>
      </c>
      <c r="AH8" s="75" t="s">
        <v>121</v>
      </c>
      <c r="AI8" s="70" t="s">
        <v>141</v>
      </c>
      <c r="AJ8" s="70" t="s">
        <v>122</v>
      </c>
      <c r="AK8" s="70" t="s">
        <v>141</v>
      </c>
      <c r="AL8" s="70" t="s">
        <v>140</v>
      </c>
      <c r="AM8" s="71" t="s">
        <v>218</v>
      </c>
      <c r="AN8" s="75" t="s">
        <v>121</v>
      </c>
      <c r="AO8" s="70" t="s">
        <v>141</v>
      </c>
      <c r="AP8" s="70" t="s">
        <v>122</v>
      </c>
      <c r="AQ8" s="70" t="s">
        <v>141</v>
      </c>
      <c r="AR8" s="70" t="s">
        <v>140</v>
      </c>
      <c r="AS8" s="71" t="s">
        <v>218</v>
      </c>
    </row>
    <row r="9" spans="1:46">
      <c r="A9">
        <v>2017</v>
      </c>
      <c r="B9" s="123"/>
      <c r="C9" s="124"/>
      <c r="D9" s="125"/>
      <c r="E9" s="76">
        <v>6.0000000000000001E-3</v>
      </c>
      <c r="F9">
        <v>8.0000000000000002E-3</v>
      </c>
      <c r="G9" s="72"/>
      <c r="H9" s="76"/>
      <c r="J9" s="72"/>
      <c r="K9" s="76"/>
      <c r="M9" s="72"/>
      <c r="P9" s="72"/>
      <c r="S9">
        <v>2017</v>
      </c>
      <c r="T9" s="6"/>
      <c r="V9" s="76"/>
      <c r="X9" s="28"/>
      <c r="Y9" s="28"/>
      <c r="Z9" s="28"/>
      <c r="AA9" s="72"/>
      <c r="AB9" s="76"/>
      <c r="AG9" s="72"/>
      <c r="AH9" s="76"/>
      <c r="AM9" s="72"/>
      <c r="AN9" s="76"/>
      <c r="AS9" s="72"/>
    </row>
    <row r="10" spans="1:46">
      <c r="A10">
        <v>2018</v>
      </c>
      <c r="B10" s="123"/>
      <c r="C10" s="124"/>
      <c r="D10" s="125"/>
      <c r="E10" s="76">
        <v>1.4E-2</v>
      </c>
      <c r="F10">
        <v>8.0000000000000002E-3</v>
      </c>
      <c r="G10" s="72"/>
      <c r="H10" s="76"/>
      <c r="J10" s="72"/>
      <c r="K10" s="76"/>
      <c r="M10" s="72"/>
      <c r="P10" s="72"/>
      <c r="S10">
        <v>2018</v>
      </c>
      <c r="T10" s="6"/>
      <c r="V10" s="76"/>
      <c r="X10" s="28"/>
      <c r="Y10" s="28"/>
      <c r="Z10" s="28"/>
      <c r="AA10" s="72"/>
      <c r="AB10" s="76"/>
      <c r="AG10" s="72"/>
      <c r="AH10" s="76"/>
      <c r="AM10" s="72"/>
      <c r="AN10" s="76"/>
      <c r="AS10" s="72"/>
    </row>
    <row r="11" spans="1:46">
      <c r="A11">
        <v>2019</v>
      </c>
      <c r="B11" s="123"/>
      <c r="C11" s="124"/>
      <c r="D11" s="125"/>
      <c r="E11" s="76">
        <v>1.2E-2</v>
      </c>
      <c r="F11">
        <v>5.0000000000000001E-3</v>
      </c>
      <c r="G11" s="72"/>
      <c r="H11" s="76"/>
      <c r="J11" s="72"/>
      <c r="K11" s="76"/>
      <c r="M11" s="72"/>
      <c r="P11" s="72"/>
      <c r="S11">
        <v>2019</v>
      </c>
      <c r="V11" s="76"/>
      <c r="X11" s="28"/>
      <c r="Y11" s="28"/>
      <c r="Z11" s="28"/>
      <c r="AA11" s="72"/>
      <c r="AB11" s="76"/>
      <c r="AG11" s="72"/>
      <c r="AH11" s="76"/>
      <c r="AM11" s="72"/>
      <c r="AN11" s="76"/>
      <c r="AS11" s="72"/>
    </row>
    <row r="12" spans="1:46">
      <c r="A12">
        <v>2020</v>
      </c>
      <c r="B12" s="123"/>
      <c r="C12" s="124"/>
      <c r="D12" s="125"/>
      <c r="E12" s="76">
        <v>3.3000000000000002E-2</v>
      </c>
      <c r="F12">
        <v>7.0000000000000001E-3</v>
      </c>
      <c r="G12" s="72"/>
      <c r="H12" s="76"/>
      <c r="J12" s="72"/>
      <c r="K12" s="76"/>
      <c r="M12" s="72"/>
      <c r="P12" s="72"/>
      <c r="S12">
        <v>2020</v>
      </c>
      <c r="T12" s="3">
        <f>'Combined MOVES output'!AE17</f>
        <v>6232731.7424557088</v>
      </c>
      <c r="U12" s="3">
        <f>T12*U$17/T$17</f>
        <v>354836.60533560015</v>
      </c>
      <c r="V12" s="76"/>
      <c r="X12" s="28"/>
      <c r="Y12" s="28"/>
      <c r="Z12" s="264">
        <v>41096</v>
      </c>
      <c r="AA12" s="103">
        <f>Z12/T12</f>
        <v>6.5935775352025808E-3</v>
      </c>
      <c r="AB12" s="76"/>
      <c r="AG12" s="72"/>
      <c r="AH12" s="76"/>
      <c r="AM12" s="103">
        <f>AA12</f>
        <v>6.5935775352025808E-3</v>
      </c>
      <c r="AN12" s="76"/>
      <c r="AS12" s="103">
        <f>AA12</f>
        <v>6.5935775352025808E-3</v>
      </c>
    </row>
    <row r="13" spans="1:46">
      <c r="A13">
        <v>2021</v>
      </c>
      <c r="B13" s="123"/>
      <c r="C13" s="124"/>
      <c r="D13" s="218">
        <f>F61</f>
        <v>5.3499999999999999E-2</v>
      </c>
      <c r="E13" s="76"/>
      <c r="G13" s="72"/>
      <c r="H13" s="76"/>
      <c r="J13" s="72"/>
      <c r="K13" s="76"/>
      <c r="M13" s="72"/>
      <c r="P13" s="72"/>
      <c r="S13">
        <v>2021</v>
      </c>
      <c r="T13" s="3">
        <f>T12+(T17-T12)/5</f>
        <v>6245271.7444215454</v>
      </c>
      <c r="U13" s="3">
        <f t="shared" ref="U13:U16" si="0">T13*U$17/T$17</f>
        <v>355550.52210794407</v>
      </c>
      <c r="V13" s="76"/>
      <c r="X13" s="28"/>
      <c r="Y13" s="28"/>
      <c r="Z13" s="264">
        <v>64307</v>
      </c>
      <c r="AA13" s="72"/>
      <c r="AB13" s="76"/>
      <c r="AG13" s="72"/>
      <c r="AH13" s="76"/>
      <c r="AM13" s="72"/>
      <c r="AN13" s="76"/>
      <c r="AS13" s="72"/>
    </row>
    <row r="14" spans="1:46">
      <c r="A14">
        <v>2022</v>
      </c>
      <c r="B14" s="123"/>
      <c r="C14" s="124"/>
      <c r="D14" s="125">
        <f>(D13+D15)/2</f>
        <v>6.3750000000000001E-2</v>
      </c>
      <c r="E14" s="76"/>
      <c r="G14" s="72"/>
      <c r="H14" s="76"/>
      <c r="J14" s="72"/>
      <c r="K14" s="76"/>
      <c r="M14" s="72"/>
      <c r="P14" s="72"/>
      <c r="S14">
        <v>2022</v>
      </c>
      <c r="T14" s="3">
        <f>T12+(T17-T12)/5*2</f>
        <v>6257811.7463873811</v>
      </c>
      <c r="U14" s="3">
        <f t="shared" si="0"/>
        <v>356264.43888028787</v>
      </c>
      <c r="V14" s="76"/>
      <c r="X14" s="28"/>
      <c r="Y14" s="28"/>
      <c r="Z14" s="101">
        <f>Z13+D14*U14</f>
        <v>87018.857978618355</v>
      </c>
      <c r="AA14" s="72"/>
      <c r="AB14" s="76"/>
      <c r="AG14" s="72"/>
      <c r="AH14" s="76"/>
      <c r="AM14" s="72"/>
      <c r="AN14" s="76"/>
      <c r="AS14" s="72"/>
    </row>
    <row r="15" spans="1:46">
      <c r="A15">
        <v>2023</v>
      </c>
      <c r="B15" s="123">
        <f>E15</f>
        <v>6.7000000000000004E-2</v>
      </c>
      <c r="C15" s="41">
        <f t="shared" ref="C15:D15" si="1">F15</f>
        <v>7.0000000000000001E-3</v>
      </c>
      <c r="D15" s="41">
        <f t="shared" si="1"/>
        <v>7.400000000000001E-2</v>
      </c>
      <c r="E15" s="210">
        <f>'Federal GHG Rule'!N7</f>
        <v>6.7000000000000004E-2</v>
      </c>
      <c r="F15" s="209">
        <f>'Federal GHG Rule'!M7</f>
        <v>7.0000000000000001E-3</v>
      </c>
      <c r="G15" s="211">
        <f>E15+F15</f>
        <v>7.400000000000001E-2</v>
      </c>
      <c r="H15" s="247" t="s">
        <v>374</v>
      </c>
      <c r="I15" s="204"/>
      <c r="J15" s="72"/>
      <c r="K15" s="76"/>
      <c r="M15" s="72"/>
      <c r="P15" s="72"/>
      <c r="S15">
        <v>2023</v>
      </c>
      <c r="T15" s="3">
        <f>T12+(T17-T12)/5*3</f>
        <v>6270351.7483532177</v>
      </c>
      <c r="U15" s="3">
        <f t="shared" si="0"/>
        <v>356978.35565263173</v>
      </c>
      <c r="V15" s="76"/>
      <c r="X15" s="28"/>
      <c r="Y15" s="28"/>
      <c r="Z15" s="101">
        <f t="shared" ref="Z15:Z31" si="2">Z14+D15*U15</f>
        <v>113435.25629691311</v>
      </c>
      <c r="AA15" s="72"/>
      <c r="AB15" s="76"/>
      <c r="AG15" s="72"/>
      <c r="AH15" s="76"/>
      <c r="AM15" s="72"/>
      <c r="AN15" s="76"/>
      <c r="AS15" s="72"/>
    </row>
    <row r="16" spans="1:46">
      <c r="A16">
        <v>2024</v>
      </c>
      <c r="B16" s="123">
        <f t="shared" ref="B16:B32" si="3">E16</f>
        <v>9.5000000000000001E-2</v>
      </c>
      <c r="C16" s="41">
        <f t="shared" ref="C16:C32" si="4">F16</f>
        <v>7.0000000000000001E-3</v>
      </c>
      <c r="D16" s="41">
        <f t="shared" ref="D16:D42" si="5">G16</f>
        <v>0.10200000000000001</v>
      </c>
      <c r="E16" s="210">
        <f>'Federal GHG Rule'!N8</f>
        <v>9.5000000000000001E-2</v>
      </c>
      <c r="F16" s="209">
        <f>'Federal GHG Rule'!M8</f>
        <v>7.0000000000000001E-3</v>
      </c>
      <c r="G16" s="211">
        <f t="shared" ref="G16:G18" si="6">E16+F16</f>
        <v>0.10200000000000001</v>
      </c>
      <c r="H16" s="247" t="s">
        <v>382</v>
      </c>
      <c r="I16" s="204"/>
      <c r="J16" s="72"/>
      <c r="K16" s="76"/>
      <c r="M16" s="72"/>
      <c r="P16" s="72"/>
      <c r="S16">
        <v>2024</v>
      </c>
      <c r="T16" s="3">
        <f>T12+(T17-T12)/5*4</f>
        <v>6282891.7503190534</v>
      </c>
      <c r="U16" s="3">
        <f t="shared" si="0"/>
        <v>357692.27242497553</v>
      </c>
      <c r="V16" s="206"/>
      <c r="X16" s="28"/>
      <c r="Y16" s="28"/>
      <c r="Z16" s="101">
        <f t="shared" si="2"/>
        <v>149919.86808426061</v>
      </c>
      <c r="AA16" s="72"/>
      <c r="AB16" s="76"/>
      <c r="AE16" s="45"/>
      <c r="AF16" s="45" t="s">
        <v>143</v>
      </c>
      <c r="AG16" s="72"/>
      <c r="AH16" s="76"/>
      <c r="AK16" s="45"/>
      <c r="AL16" s="45" t="s">
        <v>143</v>
      </c>
      <c r="AM16" s="72"/>
      <c r="AN16" s="76"/>
      <c r="AQ16" s="120"/>
      <c r="AR16" s="120" t="s">
        <v>153</v>
      </c>
      <c r="AS16" s="119"/>
      <c r="AT16" t="s">
        <v>612</v>
      </c>
    </row>
    <row r="17" spans="1:46">
      <c r="A17">
        <v>2025</v>
      </c>
      <c r="B17" s="123">
        <f t="shared" si="3"/>
        <v>0.129</v>
      </c>
      <c r="C17" s="41">
        <f t="shared" si="4"/>
        <v>7.0000000000000001E-3</v>
      </c>
      <c r="D17" s="41">
        <f t="shared" si="5"/>
        <v>0.13600000000000001</v>
      </c>
      <c r="E17" s="210">
        <f>'Federal GHG Rule'!N9</f>
        <v>0.129</v>
      </c>
      <c r="F17" s="209">
        <f>'Federal GHG Rule'!M9</f>
        <v>7.0000000000000001E-3</v>
      </c>
      <c r="G17" s="211">
        <f t="shared" si="6"/>
        <v>0.13600000000000001</v>
      </c>
      <c r="H17" s="248" t="s">
        <v>383</v>
      </c>
      <c r="I17" s="204"/>
      <c r="J17" s="72"/>
      <c r="K17" s="76"/>
      <c r="M17" s="72"/>
      <c r="P17" s="72"/>
      <c r="S17">
        <v>2025</v>
      </c>
      <c r="T17" s="3">
        <f>'ZEV Population'!C7</f>
        <v>6295431.75228489</v>
      </c>
      <c r="U17" s="3">
        <f>'ZEV Population'!E5</f>
        <v>358406.18919731944</v>
      </c>
      <c r="V17" s="238">
        <f>(N18/(N18+O18))*Z17</f>
        <v>137393.17875062718</v>
      </c>
      <c r="W17" s="239">
        <f>V17/T17</f>
        <v>2.1824266254774523E-2</v>
      </c>
      <c r="X17" s="240">
        <f>Z17-V17</f>
        <v>61269.931064468896</v>
      </c>
      <c r="Y17" s="239">
        <f>X17/T17</f>
        <v>9.7324430595616147E-3</v>
      </c>
      <c r="Z17" s="101">
        <f t="shared" si="2"/>
        <v>198663.10981509608</v>
      </c>
      <c r="AA17" s="103">
        <f>Z17/T17</f>
        <v>3.1556709314336143E-2</v>
      </c>
      <c r="AB17" s="84">
        <f>V17</f>
        <v>137393.17875062718</v>
      </c>
      <c r="AC17" s="59">
        <f t="shared" ref="AC17:AC32" si="7">AB17/T17</f>
        <v>2.1824266254774523E-2</v>
      </c>
      <c r="AD17" s="3">
        <f>X17</f>
        <v>61269.931064468896</v>
      </c>
      <c r="AE17" s="59">
        <f t="shared" ref="AE17:AE32" si="8">AD17/T17</f>
        <v>9.7324430595616147E-3</v>
      </c>
      <c r="AF17" s="3">
        <f>Z17</f>
        <v>198663.10981509608</v>
      </c>
      <c r="AG17" s="59">
        <f>AA17</f>
        <v>3.1556709314336143E-2</v>
      </c>
      <c r="AH17" s="84">
        <f>V17</f>
        <v>137393.17875062718</v>
      </c>
      <c r="AI17" s="59">
        <f t="shared" ref="AI17:AI32" si="9">AH17/T17</f>
        <v>2.1824266254774523E-2</v>
      </c>
      <c r="AJ17" s="3">
        <f>X17</f>
        <v>61269.931064468896</v>
      </c>
      <c r="AK17" s="59">
        <f t="shared" ref="AK17:AK32" si="10">AJ17/T17</f>
        <v>9.7324430595616147E-3</v>
      </c>
      <c r="AL17" s="3">
        <f>Z17</f>
        <v>198663.10981509608</v>
      </c>
      <c r="AM17" s="103">
        <f>AA17</f>
        <v>3.1556709314336143E-2</v>
      </c>
      <c r="AN17" s="84">
        <f>V17</f>
        <v>137393.17875062718</v>
      </c>
      <c r="AO17" s="59">
        <f t="shared" ref="AO17:AO32" si="11">AN17/T17</f>
        <v>2.1824266254774523E-2</v>
      </c>
      <c r="AP17" s="3">
        <f>X17</f>
        <v>61269.931064468896</v>
      </c>
      <c r="AQ17" s="59">
        <f t="shared" ref="AQ17:AQ32" si="12">AP17/T17</f>
        <v>9.7324430595616147E-3</v>
      </c>
      <c r="AR17" s="3">
        <f>Z17</f>
        <v>198663.10981509608</v>
      </c>
      <c r="AS17" s="103">
        <f>AA17</f>
        <v>3.1556709314336143E-2</v>
      </c>
    </row>
    <row r="18" spans="1:46">
      <c r="A18">
        <v>2026</v>
      </c>
      <c r="B18" s="123">
        <f t="shared" si="3"/>
        <v>0.16600000000000001</v>
      </c>
      <c r="C18" s="41">
        <f t="shared" si="4"/>
        <v>6.0000000000000001E-3</v>
      </c>
      <c r="D18" s="41">
        <f t="shared" si="5"/>
        <v>0.17200000000000001</v>
      </c>
      <c r="E18" s="210">
        <f>'Federal GHG Rule'!N10</f>
        <v>0.16600000000000001</v>
      </c>
      <c r="F18" s="209">
        <f>'Federal GHG Rule'!M10</f>
        <v>6.0000000000000001E-3</v>
      </c>
      <c r="G18" s="211">
        <f t="shared" si="6"/>
        <v>0.17200000000000001</v>
      </c>
      <c r="H18" s="249">
        <f>J18-I18</f>
        <v>0.30470588235294116</v>
      </c>
      <c r="I18" s="250">
        <f>J18*T49</f>
        <v>4.5294117647058825E-2</v>
      </c>
      <c r="J18" s="72">
        <v>0.35</v>
      </c>
      <c r="K18" s="208">
        <f>H18*0.8</f>
        <v>0.24376470588235294</v>
      </c>
      <c r="L18" s="124">
        <f t="shared" ref="L18:M18" si="13">I18*0.8</f>
        <v>3.623529411764706E-2</v>
      </c>
      <c r="M18" s="172">
        <f t="shared" si="13"/>
        <v>0.27999999999999997</v>
      </c>
      <c r="N18">
        <v>7.3999999999999996E-2</v>
      </c>
      <c r="O18">
        <v>3.3000000000000002E-2</v>
      </c>
      <c r="P18" s="72">
        <f>N18+O18</f>
        <v>0.107</v>
      </c>
      <c r="S18">
        <v>2026</v>
      </c>
      <c r="T18" s="3">
        <f>'ZEV Population'!C11</f>
        <v>6307971.7542507267</v>
      </c>
      <c r="U18" s="3">
        <f>'ZEV Population'!E9</f>
        <v>358637.48634297319</v>
      </c>
      <c r="V18" s="143">
        <f>V17+E18*U18</f>
        <v>196927.00148356071</v>
      </c>
      <c r="W18" s="219">
        <f t="shared" ref="W18:W32" si="14">V18/T18</f>
        <v>3.1218751312711308E-2</v>
      </c>
      <c r="X18" s="101">
        <f>Z18-V18</f>
        <v>63421.755982526753</v>
      </c>
      <c r="Y18" s="219">
        <f t="shared" ref="Y18:Y32" si="15">X18/T18</f>
        <v>1.0054223204120881E-2</v>
      </c>
      <c r="Z18" s="101">
        <f t="shared" si="2"/>
        <v>260348.75746608747</v>
      </c>
      <c r="AA18" s="103">
        <f t="shared" ref="AA18:AA31" si="16">Z18/T18</f>
        <v>4.1272974516832185E-2</v>
      </c>
      <c r="AB18" s="84">
        <f t="shared" ref="AB18:AB32" si="17">AB17+H18*U18</f>
        <v>246672.13047160371</v>
      </c>
      <c r="AC18" s="59">
        <f t="shared" si="7"/>
        <v>3.9104824828262712E-2</v>
      </c>
      <c r="AD18" s="3">
        <f t="shared" ref="AD18:AD32" si="18">AD17+I18*U18</f>
        <v>77514.099563532975</v>
      </c>
      <c r="AE18" s="59">
        <f t="shared" si="8"/>
        <v>1.2288276261113387E-2</v>
      </c>
      <c r="AF18" s="3">
        <f t="shared" ref="AF18:AF32" si="19">AF17+J18*U18</f>
        <v>324186.23003513669</v>
      </c>
      <c r="AG18" s="103">
        <f t="shared" ref="AG18:AG32" si="20">AF18/T18</f>
        <v>5.13931010893761E-2</v>
      </c>
      <c r="AH18" s="142">
        <f t="shared" ref="AH18:AH32" si="21">AH17+K18*U18</f>
        <v>224816.34012740839</v>
      </c>
      <c r="AI18" s="59">
        <f t="shared" si="9"/>
        <v>3.564003595544199E-2</v>
      </c>
      <c r="AJ18" s="3">
        <f t="shared" ref="AJ18:AJ32" si="22">AJ17+L18*U18</f>
        <v>74265.265863720153</v>
      </c>
      <c r="AK18" s="59">
        <f t="shared" si="10"/>
        <v>1.1773240077315712E-2</v>
      </c>
      <c r="AL18" s="101">
        <f t="shared" ref="AL18:AL32" si="23">AL17+M18*U18</f>
        <v>299081.60599112854</v>
      </c>
      <c r="AM18" s="122">
        <f t="shared" ref="AM18:AM32" si="24">AL18/T18</f>
        <v>4.7413276032757704E-2</v>
      </c>
      <c r="AN18" s="143">
        <f>V18</f>
        <v>196927.00148356071</v>
      </c>
      <c r="AO18" s="59">
        <f t="shared" si="11"/>
        <v>3.1218751312711308E-2</v>
      </c>
      <c r="AP18" s="3">
        <f>X18</f>
        <v>63421.755982526753</v>
      </c>
      <c r="AQ18" s="59">
        <f t="shared" si="12"/>
        <v>1.0054223204120881E-2</v>
      </c>
      <c r="AR18" s="101">
        <f>Z18</f>
        <v>260348.75746608747</v>
      </c>
      <c r="AS18" s="122">
        <f>AA18</f>
        <v>4.1272974516832185E-2</v>
      </c>
    </row>
    <row r="19" spans="1:46">
      <c r="A19">
        <v>2027</v>
      </c>
      <c r="B19" s="123">
        <f t="shared" si="3"/>
        <v>0.16600000000000001</v>
      </c>
      <c r="C19" s="41">
        <f t="shared" si="4"/>
        <v>6.0000000000000001E-3</v>
      </c>
      <c r="D19" s="41">
        <f t="shared" si="5"/>
        <v>0.17200000000000001</v>
      </c>
      <c r="E19" s="210">
        <f>E18</f>
        <v>0.16600000000000001</v>
      </c>
      <c r="F19" s="209">
        <f>F18</f>
        <v>6.0000000000000001E-3</v>
      </c>
      <c r="G19" s="211">
        <f>G18</f>
        <v>0.17200000000000001</v>
      </c>
      <c r="H19" s="249">
        <f t="shared" ref="H19:H22" si="25">J19-I19</f>
        <v>0.38826470588235296</v>
      </c>
      <c r="I19" s="250">
        <f>J19*T50</f>
        <v>4.1735294117647065E-2</v>
      </c>
      <c r="J19" s="72">
        <v>0.43</v>
      </c>
      <c r="K19" s="208">
        <f t="shared" ref="K19:K32" si="26">H19*0.8</f>
        <v>0.31061176470588236</v>
      </c>
      <c r="L19" s="124">
        <f t="shared" ref="L19:L32" si="27">I19*0.8</f>
        <v>3.3388235294117656E-2</v>
      </c>
      <c r="M19" s="172">
        <f t="shared" ref="M19:M32" si="28">J19*0.8</f>
        <v>0.34400000000000003</v>
      </c>
      <c r="N19">
        <v>7.6999999999999999E-2</v>
      </c>
      <c r="O19">
        <v>3.3000000000000002E-2</v>
      </c>
      <c r="P19" s="72">
        <f t="shared" ref="P19:P27" si="29">N19+O19</f>
        <v>0.11</v>
      </c>
      <c r="S19">
        <v>2027</v>
      </c>
      <c r="T19" s="3">
        <f>'ZEV Population'!C15</f>
        <v>6320511.7562165624</v>
      </c>
      <c r="U19" s="3">
        <f>'ZEV Population'!E13</f>
        <v>358866.86463061592</v>
      </c>
      <c r="V19" s="143">
        <f t="shared" ref="V19:V32" si="30">V18+E19*U19</f>
        <v>256498.90101224295</v>
      </c>
      <c r="W19" s="219">
        <f t="shared" si="14"/>
        <v>4.0581983058565238E-2</v>
      </c>
      <c r="X19" s="101">
        <f t="shared" ref="X19:X32" si="31">Z19-V19</f>
        <v>65574.957170310488</v>
      </c>
      <c r="Y19" s="219">
        <f t="shared" si="15"/>
        <v>1.0374944260773504E-2</v>
      </c>
      <c r="Z19" s="101">
        <f t="shared" si="2"/>
        <v>322073.85818255343</v>
      </c>
      <c r="AA19" s="103">
        <f t="shared" si="16"/>
        <v>5.0956927319338742E-2</v>
      </c>
      <c r="AB19" s="84">
        <f t="shared" si="17"/>
        <v>386007.46811833198</v>
      </c>
      <c r="AC19" s="59">
        <f t="shared" si="7"/>
        <v>6.1072185767026367E-2</v>
      </c>
      <c r="AD19" s="3">
        <f t="shared" si="18"/>
        <v>92491.513707969571</v>
      </c>
      <c r="AE19" s="59">
        <f t="shared" si="8"/>
        <v>1.4633548243462913E-2</v>
      </c>
      <c r="AF19" s="3">
        <f t="shared" si="19"/>
        <v>478498.98182630155</v>
      </c>
      <c r="AG19" s="103">
        <f t="shared" si="20"/>
        <v>7.5705734010489287E-2</v>
      </c>
      <c r="AH19" s="143">
        <f t="shared" si="21"/>
        <v>336284.61024479102</v>
      </c>
      <c r="AI19" s="59">
        <f t="shared" si="9"/>
        <v>5.3205281979586079E-2</v>
      </c>
      <c r="AJ19" s="3">
        <f t="shared" si="22"/>
        <v>86247.197179269424</v>
      </c>
      <c r="AK19" s="59">
        <f t="shared" si="10"/>
        <v>1.3645603474187145E-2</v>
      </c>
      <c r="AL19" s="101">
        <f t="shared" si="23"/>
        <v>422531.80742406042</v>
      </c>
      <c r="AM19" s="122">
        <f t="shared" si="24"/>
        <v>6.6850885453773226E-2</v>
      </c>
      <c r="AN19" s="143">
        <f t="shared" ref="AN19:AN32" si="32">AN18+K19*U19</f>
        <v>308395.27160094329</v>
      </c>
      <c r="AO19" s="59">
        <f t="shared" si="11"/>
        <v>4.8792769240183755E-2</v>
      </c>
      <c r="AP19" s="3">
        <f t="shared" ref="AP19:AP32" si="33">AP18+L19*U19</f>
        <v>75403.687298076024</v>
      </c>
      <c r="AQ19" s="59">
        <f t="shared" si="12"/>
        <v>1.1929997159472483E-2</v>
      </c>
      <c r="AR19" s="101">
        <f t="shared" ref="AR19:AR32" si="34">AR18+M19*U19</f>
        <v>383798.95889901934</v>
      </c>
      <c r="AS19" s="122">
        <f t="shared" ref="AS19:AS32" si="35">AR19/T19</f>
        <v>6.0722766399656243E-2</v>
      </c>
      <c r="AT19" s="259">
        <f>'CARB ZEV counts'!N97</f>
        <v>9.9681210649081184E-2</v>
      </c>
    </row>
    <row r="20" spans="1:46">
      <c r="A20">
        <v>2028</v>
      </c>
      <c r="B20" s="123">
        <f t="shared" si="3"/>
        <v>0.16600000000000001</v>
      </c>
      <c r="C20" s="41">
        <f t="shared" si="4"/>
        <v>6.0000000000000001E-3</v>
      </c>
      <c r="D20" s="41">
        <f t="shared" si="5"/>
        <v>0.17200000000000001</v>
      </c>
      <c r="E20" s="210">
        <f t="shared" ref="E20:E42" si="36">E19</f>
        <v>0.16600000000000001</v>
      </c>
      <c r="F20" s="209">
        <f t="shared" ref="F20:F32" si="37">F19</f>
        <v>6.0000000000000001E-3</v>
      </c>
      <c r="G20" s="211">
        <f t="shared" ref="G20:G42" si="38">G19</f>
        <v>0.17200000000000001</v>
      </c>
      <c r="H20" s="249">
        <f t="shared" si="25"/>
        <v>0.46920000000000001</v>
      </c>
      <c r="I20" s="250">
        <f>J20*T51</f>
        <v>4.0800000000000003E-2</v>
      </c>
      <c r="J20" s="72">
        <v>0.51</v>
      </c>
      <c r="K20" s="208">
        <f t="shared" si="26"/>
        <v>0.37536000000000003</v>
      </c>
      <c r="L20" s="124">
        <f t="shared" si="27"/>
        <v>3.2640000000000002E-2</v>
      </c>
      <c r="M20" s="172">
        <f t="shared" si="28"/>
        <v>0.40800000000000003</v>
      </c>
      <c r="N20">
        <v>0.08</v>
      </c>
      <c r="O20">
        <v>3.4000000000000002E-2</v>
      </c>
      <c r="P20" s="72">
        <f t="shared" si="29"/>
        <v>0.114</v>
      </c>
      <c r="S20">
        <v>2028</v>
      </c>
      <c r="T20" s="3">
        <f>'ZEV Population'!C19</f>
        <v>6333051.758182399</v>
      </c>
      <c r="U20" s="3">
        <f>'ZEV Population'!E17</f>
        <v>359094.32406024734</v>
      </c>
      <c r="V20" s="143">
        <f t="shared" si="30"/>
        <v>316108.55880624399</v>
      </c>
      <c r="W20" s="219">
        <f t="shared" si="14"/>
        <v>4.9914096848778622E-2</v>
      </c>
      <c r="X20" s="101">
        <f t="shared" si="31"/>
        <v>67729.523114671989</v>
      </c>
      <c r="Y20" s="219">
        <f t="shared" si="15"/>
        <v>1.0694610702836026E-2</v>
      </c>
      <c r="Z20" s="101">
        <f t="shared" si="2"/>
        <v>383838.08192091598</v>
      </c>
      <c r="AA20" s="103">
        <f t="shared" si="16"/>
        <v>6.0608707551614648E-2</v>
      </c>
      <c r="AB20" s="84">
        <f t="shared" si="17"/>
        <v>554494.52496740001</v>
      </c>
      <c r="AC20" s="59">
        <f t="shared" si="7"/>
        <v>8.7555659757712331E-2</v>
      </c>
      <c r="AD20" s="3">
        <f t="shared" si="18"/>
        <v>107142.56212962767</v>
      </c>
      <c r="AE20" s="59">
        <f t="shared" si="8"/>
        <v>1.6917998813320585E-2</v>
      </c>
      <c r="AF20" s="3">
        <f t="shared" si="19"/>
        <v>661637.08709702769</v>
      </c>
      <c r="AG20" s="103">
        <f t="shared" si="20"/>
        <v>0.10447365857103293</v>
      </c>
      <c r="AH20" s="143">
        <f t="shared" si="21"/>
        <v>471074.25572404545</v>
      </c>
      <c r="AI20" s="59">
        <f t="shared" si="9"/>
        <v>7.4383452671993464E-2</v>
      </c>
      <c r="AJ20" s="3">
        <f t="shared" si="22"/>
        <v>97968.035916595894</v>
      </c>
      <c r="AK20" s="59">
        <f t="shared" si="10"/>
        <v>1.5469325004334554E-2</v>
      </c>
      <c r="AL20" s="101">
        <f t="shared" si="23"/>
        <v>569042.2916406414</v>
      </c>
      <c r="AM20" s="122">
        <f t="shared" si="24"/>
        <v>8.985277767632803E-2</v>
      </c>
      <c r="AN20" s="143">
        <f t="shared" si="32"/>
        <v>443184.91708019772</v>
      </c>
      <c r="AO20" s="59">
        <f t="shared" si="11"/>
        <v>6.9979677097632448E-2</v>
      </c>
      <c r="AP20" s="3">
        <f t="shared" si="33"/>
        <v>87124.526035402494</v>
      </c>
      <c r="AQ20" s="59">
        <f t="shared" si="12"/>
        <v>1.3757115741685876E-2</v>
      </c>
      <c r="AR20" s="101">
        <f t="shared" si="34"/>
        <v>530309.44311560027</v>
      </c>
      <c r="AS20" s="122">
        <f t="shared" si="35"/>
        <v>8.3736792839318328E-2</v>
      </c>
      <c r="AT20" s="259">
        <f>'CARB ZEV counts'!N98</f>
        <v>0.12927650120236342</v>
      </c>
    </row>
    <row r="21" spans="1:46">
      <c r="A21">
        <v>2029</v>
      </c>
      <c r="B21" s="123">
        <f t="shared" si="3"/>
        <v>0.16600000000000001</v>
      </c>
      <c r="C21" s="41">
        <f t="shared" si="4"/>
        <v>6.0000000000000001E-3</v>
      </c>
      <c r="D21" s="41">
        <f t="shared" si="5"/>
        <v>0.17200000000000001</v>
      </c>
      <c r="E21" s="210">
        <f t="shared" si="36"/>
        <v>0.16600000000000001</v>
      </c>
      <c r="F21" s="209">
        <f t="shared" si="37"/>
        <v>6.0000000000000001E-3</v>
      </c>
      <c r="G21" s="211">
        <f t="shared" si="38"/>
        <v>0.17200000000000001</v>
      </c>
      <c r="H21" s="249">
        <f t="shared" si="25"/>
        <v>0.55066666666666664</v>
      </c>
      <c r="I21" s="250">
        <f>J21*T52</f>
        <v>3.9333333333333331E-2</v>
      </c>
      <c r="J21" s="72">
        <v>0.59</v>
      </c>
      <c r="K21" s="208">
        <f t="shared" si="26"/>
        <v>0.44053333333333333</v>
      </c>
      <c r="L21" s="124">
        <f t="shared" si="27"/>
        <v>3.1466666666666664E-2</v>
      </c>
      <c r="M21" s="172">
        <f t="shared" si="28"/>
        <v>0.47199999999999998</v>
      </c>
      <c r="N21">
        <v>8.3000000000000004E-2</v>
      </c>
      <c r="O21">
        <v>3.4000000000000002E-2</v>
      </c>
      <c r="P21" s="72">
        <f t="shared" si="29"/>
        <v>0.11700000000000001</v>
      </c>
      <c r="S21">
        <v>2029</v>
      </c>
      <c r="T21" s="3">
        <f>'ZEV Population'!C23</f>
        <v>6345591.7601482347</v>
      </c>
      <c r="U21" s="3">
        <f>'ZEV Population'!E21</f>
        <v>359319.86463186762</v>
      </c>
      <c r="V21" s="143">
        <f t="shared" si="30"/>
        <v>375755.656335134</v>
      </c>
      <c r="W21" s="219">
        <f t="shared" si="14"/>
        <v>5.9215226969841543E-2</v>
      </c>
      <c r="X21" s="101">
        <f t="shared" si="31"/>
        <v>69885.442302463227</v>
      </c>
      <c r="Y21" s="219">
        <f t="shared" si="15"/>
        <v>1.1013226968264766E-2</v>
      </c>
      <c r="Z21" s="101">
        <f t="shared" si="2"/>
        <v>445641.09863759723</v>
      </c>
      <c r="AA21" s="103">
        <f t="shared" si="16"/>
        <v>7.0228453938106311E-2</v>
      </c>
      <c r="AB21" s="84">
        <f t="shared" si="17"/>
        <v>752359.9970913484</v>
      </c>
      <c r="AC21" s="59">
        <f t="shared" si="7"/>
        <v>0.1185641978761289</v>
      </c>
      <c r="AD21" s="3">
        <f t="shared" si="18"/>
        <v>121275.81013848113</v>
      </c>
      <c r="AE21" s="59">
        <f t="shared" si="8"/>
        <v>1.9111820413680078E-2</v>
      </c>
      <c r="AF21" s="3">
        <f t="shared" si="19"/>
        <v>873635.8072298296</v>
      </c>
      <c r="AG21" s="103">
        <f t="shared" si="20"/>
        <v>0.13767601828980899</v>
      </c>
      <c r="AH21" s="143">
        <f t="shared" si="21"/>
        <v>629366.63342320418</v>
      </c>
      <c r="AI21" s="59">
        <f t="shared" si="9"/>
        <v>9.9181708690396747E-2</v>
      </c>
      <c r="AJ21" s="3">
        <f t="shared" si="22"/>
        <v>109274.63432367866</v>
      </c>
      <c r="AK21" s="59">
        <f t="shared" si="10"/>
        <v>1.7220558531664189E-2</v>
      </c>
      <c r="AL21" s="101">
        <f t="shared" si="23"/>
        <v>738641.26774688298</v>
      </c>
      <c r="AM21" s="122">
        <f t="shared" si="24"/>
        <v>0.11640226722206096</v>
      </c>
      <c r="AN21" s="143">
        <f t="shared" si="32"/>
        <v>601477.29477935645</v>
      </c>
      <c r="AO21" s="59">
        <f t="shared" si="11"/>
        <v>9.4786635748736817E-2</v>
      </c>
      <c r="AP21" s="3">
        <f t="shared" si="33"/>
        <v>98431.124442485263</v>
      </c>
      <c r="AQ21" s="59">
        <f t="shared" si="12"/>
        <v>1.551173289474044E-2</v>
      </c>
      <c r="AR21" s="101">
        <f t="shared" si="34"/>
        <v>699908.41922184173</v>
      </c>
      <c r="AS21" s="122">
        <f t="shared" si="35"/>
        <v>0.11029836864347727</v>
      </c>
      <c r="AT21" s="259">
        <f>'CARB ZEV counts'!N99</f>
        <v>0.16450186244508158</v>
      </c>
    </row>
    <row r="22" spans="1:46">
      <c r="A22">
        <v>2030</v>
      </c>
      <c r="B22" s="123">
        <f t="shared" si="3"/>
        <v>0.16600000000000001</v>
      </c>
      <c r="C22" s="41">
        <f t="shared" si="4"/>
        <v>6.0000000000000001E-3</v>
      </c>
      <c r="D22" s="41">
        <f t="shared" si="5"/>
        <v>0.17200000000000001</v>
      </c>
      <c r="E22" s="210">
        <f t="shared" si="36"/>
        <v>0.16600000000000001</v>
      </c>
      <c r="F22" s="209">
        <f t="shared" si="37"/>
        <v>6.0000000000000001E-3</v>
      </c>
      <c r="G22" s="211">
        <f t="shared" si="38"/>
        <v>0.17200000000000001</v>
      </c>
      <c r="H22" s="249">
        <f t="shared" si="25"/>
        <v>0.64114285714285724</v>
      </c>
      <c r="I22" s="250">
        <f>J22*T53</f>
        <v>3.8857142857142861E-2</v>
      </c>
      <c r="J22" s="72">
        <v>0.68</v>
      </c>
      <c r="K22" s="208">
        <f t="shared" si="26"/>
        <v>0.51291428571428577</v>
      </c>
      <c r="L22" s="124">
        <f t="shared" si="27"/>
        <v>3.1085714285714289E-2</v>
      </c>
      <c r="M22" s="172">
        <f t="shared" si="28"/>
        <v>0.54400000000000004</v>
      </c>
      <c r="N22">
        <v>8.5999999999999993E-2</v>
      </c>
      <c r="O22">
        <v>3.4000000000000002E-2</v>
      </c>
      <c r="P22" s="72">
        <f t="shared" si="29"/>
        <v>0.12</v>
      </c>
      <c r="S22">
        <v>2030</v>
      </c>
      <c r="T22" s="3">
        <f>'ZEV Population'!C27</f>
        <v>6358131.7621140713</v>
      </c>
      <c r="U22" s="3">
        <f>'ZEV Population'!E25</f>
        <v>359543.4863454767</v>
      </c>
      <c r="V22" s="143">
        <f t="shared" si="30"/>
        <v>435439.87506848312</v>
      </c>
      <c r="W22" s="219">
        <f t="shared" si="14"/>
        <v>6.8485506648843009E-2</v>
      </c>
      <c r="X22" s="101">
        <f t="shared" si="31"/>
        <v>72042.703220536117</v>
      </c>
      <c r="Y22" s="219">
        <f t="shared" si="15"/>
        <v>1.133079746000451E-2</v>
      </c>
      <c r="Z22" s="101">
        <f t="shared" si="2"/>
        <v>507482.57828901923</v>
      </c>
      <c r="AA22" s="103">
        <f t="shared" si="16"/>
        <v>7.9816304108847519E-2</v>
      </c>
      <c r="AB22" s="84">
        <f t="shared" si="17"/>
        <v>982878.73519399122</v>
      </c>
      <c r="AC22" s="59">
        <f t="shared" si="7"/>
        <v>0.15458609100406331</v>
      </c>
      <c r="AD22" s="3">
        <f t="shared" si="18"/>
        <v>135246.64275076252</v>
      </c>
      <c r="AE22" s="59">
        <f t="shared" si="8"/>
        <v>2.1271443847177079E-2</v>
      </c>
      <c r="AF22" s="3">
        <f t="shared" si="19"/>
        <v>1118125.3779447537</v>
      </c>
      <c r="AG22" s="103">
        <f t="shared" si="20"/>
        <v>0.17585753485124039</v>
      </c>
      <c r="AH22" s="142">
        <f t="shared" si="21"/>
        <v>813781.62390531844</v>
      </c>
      <c r="AI22" s="59">
        <f t="shared" si="9"/>
        <v>0.12799068253891249</v>
      </c>
      <c r="AJ22" s="3">
        <f t="shared" si="22"/>
        <v>120451.30041350378</v>
      </c>
      <c r="AK22" s="59">
        <f t="shared" si="10"/>
        <v>1.8944448608509783E-2</v>
      </c>
      <c r="AL22" s="101">
        <f t="shared" si="23"/>
        <v>934232.92431882233</v>
      </c>
      <c r="AM22" s="122">
        <f t="shared" si="24"/>
        <v>0.14693513114742229</v>
      </c>
      <c r="AN22" s="143">
        <f t="shared" si="32"/>
        <v>785892.28526147071</v>
      </c>
      <c r="AO22" s="59">
        <f t="shared" si="11"/>
        <v>0.12360427790193552</v>
      </c>
      <c r="AP22" s="3">
        <f t="shared" si="33"/>
        <v>109607.79053231038</v>
      </c>
      <c r="AQ22" s="59">
        <f t="shared" si="12"/>
        <v>1.7238993250411332E-2</v>
      </c>
      <c r="AR22" s="101">
        <f t="shared" si="34"/>
        <v>895500.07579378108</v>
      </c>
      <c r="AS22" s="122">
        <f t="shared" si="35"/>
        <v>0.14084327115234685</v>
      </c>
      <c r="AT22" s="259">
        <f>'CARB ZEV counts'!N100</f>
        <v>0.20328073306706942</v>
      </c>
    </row>
    <row r="23" spans="1:46">
      <c r="A23">
        <v>2031</v>
      </c>
      <c r="B23" s="123">
        <f t="shared" si="3"/>
        <v>0.16600000000000001</v>
      </c>
      <c r="C23" s="41">
        <f t="shared" si="4"/>
        <v>6.0000000000000001E-3</v>
      </c>
      <c r="D23" s="41">
        <f t="shared" si="5"/>
        <v>0.17200000000000001</v>
      </c>
      <c r="E23" s="210">
        <f t="shared" si="36"/>
        <v>0.16600000000000001</v>
      </c>
      <c r="F23" s="209">
        <f t="shared" si="37"/>
        <v>6.0000000000000001E-3</v>
      </c>
      <c r="G23" s="211">
        <f t="shared" si="38"/>
        <v>0.17200000000000001</v>
      </c>
      <c r="H23" s="142">
        <v>0.72599999999999998</v>
      </c>
      <c r="I23" s="28">
        <v>3.4000000000000002E-2</v>
      </c>
      <c r="J23" s="72">
        <v>0.76</v>
      </c>
      <c r="K23" s="142">
        <f t="shared" si="26"/>
        <v>0.58079999999999998</v>
      </c>
      <c r="L23" s="28">
        <f t="shared" si="27"/>
        <v>2.7200000000000002E-2</v>
      </c>
      <c r="M23" s="172">
        <f t="shared" si="28"/>
        <v>0.6080000000000001</v>
      </c>
      <c r="N23">
        <v>8.5999999999999993E-2</v>
      </c>
      <c r="O23">
        <v>3.4000000000000002E-2</v>
      </c>
      <c r="P23" s="72">
        <f t="shared" si="29"/>
        <v>0.12</v>
      </c>
      <c r="S23">
        <v>2031</v>
      </c>
      <c r="T23" s="3">
        <f>'ZEV Population'!C31</f>
        <v>6370301.2933248272</v>
      </c>
      <c r="U23" s="3">
        <f>'ZEV Population'!E29</f>
        <v>361516.1143937225</v>
      </c>
      <c r="V23" s="143">
        <f t="shared" si="30"/>
        <v>495451.55005784106</v>
      </c>
      <c r="W23" s="219">
        <f t="shared" si="14"/>
        <v>7.7775214584748772E-2</v>
      </c>
      <c r="X23" s="101">
        <f t="shared" si="31"/>
        <v>74211.799906898465</v>
      </c>
      <c r="Y23" s="219">
        <f t="shared" si="15"/>
        <v>1.1649653052464239E-2</v>
      </c>
      <c r="Z23" s="101">
        <f t="shared" si="2"/>
        <v>569663.34996473952</v>
      </c>
      <c r="AA23" s="103">
        <f t="shared" si="16"/>
        <v>8.942486763721301E-2</v>
      </c>
      <c r="AB23" s="84">
        <f t="shared" si="17"/>
        <v>1245339.4342438336</v>
      </c>
      <c r="AC23" s="59">
        <f t="shared" si="7"/>
        <v>0.19549144960361181</v>
      </c>
      <c r="AD23" s="3">
        <f t="shared" si="18"/>
        <v>147538.19064014909</v>
      </c>
      <c r="AE23" s="59">
        <f t="shared" si="8"/>
        <v>2.316031594843845E-2</v>
      </c>
      <c r="AF23" s="3">
        <f t="shared" si="19"/>
        <v>1392877.6248839828</v>
      </c>
      <c r="AG23" s="103">
        <f t="shared" si="20"/>
        <v>0.21865176555205029</v>
      </c>
      <c r="AH23" s="142">
        <f t="shared" si="21"/>
        <v>1023750.1831451925</v>
      </c>
      <c r="AI23" s="59">
        <f t="shared" si="9"/>
        <v>0.16070671323159197</v>
      </c>
      <c r="AJ23" s="3">
        <f t="shared" si="22"/>
        <v>130284.53872501303</v>
      </c>
      <c r="AK23" s="59">
        <f t="shared" si="10"/>
        <v>2.0451864476415386E-2</v>
      </c>
      <c r="AL23" s="101">
        <f t="shared" si="23"/>
        <v>1154034.7218702056</v>
      </c>
      <c r="AM23" s="122">
        <f t="shared" si="24"/>
        <v>0.18115857770800736</v>
      </c>
      <c r="AN23" s="143">
        <f t="shared" si="32"/>
        <v>995860.84450134472</v>
      </c>
      <c r="AO23" s="59">
        <f t="shared" si="11"/>
        <v>0.15632868818070908</v>
      </c>
      <c r="AP23" s="3">
        <f t="shared" si="33"/>
        <v>119441.02884381963</v>
      </c>
      <c r="AQ23" s="59">
        <f t="shared" si="12"/>
        <v>1.8749667141957149E-2</v>
      </c>
      <c r="AR23" s="101">
        <f t="shared" si="34"/>
        <v>1115301.8733451643</v>
      </c>
      <c r="AS23" s="122">
        <f t="shared" si="35"/>
        <v>0.17507835532266625</v>
      </c>
      <c r="AT23" s="259">
        <f>'CARB ZEV counts'!N101</f>
        <v>0.24597459938694693</v>
      </c>
    </row>
    <row r="24" spans="1:46">
      <c r="A24">
        <v>2032</v>
      </c>
      <c r="B24" s="123">
        <f t="shared" si="3"/>
        <v>0.16600000000000001</v>
      </c>
      <c r="C24" s="41">
        <f t="shared" si="4"/>
        <v>6.0000000000000001E-3</v>
      </c>
      <c r="D24" s="41">
        <f t="shared" si="5"/>
        <v>0.17200000000000001</v>
      </c>
      <c r="E24" s="210">
        <f t="shared" si="36"/>
        <v>0.16600000000000001</v>
      </c>
      <c r="F24" s="209">
        <f t="shared" si="37"/>
        <v>6.0000000000000001E-3</v>
      </c>
      <c r="G24" s="211">
        <f t="shared" si="38"/>
        <v>0.17200000000000001</v>
      </c>
      <c r="H24" s="142">
        <v>0.78600000000000003</v>
      </c>
      <c r="I24" s="28">
        <v>3.4000000000000002E-2</v>
      </c>
      <c r="J24" s="72">
        <f t="shared" ref="J24:J32" si="39">SUM(H24:I24)</f>
        <v>0.82000000000000006</v>
      </c>
      <c r="K24" s="142">
        <f t="shared" si="26"/>
        <v>0.62880000000000003</v>
      </c>
      <c r="L24" s="28">
        <f t="shared" si="27"/>
        <v>2.7200000000000002E-2</v>
      </c>
      <c r="M24" s="172">
        <f t="shared" si="28"/>
        <v>0.65600000000000014</v>
      </c>
      <c r="N24">
        <v>8.5999999999999993E-2</v>
      </c>
      <c r="O24">
        <v>3.4000000000000002E-2</v>
      </c>
      <c r="P24" s="72">
        <f t="shared" si="29"/>
        <v>0.12</v>
      </c>
      <c r="S24">
        <v>2032</v>
      </c>
      <c r="T24" s="3">
        <f>'ZEV Population'!C35</f>
        <v>6382470.8245355822</v>
      </c>
      <c r="U24" s="3">
        <f>'ZEV Population'!E33</f>
        <v>363489.27764090337</v>
      </c>
      <c r="V24" s="143">
        <f t="shared" si="30"/>
        <v>555790.77014623105</v>
      </c>
      <c r="W24" s="219">
        <f t="shared" si="14"/>
        <v>8.7080816415118195E-2</v>
      </c>
      <c r="X24" s="101">
        <f t="shared" si="31"/>
        <v>76392.735572743812</v>
      </c>
      <c r="Y24" s="219">
        <f t="shared" si="15"/>
        <v>1.1969147634654875E-2</v>
      </c>
      <c r="Z24" s="101">
        <f t="shared" si="2"/>
        <v>632183.50571897486</v>
      </c>
      <c r="AA24" s="103">
        <f t="shared" si="16"/>
        <v>9.9049964049773065E-2</v>
      </c>
      <c r="AB24" s="84">
        <f t="shared" si="17"/>
        <v>1531042.0064695836</v>
      </c>
      <c r="AC24" s="59">
        <f t="shared" si="7"/>
        <v>0.23988233531502107</v>
      </c>
      <c r="AD24" s="3">
        <f t="shared" si="18"/>
        <v>159896.82607993981</v>
      </c>
      <c r="AE24" s="59">
        <f t="shared" si="8"/>
        <v>2.505249620025872E-2</v>
      </c>
      <c r="AF24" s="3">
        <f t="shared" si="19"/>
        <v>1690938.8325495236</v>
      </c>
      <c r="AG24" s="103">
        <f t="shared" si="20"/>
        <v>0.2649348315152798</v>
      </c>
      <c r="AH24" s="142">
        <f t="shared" si="21"/>
        <v>1252312.2409257926</v>
      </c>
      <c r="AI24" s="59">
        <f t="shared" si="9"/>
        <v>0.19621119709809509</v>
      </c>
      <c r="AJ24" s="3">
        <f t="shared" si="22"/>
        <v>140171.44707684559</v>
      </c>
      <c r="AK24" s="59">
        <f t="shared" si="10"/>
        <v>2.1961940905079674E-2</v>
      </c>
      <c r="AL24" s="101">
        <f t="shared" si="23"/>
        <v>1392483.6880026383</v>
      </c>
      <c r="AM24" s="122">
        <f t="shared" si="24"/>
        <v>0.21817313800317478</v>
      </c>
      <c r="AN24" s="143">
        <f t="shared" si="32"/>
        <v>1224422.9022819446</v>
      </c>
      <c r="AO24" s="59">
        <f t="shared" si="11"/>
        <v>0.1918415196783981</v>
      </c>
      <c r="AP24" s="3">
        <f t="shared" si="33"/>
        <v>129327.93719565219</v>
      </c>
      <c r="AQ24" s="59">
        <f t="shared" si="12"/>
        <v>2.0262989170038655E-2</v>
      </c>
      <c r="AR24" s="101">
        <f t="shared" si="34"/>
        <v>1353750.839477597</v>
      </c>
      <c r="AS24" s="122">
        <f t="shared" si="35"/>
        <v>0.21210450884843679</v>
      </c>
      <c r="AT24" s="259">
        <f>'CARB ZEV counts'!N102</f>
        <v>0.29095241888332357</v>
      </c>
    </row>
    <row r="25" spans="1:46">
      <c r="A25">
        <v>2033</v>
      </c>
      <c r="B25" s="123">
        <f t="shared" si="3"/>
        <v>0.16600000000000001</v>
      </c>
      <c r="C25" s="41">
        <f t="shared" si="4"/>
        <v>6.0000000000000001E-3</v>
      </c>
      <c r="D25" s="41">
        <f t="shared" si="5"/>
        <v>0.17200000000000001</v>
      </c>
      <c r="E25" s="210">
        <f t="shared" si="36"/>
        <v>0.16600000000000001</v>
      </c>
      <c r="F25" s="209">
        <f t="shared" si="37"/>
        <v>6.0000000000000001E-3</v>
      </c>
      <c r="G25" s="211">
        <f t="shared" si="38"/>
        <v>0.17200000000000001</v>
      </c>
      <c r="H25" s="142">
        <v>0.81299999999999994</v>
      </c>
      <c r="I25" s="28">
        <v>6.7000000000000004E-2</v>
      </c>
      <c r="J25" s="72">
        <f t="shared" si="39"/>
        <v>0.87999999999999989</v>
      </c>
      <c r="K25" s="142">
        <f t="shared" si="26"/>
        <v>0.65039999999999998</v>
      </c>
      <c r="L25" s="28">
        <f t="shared" si="27"/>
        <v>5.3600000000000009E-2</v>
      </c>
      <c r="M25" s="172">
        <f t="shared" si="28"/>
        <v>0.70399999999999996</v>
      </c>
      <c r="N25">
        <v>8.5999999999999993E-2</v>
      </c>
      <c r="O25">
        <v>3.4000000000000002E-2</v>
      </c>
      <c r="P25" s="72">
        <f t="shared" si="29"/>
        <v>0.12</v>
      </c>
      <c r="S25">
        <v>2033</v>
      </c>
      <c r="T25" s="3">
        <f>'ZEV Population'!C39</f>
        <v>6394640.3557463381</v>
      </c>
      <c r="U25" s="3">
        <f>'ZEV Population'!E37</f>
        <v>365462.97608701931</v>
      </c>
      <c r="V25" s="143">
        <f t="shared" si="30"/>
        <v>616457.62417667627</v>
      </c>
      <c r="W25" s="219">
        <f t="shared" si="14"/>
        <v>9.6402235291108501E-2</v>
      </c>
      <c r="X25" s="101">
        <f t="shared" si="31"/>
        <v>78585.513429265935</v>
      </c>
      <c r="Y25" s="219">
        <f t="shared" si="15"/>
        <v>1.2289278060594539E-2</v>
      </c>
      <c r="Z25" s="101">
        <f t="shared" si="2"/>
        <v>695043.1376059422</v>
      </c>
      <c r="AA25" s="103">
        <f t="shared" si="16"/>
        <v>0.10869151335170305</v>
      </c>
      <c r="AB25" s="84">
        <f t="shared" si="17"/>
        <v>1828163.4060283303</v>
      </c>
      <c r="AC25" s="59">
        <f t="shared" si="7"/>
        <v>0.28588994913302823</v>
      </c>
      <c r="AD25" s="3">
        <f t="shared" si="18"/>
        <v>184382.84547777011</v>
      </c>
      <c r="AE25" s="59">
        <f t="shared" si="8"/>
        <v>2.8833966450056942E-2</v>
      </c>
      <c r="AF25" s="3">
        <f t="shared" si="19"/>
        <v>2012546.2515061004</v>
      </c>
      <c r="AG25" s="103">
        <f t="shared" si="20"/>
        <v>0.31472391558308521</v>
      </c>
      <c r="AH25" s="142">
        <f t="shared" si="21"/>
        <v>1490009.36057279</v>
      </c>
      <c r="AI25" s="59">
        <f t="shared" si="9"/>
        <v>0.23300909475445963</v>
      </c>
      <c r="AJ25" s="3">
        <f t="shared" si="22"/>
        <v>159760.26259510982</v>
      </c>
      <c r="AK25" s="59">
        <f t="shared" si="10"/>
        <v>2.4983463292278258E-2</v>
      </c>
      <c r="AL25" s="101">
        <f t="shared" si="23"/>
        <v>1649769.6231678999</v>
      </c>
      <c r="AM25" s="122">
        <f t="shared" si="24"/>
        <v>0.25799255804673793</v>
      </c>
      <c r="AN25" s="143">
        <f t="shared" si="32"/>
        <v>1462120.0219289421</v>
      </c>
      <c r="AO25" s="59">
        <f t="shared" si="11"/>
        <v>0.22864773319347895</v>
      </c>
      <c r="AP25" s="3">
        <f t="shared" si="33"/>
        <v>148916.75271391642</v>
      </c>
      <c r="AQ25" s="59">
        <f t="shared" si="12"/>
        <v>2.3287744803364454E-2</v>
      </c>
      <c r="AR25" s="101">
        <f t="shared" si="34"/>
        <v>1611036.7746428587</v>
      </c>
      <c r="AS25" s="122">
        <f t="shared" si="35"/>
        <v>0.25193547799684346</v>
      </c>
      <c r="AT25" s="259">
        <f>'CARB ZEV counts'!N103</f>
        <v>0.33762533244446724</v>
      </c>
    </row>
    <row r="26" spans="1:46">
      <c r="A26">
        <v>2034</v>
      </c>
      <c r="B26" s="123">
        <f t="shared" si="3"/>
        <v>0.16600000000000001</v>
      </c>
      <c r="C26" s="41">
        <f t="shared" si="4"/>
        <v>6.0000000000000001E-3</v>
      </c>
      <c r="D26" s="41">
        <f t="shared" si="5"/>
        <v>0.17200000000000001</v>
      </c>
      <c r="E26" s="210">
        <f t="shared" si="36"/>
        <v>0.16600000000000001</v>
      </c>
      <c r="F26" s="209">
        <f t="shared" si="37"/>
        <v>6.0000000000000001E-3</v>
      </c>
      <c r="G26" s="211">
        <f t="shared" si="38"/>
        <v>0.17200000000000001</v>
      </c>
      <c r="H26" s="142">
        <v>0.82699999999999996</v>
      </c>
      <c r="I26" s="28">
        <v>0.113</v>
      </c>
      <c r="J26" s="72">
        <f t="shared" si="39"/>
        <v>0.94</v>
      </c>
      <c r="K26" s="142">
        <f t="shared" si="26"/>
        <v>0.66159999999999997</v>
      </c>
      <c r="L26" s="28">
        <f t="shared" si="27"/>
        <v>9.0400000000000008E-2</v>
      </c>
      <c r="M26" s="172">
        <f t="shared" si="28"/>
        <v>0.752</v>
      </c>
      <c r="N26">
        <v>8.5999999999999993E-2</v>
      </c>
      <c r="O26">
        <v>3.4000000000000002E-2</v>
      </c>
      <c r="P26" s="72">
        <f t="shared" si="29"/>
        <v>0.12</v>
      </c>
      <c r="S26">
        <v>2034</v>
      </c>
      <c r="T26" s="3">
        <f>'ZEV Population'!C43</f>
        <v>6406809.8869570931</v>
      </c>
      <c r="U26" s="3">
        <f>'ZEV Population'!E41</f>
        <v>367437.20973207033</v>
      </c>
      <c r="V26" s="143">
        <f t="shared" si="30"/>
        <v>677452.20099219994</v>
      </c>
      <c r="W26" s="219">
        <f t="shared" si="14"/>
        <v>0.10573939494776473</v>
      </c>
      <c r="X26" s="101">
        <f t="shared" si="31"/>
        <v>80790.136687658378</v>
      </c>
      <c r="Y26" s="219">
        <f t="shared" si="15"/>
        <v>1.2610041208204097E-2</v>
      </c>
      <c r="Z26" s="101">
        <f t="shared" si="2"/>
        <v>758242.33767985832</v>
      </c>
      <c r="AA26" s="103">
        <f t="shared" si="16"/>
        <v>0.11834943615596882</v>
      </c>
      <c r="AB26" s="84">
        <f t="shared" si="17"/>
        <v>2132033.9784767525</v>
      </c>
      <c r="AC26" s="59">
        <f t="shared" si="7"/>
        <v>0.33277622031787174</v>
      </c>
      <c r="AD26" s="3">
        <f t="shared" si="18"/>
        <v>225903.25017749408</v>
      </c>
      <c r="AE26" s="59">
        <f t="shared" si="8"/>
        <v>3.5259864763177259E-2</v>
      </c>
      <c r="AF26" s="3">
        <f t="shared" si="19"/>
        <v>2357937.2286542463</v>
      </c>
      <c r="AG26" s="103">
        <f t="shared" si="20"/>
        <v>0.36803608508104896</v>
      </c>
      <c r="AH26" s="142">
        <f t="shared" si="21"/>
        <v>1733105.8185315276</v>
      </c>
      <c r="AI26" s="59">
        <f t="shared" si="9"/>
        <v>0.27050994943049017</v>
      </c>
      <c r="AJ26" s="3">
        <f t="shared" si="22"/>
        <v>192976.58635488898</v>
      </c>
      <c r="AK26" s="59">
        <f t="shared" si="10"/>
        <v>3.0120542010735857E-2</v>
      </c>
      <c r="AL26" s="101">
        <f t="shared" si="23"/>
        <v>1926082.4048864169</v>
      </c>
      <c r="AM26" s="122">
        <f t="shared" si="24"/>
        <v>0.30063049144122606</v>
      </c>
      <c r="AN26" s="143">
        <f t="shared" si="32"/>
        <v>1705216.4798876797</v>
      </c>
      <c r="AO26" s="59">
        <f t="shared" si="11"/>
        <v>0.2661568721368085</v>
      </c>
      <c r="AP26" s="3">
        <f t="shared" si="33"/>
        <v>182133.07647369558</v>
      </c>
      <c r="AQ26" s="59">
        <f t="shared" si="12"/>
        <v>2.8428044485053303E-2</v>
      </c>
      <c r="AR26" s="101">
        <f t="shared" si="34"/>
        <v>1887349.5563613756</v>
      </c>
      <c r="AS26" s="122">
        <f t="shared" si="35"/>
        <v>0.29458491662186187</v>
      </c>
      <c r="AT26" s="259">
        <f>'CARB ZEV counts'!N104</f>
        <v>0.38636488026191385</v>
      </c>
    </row>
    <row r="27" spans="1:46">
      <c r="A27">
        <v>2035</v>
      </c>
      <c r="B27" s="123">
        <f t="shared" si="3"/>
        <v>0.16600000000000001</v>
      </c>
      <c r="C27" s="41">
        <f t="shared" si="4"/>
        <v>6.0000000000000001E-3</v>
      </c>
      <c r="D27" s="41">
        <f t="shared" si="5"/>
        <v>0.17200000000000001</v>
      </c>
      <c r="E27" s="210">
        <f t="shared" si="36"/>
        <v>0.16600000000000001</v>
      </c>
      <c r="F27" s="209">
        <f t="shared" si="37"/>
        <v>6.0000000000000001E-3</v>
      </c>
      <c r="G27" s="211">
        <f t="shared" si="38"/>
        <v>0.17200000000000001</v>
      </c>
      <c r="H27" s="142">
        <v>0.82699999999999996</v>
      </c>
      <c r="I27" s="28">
        <v>0.17299999999999999</v>
      </c>
      <c r="J27" s="72">
        <f t="shared" si="39"/>
        <v>1</v>
      </c>
      <c r="K27" s="142">
        <f t="shared" si="26"/>
        <v>0.66159999999999997</v>
      </c>
      <c r="L27" s="28">
        <f t="shared" si="27"/>
        <v>0.1384</v>
      </c>
      <c r="M27" s="172">
        <f t="shared" si="28"/>
        <v>0.8</v>
      </c>
      <c r="N27">
        <v>8.5999999999999993E-2</v>
      </c>
      <c r="O27">
        <v>3.4000000000000002E-2</v>
      </c>
      <c r="P27" s="72">
        <f t="shared" si="29"/>
        <v>0.12</v>
      </c>
      <c r="S27">
        <v>2035</v>
      </c>
      <c r="T27" s="3">
        <f>'ZEV Population'!C47</f>
        <v>6418979.4181678491</v>
      </c>
      <c r="U27" s="3">
        <f>'ZEV Population'!E45</f>
        <v>369411.97857605643</v>
      </c>
      <c r="V27" s="143">
        <f t="shared" si="30"/>
        <v>738774.58943582536</v>
      </c>
      <c r="W27" s="219">
        <f t="shared" si="14"/>
        <v>0.11509221969848467</v>
      </c>
      <c r="X27" s="101">
        <f t="shared" si="31"/>
        <v>83006.608559114626</v>
      </c>
      <c r="Y27" s="219">
        <f t="shared" si="15"/>
        <v>1.2931433979080581E-2</v>
      </c>
      <c r="Z27" s="101">
        <f t="shared" si="2"/>
        <v>821781.19799493998</v>
      </c>
      <c r="AA27" s="103">
        <f t="shared" si="16"/>
        <v>0.12802365367756524</v>
      </c>
      <c r="AB27" s="84">
        <f t="shared" si="17"/>
        <v>2437537.6847591512</v>
      </c>
      <c r="AC27" s="59">
        <f t="shared" si="7"/>
        <v>0.37973913389722169</v>
      </c>
      <c r="AD27" s="3">
        <f t="shared" si="18"/>
        <v>289811.52247115184</v>
      </c>
      <c r="AE27" s="59">
        <f t="shared" si="8"/>
        <v>4.5149159015978262E-2</v>
      </c>
      <c r="AF27" s="3">
        <f t="shared" si="19"/>
        <v>2727349.2072303025</v>
      </c>
      <c r="AG27" s="103">
        <f t="shared" si="20"/>
        <v>0.42488829291319991</v>
      </c>
      <c r="AH27" s="142">
        <f t="shared" si="21"/>
        <v>1977508.7835574467</v>
      </c>
      <c r="AI27" s="59">
        <f t="shared" si="9"/>
        <v>0.30807214897128948</v>
      </c>
      <c r="AJ27" s="3">
        <f t="shared" si="22"/>
        <v>244103.20418981518</v>
      </c>
      <c r="AK27" s="59">
        <f t="shared" si="10"/>
        <v>3.8028351282592035E-2</v>
      </c>
      <c r="AL27" s="28">
        <f t="shared" si="23"/>
        <v>2221611.9877472622</v>
      </c>
      <c r="AM27" s="122">
        <f t="shared" si="24"/>
        <v>0.34610050025388156</v>
      </c>
      <c r="AN27" s="143">
        <f t="shared" si="32"/>
        <v>1949619.4449135987</v>
      </c>
      <c r="AO27" s="59">
        <f t="shared" si="11"/>
        <v>0.30372732453316903</v>
      </c>
      <c r="AP27" s="3">
        <f t="shared" si="33"/>
        <v>233259.69430862178</v>
      </c>
      <c r="AQ27" s="59">
        <f t="shared" si="12"/>
        <v>3.6339062507104974E-2</v>
      </c>
      <c r="AR27" s="101">
        <f t="shared" si="34"/>
        <v>2182879.1392222205</v>
      </c>
      <c r="AS27" s="122">
        <f t="shared" si="35"/>
        <v>0.34006638704027398</v>
      </c>
      <c r="AT27" s="259">
        <f>'CARB ZEV counts'!N105</f>
        <v>0.43618736134651354</v>
      </c>
    </row>
    <row r="28" spans="1:46">
      <c r="A28">
        <v>2036</v>
      </c>
      <c r="B28" s="123">
        <f t="shared" si="3"/>
        <v>0.16600000000000001</v>
      </c>
      <c r="C28" s="41">
        <f t="shared" si="4"/>
        <v>6.0000000000000001E-3</v>
      </c>
      <c r="D28" s="41">
        <f t="shared" si="5"/>
        <v>0.17200000000000001</v>
      </c>
      <c r="E28" s="210">
        <f t="shared" si="36"/>
        <v>0.16600000000000001</v>
      </c>
      <c r="F28" s="209">
        <f t="shared" si="37"/>
        <v>6.0000000000000001E-3</v>
      </c>
      <c r="G28" s="211">
        <f t="shared" si="38"/>
        <v>0.17200000000000001</v>
      </c>
      <c r="H28" s="142">
        <v>0.82699999999999996</v>
      </c>
      <c r="I28" s="28">
        <v>0.17299999999999999</v>
      </c>
      <c r="J28" s="72">
        <f t="shared" si="39"/>
        <v>1</v>
      </c>
      <c r="K28" s="142">
        <f t="shared" si="26"/>
        <v>0.66159999999999997</v>
      </c>
      <c r="L28" s="28">
        <f t="shared" si="27"/>
        <v>0.1384</v>
      </c>
      <c r="M28" s="172">
        <f t="shared" si="28"/>
        <v>0.8</v>
      </c>
      <c r="N28">
        <v>8.5999999999999993E-2</v>
      </c>
      <c r="O28">
        <v>3.4000000000000002E-2</v>
      </c>
      <c r="P28" s="72">
        <f t="shared" ref="P28:P32" si="40">N28+O28</f>
        <v>0.12</v>
      </c>
      <c r="S28">
        <v>2036</v>
      </c>
      <c r="T28" s="3">
        <f>T27+(T32-T27)/5</f>
        <v>6432472.53179322</v>
      </c>
      <c r="U28" s="3">
        <f>U27+(U32-U27)/5</f>
        <v>369919.81513977272</v>
      </c>
      <c r="V28" s="143">
        <f t="shared" si="30"/>
        <v>800181.27874902764</v>
      </c>
      <c r="W28" s="219">
        <f t="shared" si="14"/>
        <v>0.1243971544058745</v>
      </c>
      <c r="X28" s="101">
        <f t="shared" si="31"/>
        <v>85226.12744995323</v>
      </c>
      <c r="Y28" s="219">
        <f t="shared" si="15"/>
        <v>1.324935738609275E-2</v>
      </c>
      <c r="Z28" s="101">
        <f t="shared" si="2"/>
        <v>885407.40619898087</v>
      </c>
      <c r="AA28" s="103">
        <f t="shared" si="16"/>
        <v>0.13764651179196724</v>
      </c>
      <c r="AB28" s="84">
        <f t="shared" si="17"/>
        <v>2743461.3718797434</v>
      </c>
      <c r="AC28" s="59">
        <f t="shared" si="7"/>
        <v>0.42650184020528292</v>
      </c>
      <c r="AD28" s="3">
        <f t="shared" si="18"/>
        <v>353807.65049033251</v>
      </c>
      <c r="AE28" s="59">
        <f t="shared" si="8"/>
        <v>5.5003367482969939E-2</v>
      </c>
      <c r="AF28" s="3">
        <f t="shared" si="19"/>
        <v>3097269.0223700753</v>
      </c>
      <c r="AG28" s="103">
        <f t="shared" si="20"/>
        <v>0.48150520768825272</v>
      </c>
      <c r="AH28" s="142">
        <f t="shared" si="21"/>
        <v>2222247.7332539205</v>
      </c>
      <c r="AI28" s="59">
        <f t="shared" si="9"/>
        <v>0.34547333428478871</v>
      </c>
      <c r="AJ28" s="3">
        <f t="shared" si="22"/>
        <v>295300.1066051597</v>
      </c>
      <c r="AK28" s="59">
        <f t="shared" si="10"/>
        <v>4.5907713580680784E-2</v>
      </c>
      <c r="AL28" s="28">
        <f t="shared" si="23"/>
        <v>2517547.8398590805</v>
      </c>
      <c r="AM28" s="122">
        <f t="shared" si="24"/>
        <v>0.39138104786546957</v>
      </c>
      <c r="AN28" s="143">
        <f t="shared" si="32"/>
        <v>2194358.3946100725</v>
      </c>
      <c r="AO28" s="59">
        <f t="shared" si="11"/>
        <v>0.34113762379306073</v>
      </c>
      <c r="AP28" s="3">
        <f t="shared" si="33"/>
        <v>284456.5967239663</v>
      </c>
      <c r="AQ28" s="59">
        <f t="shared" si="12"/>
        <v>4.4221968351673101E-2</v>
      </c>
      <c r="AR28" s="101">
        <f t="shared" si="34"/>
        <v>2478814.9913340388</v>
      </c>
      <c r="AS28" s="122">
        <f t="shared" si="35"/>
        <v>0.38535959214473386</v>
      </c>
      <c r="AT28" s="259">
        <f>'CARB ZEV counts'!N106</f>
        <v>0.48419723328571068</v>
      </c>
    </row>
    <row r="29" spans="1:46">
      <c r="A29">
        <v>2037</v>
      </c>
      <c r="B29" s="123">
        <f t="shared" si="3"/>
        <v>0.16600000000000001</v>
      </c>
      <c r="C29" s="41">
        <f t="shared" si="4"/>
        <v>6.0000000000000001E-3</v>
      </c>
      <c r="D29" s="41">
        <f t="shared" si="5"/>
        <v>0.17200000000000001</v>
      </c>
      <c r="E29" s="210">
        <f t="shared" si="36"/>
        <v>0.16600000000000001</v>
      </c>
      <c r="F29" s="209">
        <f t="shared" si="37"/>
        <v>6.0000000000000001E-3</v>
      </c>
      <c r="G29" s="211">
        <f t="shared" si="38"/>
        <v>0.17200000000000001</v>
      </c>
      <c r="H29" s="142">
        <v>0.82699999999999996</v>
      </c>
      <c r="I29" s="28">
        <v>0.17299999999999999</v>
      </c>
      <c r="J29" s="72">
        <f t="shared" si="39"/>
        <v>1</v>
      </c>
      <c r="K29" s="142">
        <f t="shared" si="26"/>
        <v>0.66159999999999997</v>
      </c>
      <c r="L29" s="28">
        <f t="shared" si="27"/>
        <v>0.1384</v>
      </c>
      <c r="M29" s="172">
        <f t="shared" si="28"/>
        <v>0.8</v>
      </c>
      <c r="N29">
        <v>8.5999999999999993E-2</v>
      </c>
      <c r="O29">
        <v>3.4000000000000002E-2</v>
      </c>
      <c r="P29" s="72">
        <f t="shared" si="40"/>
        <v>0.12</v>
      </c>
      <c r="S29">
        <v>2037</v>
      </c>
      <c r="T29" s="3">
        <f>T27+(T32-T27)/5*2</f>
        <v>6445965.6454185909</v>
      </c>
      <c r="U29" s="3">
        <f>U27+(U32-U27)/5*2</f>
        <v>370427.65170348901</v>
      </c>
      <c r="V29" s="143">
        <f t="shared" si="30"/>
        <v>861672.26893180679</v>
      </c>
      <c r="W29" s="219">
        <f t="shared" si="14"/>
        <v>0.13367621180920072</v>
      </c>
      <c r="X29" s="101">
        <f t="shared" si="31"/>
        <v>87448.693360174191</v>
      </c>
      <c r="Y29" s="219">
        <f t="shared" si="15"/>
        <v>1.3566422499059939E-2</v>
      </c>
      <c r="Z29" s="101">
        <f t="shared" si="2"/>
        <v>949120.96229198098</v>
      </c>
      <c r="AA29" s="103">
        <f t="shared" si="16"/>
        <v>0.14724263430826065</v>
      </c>
      <c r="AB29" s="84">
        <f t="shared" si="17"/>
        <v>3049805.0398385287</v>
      </c>
      <c r="AC29" s="59">
        <f t="shared" si="7"/>
        <v>0.47313392711085095</v>
      </c>
      <c r="AD29" s="3">
        <f t="shared" si="18"/>
        <v>417891.63423503609</v>
      </c>
      <c r="AE29" s="59">
        <f t="shared" si="8"/>
        <v>6.4829950580336804E-2</v>
      </c>
      <c r="AF29" s="3">
        <f t="shared" si="19"/>
        <v>3467696.6740735644</v>
      </c>
      <c r="AG29" s="103">
        <f t="shared" si="20"/>
        <v>0.5379638776911877</v>
      </c>
      <c r="AH29" s="142">
        <f t="shared" si="21"/>
        <v>2467322.667620949</v>
      </c>
      <c r="AI29" s="59">
        <f t="shared" si="9"/>
        <v>0.3827700616702131</v>
      </c>
      <c r="AJ29" s="3">
        <f t="shared" si="22"/>
        <v>346567.29360092257</v>
      </c>
      <c r="AK29" s="59">
        <f t="shared" si="10"/>
        <v>5.3764992347925714E-2</v>
      </c>
      <c r="AL29" s="28">
        <f t="shared" si="23"/>
        <v>2813889.9612218719</v>
      </c>
      <c r="AM29" s="122">
        <f t="shared" si="24"/>
        <v>0.43653505401813886</v>
      </c>
      <c r="AN29" s="143">
        <f t="shared" si="32"/>
        <v>2439433.328977101</v>
      </c>
      <c r="AO29" s="59">
        <f t="shared" si="11"/>
        <v>0.37844342696906941</v>
      </c>
      <c r="AP29" s="3">
        <f t="shared" si="33"/>
        <v>335723.78371972917</v>
      </c>
      <c r="AQ29" s="59">
        <f t="shared" si="12"/>
        <v>5.2082775830234476E-2</v>
      </c>
      <c r="AR29" s="101">
        <f t="shared" si="34"/>
        <v>2775157.1126968302</v>
      </c>
      <c r="AS29" s="122">
        <f t="shared" si="35"/>
        <v>0.43052620279930393</v>
      </c>
      <c r="AT29" s="259">
        <f>'CARB ZEV counts'!N107</f>
        <v>0.52944664064077873</v>
      </c>
    </row>
    <row r="30" spans="1:46">
      <c r="A30">
        <v>2038</v>
      </c>
      <c r="B30" s="123">
        <f t="shared" si="3"/>
        <v>0.16600000000000001</v>
      </c>
      <c r="C30" s="41">
        <f t="shared" si="4"/>
        <v>6.0000000000000001E-3</v>
      </c>
      <c r="D30" s="41">
        <f t="shared" si="5"/>
        <v>0.17200000000000001</v>
      </c>
      <c r="E30" s="210">
        <f t="shared" si="36"/>
        <v>0.16600000000000001</v>
      </c>
      <c r="F30" s="209">
        <f t="shared" si="37"/>
        <v>6.0000000000000001E-3</v>
      </c>
      <c r="G30" s="211">
        <f t="shared" si="38"/>
        <v>0.17200000000000001</v>
      </c>
      <c r="H30" s="142">
        <v>0.82699999999999996</v>
      </c>
      <c r="I30" s="28">
        <v>0.17299999999999999</v>
      </c>
      <c r="J30" s="72">
        <f t="shared" si="39"/>
        <v>1</v>
      </c>
      <c r="K30" s="142">
        <f t="shared" si="26"/>
        <v>0.66159999999999997</v>
      </c>
      <c r="L30" s="28">
        <f t="shared" si="27"/>
        <v>0.1384</v>
      </c>
      <c r="M30" s="172">
        <f t="shared" si="28"/>
        <v>0.8</v>
      </c>
      <c r="N30">
        <v>8.5999999999999993E-2</v>
      </c>
      <c r="O30">
        <v>3.4000000000000002E-2</v>
      </c>
      <c r="P30" s="72">
        <f t="shared" si="40"/>
        <v>0.12</v>
      </c>
      <c r="S30">
        <v>2038</v>
      </c>
      <c r="T30" s="3">
        <f>T27+(T32-T27)/5*3</f>
        <v>6459458.7590439608</v>
      </c>
      <c r="U30" s="3">
        <f>U27+(U32-U27)/5*3</f>
        <v>370935.48826720536</v>
      </c>
      <c r="V30" s="143">
        <f t="shared" si="30"/>
        <v>923247.55998416292</v>
      </c>
      <c r="W30" s="219">
        <f t="shared" si="14"/>
        <v>0.14292955407316651</v>
      </c>
      <c r="X30" s="101">
        <f t="shared" si="31"/>
        <v>89674.306289777393</v>
      </c>
      <c r="Y30" s="219">
        <f t="shared" si="15"/>
        <v>1.3882634696633582E-2</v>
      </c>
      <c r="Z30" s="101">
        <f t="shared" si="2"/>
        <v>1012921.8662739403</v>
      </c>
      <c r="AA30" s="103">
        <f t="shared" si="16"/>
        <v>0.1568121887698001</v>
      </c>
      <c r="AB30" s="84">
        <f t="shared" si="17"/>
        <v>3356568.6886355076</v>
      </c>
      <c r="AC30" s="59">
        <f t="shared" si="7"/>
        <v>0.51963621316351594</v>
      </c>
      <c r="AD30" s="3">
        <f t="shared" si="18"/>
        <v>482063.47370526264</v>
      </c>
      <c r="AE30" s="59">
        <f t="shared" si="8"/>
        <v>7.4629081427344077E-2</v>
      </c>
      <c r="AF30" s="3">
        <f t="shared" si="19"/>
        <v>3838632.1623407695</v>
      </c>
      <c r="AG30" s="103">
        <f t="shared" si="20"/>
        <v>0.59426529459085986</v>
      </c>
      <c r="AH30" s="142">
        <f t="shared" si="21"/>
        <v>2712733.5866585318</v>
      </c>
      <c r="AI30" s="59">
        <f t="shared" si="9"/>
        <v>0.41996298573164553</v>
      </c>
      <c r="AJ30" s="3">
        <f t="shared" si="22"/>
        <v>397904.76517710381</v>
      </c>
      <c r="AK30" s="59">
        <f t="shared" si="10"/>
        <v>6.160032597467905E-2</v>
      </c>
      <c r="AL30" s="28">
        <f t="shared" si="23"/>
        <v>3110638.3518356364</v>
      </c>
      <c r="AM30" s="122">
        <f t="shared" si="24"/>
        <v>0.48156331170632471</v>
      </c>
      <c r="AN30" s="143">
        <f t="shared" si="32"/>
        <v>2684844.2480146838</v>
      </c>
      <c r="AO30" s="59">
        <f t="shared" si="11"/>
        <v>0.41564538890438818</v>
      </c>
      <c r="AP30" s="3">
        <f t="shared" si="33"/>
        <v>387061.25529591041</v>
      </c>
      <c r="AQ30" s="59">
        <f t="shared" si="12"/>
        <v>5.992162342610851E-2</v>
      </c>
      <c r="AR30" s="101">
        <f t="shared" si="34"/>
        <v>3071905.5033105947</v>
      </c>
      <c r="AS30" s="122">
        <f t="shared" si="35"/>
        <v>0.47556701233049675</v>
      </c>
      <c r="AT30" s="259">
        <f>'CARB ZEV counts'!N108</f>
        <v>0.57232726010618273</v>
      </c>
    </row>
    <row r="31" spans="1:46">
      <c r="A31">
        <v>2039</v>
      </c>
      <c r="B31" s="123">
        <f t="shared" si="3"/>
        <v>0.16600000000000001</v>
      </c>
      <c r="C31" s="41">
        <f t="shared" si="4"/>
        <v>6.0000000000000001E-3</v>
      </c>
      <c r="D31" s="41">
        <f t="shared" si="5"/>
        <v>0.17200000000000001</v>
      </c>
      <c r="E31" s="210">
        <f t="shared" si="36"/>
        <v>0.16600000000000001</v>
      </c>
      <c r="F31" s="209">
        <f t="shared" si="37"/>
        <v>6.0000000000000001E-3</v>
      </c>
      <c r="G31" s="211">
        <f t="shared" si="38"/>
        <v>0.17200000000000001</v>
      </c>
      <c r="H31" s="142">
        <v>0.82699999999999996</v>
      </c>
      <c r="I31" s="28">
        <v>0.17299999999999999</v>
      </c>
      <c r="J31" s="72">
        <f t="shared" si="39"/>
        <v>1</v>
      </c>
      <c r="K31" s="142">
        <f t="shared" si="26"/>
        <v>0.66159999999999997</v>
      </c>
      <c r="L31" s="28">
        <f t="shared" si="27"/>
        <v>0.1384</v>
      </c>
      <c r="M31" s="172">
        <f t="shared" si="28"/>
        <v>0.8</v>
      </c>
      <c r="N31">
        <v>8.5999999999999993E-2</v>
      </c>
      <c r="O31">
        <v>3.4000000000000002E-2</v>
      </c>
      <c r="P31" s="72">
        <f t="shared" si="40"/>
        <v>0.12</v>
      </c>
      <c r="S31">
        <v>2039</v>
      </c>
      <c r="T31" s="3">
        <f>T27+(T32-T27)/5*4</f>
        <v>6472951.8726693317</v>
      </c>
      <c r="U31" s="3">
        <f>U27+(U32-U27)/5*4</f>
        <v>371443.32483092166</v>
      </c>
      <c r="V31" s="143">
        <f t="shared" si="30"/>
        <v>984907.15190609591</v>
      </c>
      <c r="W31" s="219">
        <f t="shared" si="14"/>
        <v>0.15215734201032111</v>
      </c>
      <c r="X31" s="101">
        <f t="shared" si="31"/>
        <v>91902.966238762951</v>
      </c>
      <c r="Y31" s="219">
        <f t="shared" si="15"/>
        <v>1.4197999312617133E-2</v>
      </c>
      <c r="Z31" s="101">
        <f t="shared" si="2"/>
        <v>1076810.1181448589</v>
      </c>
      <c r="AA31" s="103">
        <f t="shared" si="16"/>
        <v>0.16635534132293822</v>
      </c>
      <c r="AB31" s="84">
        <f t="shared" si="17"/>
        <v>3663752.3182706796</v>
      </c>
      <c r="AC31" s="59">
        <f t="shared" si="7"/>
        <v>0.56600951008767697</v>
      </c>
      <c r="AD31" s="3">
        <f t="shared" si="18"/>
        <v>546323.16890101205</v>
      </c>
      <c r="AE31" s="59">
        <f t="shared" si="8"/>
        <v>8.4400931699762191E-2</v>
      </c>
      <c r="AF31" s="3">
        <f t="shared" si="19"/>
        <v>4210075.4871716909</v>
      </c>
      <c r="AG31" s="103">
        <f t="shared" si="20"/>
        <v>0.65041044178743901</v>
      </c>
      <c r="AH31" s="142">
        <f t="shared" si="21"/>
        <v>2958480.4903666694</v>
      </c>
      <c r="AI31" s="59">
        <f t="shared" si="9"/>
        <v>0.45705275561498093</v>
      </c>
      <c r="AJ31">
        <f t="shared" si="22"/>
        <v>449312.52133370336</v>
      </c>
      <c r="AK31" s="59">
        <f t="shared" si="10"/>
        <v>6.9413851697373241E-2</v>
      </c>
      <c r="AL31" s="28">
        <f t="shared" si="23"/>
        <v>3407793.0117003736</v>
      </c>
      <c r="AM31" s="122">
        <f t="shared" si="24"/>
        <v>0.52646660731235428</v>
      </c>
      <c r="AN31" s="143">
        <f t="shared" si="32"/>
        <v>2930591.1517228214</v>
      </c>
      <c r="AO31" s="59">
        <f t="shared" si="11"/>
        <v>0.45274415898202824</v>
      </c>
      <c r="AP31" s="3">
        <f t="shared" si="33"/>
        <v>438469.01145250996</v>
      </c>
      <c r="AQ31" s="59">
        <f t="shared" si="12"/>
        <v>6.7738648467919632E-2</v>
      </c>
      <c r="AR31" s="101">
        <f t="shared" si="34"/>
        <v>3369060.1631753319</v>
      </c>
      <c r="AS31" s="122">
        <f t="shared" si="35"/>
        <v>0.52048280744994802</v>
      </c>
      <c r="AT31" s="259">
        <f>'CARB ZEV counts'!N109</f>
        <v>0.61282455246042433</v>
      </c>
    </row>
    <row r="32" spans="1:46" ht="16" thickBot="1">
      <c r="A32">
        <v>2040</v>
      </c>
      <c r="B32" s="215">
        <f t="shared" si="3"/>
        <v>0.16600000000000001</v>
      </c>
      <c r="C32" s="216">
        <f t="shared" si="4"/>
        <v>6.0000000000000001E-3</v>
      </c>
      <c r="D32" s="217">
        <f t="shared" si="5"/>
        <v>0.17200000000000001</v>
      </c>
      <c r="E32" s="210">
        <f t="shared" si="36"/>
        <v>0.16600000000000001</v>
      </c>
      <c r="F32" s="209">
        <f t="shared" si="37"/>
        <v>6.0000000000000001E-3</v>
      </c>
      <c r="G32" s="211">
        <f t="shared" si="38"/>
        <v>0.17200000000000001</v>
      </c>
      <c r="H32" s="173">
        <v>0.82699999999999996</v>
      </c>
      <c r="I32" s="79">
        <v>0.17299999999999999</v>
      </c>
      <c r="J32" s="74">
        <f t="shared" si="39"/>
        <v>1</v>
      </c>
      <c r="K32" s="142">
        <f t="shared" si="26"/>
        <v>0.66159999999999997</v>
      </c>
      <c r="L32" s="28">
        <f t="shared" si="27"/>
        <v>0.1384</v>
      </c>
      <c r="M32" s="172">
        <f t="shared" si="28"/>
        <v>0.8</v>
      </c>
      <c r="N32" s="77">
        <v>8.5999999999999993E-2</v>
      </c>
      <c r="O32" s="73">
        <v>3.4000000000000002E-2</v>
      </c>
      <c r="P32" s="74">
        <f t="shared" si="40"/>
        <v>0.12</v>
      </c>
      <c r="R32" s="108"/>
      <c r="S32">
        <v>2040</v>
      </c>
      <c r="T32" s="3">
        <f>'ZEV Population'!C51</f>
        <v>6486444.9862947026</v>
      </c>
      <c r="U32" s="3">
        <f>'ZEV Population'!E49</f>
        <v>371951.16139463795</v>
      </c>
      <c r="V32" s="143">
        <f t="shared" si="30"/>
        <v>1046651.0446976058</v>
      </c>
      <c r="W32" s="219">
        <f t="shared" si="14"/>
        <v>0.16135973509512358</v>
      </c>
      <c r="X32" s="101">
        <f t="shared" si="31"/>
        <v>69017.492945083184</v>
      </c>
      <c r="Y32" s="219">
        <f t="shared" si="15"/>
        <v>1.0640264904876427E-2</v>
      </c>
      <c r="Z32" s="101">
        <f>T32*AA32</f>
        <v>1115668.537642689</v>
      </c>
      <c r="AA32" s="103">
        <f>D32</f>
        <v>0.17200000000000001</v>
      </c>
      <c r="AB32" s="175">
        <f t="shared" si="17"/>
        <v>3971355.9287440451</v>
      </c>
      <c r="AC32" s="176">
        <f t="shared" si="7"/>
        <v>0.61225462285353172</v>
      </c>
      <c r="AD32" s="105">
        <f t="shared" si="18"/>
        <v>610670.71982228442</v>
      </c>
      <c r="AE32" s="176">
        <f t="shared" si="8"/>
        <v>9.4145671644880802E-2</v>
      </c>
      <c r="AF32" s="105">
        <f t="shared" si="19"/>
        <v>4582026.6485663289</v>
      </c>
      <c r="AG32" s="104">
        <f t="shared" si="20"/>
        <v>0.70640029449841246</v>
      </c>
      <c r="AH32" s="173">
        <f t="shared" si="21"/>
        <v>3204563.3787453617</v>
      </c>
      <c r="AI32" s="176">
        <f t="shared" si="9"/>
        <v>0.49404001506469675</v>
      </c>
      <c r="AJ32" s="105">
        <f t="shared" si="22"/>
        <v>500790.56207072124</v>
      </c>
      <c r="AK32" s="176">
        <f t="shared" si="10"/>
        <v>7.7205705610522923E-2</v>
      </c>
      <c r="AL32" s="79">
        <f t="shared" si="23"/>
        <v>3705353.9408160839</v>
      </c>
      <c r="AM32" s="178">
        <f t="shared" si="24"/>
        <v>0.57124572067521984</v>
      </c>
      <c r="AN32" s="143">
        <f t="shared" si="32"/>
        <v>3176674.0401015137</v>
      </c>
      <c r="AO32" s="59">
        <f t="shared" si="11"/>
        <v>0.48974038118161045</v>
      </c>
      <c r="AP32" s="3">
        <f t="shared" si="33"/>
        <v>489947.05218952784</v>
      </c>
      <c r="AQ32" s="59">
        <f t="shared" si="12"/>
        <v>7.5533987141607403E-2</v>
      </c>
      <c r="AR32" s="101">
        <f t="shared" si="34"/>
        <v>3666621.0922910422</v>
      </c>
      <c r="AS32" s="122">
        <f t="shared" si="35"/>
        <v>0.56527436832321798</v>
      </c>
      <c r="AT32" s="259">
        <f>'CARB ZEV counts'!N110</f>
        <v>0.65080566239853144</v>
      </c>
    </row>
    <row r="33" spans="1:47">
      <c r="B33" s="41"/>
      <c r="C33" s="41"/>
      <c r="D33" s="272">
        <f t="shared" si="5"/>
        <v>0.17200000000000001</v>
      </c>
      <c r="E33" s="210">
        <f t="shared" si="36"/>
        <v>0.16600000000000001</v>
      </c>
      <c r="F33" s="209"/>
      <c r="G33" s="211">
        <f t="shared" si="38"/>
        <v>0.17200000000000001</v>
      </c>
      <c r="H33" s="6"/>
      <c r="I33" s="6"/>
      <c r="J33" s="6"/>
      <c r="K33" s="142">
        <f>K32</f>
        <v>0.66159999999999997</v>
      </c>
      <c r="L33" s="28">
        <f t="shared" ref="L33:M33" si="41">L32</f>
        <v>0.1384</v>
      </c>
      <c r="M33" s="172">
        <f t="shared" si="41"/>
        <v>0.8</v>
      </c>
      <c r="S33">
        <v>2041</v>
      </c>
      <c r="T33" s="101">
        <f>'Combined MOVES output'!J25*'2040-2050 extrapolation'!R34</f>
        <v>6513905.6889781374</v>
      </c>
      <c r="U33" s="3">
        <f>T33*'ZEV Sales'!U$25</f>
        <v>371921.49281014601</v>
      </c>
      <c r="V33" s="143">
        <f>T33*W33</f>
        <v>1051082.0964081306</v>
      </c>
      <c r="W33" s="219">
        <f>W32</f>
        <v>0.16135973509512358</v>
      </c>
      <c r="X33" s="101">
        <f t="shared" ref="X33:X42" si="42">Z33-V33</f>
        <v>69309.682096109027</v>
      </c>
      <c r="Y33" s="219">
        <f>Y32</f>
        <v>1.0640264904876427E-2</v>
      </c>
      <c r="Z33" s="101">
        <f>T33*AA33</f>
        <v>1120391.7785042396</v>
      </c>
      <c r="AA33" s="103">
        <f>AA32</f>
        <v>0.17200000000000001</v>
      </c>
      <c r="AB33" s="274"/>
      <c r="AC33" s="275"/>
      <c r="AD33" s="276"/>
      <c r="AE33" s="275"/>
      <c r="AF33" s="276"/>
      <c r="AG33" s="275"/>
      <c r="AH33" s="28"/>
      <c r="AI33" s="59"/>
      <c r="AJ33" s="3"/>
      <c r="AK33" s="59"/>
      <c r="AL33" s="28"/>
      <c r="AM33" s="219"/>
      <c r="AN33" s="143">
        <f t="shared" ref="AN33:AN42" si="43">AN32+K33*U33</f>
        <v>3422737.2997447061</v>
      </c>
      <c r="AO33" s="59">
        <f t="shared" ref="AO33:AO42" si="44">AN33/T33</f>
        <v>0.52545085286330651</v>
      </c>
      <c r="AP33" s="3">
        <f t="shared" ref="AP33:AP42" si="45">AP32+L33*U33</f>
        <v>541420.98679445207</v>
      </c>
      <c r="AQ33" s="59">
        <f t="shared" ref="AQ33:AQ42" si="46">AP33/T33</f>
        <v>8.3117719636402493E-2</v>
      </c>
      <c r="AR33" s="101">
        <f t="shared" ref="AR33:AR42" si="47">AR32+M33*U33</f>
        <v>3964158.2865391588</v>
      </c>
      <c r="AS33" s="122">
        <f t="shared" ref="AS33:AS38" si="48">AR33/T33</f>
        <v>0.60856857249970908</v>
      </c>
      <c r="AT33" s="259">
        <f>'CARB ZEV counts'!N111</f>
        <v>0.68609796944747514</v>
      </c>
    </row>
    <row r="34" spans="1:47">
      <c r="B34" s="41"/>
      <c r="C34" s="41"/>
      <c r="D34" s="41">
        <f t="shared" si="5"/>
        <v>0.17200000000000001</v>
      </c>
      <c r="E34" s="210">
        <f t="shared" si="36"/>
        <v>0.16600000000000001</v>
      </c>
      <c r="F34" s="209"/>
      <c r="G34" s="211">
        <f t="shared" si="38"/>
        <v>0.17200000000000001</v>
      </c>
      <c r="H34" s="6"/>
      <c r="I34" s="6"/>
      <c r="J34" s="6"/>
      <c r="K34" s="142">
        <f t="shared" ref="K34:K42" si="49">K33</f>
        <v>0.66159999999999997</v>
      </c>
      <c r="L34" s="28">
        <f t="shared" ref="L34:L42" si="50">L33</f>
        <v>0.1384</v>
      </c>
      <c r="M34" s="172">
        <f t="shared" ref="M34:M42" si="51">M33</f>
        <v>0.8</v>
      </c>
      <c r="S34">
        <v>2042</v>
      </c>
      <c r="T34" s="101">
        <f>'Combined MOVES output'!J26*'2040-2050 extrapolation'!R35</f>
        <v>6526296.8666324597</v>
      </c>
      <c r="U34" s="3">
        <f>T34*'ZEV Sales'!U$25</f>
        <v>372628.9862113276</v>
      </c>
      <c r="V34" s="143">
        <f t="shared" ref="V34:V42" si="52">T34*W34</f>
        <v>1053081.5335519488</v>
      </c>
      <c r="W34" s="219">
        <f t="shared" ref="W34:W42" si="53">W33</f>
        <v>0.16135973509512358</v>
      </c>
      <c r="X34" s="101">
        <f t="shared" si="42"/>
        <v>69441.527508834377</v>
      </c>
      <c r="Y34" s="219">
        <f t="shared" ref="Y34:Y42" si="54">Y33</f>
        <v>1.0640264904876427E-2</v>
      </c>
      <c r="Z34" s="101">
        <f t="shared" ref="Z34:Z42" si="55">T34*AA34</f>
        <v>1122523.0610607832</v>
      </c>
      <c r="AA34" s="103">
        <f t="shared" ref="AA34:AA42" si="56">AA33</f>
        <v>0.17200000000000001</v>
      </c>
      <c r="AB34" s="277"/>
      <c r="AC34" s="118"/>
      <c r="AD34" s="121"/>
      <c r="AE34" s="118"/>
      <c r="AF34" s="121"/>
      <c r="AG34" s="118"/>
      <c r="AH34" s="28"/>
      <c r="AI34" s="59"/>
      <c r="AJ34" s="3"/>
      <c r="AK34" s="59"/>
      <c r="AL34" s="28"/>
      <c r="AM34" s="219"/>
      <c r="AN34" s="143">
        <f t="shared" si="43"/>
        <v>3669268.6370221204</v>
      </c>
      <c r="AO34" s="59">
        <f t="shared" si="44"/>
        <v>0.56222827615799931</v>
      </c>
      <c r="AP34" s="3">
        <f t="shared" si="45"/>
        <v>592992.83848609985</v>
      </c>
      <c r="AQ34" s="59">
        <f t="shared" si="46"/>
        <v>9.0862069348690469E-2</v>
      </c>
      <c r="AR34" s="101">
        <f t="shared" si="47"/>
        <v>4262261.4755082205</v>
      </c>
      <c r="AS34" s="122">
        <f t="shared" si="48"/>
        <v>0.65309034550668987</v>
      </c>
      <c r="AT34" s="259">
        <f>'CARB ZEV counts'!N112</f>
        <v>0.71890619542992129</v>
      </c>
    </row>
    <row r="35" spans="1:47">
      <c r="B35" s="41"/>
      <c r="C35" s="41"/>
      <c r="D35" s="41">
        <f t="shared" si="5"/>
        <v>0.17200000000000001</v>
      </c>
      <c r="E35" s="210">
        <f t="shared" si="36"/>
        <v>0.16600000000000001</v>
      </c>
      <c r="F35" s="209"/>
      <c r="G35" s="211">
        <f t="shared" si="38"/>
        <v>0.17200000000000001</v>
      </c>
      <c r="H35" s="6"/>
      <c r="I35" s="6"/>
      <c r="J35" s="6"/>
      <c r="K35" s="142">
        <f t="shared" si="49"/>
        <v>0.66159999999999997</v>
      </c>
      <c r="L35" s="28">
        <f t="shared" si="50"/>
        <v>0.1384</v>
      </c>
      <c r="M35" s="172">
        <f t="shared" si="51"/>
        <v>0.8</v>
      </c>
      <c r="S35">
        <v>2043</v>
      </c>
      <c r="T35" s="101">
        <f>'Combined MOVES output'!J27*'2040-2050 extrapolation'!R36</f>
        <v>6538685.3937598551</v>
      </c>
      <c r="U35" s="3">
        <f>T35*'ZEV Sales'!U$25</f>
        <v>373336.32827658596</v>
      </c>
      <c r="V35" s="143">
        <f t="shared" si="52"/>
        <v>1055080.5430074441</v>
      </c>
      <c r="W35" s="219">
        <f t="shared" si="53"/>
        <v>0.16135973509512358</v>
      </c>
      <c r="X35" s="101">
        <f t="shared" si="42"/>
        <v>69573.344719251152</v>
      </c>
      <c r="Y35" s="219">
        <f t="shared" si="54"/>
        <v>1.0640264904876427E-2</v>
      </c>
      <c r="Z35" s="101">
        <f t="shared" si="55"/>
        <v>1124653.8877266953</v>
      </c>
      <c r="AA35" s="103">
        <f t="shared" si="56"/>
        <v>0.17200000000000001</v>
      </c>
      <c r="AB35" s="277"/>
      <c r="AC35" s="118"/>
      <c r="AD35" s="121"/>
      <c r="AE35" s="118"/>
      <c r="AF35" s="121"/>
      <c r="AG35" s="118"/>
      <c r="AH35" s="28"/>
      <c r="AI35" s="59"/>
      <c r="AJ35" s="3"/>
      <c r="AK35" s="59"/>
      <c r="AL35" s="28"/>
      <c r="AM35" s="219"/>
      <c r="AN35" s="143">
        <f t="shared" si="43"/>
        <v>3916267.9518099097</v>
      </c>
      <c r="AO35" s="59">
        <f t="shared" si="44"/>
        <v>0.59893812226344001</v>
      </c>
      <c r="AP35" s="3">
        <f t="shared" si="45"/>
        <v>644662.58631957939</v>
      </c>
      <c r="AQ35" s="59">
        <f t="shared" si="46"/>
        <v>9.8592078911581865E-2</v>
      </c>
      <c r="AR35" s="101">
        <f t="shared" si="47"/>
        <v>4560930.5381294889</v>
      </c>
      <c r="AS35" s="122">
        <f t="shared" si="48"/>
        <v>0.69753020117502185</v>
      </c>
      <c r="AT35" s="259">
        <f>'CARB ZEV counts'!N113</f>
        <v>0.74906977868602953</v>
      </c>
    </row>
    <row r="36" spans="1:47">
      <c r="B36" s="41"/>
      <c r="C36" s="41"/>
      <c r="D36" s="41">
        <f t="shared" si="5"/>
        <v>0.17200000000000001</v>
      </c>
      <c r="E36" s="210">
        <f t="shared" si="36"/>
        <v>0.16600000000000001</v>
      </c>
      <c r="F36" s="209"/>
      <c r="G36" s="211">
        <f t="shared" si="38"/>
        <v>0.17200000000000001</v>
      </c>
      <c r="H36" s="6"/>
      <c r="I36" s="6"/>
      <c r="J36" s="6"/>
      <c r="K36" s="142">
        <f t="shared" si="49"/>
        <v>0.66159999999999997</v>
      </c>
      <c r="L36" s="28">
        <f t="shared" si="50"/>
        <v>0.1384</v>
      </c>
      <c r="M36" s="172">
        <f t="shared" si="51"/>
        <v>0.8</v>
      </c>
      <c r="S36">
        <v>2044</v>
      </c>
      <c r="T36" s="101">
        <f>'Combined MOVES output'!J28*'2040-2050 extrapolation'!R37</f>
        <v>6551071.2703603264</v>
      </c>
      <c r="U36" s="3">
        <f>T36*'ZEV Sales'!U$25</f>
        <v>374043.5190059212</v>
      </c>
      <c r="V36" s="143">
        <f t="shared" si="52"/>
        <v>1057079.1247746169</v>
      </c>
      <c r="W36" s="219">
        <f t="shared" si="53"/>
        <v>0.16135973509512358</v>
      </c>
      <c r="X36" s="101">
        <f t="shared" si="42"/>
        <v>69705.133727359353</v>
      </c>
      <c r="Y36" s="219">
        <f t="shared" si="54"/>
        <v>1.0640264904876427E-2</v>
      </c>
      <c r="Z36" s="101">
        <f t="shared" si="55"/>
        <v>1126784.2585019763</v>
      </c>
      <c r="AA36" s="103">
        <f t="shared" si="56"/>
        <v>0.17200000000000001</v>
      </c>
      <c r="AB36" s="277"/>
      <c r="AC36" s="118"/>
      <c r="AD36" s="121"/>
      <c r="AE36" s="118"/>
      <c r="AF36" s="121"/>
      <c r="AG36" s="118"/>
      <c r="AH36" s="28"/>
      <c r="AI36" s="59"/>
      <c r="AJ36" s="3"/>
      <c r="AK36" s="59"/>
      <c r="AL36" s="28"/>
      <c r="AM36" s="219"/>
      <c r="AN36" s="143">
        <f t="shared" si="43"/>
        <v>4163735.143984227</v>
      </c>
      <c r="AO36" s="59">
        <f t="shared" si="44"/>
        <v>0.63558080383320426</v>
      </c>
      <c r="AP36" s="3">
        <f t="shared" si="45"/>
        <v>696430.20934999886</v>
      </c>
      <c r="AQ36" s="59">
        <f t="shared" si="46"/>
        <v>0.10630783586509407</v>
      </c>
      <c r="AR36" s="101">
        <f t="shared" si="47"/>
        <v>4860165.3533342257</v>
      </c>
      <c r="AS36" s="122">
        <f t="shared" si="48"/>
        <v>0.74188863969829832</v>
      </c>
      <c r="AT36" s="259">
        <f>'CARB ZEV counts'!N114</f>
        <v>0.77662765776112019</v>
      </c>
    </row>
    <row r="37" spans="1:47">
      <c r="B37" s="41"/>
      <c r="C37" s="41"/>
      <c r="D37" s="41">
        <f t="shared" si="5"/>
        <v>0.17200000000000001</v>
      </c>
      <c r="E37" s="210">
        <f t="shared" si="36"/>
        <v>0.16600000000000001</v>
      </c>
      <c r="F37" s="209"/>
      <c r="G37" s="211">
        <f t="shared" si="38"/>
        <v>0.17200000000000001</v>
      </c>
      <c r="H37" s="6"/>
      <c r="I37" s="6"/>
      <c r="J37" s="6"/>
      <c r="K37" s="142">
        <f t="shared" si="49"/>
        <v>0.66159999999999997</v>
      </c>
      <c r="L37" s="28">
        <f t="shared" si="50"/>
        <v>0.1384</v>
      </c>
      <c r="M37" s="172">
        <f t="shared" si="51"/>
        <v>0.8</v>
      </c>
      <c r="S37">
        <v>2045</v>
      </c>
      <c r="T37" s="101">
        <f>'Combined MOVES output'!J29*'2040-2050 extrapolation'!R38</f>
        <v>6563454.4964338737</v>
      </c>
      <c r="U37" s="3">
        <f>T37*'ZEV Sales'!U$25</f>
        <v>374750.55839933339</v>
      </c>
      <c r="V37" s="143">
        <f t="shared" si="52"/>
        <v>1059077.2788534677</v>
      </c>
      <c r="W37" s="219">
        <f t="shared" si="53"/>
        <v>0.16135973509512358</v>
      </c>
      <c r="X37" s="101">
        <f t="shared" si="42"/>
        <v>69836.894533158746</v>
      </c>
      <c r="Y37" s="219">
        <f t="shared" si="54"/>
        <v>1.0640264904876427E-2</v>
      </c>
      <c r="Z37" s="101">
        <f t="shared" si="55"/>
        <v>1128914.1733866264</v>
      </c>
      <c r="AA37" s="103">
        <f t="shared" si="56"/>
        <v>0.17200000000000001</v>
      </c>
      <c r="AB37" s="143" t="s">
        <v>621</v>
      </c>
      <c r="AC37" s="118"/>
      <c r="AD37" s="121"/>
      <c r="AE37" s="118"/>
      <c r="AF37" s="121"/>
      <c r="AG37" s="118"/>
      <c r="AH37" s="28"/>
      <c r="AI37" s="59"/>
      <c r="AJ37" s="3"/>
      <c r="AK37" s="59"/>
      <c r="AL37" s="28"/>
      <c r="AM37" s="219"/>
      <c r="AN37" s="143">
        <f t="shared" si="43"/>
        <v>4411670.1134212259</v>
      </c>
      <c r="AO37" s="59">
        <f t="shared" si="44"/>
        <v>0.67215673024292644</v>
      </c>
      <c r="AP37" s="3">
        <f t="shared" si="45"/>
        <v>748295.68663246662</v>
      </c>
      <c r="AQ37" s="59">
        <f t="shared" si="46"/>
        <v>0.11400942705385382</v>
      </c>
      <c r="AR37" s="101">
        <f t="shared" si="47"/>
        <v>5159965.8000536924</v>
      </c>
      <c r="AS37" s="122">
        <f t="shared" si="48"/>
        <v>0.7861661572967803</v>
      </c>
      <c r="AT37" s="259">
        <f>'CARB ZEV counts'!N115</f>
        <v>0.80165275219784016</v>
      </c>
    </row>
    <row r="38" spans="1:47">
      <c r="B38" s="41"/>
      <c r="C38" s="41"/>
      <c r="D38" s="41">
        <f t="shared" si="5"/>
        <v>0.17200000000000001</v>
      </c>
      <c r="E38" s="210">
        <f t="shared" si="36"/>
        <v>0.16600000000000001</v>
      </c>
      <c r="F38" s="209"/>
      <c r="G38" s="211">
        <f t="shared" si="38"/>
        <v>0.17200000000000001</v>
      </c>
      <c r="H38" s="6"/>
      <c r="I38" s="6"/>
      <c r="J38" s="6"/>
      <c r="K38" s="142">
        <f t="shared" si="49"/>
        <v>0.66159999999999997</v>
      </c>
      <c r="L38" s="28">
        <f t="shared" si="50"/>
        <v>0.1384</v>
      </c>
      <c r="M38" s="172">
        <f t="shared" si="51"/>
        <v>0.8</v>
      </c>
      <c r="S38">
        <v>2046</v>
      </c>
      <c r="T38" s="101">
        <f>'Combined MOVES output'!J30*'2040-2050 extrapolation'!R39</f>
        <v>6575993.764755995</v>
      </c>
      <c r="U38" s="3">
        <f>T38*'ZEV Sales'!U$25</f>
        <v>375466.50726561825</v>
      </c>
      <c r="V38" s="143">
        <f t="shared" si="52"/>
        <v>1061100.6118682118</v>
      </c>
      <c r="W38" s="219">
        <f t="shared" si="53"/>
        <v>0.16135973509512358</v>
      </c>
      <c r="X38" s="101">
        <f t="shared" si="42"/>
        <v>69970.31566981948</v>
      </c>
      <c r="Y38" s="219">
        <f t="shared" si="54"/>
        <v>1.0640264904876427E-2</v>
      </c>
      <c r="Z38" s="101">
        <f t="shared" si="55"/>
        <v>1131070.9275380312</v>
      </c>
      <c r="AA38" s="103">
        <f t="shared" si="56"/>
        <v>0.17200000000000001</v>
      </c>
      <c r="AB38" s="277"/>
      <c r="AC38" s="118"/>
      <c r="AD38" s="121"/>
      <c r="AE38" s="118"/>
      <c r="AF38" s="121"/>
      <c r="AG38" s="118"/>
      <c r="AH38" s="28"/>
      <c r="AI38" s="59"/>
      <c r="AJ38" s="3"/>
      <c r="AK38" s="59"/>
      <c r="AL38" s="28"/>
      <c r="AM38" s="219"/>
      <c r="AN38" s="143">
        <f t="shared" si="43"/>
        <v>4660078.7546281591</v>
      </c>
      <c r="AO38" s="59">
        <f t="shared" si="44"/>
        <v>0.70865011758433039</v>
      </c>
      <c r="AP38" s="3">
        <f t="shared" si="45"/>
        <v>800260.25123802817</v>
      </c>
      <c r="AQ38" s="59">
        <f t="shared" si="46"/>
        <v>0.12169419252296419</v>
      </c>
      <c r="AR38" s="101">
        <f t="shared" si="47"/>
        <v>5460339.0058661867</v>
      </c>
      <c r="AS38" s="122">
        <f t="shared" si="48"/>
        <v>0.83034431010729448</v>
      </c>
      <c r="AT38" s="259">
        <f>'CARB ZEV counts'!N116</f>
        <v>0.82410452939881673</v>
      </c>
    </row>
    <row r="39" spans="1:47">
      <c r="B39" s="41"/>
      <c r="C39" s="41"/>
      <c r="D39" s="41">
        <f t="shared" si="5"/>
        <v>0.17200000000000001</v>
      </c>
      <c r="E39" s="210">
        <f t="shared" si="36"/>
        <v>0.16600000000000001</v>
      </c>
      <c r="F39" s="209"/>
      <c r="G39" s="211">
        <f t="shared" si="38"/>
        <v>0.17200000000000001</v>
      </c>
      <c r="H39" s="6"/>
      <c r="I39" s="6"/>
      <c r="J39" s="6"/>
      <c r="K39" s="142">
        <f t="shared" si="49"/>
        <v>0.66159999999999997</v>
      </c>
      <c r="L39" s="28">
        <f t="shared" si="50"/>
        <v>0.1384</v>
      </c>
      <c r="M39" s="172">
        <f t="shared" si="51"/>
        <v>0.8</v>
      </c>
      <c r="S39">
        <v>2047</v>
      </c>
      <c r="T39" s="101">
        <f>'Combined MOVES output'!J31*'2040-2050 extrapolation'!R40</f>
        <v>6588530.4669526657</v>
      </c>
      <c r="U39" s="3">
        <f>T39*'ZEV Sales'!U$25</f>
        <v>376182.30961501232</v>
      </c>
      <c r="V39" s="143">
        <f t="shared" si="52"/>
        <v>1063123.530813633</v>
      </c>
      <c r="W39" s="219">
        <f t="shared" si="53"/>
        <v>0.16135973509512358</v>
      </c>
      <c r="X39" s="101">
        <f t="shared" si="42"/>
        <v>70103.709502225509</v>
      </c>
      <c r="Y39" s="219">
        <f t="shared" si="54"/>
        <v>1.0640264904876427E-2</v>
      </c>
      <c r="Z39" s="101">
        <f t="shared" si="55"/>
        <v>1133227.2403158585</v>
      </c>
      <c r="AA39" s="103">
        <f t="shared" si="56"/>
        <v>0.17200000000000001</v>
      </c>
      <c r="AB39" s="277"/>
      <c r="AC39" s="118"/>
      <c r="AD39" s="121"/>
      <c r="AE39" s="118"/>
      <c r="AF39" s="121"/>
      <c r="AG39" s="118"/>
      <c r="AH39" s="28"/>
      <c r="AI39" s="59"/>
      <c r="AJ39" s="3"/>
      <c r="AK39" s="59"/>
      <c r="AL39" s="28"/>
      <c r="AM39" s="219"/>
      <c r="AN39" s="143">
        <f t="shared" si="43"/>
        <v>4908960.9706694512</v>
      </c>
      <c r="AO39" s="59">
        <f t="shared" si="44"/>
        <v>0.7450767656448205</v>
      </c>
      <c r="AP39" s="3">
        <f t="shared" si="45"/>
        <v>852323.88288874587</v>
      </c>
      <c r="AQ39" s="59">
        <f t="shared" si="46"/>
        <v>0.12936479343366589</v>
      </c>
      <c r="AR39" s="101">
        <f t="shared" si="47"/>
        <v>5761284.8535581967</v>
      </c>
      <c r="AS39" s="122">
        <f>AT39</f>
        <v>0.84404012540409934</v>
      </c>
      <c r="AT39" s="259">
        <f>'CARB ZEV counts'!N117</f>
        <v>0.84404012540409934</v>
      </c>
      <c r="AU39" t="s">
        <v>620</v>
      </c>
    </row>
    <row r="40" spans="1:47">
      <c r="B40" s="41"/>
      <c r="C40" s="41"/>
      <c r="D40" s="41">
        <f t="shared" si="5"/>
        <v>0.17200000000000001</v>
      </c>
      <c r="E40" s="210">
        <f t="shared" si="36"/>
        <v>0.16600000000000001</v>
      </c>
      <c r="F40" s="209"/>
      <c r="G40" s="211">
        <f t="shared" si="38"/>
        <v>0.17200000000000001</v>
      </c>
      <c r="H40" s="6"/>
      <c r="I40" s="6"/>
      <c r="J40" s="6"/>
      <c r="K40" s="142">
        <f t="shared" si="49"/>
        <v>0.66159999999999997</v>
      </c>
      <c r="L40" s="28">
        <f t="shared" si="50"/>
        <v>0.1384</v>
      </c>
      <c r="M40" s="172">
        <f t="shared" si="51"/>
        <v>0.8</v>
      </c>
      <c r="S40">
        <v>2048</v>
      </c>
      <c r="T40" s="101">
        <f>'Combined MOVES output'!J32*'2040-2050 extrapolation'!R41</f>
        <v>6601064.6030238867</v>
      </c>
      <c r="U40" s="3">
        <f>T40*'ZEV Sales'!U$25</f>
        <v>376897.96544751566</v>
      </c>
      <c r="V40" s="143">
        <f t="shared" si="52"/>
        <v>1065146.0356897314</v>
      </c>
      <c r="W40" s="219">
        <f t="shared" si="53"/>
        <v>0.16135973509512358</v>
      </c>
      <c r="X40" s="101">
        <f t="shared" si="42"/>
        <v>70237.076030377299</v>
      </c>
      <c r="Y40" s="219">
        <f t="shared" si="54"/>
        <v>1.0640264904876427E-2</v>
      </c>
      <c r="Z40" s="101">
        <f t="shared" si="55"/>
        <v>1135383.1117201087</v>
      </c>
      <c r="AA40" s="103">
        <f t="shared" si="56"/>
        <v>0.17200000000000001</v>
      </c>
      <c r="AB40" s="277"/>
      <c r="AC40" s="118"/>
      <c r="AD40" s="121"/>
      <c r="AE40" s="118"/>
      <c r="AF40" s="121"/>
      <c r="AG40" s="118"/>
      <c r="AH40" s="28"/>
      <c r="AI40" s="59"/>
      <c r="AJ40" s="3"/>
      <c r="AK40" s="59"/>
      <c r="AL40" s="28"/>
      <c r="AM40" s="219"/>
      <c r="AN40" s="143">
        <f t="shared" si="43"/>
        <v>5158316.6646095272</v>
      </c>
      <c r="AO40" s="59">
        <f t="shared" si="44"/>
        <v>0.78143708247402244</v>
      </c>
      <c r="AP40" s="3">
        <f t="shared" si="45"/>
        <v>904486.56130668207</v>
      </c>
      <c r="AQ40" s="59">
        <f t="shared" si="46"/>
        <v>0.13702131636347645</v>
      </c>
      <c r="AR40" s="101">
        <f t="shared" si="47"/>
        <v>6062803.2259162096</v>
      </c>
      <c r="AS40" s="122">
        <f>AT40</f>
        <v>0.86163068619441441</v>
      </c>
      <c r="AT40" s="259">
        <f>'CARB ZEV counts'!N118</f>
        <v>0.86163068619441441</v>
      </c>
    </row>
    <row r="41" spans="1:47">
      <c r="B41" s="41"/>
      <c r="C41" s="41"/>
      <c r="D41" s="41">
        <f t="shared" si="5"/>
        <v>0.17200000000000001</v>
      </c>
      <c r="E41" s="210">
        <f t="shared" si="36"/>
        <v>0.16600000000000001</v>
      </c>
      <c r="F41" s="209"/>
      <c r="G41" s="211">
        <f t="shared" si="38"/>
        <v>0.17200000000000001</v>
      </c>
      <c r="H41" s="6"/>
      <c r="I41" s="6"/>
      <c r="J41" s="6"/>
      <c r="K41" s="142">
        <f t="shared" si="49"/>
        <v>0.66159999999999997</v>
      </c>
      <c r="L41" s="28">
        <f t="shared" si="50"/>
        <v>0.1384</v>
      </c>
      <c r="M41" s="172">
        <f t="shared" si="51"/>
        <v>0.8</v>
      </c>
      <c r="S41">
        <v>2049</v>
      </c>
      <c r="T41" s="101">
        <f>'Combined MOVES output'!J33*'2040-2050 extrapolation'!R42</f>
        <v>6613596.172969657</v>
      </c>
      <c r="U41" s="3">
        <f>T41*'ZEV Sales'!U$25</f>
        <v>377613.47476312827</v>
      </c>
      <c r="V41" s="143">
        <f t="shared" si="52"/>
        <v>1067168.1264965069</v>
      </c>
      <c r="W41" s="219">
        <f t="shared" si="53"/>
        <v>0.16135973509512358</v>
      </c>
      <c r="X41" s="101">
        <f t="shared" si="42"/>
        <v>70370.41525427415</v>
      </c>
      <c r="Y41" s="219">
        <f t="shared" si="54"/>
        <v>1.0640264904876427E-2</v>
      </c>
      <c r="Z41" s="101">
        <f t="shared" si="55"/>
        <v>1137538.541750781</v>
      </c>
      <c r="AA41" s="103">
        <f t="shared" si="56"/>
        <v>0.17200000000000001</v>
      </c>
      <c r="AB41" s="277"/>
      <c r="AC41" s="118"/>
      <c r="AD41" s="121"/>
      <c r="AE41" s="118"/>
      <c r="AF41" s="121"/>
      <c r="AG41" s="118"/>
      <c r="AH41" s="28"/>
      <c r="AI41" s="59"/>
      <c r="AJ41" s="3"/>
      <c r="AK41" s="59"/>
      <c r="AL41" s="28"/>
      <c r="AM41" s="219"/>
      <c r="AN41" s="143">
        <f t="shared" si="43"/>
        <v>5408145.7395128133</v>
      </c>
      <c r="AO41" s="59">
        <f t="shared" si="44"/>
        <v>0.8177314728734687</v>
      </c>
      <c r="AP41" s="3">
        <f t="shared" si="45"/>
        <v>956748.26621389901</v>
      </c>
      <c r="AQ41" s="59">
        <f t="shared" si="46"/>
        <v>0.14466384720074268</v>
      </c>
      <c r="AR41" s="101">
        <f t="shared" si="47"/>
        <v>6364894.0057267118</v>
      </c>
      <c r="AS41" s="122">
        <f>AT41</f>
        <v>0.87702949505743222</v>
      </c>
      <c r="AT41" s="259">
        <f>'CARB ZEV counts'!N119</f>
        <v>0.87702949505743222</v>
      </c>
    </row>
    <row r="42" spans="1:47" ht="16" thickBot="1">
      <c r="B42" s="41"/>
      <c r="C42" s="41"/>
      <c r="D42" s="41">
        <f t="shared" si="5"/>
        <v>0.17200000000000001</v>
      </c>
      <c r="E42" s="212">
        <f t="shared" si="36"/>
        <v>0.16600000000000001</v>
      </c>
      <c r="F42" s="213"/>
      <c r="G42" s="214">
        <f t="shared" si="38"/>
        <v>0.17200000000000001</v>
      </c>
      <c r="H42" s="6"/>
      <c r="I42" s="6"/>
      <c r="J42" s="6"/>
      <c r="K42" s="173">
        <f t="shared" si="49"/>
        <v>0.66159999999999997</v>
      </c>
      <c r="L42" s="79">
        <f t="shared" si="50"/>
        <v>0.1384</v>
      </c>
      <c r="M42" s="174">
        <f t="shared" si="51"/>
        <v>0.8</v>
      </c>
      <c r="S42">
        <v>2050</v>
      </c>
      <c r="T42" s="101">
        <f>'Combined MOVES output'!J34*'2040-2050 extrapolation'!R43</f>
        <v>6626125.1767899757</v>
      </c>
      <c r="U42" s="3">
        <f>T42*'ZEV Sales'!U$25</f>
        <v>378328.83756185003</v>
      </c>
      <c r="V42" s="177">
        <f t="shared" si="52"/>
        <v>1069189.8032339595</v>
      </c>
      <c r="W42" s="220">
        <f t="shared" si="53"/>
        <v>0.16135973509512358</v>
      </c>
      <c r="X42" s="102">
        <f t="shared" si="42"/>
        <v>70503.72717391653</v>
      </c>
      <c r="Y42" s="220">
        <f t="shared" si="54"/>
        <v>1.0640264904876427E-2</v>
      </c>
      <c r="Z42" s="102">
        <f t="shared" si="55"/>
        <v>1139693.530407876</v>
      </c>
      <c r="AA42" s="104">
        <f t="shared" si="56"/>
        <v>0.17200000000000001</v>
      </c>
      <c r="AB42" s="277"/>
      <c r="AC42" s="118"/>
      <c r="AD42" s="121"/>
      <c r="AE42" s="118"/>
      <c r="AF42" s="121"/>
      <c r="AG42" s="118"/>
      <c r="AH42" s="28"/>
      <c r="AI42" s="59"/>
      <c r="AJ42" s="3"/>
      <c r="AK42" s="59"/>
      <c r="AL42" s="28"/>
      <c r="AM42" s="219"/>
      <c r="AN42" s="177">
        <f t="shared" si="43"/>
        <v>5658448.0984437335</v>
      </c>
      <c r="AO42" s="176">
        <f t="shared" si="44"/>
        <v>0.85396033842888652</v>
      </c>
      <c r="AP42" s="105">
        <f t="shared" si="45"/>
        <v>1009108.9773324591</v>
      </c>
      <c r="AQ42" s="176">
        <f t="shared" si="46"/>
        <v>0.15229247115149153</v>
      </c>
      <c r="AR42" s="102">
        <f t="shared" si="47"/>
        <v>6667557.0757761914</v>
      </c>
      <c r="AS42" s="178">
        <f>AT42</f>
        <v>0.89037217573233451</v>
      </c>
      <c r="AT42" s="259">
        <f>'CARB ZEV counts'!N120</f>
        <v>0.89037217573233451</v>
      </c>
    </row>
    <row r="43" spans="1:47">
      <c r="A43" s="68"/>
      <c r="E43" s="68" t="s">
        <v>386</v>
      </c>
      <c r="H43" s="141" t="s">
        <v>437</v>
      </c>
      <c r="K43" s="141" t="s">
        <v>301</v>
      </c>
      <c r="N43" s="68" t="s">
        <v>125</v>
      </c>
      <c r="V43" s="241" t="s">
        <v>392</v>
      </c>
      <c r="W43" s="78"/>
      <c r="AC43" s="3"/>
      <c r="AE43" s="59"/>
      <c r="AH43" s="78"/>
      <c r="AP43" s="3"/>
    </row>
    <row r="44" spans="1:47">
      <c r="A44" s="68"/>
      <c r="E44" s="68" t="s">
        <v>387</v>
      </c>
      <c r="H44" s="68"/>
      <c r="K44" s="141" t="s">
        <v>302</v>
      </c>
      <c r="N44" s="6"/>
      <c r="V44" s="241" t="s">
        <v>608</v>
      </c>
      <c r="W44" s="78"/>
      <c r="AH44" s="78"/>
      <c r="AM44" s="273">
        <f>1-AS32</f>
        <v>0.43472563167678202</v>
      </c>
    </row>
    <row r="45" spans="1:47">
      <c r="A45" s="141"/>
      <c r="K45" s="141" t="s">
        <v>303</v>
      </c>
      <c r="V45" s="141"/>
      <c r="W45" s="78"/>
    </row>
    <row r="46" spans="1:47" ht="14.5" customHeight="1">
      <c r="E46" s="6"/>
      <c r="V46" s="141"/>
      <c r="W46" s="78"/>
      <c r="AB46" s="28"/>
    </row>
    <row r="47" spans="1:47" ht="14.5" customHeight="1">
      <c r="V47" s="141"/>
      <c r="W47" s="233" t="s">
        <v>503</v>
      </c>
      <c r="AB47" s="28"/>
    </row>
    <row r="48" spans="1:47" ht="14.5" customHeight="1">
      <c r="I48" s="68" t="s">
        <v>373</v>
      </c>
      <c r="S48" t="s">
        <v>381</v>
      </c>
      <c r="V48" s="141"/>
      <c r="W48" s="28" t="str">
        <f>'County Scale Output 2017-2040'!Q2</f>
        <v>stateID</v>
      </c>
      <c r="X48" s="28" t="str">
        <f>'County Scale Output 2017-2040'!R2</f>
        <v>yearID</v>
      </c>
      <c r="Y48" s="28" t="str">
        <f>'County Scale Output 2017-2040'!S2</f>
        <v>regClassID</v>
      </c>
      <c r="Z48" s="28" t="str">
        <f>'County Scale Output 2017-2040'!T2</f>
        <v>fuelTypeID</v>
      </c>
      <c r="AA48" s="28" t="str">
        <f>'County Scale Output 2017-2040'!U2</f>
        <v>VMT</v>
      </c>
      <c r="AB48" s="28" t="s">
        <v>506</v>
      </c>
      <c r="AC48" t="s">
        <v>461</v>
      </c>
      <c r="AD48" t="s">
        <v>507</v>
      </c>
      <c r="AF48" t="s">
        <v>508</v>
      </c>
    </row>
    <row r="49" spans="1:45" ht="14.5" customHeight="1">
      <c r="S49" s="28">
        <v>2026</v>
      </c>
      <c r="T49" s="237">
        <v>0.12941176470588237</v>
      </c>
      <c r="V49" s="141"/>
      <c r="W49" s="28">
        <f>'County Scale Output 2017-2040'!Q3</f>
        <v>34</v>
      </c>
      <c r="X49" s="28">
        <f>'County Scale Output 2017-2040'!R3</f>
        <v>2017</v>
      </c>
      <c r="Y49" s="28">
        <f>'County Scale Output 2017-2040'!S3</f>
        <v>20</v>
      </c>
      <c r="Z49" s="28">
        <f>'County Scale Output 2017-2040'!T3</f>
        <v>1</v>
      </c>
      <c r="AA49" s="28">
        <f>'County Scale Output 2017-2040'!U3</f>
        <v>35685895808</v>
      </c>
      <c r="AB49" s="28"/>
      <c r="AF49">
        <v>2020</v>
      </c>
      <c r="AG49" s="232">
        <f>AD58+3/13*(AD68-AD58)</f>
        <v>7.7300582660844326E-4</v>
      </c>
      <c r="AI49" t="s">
        <v>509</v>
      </c>
      <c r="AP49" s="3">
        <f>AG49*T12</f>
        <v>4817.9379526056582</v>
      </c>
    </row>
    <row r="50" spans="1:45" ht="14.5" customHeight="1">
      <c r="S50" s="28">
        <v>2027</v>
      </c>
      <c r="T50" s="237">
        <v>9.7058823529411781E-2</v>
      </c>
      <c r="V50" s="141"/>
      <c r="W50" s="28">
        <f>'County Scale Output 2017-2040'!Q4</f>
        <v>34</v>
      </c>
      <c r="X50" s="28">
        <f>'County Scale Output 2017-2040'!R4</f>
        <v>2017</v>
      </c>
      <c r="Y50" s="28">
        <f>'County Scale Output 2017-2040'!S4</f>
        <v>20</v>
      </c>
      <c r="Z50" s="28">
        <f>'County Scale Output 2017-2040'!T4</f>
        <v>2</v>
      </c>
      <c r="AA50" s="28">
        <f>'County Scale Output 2017-2040'!U4</f>
        <v>162104302</v>
      </c>
      <c r="AB50" s="28"/>
      <c r="AF50">
        <v>2021</v>
      </c>
      <c r="AG50" s="232">
        <f>AD58+4/12*(AD68-AD58)</f>
        <v>7.0606858327926746E-4</v>
      </c>
      <c r="AI50" t="s">
        <v>510</v>
      </c>
      <c r="AP50" s="3">
        <f>AG50*T13</f>
        <v>4409.59017277776</v>
      </c>
    </row>
    <row r="51" spans="1:45" ht="14.5" customHeight="1">
      <c r="S51" s="28">
        <v>2028</v>
      </c>
      <c r="T51" s="237">
        <v>0.08</v>
      </c>
      <c r="V51" s="141"/>
      <c r="W51" s="28">
        <f>'County Scale Output 2017-2040'!Q5</f>
        <v>34</v>
      </c>
      <c r="X51" s="28">
        <f>'County Scale Output 2017-2040'!R5</f>
        <v>2017</v>
      </c>
      <c r="Y51" s="28">
        <f>'County Scale Output 2017-2040'!S5</f>
        <v>20</v>
      </c>
      <c r="Z51" s="28">
        <f>'County Scale Output 2017-2040'!T5</f>
        <v>5</v>
      </c>
      <c r="AA51" s="28">
        <f>'County Scale Output 2017-2040'!U5</f>
        <v>15321731.130000001</v>
      </c>
      <c r="AB51" s="28"/>
      <c r="AF51">
        <v>2022</v>
      </c>
      <c r="AG51" s="232">
        <f>AD58+5/13*(AD68-AD58)</f>
        <v>6.7259996161467945E-4</v>
      </c>
    </row>
    <row r="52" spans="1:45" ht="14.5" customHeight="1">
      <c r="A52" s="179"/>
      <c r="B52" s="180" t="s">
        <v>307</v>
      </c>
      <c r="C52" s="179"/>
      <c r="D52" s="179"/>
      <c r="E52" s="179"/>
      <c r="F52" s="179"/>
      <c r="G52" s="179"/>
      <c r="H52" s="179"/>
      <c r="S52" s="28">
        <v>2029</v>
      </c>
      <c r="T52" s="237">
        <v>6.6666666666666666E-2</v>
      </c>
      <c r="V52" s="141"/>
      <c r="W52" s="28">
        <f>'County Scale Output 2017-2040'!Q6</f>
        <v>34</v>
      </c>
      <c r="X52" s="28">
        <f>'County Scale Output 2017-2040'!R6</f>
        <v>2017</v>
      </c>
      <c r="Y52" s="28">
        <f>'County Scale Output 2017-2040'!S6</f>
        <v>20</v>
      </c>
      <c r="Z52" s="28">
        <f>'County Scale Output 2017-2040'!T6</f>
        <v>9</v>
      </c>
      <c r="AA52" s="28">
        <f>'County Scale Output 2017-2040'!U6</f>
        <v>57374582.380000003</v>
      </c>
      <c r="AB52" s="70"/>
      <c r="AC52" s="70"/>
      <c r="AD52" s="70"/>
      <c r="AE52" s="70"/>
      <c r="AF52" s="234">
        <v>2023</v>
      </c>
      <c r="AG52" s="235">
        <f>AD58+6/13*(AD68-AD58)</f>
        <v>6.2239702911779759E-4</v>
      </c>
      <c r="AH52" s="332"/>
      <c r="AI52" s="332"/>
      <c r="AJ52" s="332"/>
      <c r="AK52" s="332"/>
      <c r="AL52" s="332"/>
      <c r="AM52" s="332"/>
      <c r="AN52" s="332"/>
      <c r="AO52" s="332"/>
      <c r="AP52" s="332"/>
      <c r="AQ52" s="332"/>
      <c r="AR52" s="332"/>
      <c r="AS52" s="332"/>
    </row>
    <row r="53" spans="1:45">
      <c r="A53" s="179"/>
      <c r="B53" s="179"/>
      <c r="C53" s="179"/>
      <c r="D53" s="179"/>
      <c r="E53" s="179"/>
      <c r="F53" s="179"/>
      <c r="G53" s="179"/>
      <c r="H53" s="179"/>
      <c r="S53" s="28">
        <v>2030</v>
      </c>
      <c r="T53" s="237">
        <v>5.7142857142857141E-2</v>
      </c>
      <c r="W53" s="28">
        <f>'County Scale Output 2017-2040'!Q7</f>
        <v>34</v>
      </c>
      <c r="X53" s="28">
        <f>'County Scale Output 2017-2040'!R7</f>
        <v>2017</v>
      </c>
      <c r="Y53" s="28">
        <f>'County Scale Output 2017-2040'!S7</f>
        <v>30</v>
      </c>
      <c r="Z53" s="28">
        <f>'County Scale Output 2017-2040'!T7</f>
        <v>1</v>
      </c>
      <c r="AA53" s="28">
        <f>'County Scale Output 2017-2040'!U7</f>
        <v>34012842368</v>
      </c>
      <c r="AD53" s="3"/>
      <c r="AE53" s="3"/>
      <c r="AF53" s="3">
        <v>2024</v>
      </c>
      <c r="AG53" s="232">
        <f>AD58+7/13*(AD68-AD58)</f>
        <v>5.7219409662091574E-4</v>
      </c>
      <c r="AH53" s="6"/>
      <c r="AI53" s="6"/>
      <c r="AJ53" s="101"/>
      <c r="AK53" s="121"/>
      <c r="AL53" s="121"/>
      <c r="AM53" s="59"/>
      <c r="AN53" s="118"/>
      <c r="AO53" s="118"/>
      <c r="AP53" s="101"/>
      <c r="AQ53" s="121"/>
      <c r="AR53" s="121"/>
      <c r="AS53" s="59"/>
    </row>
    <row r="54" spans="1:45">
      <c r="A54" s="179"/>
      <c r="B54" s="181" t="s">
        <v>308</v>
      </c>
      <c r="C54" s="179"/>
      <c r="D54" s="179"/>
      <c r="E54" s="179"/>
      <c r="F54" s="179"/>
      <c r="G54" s="179"/>
      <c r="H54" s="179"/>
      <c r="W54" s="28">
        <f>'County Scale Output 2017-2040'!Q8</f>
        <v>34</v>
      </c>
      <c r="X54" s="28">
        <f>'County Scale Output 2017-2040'!R8</f>
        <v>2017</v>
      </c>
      <c r="Y54" s="28">
        <f>'County Scale Output 2017-2040'!S8</f>
        <v>30</v>
      </c>
      <c r="Z54" s="28">
        <f>'County Scale Output 2017-2040'!T8</f>
        <v>2</v>
      </c>
      <c r="AA54" s="28">
        <f>'County Scale Output 2017-2040'!U8</f>
        <v>95697251</v>
      </c>
      <c r="AD54" s="3"/>
      <c r="AE54" s="3"/>
      <c r="AF54" s="3">
        <v>2025</v>
      </c>
      <c r="AG54" s="232">
        <f>AD58+8/13*(AD68-AD58)</f>
        <v>5.2199116412403389E-4</v>
      </c>
      <c r="AH54" s="6"/>
      <c r="AI54" s="6"/>
      <c r="AJ54" s="101"/>
      <c r="AK54" s="121"/>
      <c r="AL54" s="121"/>
      <c r="AM54" s="59"/>
      <c r="AN54" s="118"/>
      <c r="AO54" s="118"/>
      <c r="AP54" s="101"/>
      <c r="AQ54" s="121"/>
      <c r="AR54" s="121"/>
      <c r="AS54" s="59"/>
    </row>
    <row r="55" spans="1:45">
      <c r="A55" s="179"/>
      <c r="B55" s="179"/>
      <c r="C55" s="328" t="s">
        <v>309</v>
      </c>
      <c r="D55" s="328"/>
      <c r="E55" s="328"/>
      <c r="F55" s="182" t="s">
        <v>310</v>
      </c>
      <c r="G55" s="182" t="s">
        <v>311</v>
      </c>
      <c r="H55" s="183"/>
      <c r="W55" s="28">
        <f>'County Scale Output 2017-2040'!Q9</f>
        <v>34</v>
      </c>
      <c r="X55" s="28">
        <f>'County Scale Output 2017-2040'!R9</f>
        <v>2017</v>
      </c>
      <c r="Y55" s="28">
        <f>'County Scale Output 2017-2040'!S9</f>
        <v>30</v>
      </c>
      <c r="Z55" s="28">
        <f>'County Scale Output 2017-2040'!T9</f>
        <v>5</v>
      </c>
      <c r="AA55" s="28">
        <f>'County Scale Output 2017-2040'!U9</f>
        <v>69621150.25</v>
      </c>
      <c r="AD55" s="3"/>
      <c r="AE55" s="3"/>
      <c r="AF55" s="3">
        <v>2026</v>
      </c>
      <c r="AG55" s="232">
        <f>AD58+9/13*(AD68-AD58)</f>
        <v>4.7178823162715203E-4</v>
      </c>
      <c r="AH55" s="6"/>
      <c r="AI55" s="6"/>
      <c r="AJ55" s="101"/>
      <c r="AK55" s="121"/>
      <c r="AL55" s="121"/>
      <c r="AM55" s="59"/>
      <c r="AN55" s="118"/>
      <c r="AO55" s="118"/>
      <c r="AP55" s="101"/>
      <c r="AQ55" s="121"/>
      <c r="AR55" s="121"/>
      <c r="AS55" s="59"/>
    </row>
    <row r="56" spans="1:45">
      <c r="A56" s="184" t="s">
        <v>312</v>
      </c>
      <c r="B56" s="185" t="s">
        <v>313</v>
      </c>
      <c r="C56" s="185" t="s">
        <v>121</v>
      </c>
      <c r="D56" s="185" t="s">
        <v>122</v>
      </c>
      <c r="E56" s="185" t="s">
        <v>314</v>
      </c>
      <c r="F56" s="186" t="s">
        <v>315</v>
      </c>
      <c r="G56" s="187" t="s">
        <v>33</v>
      </c>
      <c r="H56" s="183"/>
      <c r="W56" s="28">
        <f>'County Scale Output 2017-2040'!Q10</f>
        <v>34</v>
      </c>
      <c r="X56" s="28">
        <f>'County Scale Output 2017-2040'!R10</f>
        <v>2017</v>
      </c>
      <c r="Y56" s="28">
        <f>'County Scale Output 2017-2040'!S10</f>
        <v>30</v>
      </c>
      <c r="Z56" s="28">
        <f>'County Scale Output 2017-2040'!T10</f>
        <v>9</v>
      </c>
      <c r="AA56" s="28">
        <f>'County Scale Output 2017-2040'!U10</f>
        <v>9900083.25</v>
      </c>
      <c r="AD56" s="3"/>
      <c r="AE56" s="3"/>
      <c r="AF56" s="3">
        <v>2027</v>
      </c>
      <c r="AG56" s="232">
        <f>AD58+10/13*(AD68-AD58)</f>
        <v>4.2158529913027007E-4</v>
      </c>
      <c r="AH56" s="6"/>
      <c r="AI56" s="6"/>
      <c r="AJ56" s="101"/>
      <c r="AK56" s="121"/>
      <c r="AL56" s="121"/>
      <c r="AM56" s="59"/>
      <c r="AN56" s="118"/>
      <c r="AO56" s="118"/>
      <c r="AP56" s="101"/>
      <c r="AQ56" s="121"/>
      <c r="AR56" s="121"/>
      <c r="AS56" s="59"/>
    </row>
    <row r="57" spans="1:45">
      <c r="A57" s="179">
        <v>1</v>
      </c>
      <c r="B57" s="186" t="s">
        <v>316</v>
      </c>
      <c r="C57" s="188">
        <v>166582</v>
      </c>
      <c r="D57" s="188">
        <v>53194</v>
      </c>
      <c r="E57" s="188">
        <v>3271</v>
      </c>
      <c r="F57" s="189">
        <v>0.13550000000000001</v>
      </c>
      <c r="G57" s="190">
        <f>SUM(C57:E57)/F57</f>
        <v>1646103.3210332103</v>
      </c>
      <c r="H57" s="179"/>
      <c r="W57" s="28">
        <f>'County Scale Output 2017-2040'!Q11</f>
        <v>34</v>
      </c>
      <c r="X57" s="28">
        <f>'County Scale Output 2017-2040'!R11</f>
        <v>2017</v>
      </c>
      <c r="Y57" s="28">
        <f>'County Scale Output 2017-2040'!S11</f>
        <v>41</v>
      </c>
      <c r="Z57" s="28">
        <f>'County Scale Output 2017-2040'!T11</f>
        <v>1</v>
      </c>
      <c r="AA57" s="28">
        <f>'County Scale Output 2017-2040'!U11</f>
        <v>1559084752</v>
      </c>
      <c r="AD57" s="3"/>
      <c r="AE57" s="3"/>
      <c r="AF57" s="3">
        <v>2028</v>
      </c>
      <c r="AG57" s="232">
        <f>AD58+11/13*(AD68-AD58)</f>
        <v>3.7138236663338832E-4</v>
      </c>
      <c r="AH57" s="6"/>
      <c r="AI57" s="6"/>
      <c r="AJ57" s="101"/>
      <c r="AK57" s="121"/>
      <c r="AL57" s="121"/>
      <c r="AM57" s="59"/>
      <c r="AN57" s="118"/>
      <c r="AO57" s="118"/>
      <c r="AP57" s="101"/>
      <c r="AQ57" s="121"/>
      <c r="AR57" s="121"/>
      <c r="AS57" s="59"/>
    </row>
    <row r="58" spans="1:45">
      <c r="A58" s="179">
        <v>2</v>
      </c>
      <c r="B58" s="186" t="s">
        <v>317</v>
      </c>
      <c r="C58" s="188">
        <v>37880</v>
      </c>
      <c r="D58" s="188">
        <v>7795</v>
      </c>
      <c r="E58" s="188"/>
      <c r="F58" s="189">
        <v>3.6400000000000002E-2</v>
      </c>
      <c r="G58" s="190">
        <f t="shared" ref="G58:G107" si="57">SUM(C58:E58)/F58</f>
        <v>1254807.6923076923</v>
      </c>
      <c r="H58" s="179"/>
      <c r="W58" s="28">
        <f>'County Scale Output 2017-2040'!Q12</f>
        <v>34</v>
      </c>
      <c r="X58" s="28">
        <f>'County Scale Output 2017-2040'!R12</f>
        <v>2017</v>
      </c>
      <c r="Y58" s="28">
        <f>'County Scale Output 2017-2040'!S12</f>
        <v>41</v>
      </c>
      <c r="Z58" s="28">
        <f>'County Scale Output 2017-2040'!T12</f>
        <v>2</v>
      </c>
      <c r="AA58" s="28">
        <f>'County Scale Output 2017-2040'!U12</f>
        <v>1170616648</v>
      </c>
      <c r="AB58">
        <f>SUM(AA49:AA58)</f>
        <v>72838458676.009995</v>
      </c>
      <c r="AC58">
        <f>AA52+AA56</f>
        <v>67274665.629999995</v>
      </c>
      <c r="AD58" s="232">
        <f>AC58/AB58</f>
        <v>9.2361462409908893E-4</v>
      </c>
      <c r="AE58" s="3"/>
      <c r="AF58" s="3">
        <v>2029</v>
      </c>
      <c r="AG58" s="232">
        <f>AD58+12/13*(AD68-AD58)</f>
        <v>3.2117943413650636E-4</v>
      </c>
      <c r="AH58" s="6"/>
      <c r="AI58" s="6"/>
      <c r="AJ58" s="28"/>
      <c r="AK58" s="6"/>
      <c r="AL58" s="6"/>
      <c r="AM58" s="59"/>
      <c r="AN58" s="118"/>
      <c r="AO58" s="118"/>
      <c r="AP58" s="101"/>
      <c r="AQ58" s="121"/>
      <c r="AR58" s="121"/>
      <c r="AS58" s="59"/>
    </row>
    <row r="59" spans="1:45">
      <c r="A59" s="179">
        <v>3</v>
      </c>
      <c r="B59" s="186" t="s">
        <v>318</v>
      </c>
      <c r="C59" s="188">
        <v>28306</v>
      </c>
      <c r="D59" s="188">
        <v>6934</v>
      </c>
      <c r="E59" s="188"/>
      <c r="F59" s="189">
        <v>2.69E-2</v>
      </c>
      <c r="G59" s="190">
        <f t="shared" si="57"/>
        <v>1310037.1747211895</v>
      </c>
      <c r="H59" s="179"/>
      <c r="W59" s="28">
        <f>'County Scale Output 2017-2040'!Q13</f>
        <v>34</v>
      </c>
      <c r="X59" s="28">
        <f>'County Scale Output 2017-2040'!R13</f>
        <v>2030</v>
      </c>
      <c r="Y59" s="28">
        <f>'County Scale Output 2017-2040'!S13</f>
        <v>20</v>
      </c>
      <c r="Z59" s="28">
        <f>'County Scale Output 2017-2040'!T13</f>
        <v>1</v>
      </c>
      <c r="AA59" s="28">
        <f>'County Scale Output 2017-2040'!U13</f>
        <v>38788023680</v>
      </c>
      <c r="AD59" s="3"/>
      <c r="AE59" s="3"/>
      <c r="AF59" s="3">
        <v>2030</v>
      </c>
      <c r="AG59" s="232">
        <f>AD68</f>
        <v>2.7097650163962451E-4</v>
      </c>
      <c r="AH59" s="6"/>
      <c r="AI59" s="6"/>
      <c r="AJ59" s="28"/>
      <c r="AK59" s="6"/>
      <c r="AL59" s="6"/>
      <c r="AM59" s="59"/>
      <c r="AN59" s="118"/>
      <c r="AO59" s="118"/>
      <c r="AP59" s="101"/>
      <c r="AQ59" s="121"/>
      <c r="AR59" s="121"/>
      <c r="AS59" s="59"/>
    </row>
    <row r="60" spans="1:45">
      <c r="A60" s="179">
        <v>4</v>
      </c>
      <c r="B60" s="186" t="s">
        <v>319</v>
      </c>
      <c r="C60" s="188">
        <v>21141</v>
      </c>
      <c r="D60" s="188">
        <v>14366</v>
      </c>
      <c r="E60" s="188"/>
      <c r="F60" s="189">
        <v>4.07E-2</v>
      </c>
      <c r="G60" s="190">
        <f t="shared" si="57"/>
        <v>872407.86240786244</v>
      </c>
      <c r="H60" s="179"/>
      <c r="W60" s="28">
        <f>'County Scale Output 2017-2040'!Q14</f>
        <v>34</v>
      </c>
      <c r="X60" s="28">
        <f>'County Scale Output 2017-2040'!R14</f>
        <v>2030</v>
      </c>
      <c r="Y60" s="28">
        <f>'County Scale Output 2017-2040'!S14</f>
        <v>20</v>
      </c>
      <c r="Z60" s="28">
        <f>'County Scale Output 2017-2040'!T14</f>
        <v>2</v>
      </c>
      <c r="AA60" s="28">
        <f>'County Scale Output 2017-2040'!U14</f>
        <v>491928186</v>
      </c>
      <c r="AD60" s="3"/>
      <c r="AE60" s="3"/>
      <c r="AF60" s="3">
        <v>2031</v>
      </c>
      <c r="AG60" s="232">
        <f>AD$68+1/10*(AD$78-AD$68)</f>
        <v>2.4646826241405903E-4</v>
      </c>
      <c r="AH60" s="6"/>
      <c r="AI60" s="6"/>
      <c r="AJ60" s="28"/>
      <c r="AK60" s="6"/>
      <c r="AL60" s="6"/>
      <c r="AM60" s="59"/>
      <c r="AN60" s="118"/>
      <c r="AO60" s="118"/>
      <c r="AP60" s="101"/>
      <c r="AQ60" s="121"/>
      <c r="AR60" s="121"/>
      <c r="AS60" s="59"/>
    </row>
    <row r="61" spans="1:45">
      <c r="A61" s="179">
        <v>5</v>
      </c>
      <c r="B61" s="186" t="s">
        <v>320</v>
      </c>
      <c r="C61" s="188">
        <v>19773</v>
      </c>
      <c r="D61" s="188">
        <v>6219</v>
      </c>
      <c r="E61" s="188"/>
      <c r="F61" s="189">
        <v>5.3499999999999999E-2</v>
      </c>
      <c r="G61" s="190">
        <f t="shared" si="57"/>
        <v>485831.77570093458</v>
      </c>
      <c r="H61" s="179"/>
      <c r="W61" s="28">
        <f>'County Scale Output 2017-2040'!Q15</f>
        <v>34</v>
      </c>
      <c r="X61" s="28">
        <f>'County Scale Output 2017-2040'!R15</f>
        <v>2030</v>
      </c>
      <c r="Y61" s="28">
        <f>'County Scale Output 2017-2040'!S15</f>
        <v>20</v>
      </c>
      <c r="Z61" s="28">
        <f>'County Scale Output 2017-2040'!T15</f>
        <v>5</v>
      </c>
      <c r="AA61" s="28">
        <f>'County Scale Output 2017-2040'!U15</f>
        <v>21754885.629999999</v>
      </c>
      <c r="AD61" s="3"/>
      <c r="AE61" s="3"/>
      <c r="AF61" s="3">
        <v>2032</v>
      </c>
      <c r="AG61" s="232">
        <f>AD$68+2/10*(AD$78-AD$68)</f>
        <v>2.219600231884936E-4</v>
      </c>
      <c r="AH61" s="6"/>
      <c r="AI61" s="6"/>
      <c r="AJ61" s="28"/>
      <c r="AK61" s="6"/>
      <c r="AL61" s="6"/>
      <c r="AM61" s="59"/>
      <c r="AN61" s="118"/>
      <c r="AO61" s="118"/>
      <c r="AP61" s="101"/>
      <c r="AQ61" s="121"/>
      <c r="AR61" s="121"/>
      <c r="AS61" s="59"/>
    </row>
    <row r="62" spans="1:45">
      <c r="A62" s="179">
        <v>6</v>
      </c>
      <c r="B62" s="186" t="s">
        <v>321</v>
      </c>
      <c r="C62" s="188">
        <v>17143</v>
      </c>
      <c r="D62" s="188">
        <v>3637</v>
      </c>
      <c r="E62" s="188"/>
      <c r="F62" s="189">
        <v>8.4400000000000003E-2</v>
      </c>
      <c r="G62" s="190">
        <f t="shared" si="57"/>
        <v>246208.53080568719</v>
      </c>
      <c r="H62" s="179"/>
      <c r="W62" s="28">
        <f>'County Scale Output 2017-2040'!Q16</f>
        <v>34</v>
      </c>
      <c r="X62" s="28">
        <f>'County Scale Output 2017-2040'!R16</f>
        <v>2030</v>
      </c>
      <c r="Y62" s="28">
        <f>'County Scale Output 2017-2040'!S16</f>
        <v>20</v>
      </c>
      <c r="Z62" s="28">
        <f>'County Scale Output 2017-2040'!T16</f>
        <v>9</v>
      </c>
      <c r="AA62" s="28">
        <f>'County Scale Output 2017-2040'!U16</f>
        <v>18528215.280000001</v>
      </c>
      <c r="AD62" s="3"/>
      <c r="AE62" s="3"/>
      <c r="AF62" s="3">
        <v>2033</v>
      </c>
      <c r="AG62" s="232">
        <f>AD$68+3/10*(AD$78-AD$68)</f>
        <v>1.9745178396292812E-4</v>
      </c>
      <c r="AH62" s="6"/>
      <c r="AI62" s="6"/>
      <c r="AJ62" s="28"/>
      <c r="AK62" s="6"/>
      <c r="AL62" s="6"/>
      <c r="AM62" s="59"/>
      <c r="AN62" s="118"/>
      <c r="AO62" s="118"/>
      <c r="AP62" s="101"/>
      <c r="AQ62" s="121"/>
      <c r="AR62" s="121"/>
      <c r="AS62" s="59"/>
    </row>
    <row r="63" spans="1:45">
      <c r="A63" s="179">
        <v>7</v>
      </c>
      <c r="B63" s="186" t="s">
        <v>322</v>
      </c>
      <c r="C63" s="188">
        <v>11989</v>
      </c>
      <c r="D63" s="188">
        <v>2888</v>
      </c>
      <c r="E63" s="188"/>
      <c r="F63" s="189">
        <v>4.7399999999999998E-2</v>
      </c>
      <c r="G63" s="190">
        <f t="shared" si="57"/>
        <v>313860.75949367089</v>
      </c>
      <c r="H63" s="179"/>
      <c r="W63" s="28">
        <f>'County Scale Output 2017-2040'!Q17</f>
        <v>34</v>
      </c>
      <c r="X63" s="28">
        <f>'County Scale Output 2017-2040'!R17</f>
        <v>2030</v>
      </c>
      <c r="Y63" s="28">
        <f>'County Scale Output 2017-2040'!S17</f>
        <v>30</v>
      </c>
      <c r="Z63" s="28">
        <f>'County Scale Output 2017-2040'!T17</f>
        <v>1</v>
      </c>
      <c r="AA63" s="28">
        <f>'County Scale Output 2017-2040'!U17</f>
        <v>35610591616</v>
      </c>
      <c r="AD63" s="3"/>
      <c r="AE63" s="3"/>
      <c r="AF63" s="3">
        <v>2034</v>
      </c>
      <c r="AG63" s="232">
        <f>AD$68+4/10*(AD$78-AD$68)</f>
        <v>1.7294354473736267E-4</v>
      </c>
      <c r="AH63" s="6"/>
      <c r="AI63" s="6"/>
      <c r="AJ63" s="28"/>
      <c r="AK63" s="6"/>
      <c r="AL63" s="6"/>
      <c r="AM63" s="59"/>
      <c r="AN63" s="118"/>
      <c r="AO63" s="118"/>
      <c r="AP63" s="101"/>
      <c r="AQ63" s="121"/>
      <c r="AR63" s="121"/>
      <c r="AS63" s="59"/>
    </row>
    <row r="64" spans="1:45">
      <c r="A64" s="179">
        <v>8</v>
      </c>
      <c r="B64" s="186" t="s">
        <v>323</v>
      </c>
      <c r="C64" s="188">
        <v>11751</v>
      </c>
      <c r="D64" s="188">
        <v>4340</v>
      </c>
      <c r="E64" s="188"/>
      <c r="F64" s="189">
        <v>3.27E-2</v>
      </c>
      <c r="G64" s="190">
        <f t="shared" si="57"/>
        <v>492079.51070336392</v>
      </c>
      <c r="H64" s="179"/>
      <c r="W64" s="28">
        <f>'County Scale Output 2017-2040'!Q18</f>
        <v>34</v>
      </c>
      <c r="X64" s="28">
        <f>'County Scale Output 2017-2040'!R18</f>
        <v>2030</v>
      </c>
      <c r="Y64" s="28">
        <f>'County Scale Output 2017-2040'!S18</f>
        <v>30</v>
      </c>
      <c r="Z64" s="28">
        <f>'County Scale Output 2017-2040'!T18</f>
        <v>2</v>
      </c>
      <c r="AA64" s="28">
        <f>'County Scale Output 2017-2040'!U18</f>
        <v>799021108</v>
      </c>
      <c r="AD64" s="3"/>
      <c r="AE64" s="3"/>
      <c r="AF64" s="3">
        <v>2035</v>
      </c>
      <c r="AG64" s="232">
        <f>AD$68+5/10*(AD$78-AD$68)</f>
        <v>1.4843530551179721E-4</v>
      </c>
      <c r="AH64" s="6"/>
      <c r="AI64" s="6"/>
      <c r="AJ64" s="28"/>
      <c r="AK64" s="6"/>
      <c r="AL64" s="6"/>
      <c r="AM64" s="59"/>
      <c r="AN64" s="118"/>
      <c r="AO64" s="118"/>
      <c r="AP64" s="101"/>
      <c r="AQ64" s="121"/>
      <c r="AR64" s="121"/>
      <c r="AS64" s="59"/>
    </row>
    <row r="65" spans="1:33">
      <c r="A65" s="179">
        <v>9</v>
      </c>
      <c r="B65" s="186" t="s">
        <v>324</v>
      </c>
      <c r="C65" s="188">
        <v>11692</v>
      </c>
      <c r="D65" s="188">
        <v>4266</v>
      </c>
      <c r="E65" s="188"/>
      <c r="F65" s="189">
        <v>6.9000000000000006E-2</v>
      </c>
      <c r="G65" s="190">
        <f t="shared" si="57"/>
        <v>231275.36231884055</v>
      </c>
      <c r="H65" s="179"/>
      <c r="W65" s="28">
        <f>'County Scale Output 2017-2040'!Q19</f>
        <v>34</v>
      </c>
      <c r="X65" s="28">
        <f>'County Scale Output 2017-2040'!R19</f>
        <v>2030</v>
      </c>
      <c r="Y65" s="28">
        <f>'County Scale Output 2017-2040'!S19</f>
        <v>30</v>
      </c>
      <c r="Z65" s="28">
        <f>'County Scale Output 2017-2040'!T19</f>
        <v>5</v>
      </c>
      <c r="AA65" s="28">
        <f>'County Scale Output 2017-2040'!U19</f>
        <v>85787686.5</v>
      </c>
      <c r="AF65">
        <v>2036</v>
      </c>
      <c r="AG65" s="232">
        <f>AD$68+6/10*(AD$78-AD$68)</f>
        <v>1.2392706628623176E-4</v>
      </c>
    </row>
    <row r="66" spans="1:33">
      <c r="A66" s="179">
        <v>10</v>
      </c>
      <c r="B66" s="186" t="s">
        <v>325</v>
      </c>
      <c r="C66" s="188">
        <v>10855</v>
      </c>
      <c r="D66" s="188">
        <v>3678</v>
      </c>
      <c r="E66" s="188">
        <v>1</v>
      </c>
      <c r="F66" s="189">
        <v>4.48E-2</v>
      </c>
      <c r="G66" s="190">
        <f t="shared" si="57"/>
        <v>324419.64285714284</v>
      </c>
      <c r="H66" s="179"/>
      <c r="W66" s="28">
        <f>'County Scale Output 2017-2040'!Q20</f>
        <v>34</v>
      </c>
      <c r="X66" s="28">
        <f>'County Scale Output 2017-2040'!R20</f>
        <v>2030</v>
      </c>
      <c r="Y66" s="28">
        <f>'County Scale Output 2017-2040'!S20</f>
        <v>30</v>
      </c>
      <c r="Z66" s="28">
        <f>'County Scale Output 2017-2040'!T20</f>
        <v>9</v>
      </c>
      <c r="AA66" s="28">
        <f>'County Scale Output 2017-2040'!U20</f>
        <v>2864273.7579999999</v>
      </c>
      <c r="AF66">
        <v>2037</v>
      </c>
      <c r="AG66" s="232">
        <f>AD$68+7/10*(AD$78-AD$68)</f>
        <v>9.9418827060666307E-5</v>
      </c>
    </row>
    <row r="67" spans="1:33">
      <c r="A67" s="179">
        <v>11</v>
      </c>
      <c r="B67" s="186" t="s">
        <v>326</v>
      </c>
      <c r="C67" s="188">
        <v>10312</v>
      </c>
      <c r="D67" s="188">
        <v>6614</v>
      </c>
      <c r="E67" s="188">
        <v>1</v>
      </c>
      <c r="F67" s="189">
        <v>5.7299999999999997E-2</v>
      </c>
      <c r="G67" s="190">
        <f t="shared" si="57"/>
        <v>295410.12216404889</v>
      </c>
      <c r="H67" s="179"/>
      <c r="W67" s="28">
        <f>'County Scale Output 2017-2040'!Q21</f>
        <v>34</v>
      </c>
      <c r="X67" s="28">
        <f>'County Scale Output 2017-2040'!R21</f>
        <v>2030</v>
      </c>
      <c r="Y67" s="28">
        <f>'County Scale Output 2017-2040'!S21</f>
        <v>41</v>
      </c>
      <c r="Z67" s="28">
        <f>'County Scale Output 2017-2040'!T21</f>
        <v>1</v>
      </c>
      <c r="AA67" s="28">
        <f>'County Scale Output 2017-2040'!U21</f>
        <v>924951684</v>
      </c>
      <c r="AF67">
        <v>2038</v>
      </c>
      <c r="AG67" s="232">
        <f>AD$68+8/10*(AD$78-AD$68)</f>
        <v>7.4910587835100826E-5</v>
      </c>
    </row>
    <row r="68" spans="1:33">
      <c r="A68" s="179">
        <v>12</v>
      </c>
      <c r="B68" s="186" t="s">
        <v>327</v>
      </c>
      <c r="C68" s="188">
        <v>10047</v>
      </c>
      <c r="D68" s="188">
        <v>2763</v>
      </c>
      <c r="E68" s="188"/>
      <c r="F68" s="189">
        <v>0.03</v>
      </c>
      <c r="G68" s="190">
        <f t="shared" si="57"/>
        <v>427000</v>
      </c>
      <c r="H68" s="179"/>
      <c r="W68" s="28">
        <f>'County Scale Output 2017-2040'!Q22</f>
        <v>34</v>
      </c>
      <c r="X68" s="28">
        <f>'County Scale Output 2017-2040'!R22</f>
        <v>2030</v>
      </c>
      <c r="Y68" s="28">
        <f>'County Scale Output 2017-2040'!S22</f>
        <v>41</v>
      </c>
      <c r="Z68" s="28">
        <f>'County Scale Output 2017-2040'!T22</f>
        <v>2</v>
      </c>
      <c r="AA68" s="28">
        <f>'County Scale Output 2017-2040'!U22</f>
        <v>2202467992</v>
      </c>
      <c r="AB68">
        <f>SUM(AA59:AA68)</f>
        <v>78945919327.167999</v>
      </c>
      <c r="AC68">
        <f>AA62+AA66</f>
        <v>21392489.038000003</v>
      </c>
      <c r="AD68" s="232">
        <f>AC68/AB68</f>
        <v>2.7097650163962451E-4</v>
      </c>
      <c r="AF68">
        <v>2039</v>
      </c>
      <c r="AG68" s="232">
        <f>AD$68+9/10*(AD$78-AD$68)</f>
        <v>5.0402348609535373E-5</v>
      </c>
    </row>
    <row r="69" spans="1:33">
      <c r="A69" s="179">
        <v>13</v>
      </c>
      <c r="B69" s="186" t="s">
        <v>328</v>
      </c>
      <c r="C69" s="188">
        <v>9983</v>
      </c>
      <c r="D69" s="188">
        <v>4658</v>
      </c>
      <c r="E69" s="188">
        <v>1</v>
      </c>
      <c r="F69" s="189">
        <v>2.6700000000000002E-2</v>
      </c>
      <c r="G69" s="190">
        <f t="shared" si="57"/>
        <v>548389.51310861425</v>
      </c>
      <c r="H69" s="179"/>
      <c r="W69" s="28">
        <f>'County Scale Output 2017-2040'!Q23</f>
        <v>34</v>
      </c>
      <c r="X69" s="28">
        <f>'County Scale Output 2017-2040'!R23</f>
        <v>2040</v>
      </c>
      <c r="Y69" s="28">
        <f>'County Scale Output 2017-2040'!S23</f>
        <v>20</v>
      </c>
      <c r="Z69" s="28">
        <f>'County Scale Output 2017-2040'!T23</f>
        <v>1</v>
      </c>
      <c r="AA69" s="28">
        <f>'County Scale Output 2017-2040'!U23</f>
        <v>43135057664</v>
      </c>
      <c r="AF69">
        <v>2040</v>
      </c>
      <c r="AG69" s="232">
        <f>AD78</f>
        <v>2.5894109383969903E-5</v>
      </c>
    </row>
    <row r="70" spans="1:33">
      <c r="A70" s="179">
        <v>14</v>
      </c>
      <c r="B70" s="186" t="s">
        <v>329</v>
      </c>
      <c r="C70" s="188">
        <v>9377</v>
      </c>
      <c r="D70" s="188">
        <v>4535</v>
      </c>
      <c r="E70" s="188">
        <v>1</v>
      </c>
      <c r="F70" s="189">
        <v>5.4199999999999998E-2</v>
      </c>
      <c r="G70" s="190">
        <f t="shared" si="57"/>
        <v>256697.41697416976</v>
      </c>
      <c r="H70" s="179"/>
      <c r="W70" s="28">
        <f>'County Scale Output 2017-2040'!Q24</f>
        <v>34</v>
      </c>
      <c r="X70" s="28">
        <f>'County Scale Output 2017-2040'!R24</f>
        <v>2040</v>
      </c>
      <c r="Y70" s="28">
        <f>'County Scale Output 2017-2040'!S24</f>
        <v>20</v>
      </c>
      <c r="Z70" s="28">
        <f>'County Scale Output 2017-2040'!T24</f>
        <v>2</v>
      </c>
      <c r="AA70" s="28">
        <f>'County Scale Output 2017-2040'!U24</f>
        <v>972302792</v>
      </c>
    </row>
    <row r="71" spans="1:33">
      <c r="A71" s="179">
        <v>15</v>
      </c>
      <c r="B71" s="186" t="s">
        <v>330</v>
      </c>
      <c r="C71" s="188">
        <v>9340</v>
      </c>
      <c r="D71" s="188">
        <v>3312</v>
      </c>
      <c r="E71" s="188"/>
      <c r="F71" s="189">
        <v>3.15E-2</v>
      </c>
      <c r="G71" s="190">
        <f t="shared" si="57"/>
        <v>401650.79365079367</v>
      </c>
      <c r="H71" s="179"/>
      <c r="W71" s="28">
        <f>'County Scale Output 2017-2040'!Q25</f>
        <v>34</v>
      </c>
      <c r="X71" s="28">
        <f>'County Scale Output 2017-2040'!R25</f>
        <v>2040</v>
      </c>
      <c r="Y71" s="28">
        <f>'County Scale Output 2017-2040'!S25</f>
        <v>20</v>
      </c>
      <c r="Z71" s="28">
        <f>'County Scale Output 2017-2040'!T25</f>
        <v>5</v>
      </c>
      <c r="AA71" s="28">
        <f>'County Scale Output 2017-2040'!U25</f>
        <v>29466878.25</v>
      </c>
    </row>
    <row r="72" spans="1:33">
      <c r="A72" s="179">
        <v>16</v>
      </c>
      <c r="B72" s="186" t="s">
        <v>331</v>
      </c>
      <c r="C72" s="188">
        <v>8380</v>
      </c>
      <c r="D72" s="188">
        <v>4421</v>
      </c>
      <c r="E72" s="188"/>
      <c r="F72" s="189">
        <v>8.3799999999999999E-2</v>
      </c>
      <c r="G72" s="190">
        <f t="shared" si="57"/>
        <v>152756.5632458234</v>
      </c>
      <c r="H72" s="179"/>
      <c r="W72" s="28">
        <f>'County Scale Output 2017-2040'!Q26</f>
        <v>34</v>
      </c>
      <c r="X72" s="28">
        <f>'County Scale Output 2017-2040'!R26</f>
        <v>2040</v>
      </c>
      <c r="Y72" s="28">
        <f>'County Scale Output 2017-2040'!S26</f>
        <v>20</v>
      </c>
      <c r="Z72" s="28">
        <f>'County Scale Output 2017-2040'!T26</f>
        <v>9</v>
      </c>
      <c r="AA72" s="28">
        <f>'County Scale Output 2017-2040'!U26</f>
        <v>1641258.352</v>
      </c>
    </row>
    <row r="73" spans="1:33">
      <c r="A73" s="179">
        <v>17</v>
      </c>
      <c r="B73" s="186" t="s">
        <v>332</v>
      </c>
      <c r="C73" s="188">
        <v>7258</v>
      </c>
      <c r="D73" s="188">
        <v>3103</v>
      </c>
      <c r="E73" s="188"/>
      <c r="F73" s="189">
        <v>2.0400000000000001E-2</v>
      </c>
      <c r="G73" s="190">
        <f t="shared" si="57"/>
        <v>507892.15686274506</v>
      </c>
      <c r="H73" s="179"/>
      <c r="W73" s="28">
        <f>'County Scale Output 2017-2040'!Q27</f>
        <v>34</v>
      </c>
      <c r="X73" s="28">
        <f>'County Scale Output 2017-2040'!R27</f>
        <v>2040</v>
      </c>
      <c r="Y73" s="28">
        <f>'County Scale Output 2017-2040'!S27</f>
        <v>30</v>
      </c>
      <c r="Z73" s="28">
        <f>'County Scale Output 2017-2040'!T27</f>
        <v>1</v>
      </c>
      <c r="AA73" s="28">
        <f>'County Scale Output 2017-2040'!U27</f>
        <v>35033904896</v>
      </c>
    </row>
    <row r="74" spans="1:33">
      <c r="A74" s="179">
        <v>18</v>
      </c>
      <c r="B74" s="186" t="s">
        <v>333</v>
      </c>
      <c r="C74" s="188">
        <v>6425</v>
      </c>
      <c r="D74" s="188">
        <v>4052</v>
      </c>
      <c r="E74" s="188"/>
      <c r="F74" s="189">
        <v>2.23E-2</v>
      </c>
      <c r="G74" s="190">
        <f t="shared" si="57"/>
        <v>469820.62780269055</v>
      </c>
      <c r="H74" s="179"/>
      <c r="W74" s="28">
        <f>'County Scale Output 2017-2040'!Q28</f>
        <v>34</v>
      </c>
      <c r="X74" s="28">
        <f>'County Scale Output 2017-2040'!R28</f>
        <v>2040</v>
      </c>
      <c r="Y74" s="28">
        <f>'County Scale Output 2017-2040'!S28</f>
        <v>30</v>
      </c>
      <c r="Z74" s="28">
        <f>'County Scale Output 2017-2040'!T28</f>
        <v>2</v>
      </c>
      <c r="AA74" s="28">
        <f>'County Scale Output 2017-2040'!U28</f>
        <v>909755176</v>
      </c>
    </row>
    <row r="75" spans="1:33">
      <c r="A75" s="179">
        <v>19</v>
      </c>
      <c r="B75" s="186" t="s">
        <v>334</v>
      </c>
      <c r="C75" s="188">
        <v>6365</v>
      </c>
      <c r="D75" s="188">
        <v>1383</v>
      </c>
      <c r="E75" s="188"/>
      <c r="F75" s="189">
        <v>6.0400000000000002E-2</v>
      </c>
      <c r="G75" s="190">
        <f t="shared" si="57"/>
        <v>128278.14569536423</v>
      </c>
      <c r="H75" s="179"/>
      <c r="W75" s="28">
        <f>'County Scale Output 2017-2040'!Q29</f>
        <v>34</v>
      </c>
      <c r="X75" s="28">
        <f>'County Scale Output 2017-2040'!R29</f>
        <v>2040</v>
      </c>
      <c r="Y75" s="28">
        <f>'County Scale Output 2017-2040'!S29</f>
        <v>30</v>
      </c>
      <c r="Z75" s="28">
        <f>'County Scale Output 2017-2040'!T29</f>
        <v>5</v>
      </c>
      <c r="AA75" s="28">
        <f>'County Scale Output 2017-2040'!U29</f>
        <v>103324083</v>
      </c>
    </row>
    <row r="76" spans="1:33">
      <c r="A76" s="179">
        <v>20</v>
      </c>
      <c r="B76" s="186" t="s">
        <v>335</v>
      </c>
      <c r="C76" s="188">
        <v>4952</v>
      </c>
      <c r="D76" s="188">
        <v>3050</v>
      </c>
      <c r="E76" s="188"/>
      <c r="F76" s="189">
        <v>5.3800000000000001E-2</v>
      </c>
      <c r="G76" s="190">
        <f t="shared" si="57"/>
        <v>148736.05947955389</v>
      </c>
      <c r="H76" s="179"/>
      <c r="W76" s="28">
        <f>'County Scale Output 2017-2040'!Q30</f>
        <v>34</v>
      </c>
      <c r="X76" s="28">
        <f>'County Scale Output 2017-2040'!R30</f>
        <v>2040</v>
      </c>
      <c r="Y76" s="28">
        <f>'County Scale Output 2017-2040'!S30</f>
        <v>30</v>
      </c>
      <c r="Z76" s="28">
        <f>'County Scale Output 2017-2040'!T30</f>
        <v>9</v>
      </c>
      <c r="AA76" s="28">
        <f>'County Scale Output 2017-2040'!U30</f>
        <v>523710.0723</v>
      </c>
    </row>
    <row r="77" spans="1:33">
      <c r="A77" s="179">
        <v>21</v>
      </c>
      <c r="B77" s="186" t="s">
        <v>336</v>
      </c>
      <c r="C77" s="188">
        <v>4623</v>
      </c>
      <c r="D77" s="188">
        <v>1738</v>
      </c>
      <c r="E77" s="188"/>
      <c r="F77" s="189">
        <v>3.1699999999999999E-2</v>
      </c>
      <c r="G77" s="190">
        <f t="shared" si="57"/>
        <v>200662.46056782335</v>
      </c>
      <c r="H77" s="179"/>
      <c r="W77" s="28">
        <f>'County Scale Output 2017-2040'!Q31</f>
        <v>34</v>
      </c>
      <c r="X77" s="28">
        <f>'County Scale Output 2017-2040'!R31</f>
        <v>2040</v>
      </c>
      <c r="Y77" s="28">
        <f>'County Scale Output 2017-2040'!S31</f>
        <v>41</v>
      </c>
      <c r="Z77" s="28">
        <f>'County Scale Output 2017-2040'!T31</f>
        <v>1</v>
      </c>
      <c r="AA77" s="28">
        <f>'County Scale Output 2017-2040'!U31</f>
        <v>894074332</v>
      </c>
    </row>
    <row r="78" spans="1:33">
      <c r="A78" s="179">
        <v>22</v>
      </c>
      <c r="B78" s="186" t="s">
        <v>337</v>
      </c>
      <c r="C78" s="188">
        <v>4411</v>
      </c>
      <c r="D78" s="188">
        <v>1226</v>
      </c>
      <c r="E78" s="188"/>
      <c r="F78" s="189">
        <v>4.9099999999999998E-2</v>
      </c>
      <c r="G78" s="190">
        <f t="shared" si="57"/>
        <v>114806.51731160897</v>
      </c>
      <c r="H78" s="179"/>
      <c r="W78" s="28">
        <f>'County Scale Output 2017-2040'!Q32</f>
        <v>34</v>
      </c>
      <c r="X78" s="28">
        <f>'County Scale Output 2017-2040'!R32</f>
        <v>2040</v>
      </c>
      <c r="Y78" s="28">
        <f>'County Scale Output 2017-2040'!S32</f>
        <v>41</v>
      </c>
      <c r="Z78" s="28">
        <f>'County Scale Output 2017-2040'!T32</f>
        <v>2</v>
      </c>
      <c r="AA78" s="28">
        <f>'County Scale Output 2017-2040'!U32</f>
        <v>2528479328</v>
      </c>
      <c r="AB78">
        <f>SUM(AA69:AA78)</f>
        <v>83608530117.674286</v>
      </c>
      <c r="AC78">
        <f>AA72+AA76</f>
        <v>2164968.4243000001</v>
      </c>
      <c r="AD78" s="232">
        <f>AC78/AB78</f>
        <v>2.5894109383969903E-5</v>
      </c>
    </row>
    <row r="79" spans="1:33">
      <c r="A79" s="179">
        <v>23</v>
      </c>
      <c r="B79" s="186" t="s">
        <v>338</v>
      </c>
      <c r="C79" s="188">
        <v>4138</v>
      </c>
      <c r="D79" s="188">
        <v>956</v>
      </c>
      <c r="E79" s="188">
        <v>5</v>
      </c>
      <c r="F79" s="189">
        <v>7.8899999999999998E-2</v>
      </c>
      <c r="G79" s="190">
        <f t="shared" si="57"/>
        <v>64626.108998732576</v>
      </c>
      <c r="H79" s="179"/>
    </row>
    <row r="80" spans="1:33">
      <c r="A80" s="179">
        <v>24</v>
      </c>
      <c r="B80" s="186" t="s">
        <v>339</v>
      </c>
      <c r="C80" s="188">
        <v>4101</v>
      </c>
      <c r="D80" s="188">
        <v>1316</v>
      </c>
      <c r="E80" s="188"/>
      <c r="F80" s="189">
        <v>2.2700000000000001E-2</v>
      </c>
      <c r="G80" s="190">
        <f t="shared" si="57"/>
        <v>238634.36123348016</v>
      </c>
      <c r="H80" s="179"/>
    </row>
    <row r="81" spans="1:8">
      <c r="A81" s="179">
        <v>25</v>
      </c>
      <c r="B81" s="186" t="s">
        <v>340</v>
      </c>
      <c r="C81" s="188">
        <v>3738</v>
      </c>
      <c r="D81" s="188">
        <v>5036</v>
      </c>
      <c r="E81" s="188"/>
      <c r="F81" s="189">
        <v>2.2800000000000001E-2</v>
      </c>
      <c r="G81" s="190">
        <f t="shared" si="57"/>
        <v>384824.56140350876</v>
      </c>
      <c r="H81" s="179"/>
    </row>
    <row r="82" spans="1:8">
      <c r="A82" s="179">
        <v>26</v>
      </c>
      <c r="B82" s="186" t="s">
        <v>341</v>
      </c>
      <c r="C82" s="188">
        <v>3467</v>
      </c>
      <c r="D82" s="188">
        <v>1701</v>
      </c>
      <c r="E82" s="188"/>
      <c r="F82" s="189">
        <v>2.1999999999999999E-2</v>
      </c>
      <c r="G82" s="190">
        <f t="shared" si="57"/>
        <v>234909.09090909091</v>
      </c>
      <c r="H82" s="179"/>
    </row>
    <row r="83" spans="1:8">
      <c r="A83" s="179">
        <v>27</v>
      </c>
      <c r="B83" s="186" t="s">
        <v>342</v>
      </c>
      <c r="C83" s="188">
        <v>3304</v>
      </c>
      <c r="D83" s="188">
        <v>1613</v>
      </c>
      <c r="E83" s="188">
        <v>1</v>
      </c>
      <c r="F83" s="189">
        <v>2.2599999999999999E-2</v>
      </c>
      <c r="G83" s="190">
        <f t="shared" si="57"/>
        <v>217610.61946902657</v>
      </c>
      <c r="H83" s="179"/>
    </row>
    <row r="84" spans="1:8">
      <c r="A84" s="179">
        <v>28</v>
      </c>
      <c r="B84" s="186" t="s">
        <v>343</v>
      </c>
      <c r="C84" s="188">
        <v>3011</v>
      </c>
      <c r="D84" s="188">
        <v>1336</v>
      </c>
      <c r="E84" s="188"/>
      <c r="F84" s="189">
        <v>2.12E-2</v>
      </c>
      <c r="G84" s="190">
        <f t="shared" si="57"/>
        <v>205047.16981132075</v>
      </c>
      <c r="H84" s="179"/>
    </row>
    <row r="85" spans="1:8">
      <c r="A85" s="179">
        <v>29</v>
      </c>
      <c r="B85" s="186" t="s">
        <v>344</v>
      </c>
      <c r="C85" s="188">
        <v>2716</v>
      </c>
      <c r="D85" s="188">
        <v>1183</v>
      </c>
      <c r="E85" s="188"/>
      <c r="F85" s="189">
        <v>1.9900000000000001E-2</v>
      </c>
      <c r="G85" s="190">
        <f t="shared" si="57"/>
        <v>195929.64824120601</v>
      </c>
      <c r="H85" s="179"/>
    </row>
    <row r="86" spans="1:8">
      <c r="A86" s="179">
        <v>30</v>
      </c>
      <c r="B86" s="186" t="s">
        <v>345</v>
      </c>
      <c r="C86" s="188">
        <v>1607</v>
      </c>
      <c r="D86" s="188">
        <v>806</v>
      </c>
      <c r="E86" s="188"/>
      <c r="F86" s="189">
        <v>1.32E-2</v>
      </c>
      <c r="G86" s="190">
        <f t="shared" si="57"/>
        <v>182803.0303030303</v>
      </c>
      <c r="H86" s="179"/>
    </row>
    <row r="87" spans="1:8">
      <c r="A87" s="179">
        <v>31</v>
      </c>
      <c r="B87" s="186" t="s">
        <v>346</v>
      </c>
      <c r="C87" s="188">
        <v>1471</v>
      </c>
      <c r="D87" s="188">
        <v>654</v>
      </c>
      <c r="E87" s="188"/>
      <c r="F87" s="189">
        <v>1.5699999999999999E-2</v>
      </c>
      <c r="G87" s="190">
        <f t="shared" si="57"/>
        <v>135350.31847133758</v>
      </c>
      <c r="H87" s="179"/>
    </row>
    <row r="88" spans="1:8">
      <c r="A88" s="179">
        <v>32</v>
      </c>
      <c r="B88" s="186" t="s">
        <v>347</v>
      </c>
      <c r="C88" s="188">
        <v>1375</v>
      </c>
      <c r="D88" s="188">
        <v>806</v>
      </c>
      <c r="E88" s="188"/>
      <c r="F88" s="189">
        <v>1.9800000000000002E-2</v>
      </c>
      <c r="G88" s="190">
        <f t="shared" si="57"/>
        <v>110151.51515151514</v>
      </c>
      <c r="H88" s="179"/>
    </row>
    <row r="89" spans="1:8">
      <c r="A89" s="179">
        <v>33</v>
      </c>
      <c r="B89" s="186" t="s">
        <v>348</v>
      </c>
      <c r="C89" s="188">
        <v>1367</v>
      </c>
      <c r="D89" s="188">
        <v>763</v>
      </c>
      <c r="E89" s="188"/>
      <c r="F89" s="189">
        <v>0.1119</v>
      </c>
      <c r="G89" s="190">
        <f t="shared" si="57"/>
        <v>19034.852546916889</v>
      </c>
      <c r="H89" s="179"/>
    </row>
    <row r="90" spans="1:8">
      <c r="A90" s="179">
        <v>34</v>
      </c>
      <c r="B90" s="186" t="s">
        <v>349</v>
      </c>
      <c r="C90" s="188">
        <v>1324</v>
      </c>
      <c r="D90" s="188">
        <v>994</v>
      </c>
      <c r="E90" s="188"/>
      <c r="F90" s="189">
        <v>2.9700000000000001E-2</v>
      </c>
      <c r="G90" s="190">
        <f t="shared" si="57"/>
        <v>78047.13804713804</v>
      </c>
      <c r="H90" s="179"/>
    </row>
    <row r="91" spans="1:8">
      <c r="A91" s="179">
        <v>35</v>
      </c>
      <c r="B91" s="186" t="s">
        <v>350</v>
      </c>
      <c r="C91" s="188">
        <v>1315</v>
      </c>
      <c r="D91" s="188">
        <v>624</v>
      </c>
      <c r="E91" s="188"/>
      <c r="F91" s="189">
        <v>2.29E-2</v>
      </c>
      <c r="G91" s="190">
        <f t="shared" si="57"/>
        <v>84672.489082969434</v>
      </c>
      <c r="H91" s="179"/>
    </row>
    <row r="92" spans="1:8">
      <c r="A92" s="179">
        <v>36</v>
      </c>
      <c r="B92" s="186" t="s">
        <v>351</v>
      </c>
      <c r="C92" s="188">
        <v>1257</v>
      </c>
      <c r="D92" s="188">
        <v>531</v>
      </c>
      <c r="E92" s="188"/>
      <c r="F92" s="189">
        <v>4.2200000000000001E-2</v>
      </c>
      <c r="G92" s="190">
        <f t="shared" si="57"/>
        <v>42369.668246445493</v>
      </c>
      <c r="H92" s="179"/>
    </row>
    <row r="93" spans="1:8">
      <c r="A93" s="179">
        <v>37</v>
      </c>
      <c r="B93" s="186" t="s">
        <v>352</v>
      </c>
      <c r="C93" s="188">
        <v>1219</v>
      </c>
      <c r="D93" s="188">
        <v>1018</v>
      </c>
      <c r="E93" s="188"/>
      <c r="F93" s="189">
        <v>5.9700000000000003E-2</v>
      </c>
      <c r="G93" s="190">
        <f t="shared" si="57"/>
        <v>37470.68676716918</v>
      </c>
      <c r="H93" s="179"/>
    </row>
    <row r="94" spans="1:8">
      <c r="A94" s="179">
        <v>38</v>
      </c>
      <c r="B94" s="186" t="s">
        <v>353</v>
      </c>
      <c r="C94" s="188">
        <v>1188</v>
      </c>
      <c r="D94" s="188">
        <v>478</v>
      </c>
      <c r="E94" s="188"/>
      <c r="F94" s="189">
        <v>4.02E-2</v>
      </c>
      <c r="G94" s="190">
        <f t="shared" si="57"/>
        <v>41442.786069651738</v>
      </c>
      <c r="H94" s="179"/>
    </row>
    <row r="95" spans="1:8">
      <c r="A95" s="179">
        <v>39</v>
      </c>
      <c r="B95" s="186" t="s">
        <v>354</v>
      </c>
      <c r="C95" s="188">
        <v>1156</v>
      </c>
      <c r="D95" s="188">
        <v>685</v>
      </c>
      <c r="E95" s="188"/>
      <c r="F95" s="189">
        <v>9.7000000000000003E-3</v>
      </c>
      <c r="G95" s="190">
        <f t="shared" si="57"/>
        <v>189793.81443298969</v>
      </c>
      <c r="H95" s="179"/>
    </row>
    <row r="96" spans="1:8">
      <c r="A96" s="179">
        <v>40</v>
      </c>
      <c r="B96" s="186" t="s">
        <v>355</v>
      </c>
      <c r="C96" s="188">
        <v>1083</v>
      </c>
      <c r="D96" s="188">
        <v>1408</v>
      </c>
      <c r="E96" s="188"/>
      <c r="F96" s="189">
        <v>4.1200000000000001E-2</v>
      </c>
      <c r="G96" s="190">
        <f t="shared" si="57"/>
        <v>60461.165048543691</v>
      </c>
      <c r="H96" s="179"/>
    </row>
    <row r="97" spans="1:8">
      <c r="A97" s="179">
        <v>41</v>
      </c>
      <c r="B97" s="186" t="s">
        <v>356</v>
      </c>
      <c r="C97" s="188">
        <v>1037</v>
      </c>
      <c r="D97" s="188">
        <v>521</v>
      </c>
      <c r="E97" s="188"/>
      <c r="F97" s="189">
        <v>2.4899999999999999E-2</v>
      </c>
      <c r="G97" s="190">
        <f t="shared" si="57"/>
        <v>62570.281124497997</v>
      </c>
      <c r="H97" s="179"/>
    </row>
    <row r="98" spans="1:8">
      <c r="A98" s="179">
        <v>42</v>
      </c>
      <c r="B98" s="186" t="s">
        <v>357</v>
      </c>
      <c r="C98" s="188">
        <v>944</v>
      </c>
      <c r="D98" s="188">
        <v>737</v>
      </c>
      <c r="E98" s="188"/>
      <c r="F98" s="189">
        <v>3.85E-2</v>
      </c>
      <c r="G98" s="190">
        <f t="shared" si="57"/>
        <v>43662.337662337661</v>
      </c>
      <c r="H98" s="179"/>
    </row>
    <row r="99" spans="1:8">
      <c r="A99" s="179">
        <v>43</v>
      </c>
      <c r="B99" s="186" t="s">
        <v>358</v>
      </c>
      <c r="C99" s="188">
        <v>914</v>
      </c>
      <c r="D99" s="188">
        <v>454</v>
      </c>
      <c r="E99" s="188"/>
      <c r="F99" s="189">
        <v>1.2200000000000001E-2</v>
      </c>
      <c r="G99" s="190">
        <f t="shared" si="57"/>
        <v>112131.1475409836</v>
      </c>
      <c r="H99" s="179"/>
    </row>
    <row r="100" spans="1:8">
      <c r="A100" s="179">
        <v>44</v>
      </c>
      <c r="B100" s="186" t="s">
        <v>359</v>
      </c>
      <c r="C100" s="188">
        <v>876</v>
      </c>
      <c r="D100" s="188">
        <v>615</v>
      </c>
      <c r="E100" s="188"/>
      <c r="F100" s="189">
        <v>2.0299999999999999E-2</v>
      </c>
      <c r="G100" s="190">
        <f t="shared" si="57"/>
        <v>73448.275862068971</v>
      </c>
      <c r="H100" s="179"/>
    </row>
    <row r="101" spans="1:8">
      <c r="A101" s="179">
        <v>45</v>
      </c>
      <c r="B101" s="186" t="s">
        <v>360</v>
      </c>
      <c r="C101" s="188">
        <v>636</v>
      </c>
      <c r="D101" s="188">
        <v>311</v>
      </c>
      <c r="E101" s="188"/>
      <c r="F101" s="189">
        <v>2.0400000000000001E-2</v>
      </c>
      <c r="G101" s="190">
        <f t="shared" si="57"/>
        <v>46421.568627450979</v>
      </c>
      <c r="H101" s="179"/>
    </row>
    <row r="102" spans="1:8">
      <c r="A102" s="179">
        <v>46</v>
      </c>
      <c r="B102" s="186" t="s">
        <v>361</v>
      </c>
      <c r="C102" s="188">
        <v>474</v>
      </c>
      <c r="D102" s="188">
        <v>303</v>
      </c>
      <c r="E102" s="188"/>
      <c r="F102" s="189">
        <v>2.1999999999999999E-2</v>
      </c>
      <c r="G102" s="190">
        <f t="shared" si="57"/>
        <v>35318.181818181823</v>
      </c>
      <c r="H102" s="179"/>
    </row>
    <row r="103" spans="1:8">
      <c r="A103" s="179">
        <v>47</v>
      </c>
      <c r="B103" s="186" t="s">
        <v>362</v>
      </c>
      <c r="C103" s="188">
        <v>390</v>
      </c>
      <c r="D103" s="188">
        <v>279</v>
      </c>
      <c r="E103" s="188"/>
      <c r="F103" s="189">
        <v>9.9000000000000008E-3</v>
      </c>
      <c r="G103" s="190">
        <f t="shared" si="57"/>
        <v>67575.757575757569</v>
      </c>
      <c r="H103" s="179"/>
    </row>
    <row r="104" spans="1:8">
      <c r="A104" s="179">
        <v>48</v>
      </c>
      <c r="B104" s="186" t="s">
        <v>363</v>
      </c>
      <c r="C104" s="188">
        <v>248</v>
      </c>
      <c r="D104" s="188">
        <v>108</v>
      </c>
      <c r="E104" s="188"/>
      <c r="F104" s="189">
        <v>1.7399999999999999E-2</v>
      </c>
      <c r="G104" s="190">
        <f t="shared" si="57"/>
        <v>20459.77011494253</v>
      </c>
      <c r="H104" s="179"/>
    </row>
    <row r="105" spans="1:8">
      <c r="A105" s="179">
        <v>49</v>
      </c>
      <c r="B105" s="186" t="s">
        <v>364</v>
      </c>
      <c r="C105" s="188">
        <v>215</v>
      </c>
      <c r="D105" s="188">
        <v>167</v>
      </c>
      <c r="E105" s="188"/>
      <c r="F105" s="189">
        <v>1.17E-2</v>
      </c>
      <c r="G105" s="190">
        <f t="shared" si="57"/>
        <v>32649.572649572649</v>
      </c>
      <c r="H105" s="179"/>
    </row>
    <row r="106" spans="1:8">
      <c r="A106" s="179">
        <v>50</v>
      </c>
      <c r="B106" s="186" t="s">
        <v>365</v>
      </c>
      <c r="C106" s="188">
        <v>138</v>
      </c>
      <c r="D106" s="188">
        <v>128</v>
      </c>
      <c r="E106" s="188"/>
      <c r="F106" s="189">
        <v>1.46E-2</v>
      </c>
      <c r="G106" s="190">
        <f t="shared" si="57"/>
        <v>18219.178082191782</v>
      </c>
      <c r="H106" s="179"/>
    </row>
    <row r="107" spans="1:8">
      <c r="A107" s="179">
        <v>51</v>
      </c>
      <c r="B107" s="186" t="s">
        <v>366</v>
      </c>
      <c r="C107" s="188">
        <v>132</v>
      </c>
      <c r="D107" s="188">
        <v>101</v>
      </c>
      <c r="E107" s="188"/>
      <c r="F107" s="189">
        <v>7.7000000000000002E-3</v>
      </c>
      <c r="G107" s="190">
        <f t="shared" si="57"/>
        <v>30259.740259740258</v>
      </c>
      <c r="H107" s="179"/>
    </row>
    <row r="108" spans="1:8">
      <c r="A108" s="179"/>
      <c r="B108" s="179"/>
      <c r="C108" s="179"/>
      <c r="D108" s="179"/>
      <c r="E108" s="179"/>
      <c r="F108" s="179"/>
      <c r="G108" s="179"/>
      <c r="H108" s="179"/>
    </row>
    <row r="109" spans="1:8">
      <c r="A109" s="179"/>
      <c r="B109" s="179"/>
      <c r="C109" s="185" t="s">
        <v>121</v>
      </c>
      <c r="D109" s="185" t="s">
        <v>122</v>
      </c>
      <c r="E109" s="185" t="s">
        <v>314</v>
      </c>
      <c r="F109" s="185"/>
      <c r="G109" s="185" t="s">
        <v>33</v>
      </c>
      <c r="H109" s="179"/>
    </row>
    <row r="110" spans="1:8">
      <c r="A110" s="179"/>
      <c r="B110" s="179" t="s">
        <v>49</v>
      </c>
      <c r="C110" s="190">
        <f>SUM(C57:C107)</f>
        <v>473426</v>
      </c>
      <c r="D110" s="190">
        <f t="shared" ref="D110:E110" si="58">SUM(D57:D107)</f>
        <v>173804</v>
      </c>
      <c r="E110" s="190">
        <f t="shared" si="58"/>
        <v>3281</v>
      </c>
      <c r="F110" s="191">
        <f>SUM(C110:E110)/G110</f>
        <v>4.6816102427689771E-2</v>
      </c>
      <c r="G110" s="192">
        <f>SUM(G57:G107)</f>
        <v>13895026.844764631</v>
      </c>
      <c r="H110" s="179"/>
    </row>
    <row r="111" spans="1:8">
      <c r="A111" s="179"/>
      <c r="B111" s="179"/>
      <c r="C111" s="179"/>
      <c r="D111" s="179"/>
      <c r="E111" s="179"/>
      <c r="F111" s="179"/>
      <c r="G111" s="179"/>
      <c r="H111" s="179"/>
    </row>
    <row r="112" spans="1:8">
      <c r="A112" s="179"/>
      <c r="B112" s="179"/>
      <c r="C112" s="193"/>
      <c r="D112" s="179"/>
      <c r="E112" s="179"/>
      <c r="F112" s="179"/>
      <c r="G112" s="179"/>
      <c r="H112" s="179"/>
    </row>
    <row r="113" spans="1:8">
      <c r="A113" s="179"/>
      <c r="B113" s="179"/>
      <c r="C113" s="179"/>
      <c r="D113" s="179"/>
      <c r="E113" s="179"/>
      <c r="F113" s="179"/>
      <c r="G113" s="179"/>
      <c r="H113" s="179"/>
    </row>
  </sheetData>
  <sheetProtection algorithmName="SHA-512" hashValue="aJbcLiitc4isBJ4Hod75LxRhKGCh9ITR56Tt0eY/+9tIkSNvMSpo5lZF4wUNVfXV6u4F/5bxkgXgN6W6tGfe3w==" saltValue="JfP1nK5p5JU/XXG1T78ZPA==" spinCount="100000" sheet="1" objects="1" scenarios="1"/>
  <mergeCells count="12">
    <mergeCell ref="C55:E55"/>
    <mergeCell ref="AN7:AS7"/>
    <mergeCell ref="N7:P7"/>
    <mergeCell ref="K7:M7"/>
    <mergeCell ref="B7:D7"/>
    <mergeCell ref="E7:G7"/>
    <mergeCell ref="H7:J7"/>
    <mergeCell ref="AH52:AM52"/>
    <mergeCell ref="AN52:AS52"/>
    <mergeCell ref="V7:AA7"/>
    <mergeCell ref="AB7:AG7"/>
    <mergeCell ref="AH7:AM7"/>
  </mergeCells>
  <pageMargins left="0.7" right="0.7" top="0.75" bottom="0.75" header="0.3" footer="0.3"/>
  <pageSetup orientation="portrait" horizontalDpi="360" verticalDpi="360" r:id="rId1"/>
  <ignoredErrors>
    <ignoredError sqref="J24:J32" formulaRange="1"/>
    <ignoredError sqref="F110 AC17 AE17 AI17 AK17 AO17:AO18 AQ17:AQ18 X33:X42 Z33:Z42" formula="1"/>
  </ignoredError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62DAC0-4691-499F-9CC3-035D73604843}">
  <sheetPr codeName="Sheet12"/>
  <dimension ref="A1:AO120"/>
  <sheetViews>
    <sheetView topLeftCell="A31" workbookViewId="0"/>
  </sheetViews>
  <sheetFormatPr baseColWidth="10" defaultColWidth="8.6640625" defaultRowHeight="15"/>
  <cols>
    <col min="1" max="4" width="8.6640625" style="32"/>
    <col min="5" max="5" width="13.1640625" style="32" customWidth="1"/>
    <col min="6" max="6" width="8.6640625" style="32"/>
    <col min="7" max="7" width="10.5" style="32" customWidth="1"/>
    <col min="8" max="8" width="13" style="32" customWidth="1"/>
    <col min="9" max="9" width="8.6640625" style="32"/>
    <col min="10" max="10" width="12.5" style="32" customWidth="1"/>
    <col min="11" max="11" width="14.33203125" style="32" customWidth="1"/>
    <col min="12" max="13" width="15" style="32" customWidth="1"/>
    <col min="14" max="14" width="14.6640625" style="32" customWidth="1"/>
    <col min="15" max="15" width="4.83203125" style="32" bestFit="1" customWidth="1"/>
    <col min="16" max="16" width="12.83203125" style="32" customWidth="1"/>
    <col min="17" max="17" width="8.5" style="32" bestFit="1" customWidth="1"/>
    <col min="18" max="18" width="11.33203125" style="32" customWidth="1"/>
    <col min="19" max="19" width="11.6640625" style="32" customWidth="1"/>
    <col min="20" max="20" width="8.5" style="32" bestFit="1" customWidth="1"/>
    <col min="21" max="21" width="8.6640625" style="32"/>
    <col min="22" max="22" width="4.83203125" style="32" bestFit="1" customWidth="1"/>
    <col min="23" max="23" width="11" style="32" bestFit="1" customWidth="1"/>
    <col min="24" max="24" width="8.5" style="32" bestFit="1" customWidth="1"/>
    <col min="25" max="25" width="10" style="32" bestFit="1" customWidth="1"/>
    <col min="26" max="26" width="11" style="32" bestFit="1" customWidth="1"/>
    <col min="27" max="27" width="8.5" style="32" bestFit="1" customWidth="1"/>
    <col min="28" max="28" width="8.6640625" style="32"/>
    <col min="29" max="29" width="4.83203125" style="32" bestFit="1" customWidth="1"/>
    <col min="30" max="30" width="11" style="32" bestFit="1" customWidth="1"/>
    <col min="31" max="31" width="8.5" style="32" bestFit="1" customWidth="1"/>
    <col min="32" max="32" width="10" style="32" bestFit="1" customWidth="1"/>
    <col min="33" max="33" width="11" style="32" bestFit="1" customWidth="1"/>
    <col min="34" max="34" width="9.5" style="32" customWidth="1"/>
    <col min="35" max="35" width="8.6640625" style="32"/>
    <col min="36" max="36" width="4.83203125" style="32" bestFit="1" customWidth="1"/>
    <col min="37" max="37" width="11" style="32" bestFit="1" customWidth="1"/>
    <col min="38" max="38" width="8.5" style="32" bestFit="1" customWidth="1"/>
    <col min="39" max="39" width="10" style="32" bestFit="1" customWidth="1"/>
    <col min="40" max="40" width="11" style="32" bestFit="1" customWidth="1"/>
    <col min="41" max="41" width="10.5" style="32" customWidth="1"/>
    <col min="42" max="16384" width="8.6640625" style="32"/>
  </cols>
  <sheetData>
    <row r="1" spans="1:41">
      <c r="A1" s="161" t="s">
        <v>380</v>
      </c>
    </row>
    <row r="3" spans="1:41">
      <c r="A3" s="161" t="s">
        <v>252</v>
      </c>
      <c r="D3" s="7" t="s">
        <v>109</v>
      </c>
      <c r="O3" s="7" t="s">
        <v>253</v>
      </c>
      <c r="V3" s="7" t="s">
        <v>254</v>
      </c>
      <c r="AC3" s="7" t="s">
        <v>255</v>
      </c>
      <c r="AJ3" s="7" t="s">
        <v>256</v>
      </c>
    </row>
    <row r="4" spans="1:41">
      <c r="A4" s="32" t="s">
        <v>208</v>
      </c>
      <c r="D4" s="162" t="s">
        <v>208</v>
      </c>
      <c r="E4" s="162" t="s">
        <v>257</v>
      </c>
      <c r="F4" s="162" t="s">
        <v>258</v>
      </c>
      <c r="G4" s="162" t="s">
        <v>122</v>
      </c>
      <c r="H4" s="162" t="s">
        <v>121</v>
      </c>
      <c r="I4" s="162" t="s">
        <v>259</v>
      </c>
      <c r="J4" s="162" t="s">
        <v>49</v>
      </c>
      <c r="K4" s="162" t="s">
        <v>260</v>
      </c>
      <c r="L4" s="162" t="s">
        <v>261</v>
      </c>
      <c r="M4" s="166" t="s">
        <v>269</v>
      </c>
      <c r="O4" s="162" t="s">
        <v>208</v>
      </c>
      <c r="P4" s="162" t="s">
        <v>257</v>
      </c>
      <c r="Q4" s="162" t="s">
        <v>258</v>
      </c>
      <c r="R4" s="162" t="s">
        <v>122</v>
      </c>
      <c r="S4" s="162" t="s">
        <v>121</v>
      </c>
      <c r="T4" s="162" t="s">
        <v>259</v>
      </c>
      <c r="V4" s="162" t="s">
        <v>208</v>
      </c>
      <c r="W4" s="162" t="s">
        <v>257</v>
      </c>
      <c r="X4" s="162" t="s">
        <v>258</v>
      </c>
      <c r="Y4" s="162" t="s">
        <v>122</v>
      </c>
      <c r="Z4" s="162" t="s">
        <v>121</v>
      </c>
      <c r="AA4" s="162" t="s">
        <v>259</v>
      </c>
      <c r="AC4" s="162" t="s">
        <v>208</v>
      </c>
      <c r="AD4" s="162" t="s">
        <v>257</v>
      </c>
      <c r="AE4" s="162" t="s">
        <v>258</v>
      </c>
      <c r="AF4" s="162" t="s">
        <v>122</v>
      </c>
      <c r="AG4" s="162" t="s">
        <v>121</v>
      </c>
      <c r="AH4" s="162" t="s">
        <v>259</v>
      </c>
      <c r="AJ4" s="162" t="s">
        <v>208</v>
      </c>
      <c r="AK4" s="162" t="s">
        <v>257</v>
      </c>
      <c r="AL4" s="162" t="s">
        <v>258</v>
      </c>
      <c r="AM4" s="162" t="s">
        <v>122</v>
      </c>
      <c r="AN4" s="162" t="s">
        <v>121</v>
      </c>
      <c r="AO4" s="162" t="s">
        <v>259</v>
      </c>
    </row>
    <row r="5" spans="1:41">
      <c r="A5" s="32">
        <v>2025</v>
      </c>
      <c r="B5" s="32">
        <f>(G5+H5+I5)/J5</f>
        <v>6.054448252299377E-2</v>
      </c>
      <c r="D5" s="32">
        <v>2025</v>
      </c>
      <c r="E5" s="163">
        <f t="shared" ref="E5:I20" si="0">P5+W5+AD5+AK5</f>
        <v>24776703.209887661</v>
      </c>
      <c r="F5" s="163">
        <f t="shared" si="0"/>
        <v>132358.9640351852</v>
      </c>
      <c r="G5" s="163">
        <f t="shared" si="0"/>
        <v>489283.38786027988</v>
      </c>
      <c r="H5" s="163">
        <f t="shared" si="0"/>
        <v>1092590.3934145016</v>
      </c>
      <c r="I5" s="163">
        <f t="shared" si="0"/>
        <v>23424.448814275282</v>
      </c>
      <c r="J5" s="163">
        <f>SUM(E5:I5)</f>
        <v>26514360.404011905</v>
      </c>
      <c r="K5" s="163">
        <f>R5</f>
        <v>398711.84329231421</v>
      </c>
      <c r="L5" s="163">
        <f>Y5+AF5+AM5</f>
        <v>90571.54456796567</v>
      </c>
      <c r="M5" s="165">
        <f>G5/J5</f>
        <v>1.845352406789515E-2</v>
      </c>
      <c r="N5" s="165"/>
      <c r="O5" s="32">
        <v>2025</v>
      </c>
      <c r="P5" s="163">
        <v>12918515.229918957</v>
      </c>
      <c r="Q5" s="163">
        <v>42726.352364996637</v>
      </c>
      <c r="R5" s="163">
        <v>398711.84329231421</v>
      </c>
      <c r="S5" s="163">
        <v>879643.929619601</v>
      </c>
      <c r="T5" s="163">
        <v>23424.448814275282</v>
      </c>
      <c r="V5" s="32">
        <v>2025</v>
      </c>
      <c r="W5" s="163">
        <v>1290500.8283019154</v>
      </c>
      <c r="X5" s="163">
        <v>611.07494159717623</v>
      </c>
      <c r="Y5" s="163">
        <v>1832.3663233627458</v>
      </c>
      <c r="Z5" s="163">
        <v>9022.4611627572613</v>
      </c>
      <c r="AA5" s="163">
        <v>0</v>
      </c>
      <c r="AC5" s="32">
        <v>2025</v>
      </c>
      <c r="AD5" s="163">
        <v>6340897.0552265448</v>
      </c>
      <c r="AE5" s="163">
        <v>22766.138287385853</v>
      </c>
      <c r="AF5" s="163">
        <v>56763.821399749708</v>
      </c>
      <c r="AG5" s="163">
        <v>118213.5860239724</v>
      </c>
      <c r="AH5" s="163">
        <v>0</v>
      </c>
      <c r="AJ5" s="32">
        <v>2025</v>
      </c>
      <c r="AK5" s="163">
        <v>4226790.0964402445</v>
      </c>
      <c r="AL5" s="163">
        <v>66255.398441205529</v>
      </c>
      <c r="AM5" s="163">
        <v>31975.35684485321</v>
      </c>
      <c r="AN5" s="163">
        <v>85710.416608170985</v>
      </c>
      <c r="AO5" s="163">
        <v>0</v>
      </c>
    </row>
    <row r="6" spans="1:41">
      <c r="A6" s="32">
        <v>2026</v>
      </c>
      <c r="B6" s="32">
        <f t="shared" ref="B6:B30" si="1">(G6+H6+I6)/J6</f>
        <v>7.2474172594756608E-2</v>
      </c>
      <c r="D6" s="32">
        <v>2026</v>
      </c>
      <c r="E6" s="163">
        <f t="shared" si="0"/>
        <v>24619430.757507939</v>
      </c>
      <c r="F6" s="163">
        <f t="shared" si="0"/>
        <v>128719.13071376827</v>
      </c>
      <c r="G6" s="163">
        <f t="shared" si="0"/>
        <v>531110.0939526977</v>
      </c>
      <c r="H6" s="163">
        <f t="shared" si="0"/>
        <v>1374722.4995566325</v>
      </c>
      <c r="I6" s="163">
        <f t="shared" si="0"/>
        <v>27915.916133245562</v>
      </c>
      <c r="J6" s="163">
        <f t="shared" ref="J6:J20" si="2">SUM(E6:I6)</f>
        <v>26681898.397864282</v>
      </c>
      <c r="K6" s="163">
        <f t="shared" ref="K6:K20" si="3">R6</f>
        <v>428569.86278296739</v>
      </c>
      <c r="L6" s="163">
        <f t="shared" ref="L6:L20" si="4">Y6+AF6+AM6</f>
        <v>102540.23116973025</v>
      </c>
      <c r="M6" s="165">
        <f t="shared" ref="M6:M20" si="5">G6/J6</f>
        <v>1.9905258840023532E-2</v>
      </c>
      <c r="N6" s="165"/>
      <c r="O6" s="32">
        <v>2026</v>
      </c>
      <c r="P6" s="163">
        <v>12764492.780061709</v>
      </c>
      <c r="Q6" s="163">
        <v>38852.721891227295</v>
      </c>
      <c r="R6" s="163">
        <v>428569.86278296739</v>
      </c>
      <c r="S6" s="163">
        <v>1037755.5691188647</v>
      </c>
      <c r="T6" s="163">
        <v>27915.916133245562</v>
      </c>
      <c r="V6" s="32">
        <v>2026</v>
      </c>
      <c r="W6" s="163">
        <v>1256615.688346297</v>
      </c>
      <c r="X6" s="163">
        <v>519.04090894274998</v>
      </c>
      <c r="Y6" s="163">
        <v>2137.8037583467503</v>
      </c>
      <c r="Z6" s="163">
        <v>13881.384005156262</v>
      </c>
      <c r="AA6" s="163">
        <v>0</v>
      </c>
      <c r="AC6" s="32">
        <v>2026</v>
      </c>
      <c r="AD6" s="163">
        <v>6395200.0261234958</v>
      </c>
      <c r="AE6" s="163">
        <v>23496.413375187763</v>
      </c>
      <c r="AF6" s="163">
        <v>64990.126939942762</v>
      </c>
      <c r="AG6" s="163">
        <v>191623.15958199289</v>
      </c>
      <c r="AH6" s="163">
        <v>0</v>
      </c>
      <c r="AJ6" s="32">
        <v>2026</v>
      </c>
      <c r="AK6" s="163">
        <v>4203122.2629764387</v>
      </c>
      <c r="AL6" s="163">
        <v>65850.954538410471</v>
      </c>
      <c r="AM6" s="163">
        <v>35412.300471440751</v>
      </c>
      <c r="AN6" s="163">
        <v>131462.3868506185</v>
      </c>
      <c r="AO6" s="163">
        <v>0</v>
      </c>
    </row>
    <row r="7" spans="1:41">
      <c r="A7" s="32">
        <v>2027</v>
      </c>
      <c r="B7" s="32">
        <f t="shared" si="1"/>
        <v>8.3726335577664651E-2</v>
      </c>
      <c r="D7" s="32">
        <v>2027</v>
      </c>
      <c r="E7" s="163">
        <f t="shared" si="0"/>
        <v>24484060.697784394</v>
      </c>
      <c r="F7" s="163">
        <f t="shared" si="0"/>
        <v>124344.24743045453</v>
      </c>
      <c r="G7" s="163">
        <f t="shared" si="0"/>
        <v>571175.7587794211</v>
      </c>
      <c r="H7" s="163">
        <f t="shared" si="0"/>
        <v>1645218.8859777304</v>
      </c>
      <c r="I7" s="163">
        <f t="shared" si="0"/>
        <v>32247.491839759212</v>
      </c>
      <c r="J7" s="163">
        <f t="shared" si="2"/>
        <v>26857047.08181176</v>
      </c>
      <c r="K7" s="163">
        <f t="shared" si="3"/>
        <v>456835.82762902649</v>
      </c>
      <c r="L7" s="163">
        <f t="shared" si="4"/>
        <v>114339.93115039464</v>
      </c>
      <c r="M7" s="165">
        <f t="shared" si="5"/>
        <v>2.1267258348972962E-2</v>
      </c>
      <c r="N7" s="165"/>
      <c r="O7" s="32">
        <v>2027</v>
      </c>
      <c r="P7" s="163">
        <v>12621743.141460327</v>
      </c>
      <c r="Q7" s="163">
        <v>34910.664533953001</v>
      </c>
      <c r="R7" s="163">
        <v>456835.82762902649</v>
      </c>
      <c r="S7" s="163">
        <v>1189905.2238037048</v>
      </c>
      <c r="T7" s="163">
        <v>32247.491839759212</v>
      </c>
      <c r="V7" s="32">
        <v>2027</v>
      </c>
      <c r="W7" s="163">
        <v>1225393.4095604967</v>
      </c>
      <c r="X7" s="163">
        <v>249.44511967850002</v>
      </c>
      <c r="Y7" s="163">
        <v>2444.4808910312504</v>
      </c>
      <c r="Z7" s="163">
        <v>18605.459507586515</v>
      </c>
      <c r="AA7" s="163">
        <v>0</v>
      </c>
      <c r="AC7" s="32">
        <v>2027</v>
      </c>
      <c r="AD7" s="163">
        <v>6452722.7631144812</v>
      </c>
      <c r="AE7" s="163">
        <v>24098.642933379484</v>
      </c>
      <c r="AF7" s="163">
        <v>73103.047254693636</v>
      </c>
      <c r="AG7" s="163">
        <v>261120.96693220441</v>
      </c>
      <c r="AH7" s="163">
        <v>0</v>
      </c>
      <c r="AJ7" s="32">
        <v>2027</v>
      </c>
      <c r="AK7" s="163">
        <v>4184201.3836490884</v>
      </c>
      <c r="AL7" s="163">
        <v>65085.494843443543</v>
      </c>
      <c r="AM7" s="163">
        <v>38792.403004669752</v>
      </c>
      <c r="AN7" s="163">
        <v>175587.23573423486</v>
      </c>
      <c r="AO7" s="163">
        <v>0</v>
      </c>
    </row>
    <row r="8" spans="1:41">
      <c r="A8" s="32">
        <v>2028</v>
      </c>
      <c r="B8" s="32">
        <f t="shared" si="1"/>
        <v>9.4479154321895575E-2</v>
      </c>
      <c r="D8" s="32">
        <v>2028</v>
      </c>
      <c r="E8" s="163">
        <f t="shared" si="0"/>
        <v>24365229.707353376</v>
      </c>
      <c r="F8" s="163">
        <f t="shared" si="0"/>
        <v>119909.53643343314</v>
      </c>
      <c r="G8" s="163">
        <f t="shared" si="0"/>
        <v>609146.04657322436</v>
      </c>
      <c r="H8" s="163">
        <f t="shared" si="0"/>
        <v>1909115.8185873672</v>
      </c>
      <c r="I8" s="163">
        <f t="shared" si="0"/>
        <v>36439.399032262198</v>
      </c>
      <c r="J8" s="163">
        <f t="shared" si="2"/>
        <v>27039840.507979661</v>
      </c>
      <c r="K8" s="163">
        <f t="shared" si="3"/>
        <v>483393.99531991518</v>
      </c>
      <c r="L8" s="163">
        <f t="shared" si="4"/>
        <v>125752.05125330923</v>
      </c>
      <c r="M8" s="165">
        <f t="shared" si="5"/>
        <v>2.252772335670622E-2</v>
      </c>
      <c r="N8" s="165"/>
      <c r="O8" s="32">
        <v>2028</v>
      </c>
      <c r="P8" s="163">
        <v>12490468.804415734</v>
      </c>
      <c r="Q8" s="163">
        <v>31009.695020705221</v>
      </c>
      <c r="R8" s="163">
        <v>483393.99531991518</v>
      </c>
      <c r="S8" s="163">
        <v>1337050.4207118934</v>
      </c>
      <c r="T8" s="163">
        <v>36439.399032262198</v>
      </c>
      <c r="V8" s="32">
        <v>2028</v>
      </c>
      <c r="W8" s="163">
        <v>1196887.1457424774</v>
      </c>
      <c r="X8" s="163">
        <v>149.79872236350013</v>
      </c>
      <c r="Y8" s="163">
        <v>2743.5085750677526</v>
      </c>
      <c r="Z8" s="163">
        <v>23300.419026648757</v>
      </c>
      <c r="AA8" s="163">
        <v>0</v>
      </c>
      <c r="AC8" s="32">
        <v>2028</v>
      </c>
      <c r="AD8" s="163">
        <v>6510109.3315520808</v>
      </c>
      <c r="AE8" s="163">
        <v>24651.422239515985</v>
      </c>
      <c r="AF8" s="163">
        <v>81042.217161345485</v>
      </c>
      <c r="AG8" s="163">
        <v>329672.41628233285</v>
      </c>
      <c r="AH8" s="163">
        <v>0</v>
      </c>
      <c r="AJ8" s="32">
        <v>2028</v>
      </c>
      <c r="AK8" s="163">
        <v>4167764.4256430818</v>
      </c>
      <c r="AL8" s="163">
        <v>64098.620450848437</v>
      </c>
      <c r="AM8" s="163">
        <v>41966.325516895988</v>
      </c>
      <c r="AN8" s="163">
        <v>219092.56256649204</v>
      </c>
      <c r="AO8" s="163">
        <v>0</v>
      </c>
    </row>
    <row r="9" spans="1:41">
      <c r="A9" s="32">
        <v>2029</v>
      </c>
      <c r="B9" s="32">
        <f t="shared" si="1"/>
        <v>0.10475450839345687</v>
      </c>
      <c r="D9" s="32">
        <v>2029</v>
      </c>
      <c r="E9" s="163">
        <f t="shared" si="0"/>
        <v>24254509.632397231</v>
      </c>
      <c r="F9" s="163">
        <f t="shared" si="0"/>
        <v>115837.00891533744</v>
      </c>
      <c r="G9" s="163">
        <f t="shared" si="0"/>
        <v>644927.47266009578</v>
      </c>
      <c r="H9" s="163">
        <f t="shared" si="0"/>
        <v>2166205.7343985876</v>
      </c>
      <c r="I9" s="163">
        <f t="shared" si="0"/>
        <v>40490.962762684438</v>
      </c>
      <c r="J9" s="163">
        <f t="shared" si="2"/>
        <v>27221970.811133936</v>
      </c>
      <c r="K9" s="163">
        <f t="shared" si="3"/>
        <v>508094.75836991734</v>
      </c>
      <c r="L9" s="163">
        <f t="shared" si="4"/>
        <v>136832.7142901785</v>
      </c>
      <c r="M9" s="165">
        <f t="shared" si="5"/>
        <v>2.3691432083834167E-2</v>
      </c>
      <c r="N9" s="165"/>
      <c r="O9" s="32">
        <v>2029</v>
      </c>
      <c r="P9" s="163">
        <v>12366431.954655636</v>
      </c>
      <c r="Q9" s="163">
        <v>27499.229191028498</v>
      </c>
      <c r="R9" s="163">
        <v>508094.75836991734</v>
      </c>
      <c r="S9" s="163">
        <v>1479066.8659683459</v>
      </c>
      <c r="T9" s="163">
        <v>40490.962762684438</v>
      </c>
      <c r="V9" s="32">
        <v>2029</v>
      </c>
      <c r="W9" s="163">
        <v>1169893.3797686927</v>
      </c>
      <c r="X9" s="163">
        <v>78.716039403249951</v>
      </c>
      <c r="Y9" s="163">
        <v>3033.5699995300006</v>
      </c>
      <c r="Z9" s="163">
        <v>27961.895508529524</v>
      </c>
      <c r="AA9" s="163">
        <v>0</v>
      </c>
      <c r="AC9" s="32">
        <v>2029</v>
      </c>
      <c r="AD9" s="163">
        <v>6564409.1053364594</v>
      </c>
      <c r="AE9" s="163">
        <v>25158.716880275733</v>
      </c>
      <c r="AF9" s="163">
        <v>88747.180029742754</v>
      </c>
      <c r="AG9" s="163">
        <v>397318.34179392754</v>
      </c>
      <c r="AH9" s="163">
        <v>0</v>
      </c>
      <c r="AJ9" s="32">
        <v>2029</v>
      </c>
      <c r="AK9" s="163">
        <v>4153775.1926364428</v>
      </c>
      <c r="AL9" s="163">
        <v>63100.346804629968</v>
      </c>
      <c r="AM9" s="163">
        <v>45051.964260905734</v>
      </c>
      <c r="AN9" s="163">
        <v>261858.63112778426</v>
      </c>
      <c r="AO9" s="163">
        <v>0</v>
      </c>
    </row>
    <row r="10" spans="1:41">
      <c r="A10" s="32">
        <v>2030</v>
      </c>
      <c r="B10" s="32">
        <f t="shared" si="1"/>
        <v>0.1145298884853423</v>
      </c>
      <c r="D10" s="32">
        <v>2030</v>
      </c>
      <c r="E10" s="163">
        <f t="shared" si="0"/>
        <v>24154191.157487098</v>
      </c>
      <c r="F10" s="163">
        <f t="shared" si="0"/>
        <v>111891.12896717657</v>
      </c>
      <c r="G10" s="163">
        <f t="shared" si="0"/>
        <v>678435.05639908498</v>
      </c>
      <c r="H10" s="163">
        <f t="shared" si="0"/>
        <v>2415848.8566130036</v>
      </c>
      <c r="I10" s="163">
        <f t="shared" si="0"/>
        <v>44378.433805861881</v>
      </c>
      <c r="J10" s="163">
        <f t="shared" si="2"/>
        <v>27404744.633272223</v>
      </c>
      <c r="K10" s="163">
        <f t="shared" si="3"/>
        <v>530973.07761587587</v>
      </c>
      <c r="L10" s="163">
        <f t="shared" si="4"/>
        <v>147461.97878320923</v>
      </c>
      <c r="M10" s="165">
        <f t="shared" si="5"/>
        <v>2.4756116704528382E-2</v>
      </c>
      <c r="N10" s="165"/>
      <c r="O10" s="32">
        <v>2030</v>
      </c>
      <c r="P10" s="163">
        <v>12251334.09601404</v>
      </c>
      <c r="Q10" s="163">
        <v>24185.576676061744</v>
      </c>
      <c r="R10" s="163">
        <v>530973.07761587587</v>
      </c>
      <c r="S10" s="163">
        <v>1615283.7115421253</v>
      </c>
      <c r="T10" s="163">
        <v>44378.433805861881</v>
      </c>
      <c r="V10" s="32">
        <v>2030</v>
      </c>
      <c r="W10" s="163">
        <v>1144355.7347219095</v>
      </c>
      <c r="X10" s="163">
        <v>24.82009194450001</v>
      </c>
      <c r="Y10" s="163">
        <v>3314.4035554597504</v>
      </c>
      <c r="Z10" s="163">
        <v>32560.22423412577</v>
      </c>
      <c r="AA10" s="163">
        <v>0</v>
      </c>
      <c r="AC10" s="32">
        <v>2030</v>
      </c>
      <c r="AD10" s="163">
        <v>6615267.1768354252</v>
      </c>
      <c r="AE10" s="163">
        <v>25601.13100210479</v>
      </c>
      <c r="AF10" s="163">
        <v>96176.882353375957</v>
      </c>
      <c r="AG10" s="163">
        <v>464205.13220274134</v>
      </c>
      <c r="AH10" s="163">
        <v>0</v>
      </c>
      <c r="AJ10" s="32">
        <v>2030</v>
      </c>
      <c r="AK10" s="163">
        <v>4143234.1499157213</v>
      </c>
      <c r="AL10" s="163">
        <v>62079.601197065538</v>
      </c>
      <c r="AM10" s="163">
        <v>47970.692874373519</v>
      </c>
      <c r="AN10" s="163">
        <v>303799.78863401082</v>
      </c>
      <c r="AO10" s="163">
        <v>0</v>
      </c>
    </row>
    <row r="11" spans="1:41">
      <c r="A11" s="32">
        <v>2031</v>
      </c>
      <c r="B11" s="32">
        <f t="shared" si="1"/>
        <v>0.12380235931029944</v>
      </c>
      <c r="D11" s="32">
        <v>2031</v>
      </c>
      <c r="E11" s="163">
        <f t="shared" si="0"/>
        <v>24059854.077332504</v>
      </c>
      <c r="F11" s="163">
        <f t="shared" si="0"/>
        <v>109012.6816480225</v>
      </c>
      <c r="G11" s="163">
        <f t="shared" si="0"/>
        <v>709554.23138089932</v>
      </c>
      <c r="H11" s="163">
        <f t="shared" si="0"/>
        <v>2657295.3423805092</v>
      </c>
      <c r="I11" s="163">
        <f t="shared" si="0"/>
        <v>48090.83199313427</v>
      </c>
      <c r="J11" s="163">
        <f t="shared" si="2"/>
        <v>27583807.164735068</v>
      </c>
      <c r="K11" s="163">
        <f t="shared" si="3"/>
        <v>551945.97967783839</v>
      </c>
      <c r="L11" s="163">
        <f t="shared" si="4"/>
        <v>157608.25170306099</v>
      </c>
      <c r="M11" s="165">
        <f t="shared" si="5"/>
        <v>2.5723578588819299E-2</v>
      </c>
      <c r="N11" s="165"/>
      <c r="O11" s="32">
        <v>2031</v>
      </c>
      <c r="P11" s="163">
        <v>12145771.976308333</v>
      </c>
      <c r="Q11" s="163">
        <v>21935.649746282503</v>
      </c>
      <c r="R11" s="163">
        <v>551945.97967783839</v>
      </c>
      <c r="S11" s="163">
        <v>1745278.3547889991</v>
      </c>
      <c r="T11" s="163">
        <v>48090.83199313427</v>
      </c>
      <c r="V11" s="32">
        <v>2031</v>
      </c>
      <c r="W11" s="163">
        <v>1120117.5475492035</v>
      </c>
      <c r="X11" s="163">
        <v>12.004529986750002</v>
      </c>
      <c r="Y11" s="163">
        <v>3585.8704888432489</v>
      </c>
      <c r="Z11" s="163">
        <v>37063.44291375496</v>
      </c>
      <c r="AA11" s="163">
        <v>0</v>
      </c>
      <c r="AC11" s="32">
        <v>2031</v>
      </c>
      <c r="AD11" s="163">
        <v>6658801.638139531</v>
      </c>
      <c r="AE11" s="163">
        <v>25996.439133647022</v>
      </c>
      <c r="AF11" s="163">
        <v>103248.28006387997</v>
      </c>
      <c r="AG11" s="163">
        <v>530106.38974790368</v>
      </c>
      <c r="AH11" s="163">
        <v>0</v>
      </c>
      <c r="AJ11" s="32">
        <v>2031</v>
      </c>
      <c r="AK11" s="163">
        <v>4135162.9153354387</v>
      </c>
      <c r="AL11" s="163">
        <v>61068.588238106233</v>
      </c>
      <c r="AM11" s="163">
        <v>50774.101150337774</v>
      </c>
      <c r="AN11" s="163">
        <v>344847.15492985159</v>
      </c>
      <c r="AO11" s="163">
        <v>0</v>
      </c>
    </row>
    <row r="12" spans="1:41">
      <c r="A12" s="32">
        <v>2032</v>
      </c>
      <c r="B12" s="32">
        <f t="shared" si="1"/>
        <v>0.13254715400460287</v>
      </c>
      <c r="D12" s="32">
        <v>2032</v>
      </c>
      <c r="E12" s="163">
        <f t="shared" si="0"/>
        <v>23973845.782168161</v>
      </c>
      <c r="F12" s="163">
        <f t="shared" si="0"/>
        <v>105888.49148729596</v>
      </c>
      <c r="G12" s="163">
        <f t="shared" si="0"/>
        <v>738254.46788993455</v>
      </c>
      <c r="H12" s="163">
        <f t="shared" si="0"/>
        <v>2889523.1799022476</v>
      </c>
      <c r="I12" s="163">
        <f t="shared" si="0"/>
        <v>51615.718538487075</v>
      </c>
      <c r="J12" s="163">
        <f t="shared" si="2"/>
        <v>27759127.639986124</v>
      </c>
      <c r="K12" s="163">
        <f t="shared" si="3"/>
        <v>571084.70216251537</v>
      </c>
      <c r="L12" s="163">
        <f t="shared" si="4"/>
        <v>167169.76572741906</v>
      </c>
      <c r="M12" s="165">
        <f t="shared" si="5"/>
        <v>2.6595016870288923E-2</v>
      </c>
      <c r="N12" s="165"/>
      <c r="O12" s="32">
        <v>2032</v>
      </c>
      <c r="P12" s="163">
        <v>12049671.458297156</v>
      </c>
      <c r="Q12" s="163">
        <v>19502.667757219719</v>
      </c>
      <c r="R12" s="163">
        <v>571084.70216251537</v>
      </c>
      <c r="S12" s="163">
        <v>1868702.6651161115</v>
      </c>
      <c r="T12" s="163">
        <v>51615.718538487075</v>
      </c>
      <c r="V12" s="32">
        <v>2032</v>
      </c>
      <c r="W12" s="163">
        <v>1098346.1787496211</v>
      </c>
      <c r="X12" s="163">
        <v>8.5001159577499994</v>
      </c>
      <c r="Y12" s="163">
        <v>3846.9722201757463</v>
      </c>
      <c r="Z12" s="163">
        <v>41455.086660385467</v>
      </c>
      <c r="AA12" s="163">
        <v>0</v>
      </c>
      <c r="AC12" s="32">
        <v>2032</v>
      </c>
      <c r="AD12" s="163">
        <v>6696576.7557309316</v>
      </c>
      <c r="AE12" s="163">
        <v>26333.84686170028</v>
      </c>
      <c r="AF12" s="163">
        <v>109942.01260586907</v>
      </c>
      <c r="AG12" s="163">
        <v>594712.36589000793</v>
      </c>
      <c r="AH12" s="163">
        <v>0</v>
      </c>
      <c r="AJ12" s="32">
        <v>2032</v>
      </c>
      <c r="AK12" s="163">
        <v>4129251.3893904551</v>
      </c>
      <c r="AL12" s="163">
        <v>60043.47675241821</v>
      </c>
      <c r="AM12" s="163">
        <v>53380.780901374266</v>
      </c>
      <c r="AN12" s="163">
        <v>384653.06223574275</v>
      </c>
      <c r="AO12" s="163">
        <v>0</v>
      </c>
    </row>
    <row r="13" spans="1:41">
      <c r="A13" s="32">
        <v>2033</v>
      </c>
      <c r="B13" s="32">
        <f t="shared" si="1"/>
        <v>0.14076405163127231</v>
      </c>
      <c r="D13" s="32">
        <v>2033</v>
      </c>
      <c r="E13" s="163">
        <f t="shared" si="0"/>
        <v>23894914.831103697</v>
      </c>
      <c r="F13" s="163">
        <f t="shared" si="0"/>
        <v>103375.70345126701</v>
      </c>
      <c r="G13" s="163">
        <f t="shared" si="0"/>
        <v>764556.02593924361</v>
      </c>
      <c r="H13" s="163">
        <f t="shared" si="0"/>
        <v>3112012.0306103537</v>
      </c>
      <c r="I13" s="163">
        <f t="shared" si="0"/>
        <v>54944.136674785164</v>
      </c>
      <c r="J13" s="163">
        <f t="shared" si="2"/>
        <v>27929802.727779347</v>
      </c>
      <c r="K13" s="163">
        <f t="shared" si="3"/>
        <v>588445.13972361549</v>
      </c>
      <c r="L13" s="163">
        <f t="shared" si="4"/>
        <v>176110.88621562798</v>
      </c>
      <c r="M13" s="165">
        <f t="shared" si="5"/>
        <v>2.7374200719964492E-2</v>
      </c>
      <c r="N13" s="165"/>
      <c r="O13" s="32">
        <v>2033</v>
      </c>
      <c r="P13" s="163">
        <v>11964812.696240012</v>
      </c>
      <c r="Q13" s="163">
        <v>17726.910584048757</v>
      </c>
      <c r="R13" s="163">
        <v>588445.13972361549</v>
      </c>
      <c r="S13" s="163">
        <v>1985255.2134413722</v>
      </c>
      <c r="T13" s="163">
        <v>54944.136674785164</v>
      </c>
      <c r="V13" s="32">
        <v>2033</v>
      </c>
      <c r="W13" s="163">
        <v>1079184.3407464228</v>
      </c>
      <c r="X13" s="163">
        <v>8.7819465650000019</v>
      </c>
      <c r="Y13" s="163">
        <v>4096.234135963</v>
      </c>
      <c r="Z13" s="163">
        <v>45729.925351800768</v>
      </c>
      <c r="AA13" s="163">
        <v>0</v>
      </c>
      <c r="AC13" s="32">
        <v>2033</v>
      </c>
      <c r="AD13" s="163">
        <v>6726384.0342429159</v>
      </c>
      <c r="AE13" s="163">
        <v>26636.387424383465</v>
      </c>
      <c r="AF13" s="163">
        <v>116187.97914711124</v>
      </c>
      <c r="AG13" s="163">
        <v>657799.7581923852</v>
      </c>
      <c r="AH13" s="163">
        <v>0</v>
      </c>
      <c r="AJ13" s="32">
        <v>2033</v>
      </c>
      <c r="AK13" s="163">
        <v>4124533.7598743485</v>
      </c>
      <c r="AL13" s="163">
        <v>59003.623496269793</v>
      </c>
      <c r="AM13" s="163">
        <v>55826.672932553745</v>
      </c>
      <c r="AN13" s="163">
        <v>423227.13362479536</v>
      </c>
      <c r="AO13" s="163">
        <v>0</v>
      </c>
    </row>
    <row r="14" spans="1:41">
      <c r="A14" s="32">
        <v>2034</v>
      </c>
      <c r="B14" s="32">
        <f t="shared" si="1"/>
        <v>0.14844844534892929</v>
      </c>
      <c r="D14" s="32">
        <v>2034</v>
      </c>
      <c r="E14" s="163">
        <f t="shared" si="0"/>
        <v>23821408.322691493</v>
      </c>
      <c r="F14" s="163">
        <f t="shared" si="0"/>
        <v>100994.24701272201</v>
      </c>
      <c r="G14" s="163">
        <f t="shared" si="0"/>
        <v>788509.32354543253</v>
      </c>
      <c r="H14" s="163">
        <f t="shared" si="0"/>
        <v>3323744.5927012945</v>
      </c>
      <c r="I14" s="163">
        <f t="shared" si="0"/>
        <v>58067.247618646659</v>
      </c>
      <c r="J14" s="163">
        <f t="shared" si="2"/>
        <v>28092723.733569589</v>
      </c>
      <c r="K14" s="163">
        <f t="shared" si="3"/>
        <v>604115.08349216718</v>
      </c>
      <c r="L14" s="163">
        <f t="shared" si="4"/>
        <v>184394.24005326538</v>
      </c>
      <c r="M14" s="165">
        <f t="shared" si="5"/>
        <v>2.8068098025083914E-2</v>
      </c>
      <c r="N14" s="165"/>
      <c r="O14" s="32">
        <v>2034</v>
      </c>
      <c r="P14" s="163">
        <v>11889325.224204876</v>
      </c>
      <c r="Q14" s="163">
        <v>16132.197973000506</v>
      </c>
      <c r="R14" s="163">
        <v>604115.08349216718</v>
      </c>
      <c r="S14" s="163">
        <v>2094704.9085690361</v>
      </c>
      <c r="T14" s="163">
        <v>58067.247618646659</v>
      </c>
      <c r="V14" s="32">
        <v>2034</v>
      </c>
      <c r="W14" s="163">
        <v>1060007.0951929812</v>
      </c>
      <c r="X14" s="163">
        <v>9.0528660732500033</v>
      </c>
      <c r="Y14" s="163">
        <v>4332.8528908170028</v>
      </c>
      <c r="Z14" s="163">
        <v>49883.64013167224</v>
      </c>
      <c r="AA14" s="163">
        <v>0</v>
      </c>
      <c r="AC14" s="32">
        <v>2034</v>
      </c>
      <c r="AD14" s="163">
        <v>6751473.437589786</v>
      </c>
      <c r="AE14" s="163">
        <v>26897.897057432961</v>
      </c>
      <c r="AF14" s="163">
        <v>121985.34527916135</v>
      </c>
      <c r="AG14" s="163">
        <v>718854.39490647195</v>
      </c>
      <c r="AH14" s="163">
        <v>0</v>
      </c>
      <c r="AJ14" s="32">
        <v>2034</v>
      </c>
      <c r="AK14" s="163">
        <v>4120602.5657038498</v>
      </c>
      <c r="AL14" s="163">
        <v>57955.099116215293</v>
      </c>
      <c r="AM14" s="163">
        <v>58076.041883287027</v>
      </c>
      <c r="AN14" s="163">
        <v>460301.64909411385</v>
      </c>
      <c r="AO14" s="163">
        <v>0</v>
      </c>
    </row>
    <row r="15" spans="1:41">
      <c r="A15" s="32">
        <v>2035</v>
      </c>
      <c r="B15" s="32">
        <f t="shared" si="1"/>
        <v>0.1555763175488972</v>
      </c>
      <c r="D15" s="32">
        <v>2035</v>
      </c>
      <c r="E15" s="163">
        <f t="shared" si="0"/>
        <v>23757107.68916852</v>
      </c>
      <c r="F15" s="163">
        <f t="shared" si="0"/>
        <v>98812.776498799052</v>
      </c>
      <c r="G15" s="163">
        <f t="shared" si="0"/>
        <v>810173.78152710665</v>
      </c>
      <c r="H15" s="163">
        <f t="shared" si="0"/>
        <v>3524055.2040505977</v>
      </c>
      <c r="I15" s="163">
        <f t="shared" si="0"/>
        <v>60977.277485396888</v>
      </c>
      <c r="J15" s="163">
        <f t="shared" si="2"/>
        <v>28251126.728730418</v>
      </c>
      <c r="K15" s="163">
        <f t="shared" si="3"/>
        <v>618156.96888517297</v>
      </c>
      <c r="L15" s="163">
        <f t="shared" si="4"/>
        <v>192016.81264193376</v>
      </c>
      <c r="M15" s="165">
        <f t="shared" si="5"/>
        <v>2.8677574147978599E-2</v>
      </c>
      <c r="N15" s="165"/>
      <c r="O15" s="32">
        <v>2035</v>
      </c>
      <c r="P15" s="163">
        <v>11823353.907062737</v>
      </c>
      <c r="Q15" s="163">
        <v>14717.34858625876</v>
      </c>
      <c r="R15" s="163">
        <v>618156.96888517297</v>
      </c>
      <c r="S15" s="163">
        <v>2196796.1811897536</v>
      </c>
      <c r="T15" s="163">
        <v>60977.277485396888</v>
      </c>
      <c r="V15" s="32">
        <v>2035</v>
      </c>
      <c r="W15" s="163">
        <v>1043631.1486630223</v>
      </c>
      <c r="X15" s="163">
        <v>9.324082511250003</v>
      </c>
      <c r="Y15" s="163">
        <v>4556.7242657035004</v>
      </c>
      <c r="Z15" s="163">
        <v>53887.425808776708</v>
      </c>
      <c r="AA15" s="163">
        <v>0</v>
      </c>
      <c r="AC15" s="32">
        <v>2035</v>
      </c>
      <c r="AD15" s="163">
        <v>6771984.6550065847</v>
      </c>
      <c r="AE15" s="163">
        <v>27151.098749999263</v>
      </c>
      <c r="AF15" s="163">
        <v>127297.99603579077</v>
      </c>
      <c r="AG15" s="163">
        <v>777494.13667593221</v>
      </c>
      <c r="AH15" s="163">
        <v>0</v>
      </c>
      <c r="AJ15" s="32">
        <v>2035</v>
      </c>
      <c r="AK15" s="163">
        <v>4118137.9784361757</v>
      </c>
      <c r="AL15" s="163">
        <v>56935.005080029776</v>
      </c>
      <c r="AM15" s="163">
        <v>60162.092340439493</v>
      </c>
      <c r="AN15" s="163">
        <v>495877.46037613525</v>
      </c>
      <c r="AO15" s="163">
        <v>0</v>
      </c>
    </row>
    <row r="16" spans="1:41">
      <c r="A16" s="32">
        <v>2036</v>
      </c>
      <c r="B16" s="32">
        <f t="shared" si="1"/>
        <v>0.16212722199846816</v>
      </c>
      <c r="D16" s="32">
        <v>2036</v>
      </c>
      <c r="E16" s="163">
        <f t="shared" si="0"/>
        <v>23703232.502833508</v>
      </c>
      <c r="F16" s="163">
        <f t="shared" si="0"/>
        <v>96854.88731280205</v>
      </c>
      <c r="G16" s="163">
        <f t="shared" si="0"/>
        <v>829685.00956586353</v>
      </c>
      <c r="H16" s="163">
        <f t="shared" si="0"/>
        <v>3711928.5906695873</v>
      </c>
      <c r="I16" s="163">
        <f t="shared" si="0"/>
        <v>63670.34405106325</v>
      </c>
      <c r="J16" s="163">
        <f t="shared" si="2"/>
        <v>28405371.334432825</v>
      </c>
      <c r="K16" s="163">
        <f t="shared" si="3"/>
        <v>630706.87813525961</v>
      </c>
      <c r="L16" s="163">
        <f t="shared" si="4"/>
        <v>198978.13143060397</v>
      </c>
      <c r="M16" s="165">
        <f t="shared" si="5"/>
        <v>2.9208736608210582E-2</v>
      </c>
      <c r="N16" s="165"/>
      <c r="O16" s="32">
        <v>2036</v>
      </c>
      <c r="P16" s="163">
        <v>11767693.466657532</v>
      </c>
      <c r="Q16" s="163">
        <v>13472.824153005744</v>
      </c>
      <c r="R16" s="163">
        <v>630706.87813525961</v>
      </c>
      <c r="S16" s="163">
        <v>2291421.6024790704</v>
      </c>
      <c r="T16" s="163">
        <v>63670.34405106325</v>
      </c>
      <c r="V16" s="32">
        <v>2036</v>
      </c>
      <c r="W16" s="163">
        <v>1027832.2880468218</v>
      </c>
      <c r="X16" s="163">
        <v>8.9831765627499998</v>
      </c>
      <c r="Y16" s="163">
        <v>4768.0730289347503</v>
      </c>
      <c r="Z16" s="163">
        <v>57731.51701957496</v>
      </c>
      <c r="AA16" s="163">
        <v>0</v>
      </c>
      <c r="AC16" s="32">
        <v>2036</v>
      </c>
      <c r="AD16" s="163">
        <v>6789842.8206656398</v>
      </c>
      <c r="AE16" s="163">
        <v>27409.62596087675</v>
      </c>
      <c r="AF16" s="163">
        <v>132134.9669530497</v>
      </c>
      <c r="AG16" s="163">
        <v>833133.33079894085</v>
      </c>
      <c r="AH16" s="163">
        <v>0</v>
      </c>
      <c r="AJ16" s="32">
        <v>2036</v>
      </c>
      <c r="AK16" s="163">
        <v>4117863.9274635143</v>
      </c>
      <c r="AL16" s="163">
        <v>55963.454022356804</v>
      </c>
      <c r="AM16" s="163">
        <v>62075.091448619518</v>
      </c>
      <c r="AN16" s="163">
        <v>529642.1403720011</v>
      </c>
      <c r="AO16" s="163">
        <v>0</v>
      </c>
    </row>
    <row r="17" spans="1:41">
      <c r="A17" s="32">
        <v>2037</v>
      </c>
      <c r="B17" s="32">
        <f t="shared" si="1"/>
        <v>0.16807670320410481</v>
      </c>
      <c r="D17" s="32">
        <v>2037</v>
      </c>
      <c r="E17" s="163">
        <f t="shared" si="0"/>
        <v>23665825.852145694</v>
      </c>
      <c r="F17" s="163">
        <f t="shared" si="0"/>
        <v>95176.516493151837</v>
      </c>
      <c r="G17" s="163">
        <f t="shared" si="0"/>
        <v>847232.23132867389</v>
      </c>
      <c r="H17" s="163">
        <f t="shared" si="0"/>
        <v>3887151.3620850998</v>
      </c>
      <c r="I17" s="163">
        <f t="shared" si="0"/>
        <v>66144.241696911675</v>
      </c>
      <c r="J17" s="163">
        <f t="shared" si="2"/>
        <v>28561530.203749534</v>
      </c>
      <c r="K17" s="163">
        <f t="shared" si="3"/>
        <v>641916.09358762775</v>
      </c>
      <c r="L17" s="163">
        <f t="shared" si="4"/>
        <v>205316.13774104608</v>
      </c>
      <c r="M17" s="165">
        <f t="shared" si="5"/>
        <v>2.9663404771550019E-2</v>
      </c>
      <c r="N17" s="165"/>
      <c r="O17" s="32">
        <v>2037</v>
      </c>
      <c r="P17" s="163">
        <v>11727096.161574192</v>
      </c>
      <c r="Q17" s="163">
        <v>12440.228020384231</v>
      </c>
      <c r="R17" s="163">
        <v>641916.09358762775</v>
      </c>
      <c r="S17" s="163">
        <v>2378498.9355772636</v>
      </c>
      <c r="T17" s="163">
        <v>66144.241696911675</v>
      </c>
      <c r="V17" s="32">
        <v>2037</v>
      </c>
      <c r="W17" s="163">
        <v>1014429.4006149089</v>
      </c>
      <c r="X17" s="163">
        <v>9.2778100202499889</v>
      </c>
      <c r="Y17" s="163">
        <v>4966.6856653217474</v>
      </c>
      <c r="Z17" s="163">
        <v>61403.582817562536</v>
      </c>
      <c r="AA17" s="163">
        <v>0</v>
      </c>
      <c r="AC17" s="32">
        <v>2037</v>
      </c>
      <c r="AD17" s="163">
        <v>6806028.3933425723</v>
      </c>
      <c r="AE17" s="163">
        <v>27678.696900248779</v>
      </c>
      <c r="AF17" s="163">
        <v>136484.22662787183</v>
      </c>
      <c r="AG17" s="163">
        <v>885609.42473182769</v>
      </c>
      <c r="AH17" s="163">
        <v>0</v>
      </c>
      <c r="AJ17" s="32">
        <v>2037</v>
      </c>
      <c r="AK17" s="163">
        <v>4118271.8966140174</v>
      </c>
      <c r="AL17" s="163">
        <v>55048.313762498583</v>
      </c>
      <c r="AM17" s="163">
        <v>63865.225447852499</v>
      </c>
      <c r="AN17" s="163">
        <v>561639.41895844613</v>
      </c>
      <c r="AO17" s="163">
        <v>0</v>
      </c>
    </row>
    <row r="18" spans="1:41">
      <c r="A18" s="32">
        <v>2038</v>
      </c>
      <c r="B18" s="32">
        <f t="shared" si="1"/>
        <v>0.17343922111073964</v>
      </c>
      <c r="D18" s="32">
        <v>2038</v>
      </c>
      <c r="E18" s="163">
        <f t="shared" si="0"/>
        <v>23641998.514083199</v>
      </c>
      <c r="F18" s="163">
        <f t="shared" si="0"/>
        <v>93790.731565185008</v>
      </c>
      <c r="G18" s="163">
        <f t="shared" si="0"/>
        <v>862918.58584028669</v>
      </c>
      <c r="H18" s="163">
        <f t="shared" si="0"/>
        <v>4049216.9365822142</v>
      </c>
      <c r="I18" s="163">
        <f t="shared" si="0"/>
        <v>68401.788755035202</v>
      </c>
      <c r="J18" s="163">
        <f t="shared" si="2"/>
        <v>28716326.556825921</v>
      </c>
      <c r="K18" s="163">
        <f t="shared" si="3"/>
        <v>651927.5857872715</v>
      </c>
      <c r="L18" s="163">
        <f t="shared" si="4"/>
        <v>210991.0000530151</v>
      </c>
      <c r="M18" s="165">
        <f t="shared" si="5"/>
        <v>3.0049755289301424E-2</v>
      </c>
      <c r="N18" s="165"/>
      <c r="O18" s="32">
        <v>2038</v>
      </c>
      <c r="P18" s="163">
        <v>11698489.303666865</v>
      </c>
      <c r="Q18" s="163">
        <v>11606.474950350999</v>
      </c>
      <c r="R18" s="163">
        <v>651927.5857872715</v>
      </c>
      <c r="S18" s="163">
        <v>2458114.4212879618</v>
      </c>
      <c r="T18" s="163">
        <v>68401.788755035202</v>
      </c>
      <c r="V18" s="32">
        <v>2038</v>
      </c>
      <c r="W18" s="163">
        <v>1001795.0110671005</v>
      </c>
      <c r="X18" s="163">
        <v>9.5497621287500074</v>
      </c>
      <c r="Y18" s="163">
        <v>5152.3458142167492</v>
      </c>
      <c r="Z18" s="163">
        <v>64901.288781679003</v>
      </c>
      <c r="AA18" s="163">
        <v>0</v>
      </c>
      <c r="AC18" s="32">
        <v>2038</v>
      </c>
      <c r="AD18" s="163">
        <v>6821340.5790700987</v>
      </c>
      <c r="AE18" s="163">
        <v>27952.894867140993</v>
      </c>
      <c r="AF18" s="163">
        <v>140349.46901544835</v>
      </c>
      <c r="AG18" s="163">
        <v>934486.75500803173</v>
      </c>
      <c r="AH18" s="163">
        <v>0</v>
      </c>
      <c r="AJ18" s="32">
        <v>2038</v>
      </c>
      <c r="AK18" s="163">
        <v>4120373.6202791319</v>
      </c>
      <c r="AL18" s="163">
        <v>54221.811985564258</v>
      </c>
      <c r="AM18" s="163">
        <v>65489.185223350018</v>
      </c>
      <c r="AN18" s="163">
        <v>591714.47150454216</v>
      </c>
      <c r="AO18" s="163">
        <v>0</v>
      </c>
    </row>
    <row r="19" spans="1:41">
      <c r="A19" s="32">
        <v>2039</v>
      </c>
      <c r="B19" s="32">
        <f t="shared" si="1"/>
        <v>0.17824563709389449</v>
      </c>
      <c r="D19" s="32">
        <v>2039</v>
      </c>
      <c r="E19" s="163">
        <f t="shared" si="0"/>
        <v>23629773.98809823</v>
      </c>
      <c r="F19" s="163">
        <f t="shared" si="0"/>
        <v>92612.531219588273</v>
      </c>
      <c r="G19" s="163">
        <f t="shared" si="0"/>
        <v>876920.150597097</v>
      </c>
      <c r="H19" s="163">
        <f t="shared" si="0"/>
        <v>4198224.3380480502</v>
      </c>
      <c r="I19" s="163">
        <f t="shared" si="0"/>
        <v>70446.565559649069</v>
      </c>
      <c r="J19" s="163">
        <f t="shared" si="2"/>
        <v>28867977.573522612</v>
      </c>
      <c r="K19" s="163">
        <f t="shared" si="3"/>
        <v>660872.56971622468</v>
      </c>
      <c r="L19" s="163">
        <f t="shared" si="4"/>
        <v>216047.58088087229</v>
      </c>
      <c r="M19" s="165">
        <f t="shared" si="5"/>
        <v>3.0376916719008346E-2</v>
      </c>
      <c r="N19" s="165"/>
      <c r="O19" s="32">
        <v>2039</v>
      </c>
      <c r="P19" s="163">
        <v>11680713.16921445</v>
      </c>
      <c r="Q19" s="163">
        <v>10946.414317223527</v>
      </c>
      <c r="R19" s="163">
        <v>660872.56971622468</v>
      </c>
      <c r="S19" s="163">
        <v>2530366.3316204106</v>
      </c>
      <c r="T19" s="163">
        <v>70446.565559649069</v>
      </c>
      <c r="V19" s="32">
        <v>2039</v>
      </c>
      <c r="W19" s="163">
        <v>990422.15786742675</v>
      </c>
      <c r="X19" s="163">
        <v>9.8026154887500105</v>
      </c>
      <c r="Y19" s="163">
        <v>5324.6853211515045</v>
      </c>
      <c r="Z19" s="163">
        <v>68218.03346078952</v>
      </c>
      <c r="AA19" s="163">
        <v>0</v>
      </c>
      <c r="AC19" s="32">
        <v>2039</v>
      </c>
      <c r="AD19" s="163">
        <v>6838434.0532460334</v>
      </c>
      <c r="AE19" s="163">
        <v>28224.170977468264</v>
      </c>
      <c r="AF19" s="163">
        <v>143766.6823948673</v>
      </c>
      <c r="AG19" s="163">
        <v>979749.35819002194</v>
      </c>
      <c r="AH19" s="163">
        <v>0</v>
      </c>
      <c r="AJ19" s="32">
        <v>2039</v>
      </c>
      <c r="AK19" s="163">
        <v>4120204.6077703191</v>
      </c>
      <c r="AL19" s="163">
        <v>53432.143309407722</v>
      </c>
      <c r="AM19" s="163">
        <v>66956.213164853485</v>
      </c>
      <c r="AN19" s="163">
        <v>619890.61477682809</v>
      </c>
      <c r="AO19" s="163">
        <v>0</v>
      </c>
    </row>
    <row r="20" spans="1:41">
      <c r="A20" s="32">
        <v>2040</v>
      </c>
      <c r="B20" s="32">
        <f t="shared" si="1"/>
        <v>0.18250619278351354</v>
      </c>
      <c r="D20" s="32">
        <v>2040</v>
      </c>
      <c r="E20" s="163">
        <f t="shared" si="0"/>
        <v>23629200.933470346</v>
      </c>
      <c r="F20" s="163">
        <f t="shared" si="0"/>
        <v>91644.836340140158</v>
      </c>
      <c r="G20" s="163">
        <f t="shared" si="0"/>
        <v>889405.73248454696</v>
      </c>
      <c r="H20" s="163">
        <f t="shared" si="0"/>
        <v>4334006.2906446597</v>
      </c>
      <c r="I20" s="163">
        <f t="shared" si="0"/>
        <v>72287.115918310184</v>
      </c>
      <c r="J20" s="163">
        <f t="shared" si="2"/>
        <v>29016544.908858001</v>
      </c>
      <c r="K20" s="163">
        <f t="shared" si="3"/>
        <v>668879.12866219762</v>
      </c>
      <c r="L20" s="163">
        <f t="shared" si="4"/>
        <v>220526.60382234934</v>
      </c>
      <c r="M20" s="165">
        <f t="shared" si="5"/>
        <v>3.0651675975833854E-2</v>
      </c>
      <c r="N20" s="165"/>
      <c r="O20" s="32">
        <v>2040</v>
      </c>
      <c r="P20" s="163">
        <v>11670826.023883274</v>
      </c>
      <c r="Q20" s="163">
        <v>10369.870830641012</v>
      </c>
      <c r="R20" s="163">
        <v>668879.12866219762</v>
      </c>
      <c r="S20" s="163">
        <v>2595515.881873528</v>
      </c>
      <c r="T20" s="163">
        <v>72287.115918310184</v>
      </c>
      <c r="V20" s="32">
        <v>2040</v>
      </c>
      <c r="W20" s="163">
        <v>980964.78790464846</v>
      </c>
      <c r="X20" s="163">
        <v>10.043073142499997</v>
      </c>
      <c r="Y20" s="163">
        <v>5483.7144945092532</v>
      </c>
      <c r="Z20" s="163">
        <v>71350.128913012522</v>
      </c>
      <c r="AA20" s="163">
        <v>0</v>
      </c>
      <c r="AC20" s="32">
        <v>2040</v>
      </c>
      <c r="AD20" s="163">
        <v>6855931.2135007717</v>
      </c>
      <c r="AE20" s="163">
        <v>28481.422365713235</v>
      </c>
      <c r="AF20" s="163">
        <v>146777.51516188635</v>
      </c>
      <c r="AG20" s="163">
        <v>1021085.1371487204</v>
      </c>
      <c r="AH20" s="163">
        <v>0</v>
      </c>
      <c r="AJ20" s="32">
        <v>2040</v>
      </c>
      <c r="AK20" s="163">
        <v>4121478.9081816524</v>
      </c>
      <c r="AL20" s="163">
        <v>52783.500070643408</v>
      </c>
      <c r="AM20" s="163">
        <v>68265.374165953734</v>
      </c>
      <c r="AN20" s="163">
        <v>646055.14270939853</v>
      </c>
      <c r="AO20" s="163">
        <v>0</v>
      </c>
    </row>
    <row r="21" spans="1:41">
      <c r="A21" s="32">
        <v>2041</v>
      </c>
      <c r="B21" s="32">
        <f t="shared" si="1"/>
        <v>0.18622419550455094</v>
      </c>
      <c r="D21" s="32">
        <v>2041</v>
      </c>
      <c r="E21" s="163">
        <f t="shared" ref="E21:E30" si="6">P21+W21+AD21+AK21</f>
        <v>23643794.798303366</v>
      </c>
      <c r="F21" s="163">
        <f t="shared" ref="F21:F30" si="7">Q21+X21+AE21+AL21</f>
        <v>90907.760359054868</v>
      </c>
      <c r="G21" s="163">
        <f t="shared" ref="G21:G30" si="8">R21+Y21+AF21+AM21</f>
        <v>900570.90070507606</v>
      </c>
      <c r="H21" s="163">
        <f t="shared" ref="H21:H30" si="9">S21+Z21+AG21+AN21</f>
        <v>4456937.2514061574</v>
      </c>
      <c r="I21" s="163">
        <f t="shared" ref="I21:I30" si="10">T21+AA21+AH21+AO21</f>
        <v>73933.60999320168</v>
      </c>
      <c r="J21" s="163">
        <f t="shared" ref="J21:J30" si="11">SUM(E21:I21)</f>
        <v>29166144.320766855</v>
      </c>
      <c r="K21" s="163">
        <f t="shared" ref="K21:K30" si="12">R21</f>
        <v>676067.5775379861</v>
      </c>
      <c r="L21" s="163">
        <f t="shared" ref="L21:L30" si="13">Y21+AF21+AM21</f>
        <v>224503.32316708995</v>
      </c>
      <c r="M21" s="165">
        <f t="shared" ref="M21:M30" si="14">G21/J21</f>
        <v>3.0877269576693834E-2</v>
      </c>
      <c r="N21" s="165"/>
      <c r="O21" s="32">
        <v>2041</v>
      </c>
      <c r="P21" s="163">
        <v>11671348.962109396</v>
      </c>
      <c r="Q21" s="163">
        <v>9925.6087927877379</v>
      </c>
      <c r="R21" s="163">
        <v>676067.5775379861</v>
      </c>
      <c r="S21" s="163">
        <v>2653890.2740921038</v>
      </c>
      <c r="T21" s="163">
        <v>73933.60999320168</v>
      </c>
      <c r="V21" s="32">
        <v>2041</v>
      </c>
      <c r="W21" s="163">
        <v>972748.2015793164</v>
      </c>
      <c r="X21" s="163">
        <v>10.262512561250002</v>
      </c>
      <c r="Y21" s="163">
        <v>5629.5177791594851</v>
      </c>
      <c r="Z21" s="163">
        <v>74291.983636238176</v>
      </c>
      <c r="AA21" s="163">
        <v>0</v>
      </c>
      <c r="AC21" s="32">
        <v>2041</v>
      </c>
      <c r="AD21" s="163">
        <v>6874308.3438778017</v>
      </c>
      <c r="AE21" s="163">
        <v>28718.294216451231</v>
      </c>
      <c r="AF21" s="163">
        <v>149422.76725724142</v>
      </c>
      <c r="AG21" s="163">
        <v>1058536.7142501792</v>
      </c>
      <c r="AH21" s="163">
        <v>0</v>
      </c>
      <c r="AJ21" s="32">
        <v>2041</v>
      </c>
      <c r="AK21" s="163">
        <v>4125389.290736855</v>
      </c>
      <c r="AL21" s="163">
        <v>52253.594837254641</v>
      </c>
      <c r="AM21" s="163">
        <v>69451.038130689063</v>
      </c>
      <c r="AN21" s="163">
        <v>670218.27942763653</v>
      </c>
      <c r="AO21" s="163">
        <v>0</v>
      </c>
    </row>
    <row r="22" spans="1:41">
      <c r="A22" s="32">
        <v>2042</v>
      </c>
      <c r="B22" s="32">
        <f t="shared" si="1"/>
        <v>0.18950256705116539</v>
      </c>
      <c r="D22" s="32">
        <v>2042</v>
      </c>
      <c r="E22" s="163">
        <f t="shared" si="6"/>
        <v>23661016.326211281</v>
      </c>
      <c r="F22" s="163">
        <f t="shared" si="7"/>
        <v>90391.740714408952</v>
      </c>
      <c r="G22" s="163">
        <f t="shared" si="8"/>
        <v>910581.95779070293</v>
      </c>
      <c r="H22" s="163">
        <f t="shared" si="9"/>
        <v>4567341.232066799</v>
      </c>
      <c r="I22" s="163">
        <f t="shared" si="10"/>
        <v>75398.285062350347</v>
      </c>
      <c r="J22" s="163">
        <f t="shared" si="11"/>
        <v>29304729.541845541</v>
      </c>
      <c r="K22" s="163">
        <f t="shared" si="12"/>
        <v>682536.00254334672</v>
      </c>
      <c r="L22" s="163">
        <f t="shared" si="13"/>
        <v>228045.95524735621</v>
      </c>
      <c r="M22" s="165">
        <f t="shared" si="14"/>
        <v>3.1072866804330749E-2</v>
      </c>
      <c r="N22" s="165"/>
      <c r="O22" s="32">
        <v>2042</v>
      </c>
      <c r="P22" s="163">
        <v>11676873.408157997</v>
      </c>
      <c r="Q22" s="163">
        <v>9586.8771638694925</v>
      </c>
      <c r="R22" s="163">
        <v>682536.00254334672</v>
      </c>
      <c r="S22" s="163">
        <v>2705887.999750664</v>
      </c>
      <c r="T22" s="163">
        <v>75398.285062350347</v>
      </c>
      <c r="V22" s="32">
        <v>2042</v>
      </c>
      <c r="W22" s="163">
        <v>964907.56094141956</v>
      </c>
      <c r="X22" s="163">
        <v>10.466056323999997</v>
      </c>
      <c r="Y22" s="163">
        <v>5762.596698158748</v>
      </c>
      <c r="Z22" s="163">
        <v>77038.432947012203</v>
      </c>
      <c r="AA22" s="163">
        <v>0</v>
      </c>
      <c r="AC22" s="32">
        <v>2042</v>
      </c>
      <c r="AD22" s="163">
        <v>6889387.8035980416</v>
      </c>
      <c r="AE22" s="163">
        <v>28936.33417530622</v>
      </c>
      <c r="AF22" s="163">
        <v>151763.12968177686</v>
      </c>
      <c r="AG22" s="163">
        <v>1092071.8356260776</v>
      </c>
      <c r="AH22" s="163">
        <v>0</v>
      </c>
      <c r="AJ22" s="32">
        <v>2042</v>
      </c>
      <c r="AK22" s="163">
        <v>4129847.5535138217</v>
      </c>
      <c r="AL22" s="163">
        <v>51858.063318909248</v>
      </c>
      <c r="AM22" s="163">
        <v>70520.228867420607</v>
      </c>
      <c r="AN22" s="163">
        <v>692342.96374304546</v>
      </c>
      <c r="AO22" s="163">
        <v>0</v>
      </c>
    </row>
    <row r="23" spans="1:41">
      <c r="A23" s="32">
        <v>2043</v>
      </c>
      <c r="B23" s="32">
        <f t="shared" si="1"/>
        <v>0.19234571417282564</v>
      </c>
      <c r="D23" s="32">
        <v>2043</v>
      </c>
      <c r="E23" s="163">
        <f t="shared" si="6"/>
        <v>23685194.01521644</v>
      </c>
      <c r="F23" s="163">
        <f t="shared" si="7"/>
        <v>90027.751781396306</v>
      </c>
      <c r="G23" s="163">
        <f t="shared" si="8"/>
        <v>919617.36171568173</v>
      </c>
      <c r="H23" s="163">
        <f t="shared" si="9"/>
        <v>4665842.2670068685</v>
      </c>
      <c r="I23" s="163">
        <f t="shared" si="10"/>
        <v>76693.21394690976</v>
      </c>
      <c r="J23" s="163">
        <f t="shared" si="11"/>
        <v>29437374.609667294</v>
      </c>
      <c r="K23" s="163">
        <f t="shared" si="12"/>
        <v>688380.86063548701</v>
      </c>
      <c r="L23" s="163">
        <f t="shared" si="13"/>
        <v>231236.50108019466</v>
      </c>
      <c r="M23" s="165">
        <f t="shared" si="14"/>
        <v>3.1239788666944421E-2</v>
      </c>
      <c r="N23" s="165"/>
      <c r="O23" s="32">
        <v>2043</v>
      </c>
      <c r="P23" s="163">
        <v>11687458.319433909</v>
      </c>
      <c r="Q23" s="163">
        <v>9305.3912937062541</v>
      </c>
      <c r="R23" s="163">
        <v>688380.86063548701</v>
      </c>
      <c r="S23" s="163">
        <v>2751911.2219185983</v>
      </c>
      <c r="T23" s="163">
        <v>76693.21394690976</v>
      </c>
      <c r="V23" s="32">
        <v>2043</v>
      </c>
      <c r="W23" s="163">
        <v>957405.63552578248</v>
      </c>
      <c r="X23" s="163">
        <v>10.651429134749996</v>
      </c>
      <c r="Y23" s="163">
        <v>5883.3619786242489</v>
      </c>
      <c r="Z23" s="163">
        <v>79587.982349436061</v>
      </c>
      <c r="AA23" s="163">
        <v>0</v>
      </c>
      <c r="AC23" s="32">
        <v>2043</v>
      </c>
      <c r="AD23" s="163">
        <v>6905034.4546065601</v>
      </c>
      <c r="AE23" s="163">
        <v>29140.363644509267</v>
      </c>
      <c r="AF23" s="163">
        <v>153860.99503553455</v>
      </c>
      <c r="AG23" s="163">
        <v>1121858.4007388428</v>
      </c>
      <c r="AH23" s="163">
        <v>0</v>
      </c>
      <c r="AJ23" s="32">
        <v>2043</v>
      </c>
      <c r="AK23" s="163">
        <v>4135295.6056501884</v>
      </c>
      <c r="AL23" s="163">
        <v>51571.345414046031</v>
      </c>
      <c r="AM23" s="163">
        <v>71492.144066035849</v>
      </c>
      <c r="AN23" s="163">
        <v>712484.66199999093</v>
      </c>
      <c r="AO23" s="163">
        <v>0</v>
      </c>
    </row>
    <row r="24" spans="1:41">
      <c r="A24" s="32">
        <v>2044</v>
      </c>
      <c r="B24" s="32">
        <f t="shared" si="1"/>
        <v>0.19480913562045393</v>
      </c>
      <c r="D24" s="32">
        <v>2044</v>
      </c>
      <c r="E24" s="163">
        <f t="shared" si="6"/>
        <v>23712852.385530107</v>
      </c>
      <c r="F24" s="163">
        <f t="shared" si="7"/>
        <v>89786.755349857063</v>
      </c>
      <c r="G24" s="163">
        <f t="shared" si="8"/>
        <v>927830.02969616454</v>
      </c>
      <c r="H24" s="163">
        <f t="shared" si="9"/>
        <v>4753184.3559242748</v>
      </c>
      <c r="I24" s="163">
        <f t="shared" si="10"/>
        <v>77833.313295654312</v>
      </c>
      <c r="J24" s="163">
        <f t="shared" si="11"/>
        <v>29561486.839796055</v>
      </c>
      <c r="K24" s="163">
        <f t="shared" si="12"/>
        <v>693698.53192139952</v>
      </c>
      <c r="L24" s="163">
        <f t="shared" si="13"/>
        <v>234131.49777476507</v>
      </c>
      <c r="M24" s="165">
        <f t="shared" si="14"/>
        <v>3.1386446653525822E-2</v>
      </c>
      <c r="N24" s="165"/>
      <c r="O24" s="32">
        <v>2044</v>
      </c>
      <c r="P24" s="163">
        <v>11702928.289789602</v>
      </c>
      <c r="Q24" s="163">
        <v>9077.344973731495</v>
      </c>
      <c r="R24" s="163">
        <v>693698.53192139952</v>
      </c>
      <c r="S24" s="163">
        <v>2792466.1248801178</v>
      </c>
      <c r="T24" s="163">
        <v>77833.313295654312</v>
      </c>
      <c r="V24" s="32">
        <v>2044</v>
      </c>
      <c r="W24" s="163">
        <v>952035.77400287834</v>
      </c>
      <c r="X24" s="163">
        <v>10.765950311999994</v>
      </c>
      <c r="Y24" s="163">
        <v>5992.5250187707579</v>
      </c>
      <c r="Z24" s="163">
        <v>81935.530544882698</v>
      </c>
      <c r="AA24" s="163">
        <v>0</v>
      </c>
      <c r="AC24" s="32">
        <v>2044</v>
      </c>
      <c r="AD24" s="163">
        <v>6921019.105912582</v>
      </c>
      <c r="AE24" s="163">
        <v>29331.16544388852</v>
      </c>
      <c r="AF24" s="163">
        <v>155765.229878557</v>
      </c>
      <c r="AG24" s="163">
        <v>1148094.5418078911</v>
      </c>
      <c r="AH24" s="163">
        <v>0</v>
      </c>
      <c r="AJ24" s="32">
        <v>2044</v>
      </c>
      <c r="AK24" s="163">
        <v>4136869.2158250418</v>
      </c>
      <c r="AL24" s="163">
        <v>51367.478981925051</v>
      </c>
      <c r="AM24" s="163">
        <v>72373.742877437297</v>
      </c>
      <c r="AN24" s="163">
        <v>730688.15869138343</v>
      </c>
      <c r="AO24" s="163">
        <v>0</v>
      </c>
    </row>
    <row r="25" spans="1:41">
      <c r="A25" s="32">
        <v>2045</v>
      </c>
      <c r="B25" s="32">
        <f t="shared" si="1"/>
        <v>0.19694953170820942</v>
      </c>
      <c r="D25" s="32">
        <v>2045</v>
      </c>
      <c r="E25" s="163">
        <f t="shared" si="6"/>
        <v>23741258.877485044</v>
      </c>
      <c r="F25" s="163">
        <f t="shared" si="7"/>
        <v>89689.06448233992</v>
      </c>
      <c r="G25" s="163">
        <f t="shared" si="8"/>
        <v>935360.50338564801</v>
      </c>
      <c r="H25" s="163">
        <f t="shared" si="9"/>
        <v>4830386.8145001428</v>
      </c>
      <c r="I25" s="163">
        <f t="shared" si="10"/>
        <v>78834.339998005758</v>
      </c>
      <c r="J25" s="163">
        <f t="shared" si="11"/>
        <v>29675529.59985118</v>
      </c>
      <c r="K25" s="163">
        <f t="shared" si="12"/>
        <v>698580.69873379753</v>
      </c>
      <c r="L25" s="163">
        <f t="shared" si="13"/>
        <v>236779.80465185054</v>
      </c>
      <c r="M25" s="165">
        <f t="shared" si="14"/>
        <v>3.1519589237266339E-2</v>
      </c>
      <c r="N25" s="165"/>
      <c r="O25" s="32">
        <v>2045</v>
      </c>
      <c r="P25" s="163">
        <v>11719914.198954305</v>
      </c>
      <c r="Q25" s="163">
        <v>8910.004069346478</v>
      </c>
      <c r="R25" s="163">
        <v>698580.69873379753</v>
      </c>
      <c r="S25" s="163">
        <v>2828102.1152094123</v>
      </c>
      <c r="T25" s="163">
        <v>78834.339998005758</v>
      </c>
      <c r="V25" s="32">
        <v>2045</v>
      </c>
      <c r="W25" s="163">
        <v>947638.83001386141</v>
      </c>
      <c r="X25" s="163">
        <v>10.885101800749991</v>
      </c>
      <c r="Y25" s="163">
        <v>6090.9792966340019</v>
      </c>
      <c r="Z25" s="163">
        <v>84092.821653157618</v>
      </c>
      <c r="AA25" s="163">
        <v>0</v>
      </c>
      <c r="AC25" s="32">
        <v>2045</v>
      </c>
      <c r="AD25" s="163">
        <v>6935986.2899183491</v>
      </c>
      <c r="AE25" s="163">
        <v>29511.521374485532</v>
      </c>
      <c r="AF25" s="163">
        <v>157505.74591364805</v>
      </c>
      <c r="AG25" s="163">
        <v>1171057.9047008613</v>
      </c>
      <c r="AH25" s="163">
        <v>0</v>
      </c>
      <c r="AJ25" s="32">
        <v>2045</v>
      </c>
      <c r="AK25" s="163">
        <v>4137719.5585985291</v>
      </c>
      <c r="AL25" s="163">
        <v>51256.653936707167</v>
      </c>
      <c r="AM25" s="163">
        <v>73183.079441568509</v>
      </c>
      <c r="AN25" s="163">
        <v>747133.97293671139</v>
      </c>
      <c r="AO25" s="163">
        <v>0</v>
      </c>
    </row>
    <row r="26" spans="1:41">
      <c r="A26" s="32">
        <v>2046</v>
      </c>
      <c r="B26" s="32">
        <f t="shared" si="1"/>
        <v>0.1987824026308968</v>
      </c>
      <c r="D26" s="32">
        <v>2046</v>
      </c>
      <c r="E26" s="163">
        <f t="shared" si="6"/>
        <v>23773835.741768498</v>
      </c>
      <c r="F26" s="163">
        <f t="shared" si="7"/>
        <v>89678.150523076445</v>
      </c>
      <c r="G26" s="163">
        <f t="shared" si="8"/>
        <v>942283.23264203232</v>
      </c>
      <c r="H26" s="163">
        <f t="shared" si="9"/>
        <v>4898551.0816533444</v>
      </c>
      <c r="I26" s="163">
        <f t="shared" si="10"/>
        <v>79712.915697888588</v>
      </c>
      <c r="J26" s="163">
        <f t="shared" si="11"/>
        <v>29784061.122284841</v>
      </c>
      <c r="K26" s="163">
        <f t="shared" si="12"/>
        <v>703087.19522021303</v>
      </c>
      <c r="L26" s="163">
        <f t="shared" si="13"/>
        <v>239196.03742181917</v>
      </c>
      <c r="M26" s="165">
        <f t="shared" si="14"/>
        <v>3.1637164212539273E-2</v>
      </c>
      <c r="N26" s="165"/>
      <c r="O26" s="32">
        <v>2046</v>
      </c>
      <c r="P26" s="163">
        <v>11740597.013922462</v>
      </c>
      <c r="Q26" s="163">
        <v>8780.3405211769859</v>
      </c>
      <c r="R26" s="163">
        <v>703087.19522021303</v>
      </c>
      <c r="S26" s="163">
        <v>2859407.5828513978</v>
      </c>
      <c r="T26" s="163">
        <v>79712.915697888588</v>
      </c>
      <c r="V26" s="32">
        <v>2046</v>
      </c>
      <c r="W26" s="163">
        <v>944528.73900554399</v>
      </c>
      <c r="X26" s="163">
        <v>10.981229032499987</v>
      </c>
      <c r="Y26" s="163">
        <v>6179.897221054488</v>
      </c>
      <c r="Z26" s="163">
        <v>86071.721073999244</v>
      </c>
      <c r="AA26" s="163">
        <v>0</v>
      </c>
      <c r="AC26" s="32">
        <v>2046</v>
      </c>
      <c r="AD26" s="163">
        <v>6952758.6483729286</v>
      </c>
      <c r="AE26" s="163">
        <v>29686.700717539763</v>
      </c>
      <c r="AF26" s="163">
        <v>159102.70981324694</v>
      </c>
      <c r="AG26" s="163">
        <v>1191177.8972528148</v>
      </c>
      <c r="AH26" s="163">
        <v>0</v>
      </c>
      <c r="AJ26" s="32">
        <v>2046</v>
      </c>
      <c r="AK26" s="163">
        <v>4135951.3404675648</v>
      </c>
      <c r="AL26" s="163">
        <v>51200.128055327186</v>
      </c>
      <c r="AM26" s="163">
        <v>73913.430387517772</v>
      </c>
      <c r="AN26" s="163">
        <v>761893.88047513249</v>
      </c>
      <c r="AO26" s="163">
        <v>0</v>
      </c>
    </row>
    <row r="27" spans="1:41">
      <c r="A27" s="32">
        <v>2047</v>
      </c>
      <c r="B27" s="32">
        <f t="shared" si="1"/>
        <v>0.20034670909118527</v>
      </c>
      <c r="D27" s="32">
        <v>2047</v>
      </c>
      <c r="E27" s="163">
        <f t="shared" si="6"/>
        <v>23810532.040826</v>
      </c>
      <c r="F27" s="163">
        <f t="shared" si="7"/>
        <v>89699.992979787028</v>
      </c>
      <c r="G27" s="163">
        <f t="shared" si="8"/>
        <v>948668.7232104959</v>
      </c>
      <c r="H27" s="163">
        <f t="shared" si="9"/>
        <v>4958857.1963397134</v>
      </c>
      <c r="I27" s="163">
        <f t="shared" si="10"/>
        <v>80485.245947181262</v>
      </c>
      <c r="J27" s="163">
        <f t="shared" si="11"/>
        <v>29888243.19930318</v>
      </c>
      <c r="K27" s="163">
        <f t="shared" si="12"/>
        <v>707261.06035224476</v>
      </c>
      <c r="L27" s="163">
        <f t="shared" si="13"/>
        <v>241407.66285825113</v>
      </c>
      <c r="M27" s="165">
        <f t="shared" si="14"/>
        <v>3.1740531448586892E-2</v>
      </c>
      <c r="N27" s="165"/>
      <c r="O27" s="32">
        <v>2047</v>
      </c>
      <c r="P27" s="163">
        <v>11763877.445355784</v>
      </c>
      <c r="Q27" s="163">
        <v>8643.1752798304988</v>
      </c>
      <c r="R27" s="163">
        <v>707261.06035224476</v>
      </c>
      <c r="S27" s="163">
        <v>2886938.6413881793</v>
      </c>
      <c r="T27" s="163">
        <v>80485.245947181262</v>
      </c>
      <c r="V27" s="32">
        <v>2047</v>
      </c>
      <c r="W27" s="163">
        <v>942468.81082072388</v>
      </c>
      <c r="X27" s="163">
        <v>11.061060906499982</v>
      </c>
      <c r="Y27" s="163">
        <v>6260.3232484799983</v>
      </c>
      <c r="Z27" s="163">
        <v>87859.795828553659</v>
      </c>
      <c r="AA27" s="163">
        <v>0</v>
      </c>
      <c r="AC27" s="32">
        <v>2047</v>
      </c>
      <c r="AD27" s="163">
        <v>6969376.4260815429</v>
      </c>
      <c r="AE27" s="163">
        <v>29854.869469011515</v>
      </c>
      <c r="AF27" s="163">
        <v>160575.76638717044</v>
      </c>
      <c r="AG27" s="163">
        <v>1208974.1839794475</v>
      </c>
      <c r="AH27" s="163">
        <v>0</v>
      </c>
      <c r="AJ27" s="32">
        <v>2047</v>
      </c>
      <c r="AK27" s="163">
        <v>4134809.358567948</v>
      </c>
      <c r="AL27" s="163">
        <v>51190.887170038521</v>
      </c>
      <c r="AM27" s="163">
        <v>74571.573222600695</v>
      </c>
      <c r="AN27" s="163">
        <v>775084.57514353306</v>
      </c>
      <c r="AO27" s="163">
        <v>0</v>
      </c>
    </row>
    <row r="28" spans="1:41">
      <c r="A28" s="32">
        <v>2048</v>
      </c>
      <c r="B28" s="32">
        <f t="shared" si="1"/>
        <v>0.20169250631837363</v>
      </c>
      <c r="D28" s="32">
        <v>2048</v>
      </c>
      <c r="E28" s="163">
        <f t="shared" si="6"/>
        <v>23849334.597507145</v>
      </c>
      <c r="F28" s="163">
        <f t="shared" si="7"/>
        <v>89763.598485798502</v>
      </c>
      <c r="G28" s="163">
        <f t="shared" si="8"/>
        <v>954598.83019827504</v>
      </c>
      <c r="H28" s="163">
        <f t="shared" si="9"/>
        <v>5012450.778717299</v>
      </c>
      <c r="I28" s="163">
        <f t="shared" si="10"/>
        <v>81167.089996018374</v>
      </c>
      <c r="J28" s="163">
        <f t="shared" si="11"/>
        <v>29987314.894904535</v>
      </c>
      <c r="K28" s="163">
        <f t="shared" si="12"/>
        <v>711162.98486191197</v>
      </c>
      <c r="L28" s="163">
        <f t="shared" si="13"/>
        <v>243435.84533636304</v>
      </c>
      <c r="M28" s="165">
        <f t="shared" si="14"/>
        <v>3.1833421349788178E-2</v>
      </c>
      <c r="N28" s="165"/>
      <c r="O28" s="32">
        <v>2048</v>
      </c>
      <c r="P28" s="163">
        <v>11788179.853072755</v>
      </c>
      <c r="Q28" s="163">
        <v>8507.5999383192302</v>
      </c>
      <c r="R28" s="163">
        <v>711162.98486191197</v>
      </c>
      <c r="S28" s="163">
        <v>2911260.0951739093</v>
      </c>
      <c r="T28" s="163">
        <v>81167.089996018374</v>
      </c>
      <c r="V28" s="32">
        <v>2048</v>
      </c>
      <c r="W28" s="163">
        <v>942293.57563216542</v>
      </c>
      <c r="X28" s="163">
        <v>11.1926240545</v>
      </c>
      <c r="Y28" s="163">
        <v>6333.1329110440056</v>
      </c>
      <c r="Z28" s="163">
        <v>89488.175369779332</v>
      </c>
      <c r="AA28" s="163">
        <v>0</v>
      </c>
      <c r="AC28" s="32">
        <v>2048</v>
      </c>
      <c r="AD28" s="163">
        <v>6985678.7897538794</v>
      </c>
      <c r="AE28" s="163">
        <v>30015.037208714475</v>
      </c>
      <c r="AF28" s="163">
        <v>161932.32990026605</v>
      </c>
      <c r="AG28" s="163">
        <v>1224886.0933674297</v>
      </c>
      <c r="AH28" s="163">
        <v>0</v>
      </c>
      <c r="AJ28" s="32">
        <v>2048</v>
      </c>
      <c r="AK28" s="163">
        <v>4133182.3790483451</v>
      </c>
      <c r="AL28" s="163">
        <v>51229.768714710299</v>
      </c>
      <c r="AM28" s="163">
        <v>75170.382525052992</v>
      </c>
      <c r="AN28" s="163">
        <v>786816.4148061804</v>
      </c>
      <c r="AO28" s="163">
        <v>0</v>
      </c>
    </row>
    <row r="29" spans="1:41">
      <c r="A29" s="32">
        <v>2049</v>
      </c>
      <c r="B29" s="32">
        <f t="shared" si="1"/>
        <v>0.2028531493312026</v>
      </c>
      <c r="D29" s="32">
        <v>2049</v>
      </c>
      <c r="E29" s="163">
        <f t="shared" si="6"/>
        <v>23890006.301777296</v>
      </c>
      <c r="F29" s="163">
        <f t="shared" si="7"/>
        <v>89927.670040818004</v>
      </c>
      <c r="G29" s="163">
        <f t="shared" si="8"/>
        <v>960148.75478879211</v>
      </c>
      <c r="H29" s="163">
        <f t="shared" si="9"/>
        <v>5060346.6558296587</v>
      </c>
      <c r="I29" s="163">
        <f t="shared" si="10"/>
        <v>81774.35668529848</v>
      </c>
      <c r="J29" s="163">
        <f t="shared" si="11"/>
        <v>30082203.739121865</v>
      </c>
      <c r="K29" s="163">
        <f t="shared" si="12"/>
        <v>714843.78951390658</v>
      </c>
      <c r="L29" s="163">
        <f t="shared" si="13"/>
        <v>245304.96527488553</v>
      </c>
      <c r="M29" s="165">
        <f t="shared" si="14"/>
        <v>3.1917500563302149E-2</v>
      </c>
      <c r="N29" s="165"/>
      <c r="O29" s="32">
        <v>2049</v>
      </c>
      <c r="P29" s="163">
        <v>11814579.312994085</v>
      </c>
      <c r="Q29" s="163">
        <v>8447.0985196369966</v>
      </c>
      <c r="R29" s="163">
        <v>714843.78951390658</v>
      </c>
      <c r="S29" s="163">
        <v>2932928.2593884408</v>
      </c>
      <c r="T29" s="163">
        <v>81774.35668529848</v>
      </c>
      <c r="V29" s="32">
        <v>2049</v>
      </c>
      <c r="W29" s="163">
        <v>942830.66724689619</v>
      </c>
      <c r="X29" s="163">
        <v>11.312113552250006</v>
      </c>
      <c r="Y29" s="163">
        <v>6399.0129165145063</v>
      </c>
      <c r="Z29" s="163">
        <v>90959.577072602755</v>
      </c>
      <c r="AA29" s="163">
        <v>0</v>
      </c>
      <c r="AC29" s="32">
        <v>2049</v>
      </c>
      <c r="AD29" s="163">
        <v>7000555.01286087</v>
      </c>
      <c r="AE29" s="163">
        <v>30168.302057090277</v>
      </c>
      <c r="AF29" s="163">
        <v>163182.69525864755</v>
      </c>
      <c r="AG29" s="163">
        <v>1239218.510097964</v>
      </c>
      <c r="AH29" s="163">
        <v>0</v>
      </c>
      <c r="AJ29" s="32">
        <v>2049</v>
      </c>
      <c r="AK29" s="163">
        <v>4132041.3086754438</v>
      </c>
      <c r="AL29" s="163">
        <v>51300.957350538476</v>
      </c>
      <c r="AM29" s="163">
        <v>75723.257099723472</v>
      </c>
      <c r="AN29" s="163">
        <v>797240.30927065073</v>
      </c>
      <c r="AO29" s="163">
        <v>0</v>
      </c>
    </row>
    <row r="30" spans="1:41">
      <c r="A30" s="32">
        <v>2050</v>
      </c>
      <c r="B30" s="32">
        <f t="shared" si="1"/>
        <v>0.2038458127144509</v>
      </c>
      <c r="D30" s="32">
        <v>2050</v>
      </c>
      <c r="E30" s="163">
        <f t="shared" si="6"/>
        <v>23934088.361369565</v>
      </c>
      <c r="F30" s="163">
        <f t="shared" si="7"/>
        <v>89922.848879774829</v>
      </c>
      <c r="G30" s="163">
        <f t="shared" si="8"/>
        <v>965363.16709293437</v>
      </c>
      <c r="H30" s="163">
        <f t="shared" si="9"/>
        <v>5103379.5805533081</v>
      </c>
      <c r="I30" s="163">
        <f t="shared" si="10"/>
        <v>82319.657126271006</v>
      </c>
      <c r="J30" s="163">
        <f t="shared" si="11"/>
        <v>30175073.615021851</v>
      </c>
      <c r="K30" s="163">
        <f t="shared" si="12"/>
        <v>718323.58950694371</v>
      </c>
      <c r="L30" s="163">
        <f t="shared" si="13"/>
        <v>247039.57758599054</v>
      </c>
      <c r="M30" s="165">
        <f t="shared" si="14"/>
        <v>3.1992073305576102E-2</v>
      </c>
      <c r="N30" s="165"/>
      <c r="O30" s="32">
        <v>2050</v>
      </c>
      <c r="P30" s="163">
        <v>11839797.357599558</v>
      </c>
      <c r="Q30" s="163">
        <v>8377.8687847312522</v>
      </c>
      <c r="R30" s="163">
        <v>718323.58950694371</v>
      </c>
      <c r="S30" s="163">
        <v>2952399.3433092032</v>
      </c>
      <c r="T30" s="163">
        <v>82319.657126271006</v>
      </c>
      <c r="V30" s="32">
        <v>2050</v>
      </c>
      <c r="W30" s="163">
        <v>944018.86664389458</v>
      </c>
      <c r="X30" s="163">
        <v>11.420602427499999</v>
      </c>
      <c r="Y30" s="163">
        <v>6458.6030714990084</v>
      </c>
      <c r="Z30" s="163">
        <v>92287.632052060988</v>
      </c>
      <c r="AA30" s="163">
        <v>0</v>
      </c>
      <c r="AC30" s="32">
        <v>2050</v>
      </c>
      <c r="AD30" s="163">
        <v>7015631.5116653396</v>
      </c>
      <c r="AE30" s="163">
        <v>30302.478386670518</v>
      </c>
      <c r="AF30" s="163">
        <v>164342.71177424403</v>
      </c>
      <c r="AG30" s="163">
        <v>1252190.4519521748</v>
      </c>
      <c r="AH30" s="163">
        <v>0</v>
      </c>
      <c r="AJ30" s="32">
        <v>2050</v>
      </c>
      <c r="AK30" s="163">
        <v>4134640.6254607742</v>
      </c>
      <c r="AL30" s="163">
        <v>51231.081105945552</v>
      </c>
      <c r="AM30" s="163">
        <v>76238.262740247519</v>
      </c>
      <c r="AN30" s="163">
        <v>806502.15323986905</v>
      </c>
      <c r="AO30" s="163">
        <v>0</v>
      </c>
    </row>
    <row r="31" spans="1:41">
      <c r="P31" s="163"/>
      <c r="Q31" s="163"/>
      <c r="R31" s="163"/>
      <c r="S31" s="163"/>
      <c r="T31" s="163"/>
      <c r="W31" s="163"/>
      <c r="X31" s="163"/>
      <c r="Y31" s="163"/>
      <c r="Z31" s="163"/>
      <c r="AA31" s="163"/>
      <c r="AD31" s="163"/>
      <c r="AE31" s="163"/>
      <c r="AF31" s="163"/>
      <c r="AG31" s="163"/>
      <c r="AH31" s="163"/>
      <c r="AK31" s="163"/>
      <c r="AL31" s="163"/>
      <c r="AM31" s="163"/>
      <c r="AN31" s="163"/>
      <c r="AO31" s="163"/>
    </row>
    <row r="32" spans="1:41">
      <c r="A32" s="161" t="s">
        <v>262</v>
      </c>
      <c r="D32" s="136" t="s">
        <v>263</v>
      </c>
      <c r="F32" s="136" t="s">
        <v>264</v>
      </c>
      <c r="L32" s="161" t="s">
        <v>265</v>
      </c>
      <c r="M32" s="161"/>
      <c r="P32" s="161"/>
    </row>
    <row r="33" spans="1:17">
      <c r="A33" s="32" t="s">
        <v>208</v>
      </c>
      <c r="B33" s="32" t="s">
        <v>266</v>
      </c>
      <c r="C33" s="32" t="s">
        <v>35</v>
      </c>
      <c r="L33" s="32" t="s">
        <v>208</v>
      </c>
    </row>
    <row r="34" spans="1:17">
      <c r="A34" s="32">
        <v>2025</v>
      </c>
      <c r="B34" s="164">
        <f>B35</f>
        <v>0.60000000000000009</v>
      </c>
      <c r="C34" s="32">
        <f>C35</f>
        <v>0.49</v>
      </c>
      <c r="L34" s="32">
        <v>2025</v>
      </c>
      <c r="N34" s="165">
        <f t="shared" ref="N34:N49" si="15">(H5+I5+K5*B34+L5*C34)/J5</f>
        <v>5.2787319162739099E-2</v>
      </c>
    </row>
    <row r="35" spans="1:17">
      <c r="A35" s="32">
        <v>2026</v>
      </c>
      <c r="B35" s="164">
        <f>(0.54*0.5)+(0.66*0.5)</f>
        <v>0.60000000000000009</v>
      </c>
      <c r="C35" s="32">
        <f>(0.49*0.5)+(0.49*0.5)</f>
        <v>0.49</v>
      </c>
      <c r="L35" s="32">
        <v>2026</v>
      </c>
      <c r="N35" s="165">
        <f t="shared" si="15"/>
        <v>6.4089332068279783E-2</v>
      </c>
      <c r="Q35" s="165"/>
    </row>
    <row r="36" spans="1:17">
      <c r="A36" s="32">
        <v>2027</v>
      </c>
      <c r="B36" s="32">
        <f>(0.57*0.5)+(0.69*0.5)</f>
        <v>0.62999999999999989</v>
      </c>
      <c r="C36" s="32">
        <f>(0.51*0.5)+(0.62*0.5)</f>
        <v>0.56499999999999995</v>
      </c>
      <c r="L36" s="32">
        <v>2027</v>
      </c>
      <c r="N36" s="165">
        <f t="shared" si="15"/>
        <v>7.5580722040675494E-2</v>
      </c>
      <c r="Q36" s="165"/>
    </row>
    <row r="37" spans="1:17">
      <c r="A37" s="32">
        <v>2028</v>
      </c>
      <c r="B37" s="32">
        <f>(0.58*0.5)+(0.71*0.5)</f>
        <v>0.64500000000000002</v>
      </c>
      <c r="C37" s="32">
        <f>(0.52*0.5)+(0.64*0.5)</f>
        <v>0.58000000000000007</v>
      </c>
      <c r="L37" s="32">
        <v>2028</v>
      </c>
      <c r="N37" s="165">
        <f t="shared" si="15"/>
        <v>8.6179522162499828E-2</v>
      </c>
      <c r="Q37" s="165"/>
    </row>
    <row r="38" spans="1:17">
      <c r="A38" s="32">
        <v>2029</v>
      </c>
      <c r="B38" s="32">
        <f>(0.6*0.1)+0.73*0.9</f>
        <v>0.71700000000000008</v>
      </c>
      <c r="C38" s="32">
        <f>0.55*0.1+0.67*0.9</f>
        <v>0.65800000000000014</v>
      </c>
      <c r="L38" s="32">
        <v>2029</v>
      </c>
      <c r="N38" s="165">
        <f t="shared" si="15"/>
        <v>9.7753266410346082E-2</v>
      </c>
      <c r="Q38" s="165"/>
    </row>
    <row r="39" spans="1:17">
      <c r="A39" s="32">
        <v>2030</v>
      </c>
      <c r="B39" s="32">
        <f>0.62*0.1+0.75*0.9</f>
        <v>0.7370000000000001</v>
      </c>
      <c r="C39" s="32">
        <f>0.57*0.1+0.69*0.9</f>
        <v>0.67799999999999994</v>
      </c>
      <c r="L39" s="32">
        <v>2030</v>
      </c>
      <c r="N39" s="165">
        <f t="shared" si="15"/>
        <v>0.10770155714763756</v>
      </c>
      <c r="Q39" s="165"/>
    </row>
    <row r="40" spans="1:17">
      <c r="A40" s="32">
        <v>2031</v>
      </c>
      <c r="B40" s="32">
        <f>0.62*0.1+0.77*0.9</f>
        <v>0.75500000000000012</v>
      </c>
      <c r="C40" s="32">
        <f>0.59*0.1+0.72*0.9</f>
        <v>0.70700000000000007</v>
      </c>
      <c r="L40" s="32">
        <v>2031</v>
      </c>
      <c r="N40" s="165">
        <f t="shared" si="15"/>
        <v>0.11722582033992886</v>
      </c>
      <c r="Q40" s="165"/>
    </row>
    <row r="41" spans="1:17">
      <c r="A41" s="32">
        <v>2032</v>
      </c>
      <c r="B41" s="32">
        <f>0.65*0.1+0.79*0.9</f>
        <v>0.77600000000000002</v>
      </c>
      <c r="C41" s="32">
        <f>0.61*0.1+0.74*0.9</f>
        <v>0.72700000000000009</v>
      </c>
      <c r="L41" s="32">
        <v>2032</v>
      </c>
      <c r="N41" s="165">
        <f t="shared" si="15"/>
        <v>0.12629478463698698</v>
      </c>
      <c r="Q41" s="165"/>
    </row>
    <row r="42" spans="1:17">
      <c r="A42" s="32">
        <v>2033</v>
      </c>
      <c r="B42" s="32">
        <f>B41</f>
        <v>0.77600000000000002</v>
      </c>
      <c r="C42" s="32">
        <f>C41</f>
        <v>0.72700000000000009</v>
      </c>
      <c r="L42" s="32">
        <v>2033</v>
      </c>
      <c r="N42" s="165">
        <f t="shared" si="15"/>
        <v>0.13432326202068065</v>
      </c>
      <c r="Q42" s="165"/>
    </row>
    <row r="43" spans="1:17">
      <c r="A43" s="32">
        <v>2034</v>
      </c>
      <c r="B43" s="32">
        <f t="shared" ref="B43:C44" si="16">B42</f>
        <v>0.77600000000000002</v>
      </c>
      <c r="C43" s="32">
        <f t="shared" si="16"/>
        <v>0.72700000000000009</v>
      </c>
      <c r="L43" s="32">
        <v>2034</v>
      </c>
      <c r="N43" s="165">
        <f t="shared" si="15"/>
        <v>0.1418395665517862</v>
      </c>
      <c r="Q43" s="165"/>
    </row>
    <row r="44" spans="1:17">
      <c r="A44" s="32">
        <v>2035</v>
      </c>
      <c r="B44" s="32">
        <f t="shared" si="16"/>
        <v>0.77600000000000002</v>
      </c>
      <c r="C44" s="32">
        <f t="shared" si="16"/>
        <v>0.72700000000000009</v>
      </c>
      <c r="L44" s="32">
        <v>2035</v>
      </c>
      <c r="N44" s="165">
        <f t="shared" si="15"/>
        <v>0.14881949851245854</v>
      </c>
      <c r="Q44" s="165"/>
    </row>
    <row r="45" spans="1:17">
      <c r="A45" s="32">
        <v>2036</v>
      </c>
      <c r="B45" s="32">
        <f>0.79</f>
        <v>0.79</v>
      </c>
      <c r="C45" s="32">
        <f>0.74</f>
        <v>0.74</v>
      </c>
      <c r="L45" s="32">
        <v>2036</v>
      </c>
      <c r="N45" s="165">
        <f t="shared" si="15"/>
        <v>0.15564313994187848</v>
      </c>
      <c r="Q45" s="165"/>
    </row>
    <row r="46" spans="1:17">
      <c r="A46" s="32">
        <v>2037</v>
      </c>
      <c r="B46" s="32">
        <f>B45</f>
        <v>0.79</v>
      </c>
      <c r="C46" s="32">
        <f>C45</f>
        <v>0.74</v>
      </c>
      <c r="L46" s="32">
        <v>2037</v>
      </c>
      <c r="N46" s="165">
        <f t="shared" si="15"/>
        <v>0.16148796043984739</v>
      </c>
      <c r="Q46" s="165"/>
    </row>
    <row r="47" spans="1:17">
      <c r="A47" s="32">
        <v>2038</v>
      </c>
      <c r="B47" s="32">
        <f t="shared" ref="B47:C49" si="17">B46</f>
        <v>0.79</v>
      </c>
      <c r="C47" s="32">
        <f t="shared" si="17"/>
        <v>0.74</v>
      </c>
      <c r="L47" s="32">
        <v>2038</v>
      </c>
      <c r="N47" s="165">
        <f t="shared" si="15"/>
        <v>0.16676140134679324</v>
      </c>
      <c r="Q47" s="165"/>
    </row>
    <row r="48" spans="1:17">
      <c r="A48" s="32">
        <v>2039</v>
      </c>
      <c r="B48" s="32">
        <f t="shared" si="17"/>
        <v>0.79</v>
      </c>
      <c r="C48" s="32">
        <f t="shared" si="17"/>
        <v>0.74</v>
      </c>
      <c r="L48" s="32">
        <v>2039</v>
      </c>
      <c r="N48" s="165">
        <f t="shared" si="15"/>
        <v>0.17149228521211091</v>
      </c>
      <c r="Q48" s="165"/>
    </row>
    <row r="49" spans="1:41">
      <c r="A49" s="32">
        <v>2040</v>
      </c>
      <c r="B49" s="32">
        <f t="shared" si="17"/>
        <v>0.79</v>
      </c>
      <c r="C49" s="32">
        <f t="shared" si="17"/>
        <v>0.74</v>
      </c>
      <c r="L49" s="32">
        <v>2040</v>
      </c>
      <c r="N49" s="165">
        <f t="shared" si="15"/>
        <v>0.17568933934234149</v>
      </c>
      <c r="Q49" s="165"/>
    </row>
    <row r="50" spans="1:41">
      <c r="A50" s="32">
        <v>2041</v>
      </c>
      <c r="B50" s="32">
        <f t="shared" ref="B50:C50" si="18">B49</f>
        <v>0.79</v>
      </c>
      <c r="C50" s="32">
        <f t="shared" si="18"/>
        <v>0.74</v>
      </c>
      <c r="L50" s="32">
        <v>2041</v>
      </c>
      <c r="N50" s="165">
        <f t="shared" ref="N50:N59" si="19">(H21+I21+K21*B50+L21*C50)/J21</f>
        <v>0.17935509916109735</v>
      </c>
      <c r="Q50" s="165"/>
    </row>
    <row r="51" spans="1:41">
      <c r="A51" s="32">
        <v>2042</v>
      </c>
      <c r="B51" s="32">
        <f t="shared" ref="B51:C51" si="20">B50</f>
        <v>0.79</v>
      </c>
      <c r="C51" s="32">
        <f t="shared" si="20"/>
        <v>0.74</v>
      </c>
      <c r="L51" s="32">
        <v>2042</v>
      </c>
      <c r="N51" s="165">
        <f t="shared" si="19"/>
        <v>0.18258817090875848</v>
      </c>
      <c r="Q51" s="165"/>
    </row>
    <row r="52" spans="1:41">
      <c r="A52" s="32">
        <v>2043</v>
      </c>
      <c r="B52" s="32">
        <f t="shared" ref="B52:C52" si="21">B51</f>
        <v>0.79</v>
      </c>
      <c r="C52" s="32">
        <f t="shared" si="21"/>
        <v>0.74</v>
      </c>
      <c r="L52" s="32">
        <v>2043</v>
      </c>
      <c r="N52" s="165">
        <f t="shared" si="19"/>
        <v>0.18539259849154185</v>
      </c>
      <c r="Q52" s="165"/>
    </row>
    <row r="53" spans="1:41">
      <c r="A53" s="32">
        <v>2044</v>
      </c>
      <c r="B53" s="32">
        <f t="shared" ref="B53:C53" si="22">B52</f>
        <v>0.79</v>
      </c>
      <c r="C53" s="32">
        <f t="shared" si="22"/>
        <v>0.74</v>
      </c>
      <c r="L53" s="32">
        <v>2044</v>
      </c>
      <c r="N53" s="165">
        <f t="shared" si="19"/>
        <v>0.18782197417474236</v>
      </c>
      <c r="Q53" s="165"/>
    </row>
    <row r="54" spans="1:41">
      <c r="A54" s="32">
        <v>2045</v>
      </c>
      <c r="B54" s="32">
        <f t="shared" ref="B54:C54" si="23">B53</f>
        <v>0.79</v>
      </c>
      <c r="C54" s="32">
        <f t="shared" si="23"/>
        <v>0.74</v>
      </c>
      <c r="L54" s="32">
        <v>2045</v>
      </c>
      <c r="N54" s="165">
        <f t="shared" si="19"/>
        <v>0.18993147006779904</v>
      </c>
      <c r="Q54" s="165"/>
    </row>
    <row r="55" spans="1:41">
      <c r="A55" s="32">
        <v>2046</v>
      </c>
      <c r="B55" s="32">
        <f t="shared" ref="B55:C55" si="24">B54</f>
        <v>0.79</v>
      </c>
      <c r="C55" s="32">
        <f t="shared" si="24"/>
        <v>0.74</v>
      </c>
      <c r="L55" s="32">
        <v>2046</v>
      </c>
      <c r="N55" s="165">
        <f t="shared" si="19"/>
        <v>0.19173704773908481</v>
      </c>
      <c r="Q55" s="165"/>
    </row>
    <row r="56" spans="1:41">
      <c r="A56" s="32">
        <v>2047</v>
      </c>
      <c r="B56" s="32">
        <f t="shared" ref="B56:C56" si="25">B55</f>
        <v>0.79</v>
      </c>
      <c r="C56" s="32">
        <f t="shared" si="25"/>
        <v>0.74</v>
      </c>
      <c r="L56" s="32">
        <v>2047</v>
      </c>
      <c r="N56" s="165">
        <f t="shared" si="19"/>
        <v>0.19327734694740953</v>
      </c>
      <c r="Q56" s="165"/>
    </row>
    <row r="57" spans="1:41">
      <c r="A57" s="32">
        <v>2048</v>
      </c>
      <c r="B57" s="32">
        <f t="shared" ref="B57:C57" si="26">B56</f>
        <v>0.79</v>
      </c>
      <c r="C57" s="32">
        <f t="shared" si="26"/>
        <v>0.74</v>
      </c>
      <c r="L57" s="32">
        <v>2048</v>
      </c>
      <c r="N57" s="165">
        <f t="shared" si="19"/>
        <v>0.19460158979738204</v>
      </c>
      <c r="Q57" s="165"/>
    </row>
    <row r="58" spans="1:41">
      <c r="A58" s="32">
        <v>2049</v>
      </c>
      <c r="B58" s="32">
        <f t="shared" ref="B58:C58" si="27">B57</f>
        <v>0.79</v>
      </c>
      <c r="C58" s="32">
        <f t="shared" si="27"/>
        <v>0.74</v>
      </c>
      <c r="L58" s="32">
        <v>2049</v>
      </c>
      <c r="N58" s="165">
        <f t="shared" si="19"/>
        <v>0.19574274981977258</v>
      </c>
      <c r="Q58" s="165"/>
    </row>
    <row r="59" spans="1:41">
      <c r="A59" s="32">
        <v>2050</v>
      </c>
      <c r="B59" s="32">
        <f t="shared" ref="B59:C59" si="28">B58</f>
        <v>0.79</v>
      </c>
      <c r="C59" s="32">
        <f t="shared" si="28"/>
        <v>0.74</v>
      </c>
      <c r="L59" s="32">
        <v>2050</v>
      </c>
      <c r="N59" s="165">
        <f t="shared" si="19"/>
        <v>0.19671813353418391</v>
      </c>
      <c r="Q59" s="165"/>
    </row>
    <row r="61" spans="1:41">
      <c r="A61" s="161" t="s">
        <v>453</v>
      </c>
    </row>
    <row r="63" spans="1:41">
      <c r="A63" s="161" t="s">
        <v>252</v>
      </c>
      <c r="D63" s="7" t="s">
        <v>109</v>
      </c>
      <c r="O63" s="7" t="s">
        <v>253</v>
      </c>
      <c r="V63" s="7" t="s">
        <v>254</v>
      </c>
      <c r="AC63" s="7" t="s">
        <v>255</v>
      </c>
      <c r="AJ63" s="7" t="s">
        <v>256</v>
      </c>
    </row>
    <row r="64" spans="1:41">
      <c r="A64" s="32" t="s">
        <v>208</v>
      </c>
      <c r="D64" s="162" t="s">
        <v>208</v>
      </c>
      <c r="E64" s="162" t="s">
        <v>257</v>
      </c>
      <c r="F64" s="162" t="s">
        <v>258</v>
      </c>
      <c r="G64" s="162" t="s">
        <v>122</v>
      </c>
      <c r="H64" s="162" t="s">
        <v>121</v>
      </c>
      <c r="I64" s="162" t="s">
        <v>259</v>
      </c>
      <c r="J64" s="162" t="s">
        <v>49</v>
      </c>
      <c r="K64" s="162" t="s">
        <v>260</v>
      </c>
      <c r="L64" s="162" t="s">
        <v>261</v>
      </c>
      <c r="M64" s="166" t="s">
        <v>269</v>
      </c>
      <c r="O64" s="162" t="s">
        <v>208</v>
      </c>
      <c r="P64" s="162" t="s">
        <v>257</v>
      </c>
      <c r="Q64" s="162" t="s">
        <v>258</v>
      </c>
      <c r="R64" s="162" t="s">
        <v>122</v>
      </c>
      <c r="S64" s="162" t="s">
        <v>121</v>
      </c>
      <c r="T64" s="162" t="s">
        <v>259</v>
      </c>
      <c r="V64" s="162" t="s">
        <v>208</v>
      </c>
      <c r="W64" s="162" t="s">
        <v>257</v>
      </c>
      <c r="X64" s="162" t="s">
        <v>258</v>
      </c>
      <c r="Y64" s="162" t="s">
        <v>122</v>
      </c>
      <c r="Z64" s="162" t="s">
        <v>121</v>
      </c>
      <c r="AA64" s="162" t="s">
        <v>259</v>
      </c>
      <c r="AC64" s="162" t="s">
        <v>208</v>
      </c>
      <c r="AD64" s="162" t="s">
        <v>257</v>
      </c>
      <c r="AE64" s="162" t="s">
        <v>258</v>
      </c>
      <c r="AF64" s="162" t="s">
        <v>122</v>
      </c>
      <c r="AG64" s="162" t="s">
        <v>121</v>
      </c>
      <c r="AH64" s="162" t="s">
        <v>259</v>
      </c>
      <c r="AJ64" s="162" t="s">
        <v>208</v>
      </c>
      <c r="AK64" s="162" t="s">
        <v>257</v>
      </c>
      <c r="AL64" s="162" t="s">
        <v>258</v>
      </c>
      <c r="AM64" s="162" t="s">
        <v>122</v>
      </c>
      <c r="AN64" s="162" t="s">
        <v>121</v>
      </c>
      <c r="AO64" s="162" t="s">
        <v>259</v>
      </c>
    </row>
    <row r="65" spans="1:41">
      <c r="A65" s="32">
        <v>2025</v>
      </c>
      <c r="B65" s="32">
        <f>(G65+H65+I65)/J65</f>
        <v>6.0544482522993645E-2</v>
      </c>
      <c r="D65" s="32">
        <v>2025</v>
      </c>
      <c r="E65" s="163">
        <f t="shared" ref="E65:I80" si="29">P65+W65+AD65+AK65</f>
        <v>24776703.209887635</v>
      </c>
      <c r="F65" s="163">
        <f t="shared" si="29"/>
        <v>132358.96403518482</v>
      </c>
      <c r="G65" s="163">
        <f t="shared" si="29"/>
        <v>489283.38786027883</v>
      </c>
      <c r="H65" s="163">
        <f t="shared" si="29"/>
        <v>1092590.3934144974</v>
      </c>
      <c r="I65" s="163">
        <f t="shared" si="29"/>
        <v>23424.448814275198</v>
      </c>
      <c r="J65" s="163">
        <f>SUM(E65:I65)</f>
        <v>26514360.404011872</v>
      </c>
      <c r="K65" s="163">
        <f>R65</f>
        <v>398711.84329231322</v>
      </c>
      <c r="L65" s="163">
        <f>Y65+AF65+AM65</f>
        <v>90571.544567965611</v>
      </c>
      <c r="M65" s="165">
        <f>G65/J65</f>
        <v>1.8453524067895133E-2</v>
      </c>
      <c r="O65" s="32">
        <v>2025</v>
      </c>
      <c r="P65" s="163">
        <v>12918515.229918949</v>
      </c>
      <c r="Q65" s="163">
        <v>42726.352364996535</v>
      </c>
      <c r="R65" s="163">
        <v>398711.84329231322</v>
      </c>
      <c r="S65" s="163">
        <v>879643.92961959727</v>
      </c>
      <c r="T65" s="163">
        <v>23424.448814275198</v>
      </c>
      <c r="V65" s="32">
        <v>2025</v>
      </c>
      <c r="W65" s="163">
        <v>1290500.8283019124</v>
      </c>
      <c r="X65" s="163">
        <v>611.07494159717533</v>
      </c>
      <c r="Y65" s="163">
        <v>1832.3663233627435</v>
      </c>
      <c r="Z65" s="163">
        <v>9022.4611627572594</v>
      </c>
      <c r="AA65" s="163">
        <v>0</v>
      </c>
      <c r="AC65" s="32">
        <v>2025</v>
      </c>
      <c r="AD65" s="163">
        <v>6340897.0552265421</v>
      </c>
      <c r="AE65" s="163">
        <v>22766.138287385787</v>
      </c>
      <c r="AF65" s="163">
        <v>56763.821399749679</v>
      </c>
      <c r="AG65" s="163">
        <v>118213.58602397214</v>
      </c>
      <c r="AH65" s="163">
        <v>0</v>
      </c>
      <c r="AJ65" s="32">
        <v>2025</v>
      </c>
      <c r="AK65" s="163">
        <v>4226790.0964402305</v>
      </c>
      <c r="AL65" s="163">
        <v>66255.398441205325</v>
      </c>
      <c r="AM65" s="163">
        <v>31975.356844853188</v>
      </c>
      <c r="AN65" s="163">
        <v>85710.416608170795</v>
      </c>
      <c r="AO65" s="163">
        <v>0</v>
      </c>
    </row>
    <row r="66" spans="1:41">
      <c r="A66" s="32">
        <v>2026</v>
      </c>
      <c r="B66" s="32">
        <f t="shared" ref="B66:B90" si="30">(G66+H66+I66)/J66</f>
        <v>8.2262799936481334E-2</v>
      </c>
      <c r="D66" s="32">
        <v>2026</v>
      </c>
      <c r="E66" s="163">
        <f t="shared" si="29"/>
        <v>24358251.597583111</v>
      </c>
      <c r="F66" s="163">
        <f t="shared" si="29"/>
        <v>128719.13071491843</v>
      </c>
      <c r="G66" s="163">
        <f t="shared" si="29"/>
        <v>531006.17768471106</v>
      </c>
      <c r="H66" s="163">
        <f t="shared" si="29"/>
        <v>1636008.2549246952</v>
      </c>
      <c r="I66" s="163">
        <f t="shared" si="29"/>
        <v>27913.237243179738</v>
      </c>
      <c r="J66" s="163">
        <f t="shared" ref="J66:J80" si="31">SUM(E66:I66)</f>
        <v>26681898.398150615</v>
      </c>
      <c r="K66" s="163">
        <f t="shared" ref="K66:K80" si="32">R66</f>
        <v>428546.77918823686</v>
      </c>
      <c r="L66" s="163">
        <f t="shared" ref="L66:L80" si="33">Y66+AF66+AM66</f>
        <v>102459.39849647418</v>
      </c>
      <c r="M66" s="165">
        <f t="shared" ref="M66:M80" si="34">G66/J66</f>
        <v>1.9901364204336986E-2</v>
      </c>
      <c r="O66" s="32">
        <v>2026</v>
      </c>
      <c r="P66" s="163">
        <v>12531615.833533552</v>
      </c>
      <c r="Q66" s="163">
        <v>38852.721891151006</v>
      </c>
      <c r="R66" s="163">
        <v>428546.77918823686</v>
      </c>
      <c r="S66" s="163">
        <v>1270658.2783750868</v>
      </c>
      <c r="T66" s="163">
        <v>27913.237243179738</v>
      </c>
      <c r="V66" s="32">
        <v>2026</v>
      </c>
      <c r="W66" s="163">
        <v>1255928.1391173762</v>
      </c>
      <c r="X66" s="163">
        <v>519.04090892035447</v>
      </c>
      <c r="Y66" s="163">
        <v>2137.799423679789</v>
      </c>
      <c r="Z66" s="163">
        <v>14568.937572198092</v>
      </c>
      <c r="AA66" s="163">
        <v>0</v>
      </c>
      <c r="AC66" s="32">
        <v>2026</v>
      </c>
      <c r="AD66" s="163">
        <v>6385873.097166298</v>
      </c>
      <c r="AE66" s="163">
        <v>23496.413375238317</v>
      </c>
      <c r="AF66" s="163">
        <v>64953.060993853374</v>
      </c>
      <c r="AG66" s="163">
        <v>200987.15446701788</v>
      </c>
      <c r="AH66" s="163">
        <v>0</v>
      </c>
      <c r="AJ66" s="32">
        <v>2026</v>
      </c>
      <c r="AK66" s="163">
        <v>4184834.5277658864</v>
      </c>
      <c r="AL66" s="163">
        <v>65850.954539608749</v>
      </c>
      <c r="AM66" s="163">
        <v>35368.538078941026</v>
      </c>
      <c r="AN66" s="163">
        <v>149793.88451039247</v>
      </c>
      <c r="AO66" s="163">
        <v>0</v>
      </c>
    </row>
    <row r="67" spans="1:41">
      <c r="A67" s="32">
        <v>2027</v>
      </c>
      <c r="B67" s="32">
        <f t="shared" si="30"/>
        <v>0.10782372726973899</v>
      </c>
      <c r="D67" s="32">
        <v>2027</v>
      </c>
      <c r="E67" s="163">
        <f t="shared" si="29"/>
        <v>23836875.914536718</v>
      </c>
      <c r="F67" s="163">
        <f t="shared" si="29"/>
        <v>124344.24742980575</v>
      </c>
      <c r="G67" s="163">
        <f t="shared" si="29"/>
        <v>570978.03985879396</v>
      </c>
      <c r="H67" s="163">
        <f t="shared" si="29"/>
        <v>2292606.4474394666</v>
      </c>
      <c r="I67" s="163">
        <f t="shared" si="29"/>
        <v>32242.432518477417</v>
      </c>
      <c r="J67" s="163">
        <f t="shared" si="31"/>
        <v>26857047.081783265</v>
      </c>
      <c r="K67" s="163">
        <f t="shared" si="32"/>
        <v>456792.23220563011</v>
      </c>
      <c r="L67" s="163">
        <f t="shared" si="33"/>
        <v>114185.80765316376</v>
      </c>
      <c r="M67" s="165">
        <f t="shared" si="34"/>
        <v>2.1259896448038024E-2</v>
      </c>
      <c r="O67" s="32">
        <v>2027</v>
      </c>
      <c r="P67" s="163">
        <v>12123083.143145299</v>
      </c>
      <c r="Q67" s="163">
        <v>34910.664533494062</v>
      </c>
      <c r="R67" s="163">
        <v>456792.23220563011</v>
      </c>
      <c r="S67" s="163">
        <v>1688613.8767302954</v>
      </c>
      <c r="T67" s="163">
        <v>32242.432518477417</v>
      </c>
      <c r="V67" s="32">
        <v>2027</v>
      </c>
      <c r="W67" s="163">
        <v>1213428.617698797</v>
      </c>
      <c r="X67" s="163">
        <v>249.44511959566705</v>
      </c>
      <c r="Y67" s="163">
        <v>2444.4727344431208</v>
      </c>
      <c r="Z67" s="163">
        <v>30570.259529220846</v>
      </c>
      <c r="AA67" s="163">
        <v>0</v>
      </c>
      <c r="AC67" s="32">
        <v>2027</v>
      </c>
      <c r="AD67" s="163">
        <v>6370671.9096745113</v>
      </c>
      <c r="AE67" s="163">
        <v>24098.642933593819</v>
      </c>
      <c r="AF67" s="163">
        <v>73033.143776470839</v>
      </c>
      <c r="AG67" s="163">
        <v>343241.72389307711</v>
      </c>
      <c r="AH67" s="163">
        <v>0</v>
      </c>
      <c r="AJ67" s="32">
        <v>2027</v>
      </c>
      <c r="AK67" s="163">
        <v>4129692.2440181109</v>
      </c>
      <c r="AL67" s="163">
        <v>65085.4948431222</v>
      </c>
      <c r="AM67" s="163">
        <v>38708.191142249809</v>
      </c>
      <c r="AN67" s="163">
        <v>230180.5872868732</v>
      </c>
      <c r="AO67" s="163">
        <v>0</v>
      </c>
    </row>
    <row r="68" spans="1:41">
      <c r="A68" s="32">
        <v>2028</v>
      </c>
      <c r="B68" s="32">
        <f t="shared" si="30"/>
        <v>0.13770527461501947</v>
      </c>
      <c r="D68" s="32">
        <v>2028</v>
      </c>
      <c r="E68" s="163">
        <f t="shared" si="29"/>
        <v>23196402.3087309</v>
      </c>
      <c r="F68" s="163">
        <f t="shared" si="29"/>
        <v>119909.53643594019</v>
      </c>
      <c r="G68" s="163">
        <f t="shared" si="29"/>
        <v>619024.00516214443</v>
      </c>
      <c r="H68" s="163">
        <f t="shared" si="29"/>
        <v>3068072.6813096185</v>
      </c>
      <c r="I68" s="163">
        <f t="shared" si="29"/>
        <v>36431.976207513821</v>
      </c>
      <c r="J68" s="163">
        <f t="shared" si="31"/>
        <v>27039840.507846117</v>
      </c>
      <c r="K68" s="163">
        <f t="shared" si="32"/>
        <v>493498.36020165402</v>
      </c>
      <c r="L68" s="163">
        <f t="shared" si="33"/>
        <v>125525.64496049039</v>
      </c>
      <c r="M68" s="165">
        <f t="shared" si="34"/>
        <v>2.2893034630974359E-2</v>
      </c>
      <c r="O68" s="32">
        <v>2028</v>
      </c>
      <c r="P68" s="163">
        <v>11697022.386880683</v>
      </c>
      <c r="Q68" s="163">
        <v>31009.695020914049</v>
      </c>
      <c r="R68" s="163">
        <v>493498.36020165402</v>
      </c>
      <c r="S68" s="163">
        <v>2120399.8959803432</v>
      </c>
      <c r="T68" s="163">
        <v>36431.976207513821</v>
      </c>
      <c r="V68" s="32">
        <v>2028</v>
      </c>
      <c r="W68" s="163">
        <v>1162967.5921576321</v>
      </c>
      <c r="X68" s="163">
        <v>149.79872247730736</v>
      </c>
      <c r="Y68" s="163">
        <v>2743.496619528546</v>
      </c>
      <c r="Z68" s="163">
        <v>57219.984589455205</v>
      </c>
      <c r="AA68" s="163">
        <v>0</v>
      </c>
      <c r="AC68" s="32">
        <v>2028</v>
      </c>
      <c r="AD68" s="163">
        <v>6269062.5344988452</v>
      </c>
      <c r="AE68" s="163">
        <v>24651.422239729058</v>
      </c>
      <c r="AF68" s="163">
        <v>80940.096213946279</v>
      </c>
      <c r="AG68" s="163">
        <v>570821.33433312678</v>
      </c>
      <c r="AH68" s="163">
        <v>0</v>
      </c>
      <c r="AJ68" s="32">
        <v>2028</v>
      </c>
      <c r="AK68" s="163">
        <v>4067349.7951937397</v>
      </c>
      <c r="AL68" s="163">
        <v>64098.620452819763</v>
      </c>
      <c r="AM68" s="163">
        <v>41842.052127015559</v>
      </c>
      <c r="AN68" s="163">
        <v>319631.46640669322</v>
      </c>
      <c r="AO68" s="163">
        <v>0</v>
      </c>
    </row>
    <row r="69" spans="1:41">
      <c r="A69" s="32">
        <v>2029</v>
      </c>
      <c r="B69" s="32">
        <f t="shared" si="30"/>
        <v>0.1716981420692946</v>
      </c>
      <c r="D69" s="32">
        <v>2029</v>
      </c>
      <c r="E69" s="163">
        <f t="shared" si="29"/>
        <v>22432171.990338426</v>
      </c>
      <c r="F69" s="163">
        <f t="shared" si="29"/>
        <v>115837.00891473406</v>
      </c>
      <c r="G69" s="163">
        <f t="shared" si="29"/>
        <v>663750.28303830884</v>
      </c>
      <c r="H69" s="163">
        <f t="shared" si="29"/>
        <v>3969730.305013279</v>
      </c>
      <c r="I69" s="163">
        <f t="shared" si="29"/>
        <v>40481.223654723712</v>
      </c>
      <c r="J69" s="163">
        <f t="shared" si="31"/>
        <v>27221970.810959477</v>
      </c>
      <c r="K69" s="163">
        <f t="shared" si="32"/>
        <v>527214.9647673195</v>
      </c>
      <c r="L69" s="163">
        <f t="shared" si="33"/>
        <v>136535.31827098937</v>
      </c>
      <c r="M69" s="165">
        <f t="shared" si="34"/>
        <v>2.4382888647102845E-2</v>
      </c>
      <c r="O69" s="32">
        <v>2029</v>
      </c>
      <c r="P69" s="163">
        <v>11131583.871496364</v>
      </c>
      <c r="Q69" s="163">
        <v>27499.229191920404</v>
      </c>
      <c r="R69" s="163">
        <v>527214.9647673195</v>
      </c>
      <c r="S69" s="163">
        <v>2694804.4816669547</v>
      </c>
      <c r="T69" s="163">
        <v>40481.223654723712</v>
      </c>
      <c r="V69" s="32">
        <v>2029</v>
      </c>
      <c r="W69" s="163">
        <v>1115494.4552574311</v>
      </c>
      <c r="X69" s="163">
        <v>78.716039354329141</v>
      </c>
      <c r="Y69" s="163">
        <v>3033.5542609335448</v>
      </c>
      <c r="Z69" s="163">
        <v>82360.83575621435</v>
      </c>
      <c r="AA69" s="163">
        <v>0</v>
      </c>
      <c r="AC69" s="32">
        <v>2029</v>
      </c>
      <c r="AD69" s="163">
        <v>6176303.7601008853</v>
      </c>
      <c r="AE69" s="163">
        <v>25158.716880006399</v>
      </c>
      <c r="AF69" s="163">
        <v>88613.407154408094</v>
      </c>
      <c r="AG69" s="163">
        <v>785557.45995967311</v>
      </c>
      <c r="AH69" s="163">
        <v>0</v>
      </c>
      <c r="AJ69" s="32">
        <v>2029</v>
      </c>
      <c r="AK69" s="163">
        <v>4008789.9034837452</v>
      </c>
      <c r="AL69" s="163">
        <v>63100.346803452929</v>
      </c>
      <c r="AM69" s="163">
        <v>44888.35685564774</v>
      </c>
      <c r="AN69" s="163">
        <v>407007.5276304367</v>
      </c>
      <c r="AO69" s="163">
        <v>0</v>
      </c>
    </row>
    <row r="70" spans="1:41">
      <c r="A70" s="32">
        <v>2030</v>
      </c>
      <c r="B70" s="32">
        <f t="shared" si="30"/>
        <v>0.21037414818617328</v>
      </c>
      <c r="D70" s="32">
        <v>2030</v>
      </c>
      <c r="E70" s="163">
        <f t="shared" si="29"/>
        <v>21528110.095785327</v>
      </c>
      <c r="F70" s="163">
        <f t="shared" si="29"/>
        <v>111384.72941818152</v>
      </c>
      <c r="G70" s="163">
        <f t="shared" si="29"/>
        <v>706139.43458408059</v>
      </c>
      <c r="H70" s="163">
        <f t="shared" si="29"/>
        <v>4972433.4771213252</v>
      </c>
      <c r="I70" s="163">
        <f t="shared" si="29"/>
        <v>86676.896889548938</v>
      </c>
      <c r="J70" s="163">
        <f t="shared" si="31"/>
        <v>27404744.633798461</v>
      </c>
      <c r="K70" s="163">
        <f t="shared" si="32"/>
        <v>559045.22060182178</v>
      </c>
      <c r="L70" s="163">
        <f t="shared" si="33"/>
        <v>147094.21398225872</v>
      </c>
      <c r="M70" s="165">
        <f t="shared" si="34"/>
        <v>2.5767050341830001E-2</v>
      </c>
      <c r="O70" s="32">
        <v>2030</v>
      </c>
      <c r="P70" s="163">
        <v>10485529.017435398</v>
      </c>
      <c r="Q70" s="163">
        <v>23679.854130695032</v>
      </c>
      <c r="R70" s="163">
        <v>559045.22060182178</v>
      </c>
      <c r="S70" s="163">
        <v>3353489.6832251279</v>
      </c>
      <c r="T70" s="163">
        <v>44411.120635644351</v>
      </c>
      <c r="V70" s="32">
        <v>2030</v>
      </c>
      <c r="W70" s="163">
        <v>1068883.7467495939</v>
      </c>
      <c r="X70" s="163">
        <v>24.143087093782242</v>
      </c>
      <c r="Y70" s="163">
        <v>3314.3840439488004</v>
      </c>
      <c r="Z70" s="163">
        <v>107331.39636839479</v>
      </c>
      <c r="AA70" s="163">
        <v>701.51239153767347</v>
      </c>
      <c r="AC70" s="32">
        <v>2030</v>
      </c>
      <c r="AD70" s="163">
        <v>6054346.4356406005</v>
      </c>
      <c r="AE70" s="163">
        <v>25601.131002239134</v>
      </c>
      <c r="AF70" s="163">
        <v>96011.64210140318</v>
      </c>
      <c r="AG70" s="163">
        <v>1009840.0803781326</v>
      </c>
      <c r="AH70" s="163">
        <v>15451.033375123561</v>
      </c>
      <c r="AJ70" s="32">
        <v>2030</v>
      </c>
      <c r="AK70" s="163">
        <v>3919350.8959597345</v>
      </c>
      <c r="AL70" s="163">
        <v>62079.60119815357</v>
      </c>
      <c r="AM70" s="163">
        <v>47768.187836906734</v>
      </c>
      <c r="AN70" s="163">
        <v>501772.31714966969</v>
      </c>
      <c r="AO70" s="163">
        <v>26113.230487243356</v>
      </c>
    </row>
    <row r="71" spans="1:41">
      <c r="A71" s="32">
        <v>2031</v>
      </c>
      <c r="B71" s="32">
        <f t="shared" si="30"/>
        <v>0.25287373902844867</v>
      </c>
      <c r="D71" s="32">
        <v>2031</v>
      </c>
      <c r="E71" s="163">
        <f t="shared" si="29"/>
        <v>20500530.446436629</v>
      </c>
      <c r="F71" s="163">
        <f t="shared" si="29"/>
        <v>108056.26410253101</v>
      </c>
      <c r="G71" s="163">
        <f t="shared" si="29"/>
        <v>745960.57185239193</v>
      </c>
      <c r="H71" s="163">
        <f t="shared" si="29"/>
        <v>6093192.7994951596</v>
      </c>
      <c r="I71" s="163">
        <f t="shared" si="29"/>
        <v>136067.08310314844</v>
      </c>
      <c r="J71" s="163">
        <f t="shared" si="31"/>
        <v>27583807.164989863</v>
      </c>
      <c r="K71" s="163">
        <f t="shared" si="32"/>
        <v>588789.79327560251</v>
      </c>
      <c r="L71" s="163">
        <f t="shared" si="33"/>
        <v>157170.77857678954</v>
      </c>
      <c r="M71" s="165">
        <f t="shared" si="34"/>
        <v>2.7043423244315089E-2</v>
      </c>
      <c r="O71" s="32">
        <v>2031</v>
      </c>
      <c r="P71" s="163">
        <v>9735921.5393417552</v>
      </c>
      <c r="Q71" s="163">
        <v>20980.505898821903</v>
      </c>
      <c r="R71" s="163">
        <v>588789.79327560251</v>
      </c>
      <c r="S71" s="163">
        <v>4119150.5724902381</v>
      </c>
      <c r="T71" s="163">
        <v>48180.381623278154</v>
      </c>
      <c r="V71" s="32">
        <v>2031</v>
      </c>
      <c r="W71" s="163">
        <v>1020841.3124327653</v>
      </c>
      <c r="X71" s="163">
        <v>10.730832688880678</v>
      </c>
      <c r="Y71" s="163">
        <v>3585.8472419385203</v>
      </c>
      <c r="Z71" s="163">
        <v>135021.17100594044</v>
      </c>
      <c r="AA71" s="163">
        <v>1319.8039475343016</v>
      </c>
      <c r="AC71" s="32">
        <v>2031</v>
      </c>
      <c r="AD71" s="163">
        <v>5914059.0353554133</v>
      </c>
      <c r="AE71" s="163">
        <v>25996.439133882483</v>
      </c>
      <c r="AF71" s="163">
        <v>103051.87491479155</v>
      </c>
      <c r="AG71" s="163">
        <v>1243198.9619441135</v>
      </c>
      <c r="AH71" s="163">
        <v>31846.435872628652</v>
      </c>
      <c r="AJ71" s="32">
        <v>2031</v>
      </c>
      <c r="AK71" s="163">
        <v>3829708.5593066951</v>
      </c>
      <c r="AL71" s="163">
        <v>61068.588237137752</v>
      </c>
      <c r="AM71" s="163">
        <v>50533.05642005946</v>
      </c>
      <c r="AN71" s="163">
        <v>595822.09405486716</v>
      </c>
      <c r="AO71" s="163">
        <v>54720.461659707333</v>
      </c>
    </row>
    <row r="72" spans="1:41">
      <c r="A72" s="32">
        <v>2032</v>
      </c>
      <c r="B72" s="32">
        <f t="shared" si="30"/>
        <v>0.29756686561917234</v>
      </c>
      <c r="D72" s="32">
        <v>2032</v>
      </c>
      <c r="E72" s="163">
        <f t="shared" si="29"/>
        <v>19394445.795138117</v>
      </c>
      <c r="F72" s="163">
        <f t="shared" si="29"/>
        <v>104485.24085573354</v>
      </c>
      <c r="G72" s="163">
        <f t="shared" si="29"/>
        <v>783235.40810996387</v>
      </c>
      <c r="H72" s="163">
        <f t="shared" si="29"/>
        <v>7292853.8053018451</v>
      </c>
      <c r="I72" s="163">
        <f t="shared" si="29"/>
        <v>184107.39080956846</v>
      </c>
      <c r="J72" s="163">
        <f t="shared" si="31"/>
        <v>27759127.640215229</v>
      </c>
      <c r="K72" s="163">
        <f t="shared" si="32"/>
        <v>616571.33069773694</v>
      </c>
      <c r="L72" s="163">
        <f t="shared" si="33"/>
        <v>166664.07741222696</v>
      </c>
      <c r="M72" s="165">
        <f t="shared" si="34"/>
        <v>2.8215418663779416E-2</v>
      </c>
      <c r="O72" s="32">
        <v>2032</v>
      </c>
      <c r="P72" s="163">
        <v>8984551.6916084606</v>
      </c>
      <c r="Q72" s="163">
        <v>18101.28363375628</v>
      </c>
      <c r="R72" s="163">
        <v>616571.33069773694</v>
      </c>
      <c r="S72" s="163">
        <v>4889593.2615370359</v>
      </c>
      <c r="T72" s="163">
        <v>51759.644634271761</v>
      </c>
      <c r="V72" s="32">
        <v>2032</v>
      </c>
      <c r="W72" s="163">
        <v>962487.92272567353</v>
      </c>
      <c r="X72" s="163">
        <v>6.6336080672747633</v>
      </c>
      <c r="Y72" s="163">
        <v>3846.9453258148083</v>
      </c>
      <c r="Z72" s="163">
        <v>175381.16717345189</v>
      </c>
      <c r="AA72" s="163">
        <v>1934.0689051256843</v>
      </c>
      <c r="AC72" s="32">
        <v>2032</v>
      </c>
      <c r="AD72" s="163">
        <v>5710056.9592916798</v>
      </c>
      <c r="AE72" s="163">
        <v>26333.846861590468</v>
      </c>
      <c r="AF72" s="163">
        <v>109714.92053938036</v>
      </c>
      <c r="AG72" s="163">
        <v>1533791.0694564588</v>
      </c>
      <c r="AH72" s="163">
        <v>47668.184957182035</v>
      </c>
      <c r="AJ72" s="32">
        <v>2032</v>
      </c>
      <c r="AK72" s="163">
        <v>3737349.2215123023</v>
      </c>
      <c r="AL72" s="163">
        <v>60043.476752319526</v>
      </c>
      <c r="AM72" s="163">
        <v>53102.211547031788</v>
      </c>
      <c r="AN72" s="163">
        <v>694088.3071348985</v>
      </c>
      <c r="AO72" s="163">
        <v>82745.492312988979</v>
      </c>
    </row>
    <row r="73" spans="1:41">
      <c r="A73" s="32">
        <v>2033</v>
      </c>
      <c r="B73" s="32">
        <f t="shared" si="30"/>
        <v>0.34449327776169147</v>
      </c>
      <c r="D73" s="32">
        <v>2033</v>
      </c>
      <c r="E73" s="163">
        <f t="shared" si="29"/>
        <v>18206638.788097315</v>
      </c>
      <c r="F73" s="163">
        <f t="shared" si="29"/>
        <v>101534.65060961863</v>
      </c>
      <c r="G73" s="163">
        <f t="shared" si="29"/>
        <v>817941.90649227088</v>
      </c>
      <c r="H73" s="163">
        <f t="shared" si="29"/>
        <v>8572514.2263200376</v>
      </c>
      <c r="I73" s="163">
        <f t="shared" si="29"/>
        <v>231173.15604305803</v>
      </c>
      <c r="J73" s="163">
        <f t="shared" si="31"/>
        <v>27929802.727562297</v>
      </c>
      <c r="K73" s="163">
        <f t="shared" si="32"/>
        <v>642403.72691088193</v>
      </c>
      <c r="L73" s="163">
        <f t="shared" si="33"/>
        <v>175538.17958138898</v>
      </c>
      <c r="M73" s="165">
        <f t="shared" si="34"/>
        <v>2.9285631354821266E-2</v>
      </c>
      <c r="O73" s="32">
        <v>2033</v>
      </c>
      <c r="P73" s="163">
        <v>8241738.6386171849</v>
      </c>
      <c r="Q73" s="163">
        <v>15888.314297636538</v>
      </c>
      <c r="R73" s="163">
        <v>642403.72691088193</v>
      </c>
      <c r="S73" s="163">
        <v>5656011.8849921795</v>
      </c>
      <c r="T73" s="163">
        <v>55141.531635769956</v>
      </c>
      <c r="V73" s="32">
        <v>2033</v>
      </c>
      <c r="W73" s="163">
        <v>901275.73737651377</v>
      </c>
      <c r="X73" s="163">
        <v>6.3253928306389025</v>
      </c>
      <c r="Y73" s="163">
        <v>4096.2036833488482</v>
      </c>
      <c r="Z73" s="163">
        <v>221095.54760179986</v>
      </c>
      <c r="AA73" s="163">
        <v>2545.4681230255906</v>
      </c>
      <c r="AC73" s="32">
        <v>2033</v>
      </c>
      <c r="AD73" s="163">
        <v>5434649.1501896549</v>
      </c>
      <c r="AE73" s="163">
        <v>26636.387423854529</v>
      </c>
      <c r="AF73" s="163">
        <v>115930.55732038608</v>
      </c>
      <c r="AG73" s="163">
        <v>1886590.1627806872</v>
      </c>
      <c r="AH73" s="163">
        <v>63201.901283511012</v>
      </c>
      <c r="AJ73" s="32">
        <v>2033</v>
      </c>
      <c r="AK73" s="163">
        <v>3628975.2619139627</v>
      </c>
      <c r="AL73" s="163">
        <v>59003.623495296932</v>
      </c>
      <c r="AM73" s="163">
        <v>55511.418577654033</v>
      </c>
      <c r="AN73" s="163">
        <v>808816.63094537123</v>
      </c>
      <c r="AO73" s="163">
        <v>110284.25500075148</v>
      </c>
    </row>
    <row r="74" spans="1:41">
      <c r="A74" s="32">
        <v>2034</v>
      </c>
      <c r="B74" s="32">
        <f t="shared" si="30"/>
        <v>0.39364428455938061</v>
      </c>
      <c r="D74" s="32">
        <v>2034</v>
      </c>
      <c r="E74" s="163">
        <f t="shared" si="29"/>
        <v>16940342.314695295</v>
      </c>
      <c r="F74" s="163">
        <f t="shared" si="29"/>
        <v>93841.283380101449</v>
      </c>
      <c r="G74" s="163">
        <f t="shared" si="29"/>
        <v>866792.47351422952</v>
      </c>
      <c r="H74" s="163">
        <f t="shared" si="29"/>
        <v>9913628.3241818734</v>
      </c>
      <c r="I74" s="163">
        <f t="shared" si="29"/>
        <v>278119.33768452634</v>
      </c>
      <c r="J74" s="163">
        <f t="shared" si="31"/>
        <v>28092723.733456027</v>
      </c>
      <c r="K74" s="163">
        <f t="shared" si="32"/>
        <v>655837.78360240336</v>
      </c>
      <c r="L74" s="163">
        <f t="shared" si="33"/>
        <v>210954.68991182619</v>
      </c>
      <c r="M74" s="165">
        <f t="shared" si="34"/>
        <v>3.0854696815387609E-2</v>
      </c>
      <c r="O74" s="32">
        <v>2034</v>
      </c>
      <c r="P74" s="163">
        <v>7514553.76124126</v>
      </c>
      <c r="Q74" s="163">
        <v>13862.954026968246</v>
      </c>
      <c r="R74" s="163">
        <v>655837.78360240336</v>
      </c>
      <c r="S74" s="163">
        <v>6419772.954623742</v>
      </c>
      <c r="T74" s="163">
        <v>58317.20839077689</v>
      </c>
      <c r="V74" s="32">
        <v>2034</v>
      </c>
      <c r="W74" s="163">
        <v>836585.56863248092</v>
      </c>
      <c r="X74" s="163">
        <v>6.0081807293310456</v>
      </c>
      <c r="Y74" s="163">
        <v>4332.8189701200918</v>
      </c>
      <c r="Z74" s="163">
        <v>270153.36200620979</v>
      </c>
      <c r="AA74" s="163">
        <v>3154.883284044965</v>
      </c>
      <c r="AC74" s="32">
        <v>2034</v>
      </c>
      <c r="AD74" s="163">
        <v>5108515.3338666195</v>
      </c>
      <c r="AE74" s="163">
        <v>24962.433219750063</v>
      </c>
      <c r="AF74" s="163">
        <v>121698.17940123973</v>
      </c>
      <c r="AG74" s="163">
        <v>2285354.4375002026</v>
      </c>
      <c r="AH74" s="163">
        <v>78680.69065946342</v>
      </c>
      <c r="AJ74" s="32">
        <v>2034</v>
      </c>
      <c r="AK74" s="163">
        <v>3480687.6509549366</v>
      </c>
      <c r="AL74" s="163">
        <v>55009.887952653808</v>
      </c>
      <c r="AM74" s="163">
        <v>84923.691540466374</v>
      </c>
      <c r="AN74" s="163">
        <v>938347.57005171757</v>
      </c>
      <c r="AO74" s="163">
        <v>137966.55535024108</v>
      </c>
    </row>
    <row r="75" spans="1:41">
      <c r="A75" s="32">
        <v>2035</v>
      </c>
      <c r="B75" s="32">
        <f t="shared" si="30"/>
        <v>0.44469863307260099</v>
      </c>
      <c r="D75" s="32">
        <v>2035</v>
      </c>
      <c r="E75" s="163">
        <f t="shared" si="29"/>
        <v>15601087.509355105</v>
      </c>
      <c r="F75" s="163">
        <f t="shared" si="29"/>
        <v>86801.780267498922</v>
      </c>
      <c r="G75" s="163">
        <f t="shared" si="29"/>
        <v>1000783.5970133834</v>
      </c>
      <c r="H75" s="163">
        <f t="shared" si="29"/>
        <v>11238103.219281046</v>
      </c>
      <c r="I75" s="163">
        <f t="shared" si="29"/>
        <v>324350.62266828306</v>
      </c>
      <c r="J75" s="163">
        <f t="shared" si="31"/>
        <v>28251126.728585318</v>
      </c>
      <c r="K75" s="163">
        <f t="shared" si="32"/>
        <v>668589.91488842026</v>
      </c>
      <c r="L75" s="163">
        <f t="shared" si="33"/>
        <v>332193.68212496315</v>
      </c>
      <c r="M75" s="165">
        <f t="shared" si="34"/>
        <v>3.5424555155910337E-2</v>
      </c>
      <c r="O75" s="32">
        <v>2035</v>
      </c>
      <c r="P75" s="163">
        <v>6815685.4779956751</v>
      </c>
      <c r="Q75" s="163">
        <v>12026.129407857405</v>
      </c>
      <c r="R75" s="163">
        <v>668589.91488842026</v>
      </c>
      <c r="S75" s="163">
        <v>7156421.2935512625</v>
      </c>
      <c r="T75" s="163">
        <v>61278.867256565733</v>
      </c>
      <c r="V75" s="32">
        <v>2035</v>
      </c>
      <c r="W75" s="163">
        <v>775884.76243992324</v>
      </c>
      <c r="X75" s="163">
        <v>5.697553242339378</v>
      </c>
      <c r="Y75" s="163">
        <v>4556.6869563162472</v>
      </c>
      <c r="Z75" s="163">
        <v>317879.6926871707</v>
      </c>
      <c r="AA75" s="163">
        <v>3757.7832131863684</v>
      </c>
      <c r="AC75" s="32">
        <v>2035</v>
      </c>
      <c r="AD75" s="163">
        <v>4754803.4042727342</v>
      </c>
      <c r="AE75" s="163">
        <v>23501.70371651485</v>
      </c>
      <c r="AF75" s="163">
        <v>140184.27950312459</v>
      </c>
      <c r="AG75" s="163">
        <v>2691439.0939928284</v>
      </c>
      <c r="AH75" s="163">
        <v>93999.404930967226</v>
      </c>
      <c r="AJ75" s="32">
        <v>2035</v>
      </c>
      <c r="AK75" s="163">
        <v>3254713.8646467738</v>
      </c>
      <c r="AL75" s="163">
        <v>51268.249589884319</v>
      </c>
      <c r="AM75" s="163">
        <v>187452.71566552229</v>
      </c>
      <c r="AN75" s="163">
        <v>1072363.139049785</v>
      </c>
      <c r="AO75" s="163">
        <v>165314.56726756372</v>
      </c>
    </row>
    <row r="76" spans="1:41">
      <c r="A76" s="32">
        <v>2036</v>
      </c>
      <c r="B76" s="32">
        <f t="shared" si="30"/>
        <v>0.49329713523680352</v>
      </c>
      <c r="D76" s="32">
        <v>2036</v>
      </c>
      <c r="E76" s="163">
        <f t="shared" si="29"/>
        <v>14313021.290750789</v>
      </c>
      <c r="F76" s="163">
        <f t="shared" si="29"/>
        <v>80061.739206403756</v>
      </c>
      <c r="G76" s="163">
        <f t="shared" si="29"/>
        <v>1124869.4667693209</v>
      </c>
      <c r="H76" s="163">
        <f t="shared" si="29"/>
        <v>12517966.888379484</v>
      </c>
      <c r="I76" s="163">
        <f t="shared" si="29"/>
        <v>369451.94959858258</v>
      </c>
      <c r="J76" s="163">
        <f t="shared" si="31"/>
        <v>28405371.334704582</v>
      </c>
      <c r="K76" s="163">
        <f t="shared" si="32"/>
        <v>679599.34659660934</v>
      </c>
      <c r="L76" s="163">
        <f t="shared" si="33"/>
        <v>445270.1201727115</v>
      </c>
      <c r="M76" s="165">
        <f t="shared" si="34"/>
        <v>3.9600590096669462E-2</v>
      </c>
      <c r="O76" s="32">
        <v>2036</v>
      </c>
      <c r="P76" s="163">
        <v>6147735.0531260353</v>
      </c>
      <c r="Q76" s="163">
        <v>10372.88433357802</v>
      </c>
      <c r="R76" s="163">
        <v>679599.34659660934</v>
      </c>
      <c r="S76" s="163">
        <v>7865235.6762113636</v>
      </c>
      <c r="T76" s="163">
        <v>64022.155356946161</v>
      </c>
      <c r="V76" s="32">
        <v>2036</v>
      </c>
      <c r="W76" s="163">
        <v>716378.01567114308</v>
      </c>
      <c r="X76" s="163">
        <v>4.7889364026947092</v>
      </c>
      <c r="Y76" s="163">
        <v>4768.0324596961182</v>
      </c>
      <c r="Z76" s="163">
        <v>364843.98570466175</v>
      </c>
      <c r="AA76" s="163">
        <v>4346.0384873646344</v>
      </c>
      <c r="AC76" s="32">
        <v>2036</v>
      </c>
      <c r="AD76" s="163">
        <v>4408477.8310460187</v>
      </c>
      <c r="AE76" s="163">
        <v>22080.109643119737</v>
      </c>
      <c r="AF76" s="163">
        <v>156683.78013915539</v>
      </c>
      <c r="AG76" s="163">
        <v>3086193.5287347441</v>
      </c>
      <c r="AH76" s="163">
        <v>109085.49500129762</v>
      </c>
      <c r="AJ76" s="32">
        <v>2036</v>
      </c>
      <c r="AK76" s="163">
        <v>3040430.3909075907</v>
      </c>
      <c r="AL76" s="163">
        <v>47603.956293303301</v>
      </c>
      <c r="AM76" s="163">
        <v>283818.30757385999</v>
      </c>
      <c r="AN76" s="163">
        <v>1201693.6977287168</v>
      </c>
      <c r="AO76" s="163">
        <v>191998.26075297419</v>
      </c>
    </row>
    <row r="77" spans="1:41">
      <c r="A77" s="32">
        <v>2037</v>
      </c>
      <c r="B77" s="32">
        <f t="shared" si="30"/>
        <v>0.53957768799651995</v>
      </c>
      <c r="D77" s="32">
        <v>2037</v>
      </c>
      <c r="E77" s="163">
        <f t="shared" si="29"/>
        <v>13076671.281459153</v>
      </c>
      <c r="F77" s="163">
        <f t="shared" si="29"/>
        <v>73694.489314908729</v>
      </c>
      <c r="G77" s="163">
        <f t="shared" si="29"/>
        <v>1245449.7747070775</v>
      </c>
      <c r="H77" s="163">
        <f t="shared" si="29"/>
        <v>13752224.817578169</v>
      </c>
      <c r="I77" s="163">
        <f t="shared" si="29"/>
        <v>413489.84070428624</v>
      </c>
      <c r="J77" s="163">
        <f t="shared" si="31"/>
        <v>28561530.203763589</v>
      </c>
      <c r="K77" s="163">
        <f t="shared" si="32"/>
        <v>689174.52754153858</v>
      </c>
      <c r="L77" s="163">
        <f t="shared" si="33"/>
        <v>556275.24716553907</v>
      </c>
      <c r="M77" s="165">
        <f t="shared" si="34"/>
        <v>4.3605849050166193E-2</v>
      </c>
      <c r="O77" s="32">
        <v>2037</v>
      </c>
      <c r="P77" s="163">
        <v>5517819.1686304891</v>
      </c>
      <c r="Q77" s="163">
        <v>8942.4486933270182</v>
      </c>
      <c r="R77" s="163">
        <v>689174.52754153858</v>
      </c>
      <c r="S77" s="163">
        <v>8543614.6178545654</v>
      </c>
      <c r="T77" s="163">
        <v>66544.897905731865</v>
      </c>
      <c r="V77" s="32">
        <v>2037</v>
      </c>
      <c r="W77" s="163">
        <v>660075.07438096951</v>
      </c>
      <c r="X77" s="163">
        <v>4.5301731789773809</v>
      </c>
      <c r="Y77" s="163">
        <v>4966.641956438395</v>
      </c>
      <c r="Z77" s="163">
        <v>410843.23900323175</v>
      </c>
      <c r="AA77" s="163">
        <v>4919.4613926842667</v>
      </c>
      <c r="AC77" s="32">
        <v>2037</v>
      </c>
      <c r="AD77" s="163">
        <v>4067699.6386762988</v>
      </c>
      <c r="AE77" s="163">
        <v>20700.100063461301</v>
      </c>
      <c r="AF77" s="163">
        <v>172465.04912586001</v>
      </c>
      <c r="AG77" s="163">
        <v>3470960.2427246063</v>
      </c>
      <c r="AH77" s="163">
        <v>123975.71089142816</v>
      </c>
      <c r="AJ77" s="32">
        <v>2037</v>
      </c>
      <c r="AK77" s="163">
        <v>2831077.3997713951</v>
      </c>
      <c r="AL77" s="163">
        <v>44047.410384941431</v>
      </c>
      <c r="AM77" s="163">
        <v>378843.5560832406</v>
      </c>
      <c r="AN77" s="163">
        <v>1326806.7179957642</v>
      </c>
      <c r="AO77" s="163">
        <v>218049.77051444192</v>
      </c>
    </row>
    <row r="78" spans="1:41">
      <c r="A78" s="32">
        <v>2038</v>
      </c>
      <c r="B78" s="32">
        <f t="shared" si="30"/>
        <v>0.58344572692926089</v>
      </c>
      <c r="D78" s="32">
        <v>2038</v>
      </c>
      <c r="E78" s="163">
        <f t="shared" si="29"/>
        <v>11894228.651540894</v>
      </c>
      <c r="F78" s="163">
        <f t="shared" si="29"/>
        <v>67679.882668217906</v>
      </c>
      <c r="G78" s="163">
        <f t="shared" si="29"/>
        <v>1362106.5369407118</v>
      </c>
      <c r="H78" s="163">
        <f t="shared" si="29"/>
        <v>14936090.416091394</v>
      </c>
      <c r="I78" s="163">
        <f t="shared" si="29"/>
        <v>456221.06974921527</v>
      </c>
      <c r="J78" s="163">
        <f t="shared" si="31"/>
        <v>28716326.55699043</v>
      </c>
      <c r="K78" s="163">
        <f t="shared" si="32"/>
        <v>697323.51000018045</v>
      </c>
      <c r="L78" s="163">
        <f t="shared" si="33"/>
        <v>664783.02694053121</v>
      </c>
      <c r="M78" s="165">
        <f t="shared" si="34"/>
        <v>4.7433174791262897E-2</v>
      </c>
      <c r="O78" s="32">
        <v>2038</v>
      </c>
      <c r="P78" s="163">
        <v>4925401.7028483506</v>
      </c>
      <c r="Q78" s="163">
        <v>7726.8136797302104</v>
      </c>
      <c r="R78" s="163">
        <v>697323.51000018045</v>
      </c>
      <c r="S78" s="163">
        <v>9189237.9702265542</v>
      </c>
      <c r="T78" s="163">
        <v>68849.577913661473</v>
      </c>
      <c r="V78" s="32">
        <v>2038</v>
      </c>
      <c r="W78" s="163">
        <v>605668.77575981908</v>
      </c>
      <c r="X78" s="163">
        <v>4.2633270736108031</v>
      </c>
      <c r="Y78" s="163">
        <v>5152.2991127924442</v>
      </c>
      <c r="Z78" s="163">
        <v>455555.09925906942</v>
      </c>
      <c r="AA78" s="163">
        <v>5477.7579588903318</v>
      </c>
      <c r="AC78" s="32">
        <v>2038</v>
      </c>
      <c r="AD78" s="163">
        <v>3734634.3579388019</v>
      </c>
      <c r="AE78" s="163">
        <v>19336.865367830389</v>
      </c>
      <c r="AF78" s="163">
        <v>187550.25858012569</v>
      </c>
      <c r="AG78" s="163">
        <v>3844025.511336701</v>
      </c>
      <c r="AH78" s="163">
        <v>138582.70472351118</v>
      </c>
      <c r="AJ78" s="32">
        <v>2038</v>
      </c>
      <c r="AK78" s="163">
        <v>2628523.8149939212</v>
      </c>
      <c r="AL78" s="163">
        <v>40611.940293583699</v>
      </c>
      <c r="AM78" s="163">
        <v>472080.46924761304</v>
      </c>
      <c r="AN78" s="163">
        <v>1447271.8352690691</v>
      </c>
      <c r="AO78" s="163">
        <v>243311.02915315231</v>
      </c>
    </row>
    <row r="79" spans="1:41">
      <c r="A79" s="32">
        <v>2039</v>
      </c>
      <c r="B79" s="32">
        <f t="shared" si="30"/>
        <v>0.62489609693935222</v>
      </c>
      <c r="D79" s="32">
        <v>2039</v>
      </c>
      <c r="E79" s="163">
        <f t="shared" si="29"/>
        <v>10766558.589725638</v>
      </c>
      <c r="F79" s="163">
        <f t="shared" si="29"/>
        <v>61932.471578863617</v>
      </c>
      <c r="G79" s="163">
        <f t="shared" si="29"/>
        <v>1475742.8566659703</v>
      </c>
      <c r="H79" s="163">
        <f t="shared" si="29"/>
        <v>16066056.054796005</v>
      </c>
      <c r="I79" s="163">
        <f t="shared" si="29"/>
        <v>497687.60077991989</v>
      </c>
      <c r="J79" s="163">
        <f t="shared" si="31"/>
        <v>28867977.573546398</v>
      </c>
      <c r="K79" s="163">
        <f t="shared" si="32"/>
        <v>704241.34874797077</v>
      </c>
      <c r="L79" s="163">
        <f t="shared" si="33"/>
        <v>771501.50791799952</v>
      </c>
      <c r="M79" s="165">
        <f t="shared" si="34"/>
        <v>5.1120410250640118E-2</v>
      </c>
      <c r="O79" s="32">
        <v>2039</v>
      </c>
      <c r="P79" s="163">
        <v>4371652.6139740907</v>
      </c>
      <c r="Q79" s="163">
        <v>6699.156273280214</v>
      </c>
      <c r="R79" s="163">
        <v>704241.34874797077</v>
      </c>
      <c r="S79" s="163">
        <v>9799812.2059979942</v>
      </c>
      <c r="T79" s="163">
        <v>70939.725392105931</v>
      </c>
      <c r="V79" s="32">
        <v>2039</v>
      </c>
      <c r="W79" s="163">
        <v>553812.26721975335</v>
      </c>
      <c r="X79" s="163">
        <v>3.9901642693533117</v>
      </c>
      <c r="Y79" s="163">
        <v>5324.6357609466859</v>
      </c>
      <c r="Z79" s="163">
        <v>498810.97666950448</v>
      </c>
      <c r="AA79" s="163">
        <v>6022.8094496509593</v>
      </c>
      <c r="AC79" s="32">
        <v>2039</v>
      </c>
      <c r="AD79" s="163">
        <v>3412783.5524957879</v>
      </c>
      <c r="AE79" s="163">
        <v>17988.612267947017</v>
      </c>
      <c r="AF79" s="163">
        <v>202107.71461094776</v>
      </c>
      <c r="AG79" s="163">
        <v>4204456.9471870922</v>
      </c>
      <c r="AH79" s="163">
        <v>152837.43826238019</v>
      </c>
      <c r="AJ79" s="32">
        <v>2039</v>
      </c>
      <c r="AK79" s="163">
        <v>2428310.1560360058</v>
      </c>
      <c r="AL79" s="163">
        <v>37240.712873367032</v>
      </c>
      <c r="AM79" s="163">
        <v>564069.1575461051</v>
      </c>
      <c r="AN79" s="163">
        <v>1562975.9249414124</v>
      </c>
      <c r="AO79" s="163">
        <v>267887.62767578283</v>
      </c>
    </row>
    <row r="80" spans="1:41">
      <c r="A80" s="32">
        <v>2040</v>
      </c>
      <c r="B80" s="32">
        <f t="shared" si="30"/>
        <v>0.66379518604666532</v>
      </c>
      <c r="D80" s="32">
        <v>2040</v>
      </c>
      <c r="E80" s="163">
        <f t="shared" si="29"/>
        <v>9698988.7286072485</v>
      </c>
      <c r="F80" s="163">
        <f t="shared" si="29"/>
        <v>56513.354128712745</v>
      </c>
      <c r="G80" s="163">
        <f t="shared" si="29"/>
        <v>1586209.0565874304</v>
      </c>
      <c r="H80" s="163">
        <f t="shared" si="29"/>
        <v>17137566.006721824</v>
      </c>
      <c r="I80" s="163">
        <f t="shared" si="29"/>
        <v>537267.76306493627</v>
      </c>
      <c r="J80" s="163">
        <f t="shared" si="31"/>
        <v>29016544.909110151</v>
      </c>
      <c r="K80" s="163">
        <f t="shared" si="32"/>
        <v>710065.16857411573</v>
      </c>
      <c r="L80" s="163">
        <f t="shared" si="33"/>
        <v>876143.88801331469</v>
      </c>
      <c r="M80" s="165">
        <f t="shared" si="34"/>
        <v>5.4665676480641835E-2</v>
      </c>
      <c r="O80" s="32">
        <v>2040</v>
      </c>
      <c r="P80" s="163">
        <v>3855904.0112638213</v>
      </c>
      <c r="Q80" s="163">
        <v>5773.6079507723634</v>
      </c>
      <c r="R80" s="163">
        <v>710065.16857411573</v>
      </c>
      <c r="S80" s="163">
        <v>10373311.648104774</v>
      </c>
      <c r="T80" s="163">
        <v>72823.585541530047</v>
      </c>
      <c r="V80" s="32">
        <v>2040</v>
      </c>
      <c r="W80" s="163">
        <v>505267.57376153831</v>
      </c>
      <c r="X80" s="163">
        <v>3.7251022750973366</v>
      </c>
      <c r="Y80" s="163">
        <v>5483.6622301212828</v>
      </c>
      <c r="Z80" s="163">
        <v>540507.09029902006</v>
      </c>
      <c r="AA80" s="163">
        <v>6546.6229894277731</v>
      </c>
      <c r="AC80" s="32">
        <v>2040</v>
      </c>
      <c r="AD80" s="163">
        <v>3102537.4119258565</v>
      </c>
      <c r="AE80" s="163">
        <v>16653.499997659212</v>
      </c>
      <c r="AF80" s="163">
        <v>216136.45221183111</v>
      </c>
      <c r="AG80" s="163">
        <v>4550416.171908834</v>
      </c>
      <c r="AH80" s="163">
        <v>166531.75209537463</v>
      </c>
      <c r="AJ80" s="32">
        <v>2040</v>
      </c>
      <c r="AK80" s="163">
        <v>2235279.7316560308</v>
      </c>
      <c r="AL80" s="163">
        <v>34082.521078006073</v>
      </c>
      <c r="AM80" s="163">
        <v>654523.77357136225</v>
      </c>
      <c r="AN80" s="163">
        <v>1673331.0964091972</v>
      </c>
      <c r="AO80" s="163">
        <v>291365.80243860389</v>
      </c>
    </row>
    <row r="81" spans="1:41">
      <c r="A81" s="32">
        <v>2041</v>
      </c>
      <c r="B81" s="32">
        <f t="shared" si="30"/>
        <v>0.69996079125633393</v>
      </c>
      <c r="D81" s="32">
        <v>2041</v>
      </c>
      <c r="E81" s="163">
        <f t="shared" ref="E81:E90" si="35">P81+W81+AD81+AK81</f>
        <v>8699563.0210157949</v>
      </c>
      <c r="F81" s="163">
        <f t="shared" ref="F81:F90" si="36">Q81+X81+AE81+AL81</f>
        <v>51423.843122507526</v>
      </c>
      <c r="G81" s="163">
        <f t="shared" ref="G81:G90" si="37">R81+Y81+AF81+AM81</f>
        <v>1692574.2496067509</v>
      </c>
      <c r="H81" s="163">
        <f t="shared" ref="H81:H90" si="38">S81+Z81+AG81+AN81</f>
        <v>18147597.593104787</v>
      </c>
      <c r="I81" s="163">
        <f t="shared" ref="I81:I90" si="39">T81+AA81+AH81+AO81</f>
        <v>574985.61402315937</v>
      </c>
      <c r="J81" s="163">
        <f t="shared" ref="J81:J90" si="40">SUM(E81:I81)</f>
        <v>29166144.320873003</v>
      </c>
      <c r="K81" s="163">
        <f t="shared" ref="K81:K90" si="41">R81</f>
        <v>714884.86652072577</v>
      </c>
      <c r="L81" s="163">
        <f t="shared" ref="L81:L90" si="42">Y81+AF81+AM81</f>
        <v>977689.38308602502</v>
      </c>
      <c r="M81" s="165">
        <f t="shared" ref="M81:M90" si="43">G81/J81</f>
        <v>5.8032156427184838E-2</v>
      </c>
      <c r="O81" s="32">
        <v>2041</v>
      </c>
      <c r="P81" s="163">
        <v>3382916.106847011</v>
      </c>
      <c r="Q81" s="163">
        <v>4997.9832522741453</v>
      </c>
      <c r="R81" s="163">
        <v>714884.86652072577</v>
      </c>
      <c r="S81" s="163">
        <v>10907855.831809931</v>
      </c>
      <c r="T81" s="163">
        <v>74511.244266206471</v>
      </c>
      <c r="V81" s="32">
        <v>2041</v>
      </c>
      <c r="W81" s="163">
        <v>459374.1507564598</v>
      </c>
      <c r="X81" s="163">
        <v>3.4583264368602733</v>
      </c>
      <c r="Y81" s="163">
        <v>5629.4629503503584</v>
      </c>
      <c r="Z81" s="163">
        <v>580622.46032082895</v>
      </c>
      <c r="AA81" s="163">
        <v>7050.4331405995572</v>
      </c>
      <c r="AC81" s="32">
        <v>2041</v>
      </c>
      <c r="AD81" s="163">
        <v>2805479.2192613115</v>
      </c>
      <c r="AE81" s="163">
        <v>15319.075847124232</v>
      </c>
      <c r="AF81" s="163">
        <v>229614.13819198223</v>
      </c>
      <c r="AG81" s="163">
        <v>4880948.6046954943</v>
      </c>
      <c r="AH81" s="163">
        <v>179625.08158897693</v>
      </c>
      <c r="AJ81" s="32">
        <v>2041</v>
      </c>
      <c r="AK81" s="163">
        <v>2051793.5441510128</v>
      </c>
      <c r="AL81" s="163">
        <v>31103.325696672287</v>
      </c>
      <c r="AM81" s="163">
        <v>742445.78194369248</v>
      </c>
      <c r="AN81" s="163">
        <v>1778170.6962785348</v>
      </c>
      <c r="AO81" s="163">
        <v>313798.85502737644</v>
      </c>
    </row>
    <row r="82" spans="1:41">
      <c r="A82" s="32">
        <v>2042</v>
      </c>
      <c r="B82" s="32">
        <f t="shared" si="30"/>
        <v>0.73360727639898882</v>
      </c>
      <c r="D82" s="32">
        <v>2042</v>
      </c>
      <c r="E82" s="163">
        <f t="shared" si="35"/>
        <v>7759875.8892695997</v>
      </c>
      <c r="F82" s="163">
        <f t="shared" si="36"/>
        <v>46690.827772000222</v>
      </c>
      <c r="G82" s="163">
        <f t="shared" si="37"/>
        <v>1795204.5301373552</v>
      </c>
      <c r="H82" s="163">
        <f t="shared" si="38"/>
        <v>19092412.406236477</v>
      </c>
      <c r="I82" s="163">
        <f t="shared" si="39"/>
        <v>610545.88842392317</v>
      </c>
      <c r="J82" s="163">
        <f t="shared" si="40"/>
        <v>29304729.541839357</v>
      </c>
      <c r="K82" s="163">
        <f t="shared" si="41"/>
        <v>718839.52129022626</v>
      </c>
      <c r="L82" s="163">
        <f t="shared" si="42"/>
        <v>1076365.0088471291</v>
      </c>
      <c r="M82" s="165">
        <f t="shared" si="43"/>
        <v>6.1259890748156562E-2</v>
      </c>
      <c r="O82" s="32">
        <v>2042</v>
      </c>
      <c r="P82" s="163">
        <v>2948594.1722812071</v>
      </c>
      <c r="Q82" s="163">
        <v>4349.7876050302657</v>
      </c>
      <c r="R82" s="163">
        <v>718839.52129022626</v>
      </c>
      <c r="S82" s="163">
        <v>11402484.486086704</v>
      </c>
      <c r="T82" s="163">
        <v>76014.605378644686</v>
      </c>
      <c r="V82" s="32">
        <v>2042</v>
      </c>
      <c r="W82" s="163">
        <v>415420.21568744321</v>
      </c>
      <c r="X82" s="163">
        <v>3.1989109689824948</v>
      </c>
      <c r="Y82" s="163">
        <v>5762.5394637581667</v>
      </c>
      <c r="Z82" s="163">
        <v>619002.95672494394</v>
      </c>
      <c r="AA82" s="163">
        <v>7530.1458667477955</v>
      </c>
      <c r="AC82" s="32">
        <v>2042</v>
      </c>
      <c r="AD82" s="163">
        <v>2519858.2306579347</v>
      </c>
      <c r="AE82" s="163">
        <v>13998.975354967708</v>
      </c>
      <c r="AF82" s="163">
        <v>242643.36716653855</v>
      </c>
      <c r="AG82" s="163">
        <v>5193699.2490424477</v>
      </c>
      <c r="AH82" s="163">
        <v>191959.28094152361</v>
      </c>
      <c r="AJ82" s="32">
        <v>2042</v>
      </c>
      <c r="AK82" s="163">
        <v>1876003.2706430142</v>
      </c>
      <c r="AL82" s="163">
        <v>28338.865901033263</v>
      </c>
      <c r="AM82" s="163">
        <v>827959.10221683234</v>
      </c>
      <c r="AN82" s="163">
        <v>1877225.7143823809</v>
      </c>
      <c r="AO82" s="163">
        <v>335041.85623700701</v>
      </c>
    </row>
    <row r="83" spans="1:41">
      <c r="A83" s="32">
        <v>2043</v>
      </c>
      <c r="B83" s="32">
        <f t="shared" si="30"/>
        <v>0.76457005789980859</v>
      </c>
      <c r="D83" s="32">
        <v>2043</v>
      </c>
      <c r="E83" s="163">
        <f t="shared" si="35"/>
        <v>6888203.8600230692</v>
      </c>
      <c r="F83" s="163">
        <f t="shared" si="36"/>
        <v>42235.539872213529</v>
      </c>
      <c r="G83" s="163">
        <f t="shared" si="37"/>
        <v>1893798.9300605231</v>
      </c>
      <c r="H83" s="163">
        <f t="shared" si="38"/>
        <v>19969070.693736155</v>
      </c>
      <c r="I83" s="163">
        <f t="shared" si="39"/>
        <v>644065.58580401144</v>
      </c>
      <c r="J83" s="163">
        <f t="shared" si="40"/>
        <v>29437374.609495971</v>
      </c>
      <c r="K83" s="163">
        <f t="shared" si="41"/>
        <v>722003.92095875146</v>
      </c>
      <c r="L83" s="163">
        <f t="shared" si="42"/>
        <v>1171795.0091017715</v>
      </c>
      <c r="M83" s="165">
        <f t="shared" si="43"/>
        <v>6.4333146388999563E-2</v>
      </c>
      <c r="O83" s="32">
        <v>2043</v>
      </c>
      <c r="P83" s="163">
        <v>2554645.0882435017</v>
      </c>
      <c r="Q83" s="163">
        <v>3779.8186959348623</v>
      </c>
      <c r="R83" s="163">
        <v>722003.92095875146</v>
      </c>
      <c r="S83" s="163">
        <v>11855974.523557637</v>
      </c>
      <c r="T83" s="163">
        <v>77345.655633003786</v>
      </c>
      <c r="V83" s="32">
        <v>2043</v>
      </c>
      <c r="W83" s="163">
        <v>373436.53295845567</v>
      </c>
      <c r="X83" s="163">
        <v>2.9426730529415428</v>
      </c>
      <c r="Y83" s="163">
        <v>5883.3024919259215</v>
      </c>
      <c r="Z83" s="163">
        <v>655577.11592323647</v>
      </c>
      <c r="AA83" s="163">
        <v>7987.7372462133426</v>
      </c>
      <c r="AC83" s="32">
        <v>2043</v>
      </c>
      <c r="AD83" s="163">
        <v>2251156.2577147088</v>
      </c>
      <c r="AE83" s="163">
        <v>12704.498342355415</v>
      </c>
      <c r="AF83" s="163">
        <v>255203.53665459208</v>
      </c>
      <c r="AG83" s="163">
        <v>5487267.2402023748</v>
      </c>
      <c r="AH83" s="163">
        <v>203562.68106086558</v>
      </c>
      <c r="AJ83" s="32">
        <v>2043</v>
      </c>
      <c r="AK83" s="163">
        <v>1708965.9811064033</v>
      </c>
      <c r="AL83" s="163">
        <v>25748.280160870305</v>
      </c>
      <c r="AM83" s="163">
        <v>910708.1699552536</v>
      </c>
      <c r="AN83" s="163">
        <v>1970251.8140529052</v>
      </c>
      <c r="AO83" s="163">
        <v>355169.51186392875</v>
      </c>
    </row>
    <row r="84" spans="1:41">
      <c r="A84" s="32">
        <v>2044</v>
      </c>
      <c r="B84" s="32">
        <f t="shared" si="30"/>
        <v>0.79289130955007037</v>
      </c>
      <c r="D84" s="32">
        <v>2044</v>
      </c>
      <c r="E84" s="163">
        <f t="shared" si="35"/>
        <v>6084335.4847007785</v>
      </c>
      <c r="F84" s="163">
        <f t="shared" si="36"/>
        <v>38105.342476557496</v>
      </c>
      <c r="G84" s="163">
        <f t="shared" si="37"/>
        <v>1988480.8551906166</v>
      </c>
      <c r="H84" s="163">
        <f t="shared" si="38"/>
        <v>20775274.676237028</v>
      </c>
      <c r="I84" s="163">
        <f t="shared" si="39"/>
        <v>675290.48135691741</v>
      </c>
      <c r="J84" s="163">
        <f t="shared" si="40"/>
        <v>29561486.839961901</v>
      </c>
      <c r="K84" s="163">
        <f t="shared" si="41"/>
        <v>724545.880415775</v>
      </c>
      <c r="L84" s="163">
        <f t="shared" si="42"/>
        <v>1263934.9747748417</v>
      </c>
      <c r="M84" s="165">
        <f t="shared" si="43"/>
        <v>6.7265928332892314E-2</v>
      </c>
      <c r="O84" s="32">
        <v>2044</v>
      </c>
      <c r="P84" s="163">
        <v>2201563.7122069709</v>
      </c>
      <c r="Q84" s="163">
        <v>3287.4349965935094</v>
      </c>
      <c r="R84" s="163">
        <v>724545.880415775</v>
      </c>
      <c r="S84" s="163">
        <v>12268087.508485984</v>
      </c>
      <c r="T84" s="163">
        <v>78519.068944341096</v>
      </c>
      <c r="V84" s="32">
        <v>2044</v>
      </c>
      <c r="W84" s="163">
        <v>335373.64546689106</v>
      </c>
      <c r="X84" s="163">
        <v>2.6400739587995692</v>
      </c>
      <c r="Y84" s="163">
        <v>5992.4634435152748</v>
      </c>
      <c r="Z84" s="163">
        <v>690185.89450434735</v>
      </c>
      <c r="AA84" s="163">
        <v>8419.9520281638906</v>
      </c>
      <c r="AC84" s="32">
        <v>2044</v>
      </c>
      <c r="AD84" s="163">
        <v>2001064.1039261401</v>
      </c>
      <c r="AE84" s="163">
        <v>11461.24525197098</v>
      </c>
      <c r="AF84" s="163">
        <v>267299.12931523664</v>
      </c>
      <c r="AG84" s="163">
        <v>5760082.974001728</v>
      </c>
      <c r="AH84" s="163">
        <v>214302.59051242561</v>
      </c>
      <c r="AJ84" s="32">
        <v>2044</v>
      </c>
      <c r="AK84" s="163">
        <v>1546334.0231007761</v>
      </c>
      <c r="AL84" s="163">
        <v>23354.022154034206</v>
      </c>
      <c r="AM84" s="163">
        <v>990643.38201608986</v>
      </c>
      <c r="AN84" s="163">
        <v>2056918.2992449664</v>
      </c>
      <c r="AO84" s="163">
        <v>374048.86987198674</v>
      </c>
    </row>
    <row r="85" spans="1:41">
      <c r="A85" s="32">
        <v>2045</v>
      </c>
      <c r="B85" s="32">
        <f t="shared" si="30"/>
        <v>0.81863582994050721</v>
      </c>
      <c r="D85" s="32">
        <v>2045</v>
      </c>
      <c r="E85" s="163">
        <f t="shared" si="35"/>
        <v>5347771.4194857534</v>
      </c>
      <c r="F85" s="163">
        <f t="shared" si="36"/>
        <v>34306.377423168116</v>
      </c>
      <c r="G85" s="163">
        <f t="shared" si="37"/>
        <v>2078113.1528759031</v>
      </c>
      <c r="H85" s="163">
        <f t="shared" si="38"/>
        <v>21511099.4631854</v>
      </c>
      <c r="I85" s="163">
        <f t="shared" si="39"/>
        <v>704239.18663833733</v>
      </c>
      <c r="J85" s="163">
        <f t="shared" si="40"/>
        <v>29675529.599608559</v>
      </c>
      <c r="K85" s="163">
        <f t="shared" si="41"/>
        <v>726551.87005535525</v>
      </c>
      <c r="L85" s="163">
        <f t="shared" si="42"/>
        <v>1351561.2828205479</v>
      </c>
      <c r="M85" s="165">
        <f t="shared" si="43"/>
        <v>7.0027837107355786E-2</v>
      </c>
      <c r="O85" s="32">
        <v>2045</v>
      </c>
      <c r="P85" s="163">
        <v>1886256.9126114736</v>
      </c>
      <c r="Q85" s="163">
        <v>2879.234868228737</v>
      </c>
      <c r="R85" s="163">
        <v>726551.87005535525</v>
      </c>
      <c r="S85" s="163">
        <v>12639102.805810757</v>
      </c>
      <c r="T85" s="163">
        <v>79550.533343439209</v>
      </c>
      <c r="V85" s="32">
        <v>2045</v>
      </c>
      <c r="W85" s="163">
        <v>300088.31648724974</v>
      </c>
      <c r="X85" s="163">
        <v>2.3642816940678553</v>
      </c>
      <c r="Y85" s="163">
        <v>6090.915790212387</v>
      </c>
      <c r="Z85" s="163">
        <v>722822.73190638865</v>
      </c>
      <c r="AA85" s="163">
        <v>8829.1875850815195</v>
      </c>
      <c r="AC85" s="32">
        <v>2045</v>
      </c>
      <c r="AD85" s="163">
        <v>1768988.8960056819</v>
      </c>
      <c r="AE85" s="163">
        <v>10272.679008554853</v>
      </c>
      <c r="AF85" s="163">
        <v>278791.63304454554</v>
      </c>
      <c r="AG85" s="163">
        <v>6011842.4698166549</v>
      </c>
      <c r="AH85" s="163">
        <v>224165.78406435961</v>
      </c>
      <c r="AJ85" s="32">
        <v>2045</v>
      </c>
      <c r="AK85" s="163">
        <v>1392437.2943813489</v>
      </c>
      <c r="AL85" s="163">
        <v>21152.09926469046</v>
      </c>
      <c r="AM85" s="163">
        <v>1066678.7339857901</v>
      </c>
      <c r="AN85" s="163">
        <v>2137331.4556515981</v>
      </c>
      <c r="AO85" s="163">
        <v>391693.68164545699</v>
      </c>
    </row>
    <row r="86" spans="1:41">
      <c r="A86" s="32">
        <v>2046</v>
      </c>
      <c r="B86" s="32">
        <f t="shared" si="30"/>
        <v>0.84176439892170574</v>
      </c>
      <c r="D86" s="32">
        <v>2046</v>
      </c>
      <c r="E86" s="163">
        <f t="shared" si="35"/>
        <v>4682077.7658967115</v>
      </c>
      <c r="F86" s="163">
        <f t="shared" si="36"/>
        <v>30821.048339933659</v>
      </c>
      <c r="G86" s="163">
        <f t="shared" si="37"/>
        <v>2163042.40865906</v>
      </c>
      <c r="H86" s="163">
        <f t="shared" si="38"/>
        <v>22177329.235425387</v>
      </c>
      <c r="I86" s="163">
        <f t="shared" si="39"/>
        <v>730790.66395900259</v>
      </c>
      <c r="J86" s="163">
        <f t="shared" si="40"/>
        <v>29784061.122280098</v>
      </c>
      <c r="K86" s="163">
        <f t="shared" si="41"/>
        <v>728167.85940276866</v>
      </c>
      <c r="L86" s="163">
        <f t="shared" si="42"/>
        <v>1434874.5492562915</v>
      </c>
      <c r="M86" s="165">
        <f t="shared" si="43"/>
        <v>7.2624159605990959E-2</v>
      </c>
      <c r="O86" s="32">
        <v>2046</v>
      </c>
      <c r="P86" s="163">
        <v>1610167.9407758636</v>
      </c>
      <c r="Q86" s="163">
        <v>2533.0364387281115</v>
      </c>
      <c r="R86" s="163">
        <v>728167.85940276866</v>
      </c>
      <c r="S86" s="163">
        <v>12970259.597264025</v>
      </c>
      <c r="T86" s="163">
        <v>80456.614410760594</v>
      </c>
      <c r="V86" s="32">
        <v>2046</v>
      </c>
      <c r="W86" s="163">
        <v>267969.52861263277</v>
      </c>
      <c r="X86" s="163">
        <v>2.0905813513370997</v>
      </c>
      <c r="Y86" s="163">
        <v>6179.831941260818</v>
      </c>
      <c r="Z86" s="163">
        <v>753427.48911477369</v>
      </c>
      <c r="AA86" s="163">
        <v>9212.3982843464237</v>
      </c>
      <c r="AC86" s="32">
        <v>2046</v>
      </c>
      <c r="AD86" s="163">
        <v>1558773.7005588596</v>
      </c>
      <c r="AE86" s="163">
        <v>9163.7460850208972</v>
      </c>
      <c r="AF86" s="163">
        <v>289696.11846278055</v>
      </c>
      <c r="AG86" s="163">
        <v>6242006.4785086457</v>
      </c>
      <c r="AH86" s="163">
        <v>233085.91240751839</v>
      </c>
      <c r="AJ86" s="32">
        <v>2046</v>
      </c>
      <c r="AK86" s="163">
        <v>1245166.595949356</v>
      </c>
      <c r="AL86" s="163">
        <v>19122.175234833314</v>
      </c>
      <c r="AM86" s="163">
        <v>1138998.59885225</v>
      </c>
      <c r="AN86" s="163">
        <v>2211635.6705379402</v>
      </c>
      <c r="AO86" s="163">
        <v>408035.73885637714</v>
      </c>
    </row>
    <row r="87" spans="1:41">
      <c r="A87" s="32">
        <v>2047</v>
      </c>
      <c r="B87" s="32">
        <f t="shared" si="30"/>
        <v>0.86233054664842645</v>
      </c>
      <c r="D87" s="32">
        <v>2047</v>
      </c>
      <c r="E87" s="163">
        <f t="shared" si="35"/>
        <v>4087122.0313324565</v>
      </c>
      <c r="F87" s="163">
        <f t="shared" si="36"/>
        <v>27576.07152321731</v>
      </c>
      <c r="G87" s="163">
        <f t="shared" si="37"/>
        <v>2242849.5818922287</v>
      </c>
      <c r="H87" s="163">
        <f t="shared" si="38"/>
        <v>22775761.10647051</v>
      </c>
      <c r="I87" s="163">
        <f t="shared" si="39"/>
        <v>754934.40785756498</v>
      </c>
      <c r="J87" s="163">
        <f t="shared" si="40"/>
        <v>29888243.199075978</v>
      </c>
      <c r="K87" s="163">
        <f t="shared" si="41"/>
        <v>729446.65855966613</v>
      </c>
      <c r="L87" s="163">
        <f t="shared" si="42"/>
        <v>1513402.9233325629</v>
      </c>
      <c r="M87" s="165">
        <f t="shared" si="43"/>
        <v>7.5041198204703063E-2</v>
      </c>
      <c r="O87" s="32">
        <v>2047</v>
      </c>
      <c r="P87" s="163">
        <v>1371082.376553199</v>
      </c>
      <c r="Q87" s="163">
        <v>2202.9157117020727</v>
      </c>
      <c r="R87" s="163">
        <v>729446.65855966613</v>
      </c>
      <c r="S87" s="163">
        <v>13263220.076972088</v>
      </c>
      <c r="T87" s="163">
        <v>81253.540475851521</v>
      </c>
      <c r="V87" s="32">
        <v>2047</v>
      </c>
      <c r="W87" s="163">
        <v>238750.00470592661</v>
      </c>
      <c r="X87" s="163">
        <v>1.8248730307679235</v>
      </c>
      <c r="Y87" s="163">
        <v>6260.2563494360202</v>
      </c>
      <c r="Z87" s="163">
        <v>782017.46258854517</v>
      </c>
      <c r="AA87" s="163">
        <v>9570.4424472383016</v>
      </c>
      <c r="AC87" s="32">
        <v>2047</v>
      </c>
      <c r="AD87" s="163">
        <v>1369117.8330788123</v>
      </c>
      <c r="AE87" s="163">
        <v>8125.4928047760604</v>
      </c>
      <c r="AF87" s="163">
        <v>299897.79294342519</v>
      </c>
      <c r="AG87" s="163">
        <v>6450539.8244983386</v>
      </c>
      <c r="AH87" s="163">
        <v>241100.3024197717</v>
      </c>
      <c r="AJ87" s="32">
        <v>2047</v>
      </c>
      <c r="AK87" s="163">
        <v>1108171.8169945185</v>
      </c>
      <c r="AL87" s="163">
        <v>17245.838133708407</v>
      </c>
      <c r="AM87" s="163">
        <v>1207244.8740397017</v>
      </c>
      <c r="AN87" s="163">
        <v>2279983.7424115394</v>
      </c>
      <c r="AO87" s="163">
        <v>423010.12251470343</v>
      </c>
    </row>
    <row r="88" spans="1:41">
      <c r="A88" s="32">
        <v>2048</v>
      </c>
      <c r="B88" s="32">
        <f t="shared" si="30"/>
        <v>0.88050963282143957</v>
      </c>
      <c r="D88" s="32">
        <v>2048</v>
      </c>
      <c r="E88" s="163">
        <f t="shared" si="35"/>
        <v>3558581.3551174509</v>
      </c>
      <c r="F88" s="163">
        <f t="shared" si="36"/>
        <v>24613.912344916032</v>
      </c>
      <c r="G88" s="163">
        <f t="shared" si="37"/>
        <v>2317907.9482170753</v>
      </c>
      <c r="H88" s="163">
        <f t="shared" si="38"/>
        <v>23309578.965511821</v>
      </c>
      <c r="I88" s="163">
        <f t="shared" si="39"/>
        <v>776632.71347149578</v>
      </c>
      <c r="J88" s="163">
        <f t="shared" si="40"/>
        <v>29987314.89466276</v>
      </c>
      <c r="K88" s="163">
        <f t="shared" si="41"/>
        <v>730542.98304607731</v>
      </c>
      <c r="L88" s="163">
        <f t="shared" si="42"/>
        <v>1587364.9651709977</v>
      </c>
      <c r="M88" s="165">
        <f t="shared" si="43"/>
        <v>7.7296281989876467E-2</v>
      </c>
      <c r="O88" s="32">
        <v>2048</v>
      </c>
      <c r="P88" s="163">
        <v>1165492.5266990855</v>
      </c>
      <c r="Q88" s="163">
        <v>1898.034020442464</v>
      </c>
      <c r="R88" s="163">
        <v>730542.98304607731</v>
      </c>
      <c r="S88" s="163">
        <v>13520386.996768771</v>
      </c>
      <c r="T88" s="163">
        <v>81957.0823483696</v>
      </c>
      <c r="V88" s="32">
        <v>2048</v>
      </c>
      <c r="W88" s="163">
        <v>213305.85747356125</v>
      </c>
      <c r="X88" s="163">
        <v>1.6367207079305961</v>
      </c>
      <c r="Y88" s="163">
        <v>6333.0645422281023</v>
      </c>
      <c r="Z88" s="163">
        <v>808583.79036926012</v>
      </c>
      <c r="AA88" s="163">
        <v>9901.7274263980344</v>
      </c>
      <c r="AC88" s="32">
        <v>2048</v>
      </c>
      <c r="AD88" s="163">
        <v>1199511.3823352871</v>
      </c>
      <c r="AE88" s="163">
        <v>7174.5424149707169</v>
      </c>
      <c r="AF88" s="163">
        <v>309452.8359084496</v>
      </c>
      <c r="AG88" s="163">
        <v>6638142.5531816613</v>
      </c>
      <c r="AH88" s="163">
        <v>248230.93634018619</v>
      </c>
      <c r="AJ88" s="32">
        <v>2048</v>
      </c>
      <c r="AK88" s="163">
        <v>980271.58860951709</v>
      </c>
      <c r="AL88" s="163">
        <v>15539.699188794923</v>
      </c>
      <c r="AM88" s="163">
        <v>1271579.06472032</v>
      </c>
      <c r="AN88" s="163">
        <v>2342465.6251921291</v>
      </c>
      <c r="AO88" s="163">
        <v>436542.96735654201</v>
      </c>
    </row>
    <row r="89" spans="1:41">
      <c r="A89" s="32">
        <v>2049</v>
      </c>
      <c r="B89" s="32">
        <f t="shared" si="30"/>
        <v>0.89645161924924799</v>
      </c>
      <c r="D89" s="32">
        <v>2049</v>
      </c>
      <c r="E89" s="163">
        <f t="shared" si="35"/>
        <v>3092977.3065618416</v>
      </c>
      <c r="F89" s="163">
        <f t="shared" si="36"/>
        <v>21986.180025767819</v>
      </c>
      <c r="G89" s="163">
        <f t="shared" si="37"/>
        <v>2387834.9819108024</v>
      </c>
      <c r="H89" s="163">
        <f t="shared" si="38"/>
        <v>23783333.941372555</v>
      </c>
      <c r="I89" s="163">
        <f t="shared" si="39"/>
        <v>796071.32912846119</v>
      </c>
      <c r="J89" s="163">
        <f t="shared" si="40"/>
        <v>30082203.73899943</v>
      </c>
      <c r="K89" s="163">
        <f t="shared" si="41"/>
        <v>731535.96628908429</v>
      </c>
      <c r="L89" s="163">
        <f t="shared" si="42"/>
        <v>1656299.0156217185</v>
      </c>
      <c r="M89" s="165">
        <f t="shared" si="43"/>
        <v>7.9376996533506786E-2</v>
      </c>
      <c r="O89" s="32">
        <v>2049</v>
      </c>
      <c r="P89" s="163">
        <v>992141.098947083</v>
      </c>
      <c r="Q89" s="163">
        <v>1690.3908647178621</v>
      </c>
      <c r="R89" s="163">
        <v>731535.96628908429</v>
      </c>
      <c r="S89" s="163">
        <v>13744622.096255427</v>
      </c>
      <c r="T89" s="163">
        <v>82583.264592651583</v>
      </c>
      <c r="V89" s="32">
        <v>2049</v>
      </c>
      <c r="W89" s="163">
        <v>190445.93831341341</v>
      </c>
      <c r="X89" s="163">
        <v>1.4613367329556661</v>
      </c>
      <c r="Y89" s="163">
        <v>6398.9432204074346</v>
      </c>
      <c r="Z89" s="163">
        <v>833146.95510415488</v>
      </c>
      <c r="AA89" s="163">
        <v>10207.271363300795</v>
      </c>
      <c r="AC89" s="32">
        <v>2049</v>
      </c>
      <c r="AD89" s="163">
        <v>1047847.0748174065</v>
      </c>
      <c r="AE89" s="163">
        <v>6310.4699779260181</v>
      </c>
      <c r="AF89" s="163">
        <v>318251.16849534673</v>
      </c>
      <c r="AG89" s="163">
        <v>6806262.0422167415</v>
      </c>
      <c r="AH89" s="163">
        <v>254453.76486257854</v>
      </c>
      <c r="AJ89" s="32">
        <v>2049</v>
      </c>
      <c r="AK89" s="163">
        <v>862543.19448393874</v>
      </c>
      <c r="AL89" s="163">
        <v>13983.857846390982</v>
      </c>
      <c r="AM89" s="163">
        <v>1331648.9039059642</v>
      </c>
      <c r="AN89" s="163">
        <v>2399302.8477962306</v>
      </c>
      <c r="AO89" s="163">
        <v>448827.02830993029</v>
      </c>
    </row>
    <row r="90" spans="1:41">
      <c r="A90" s="32">
        <v>2050</v>
      </c>
      <c r="B90" s="32">
        <f t="shared" si="30"/>
        <v>0.91029253056318904</v>
      </c>
      <c r="D90" s="32">
        <v>2050</v>
      </c>
      <c r="E90" s="163">
        <f t="shared" si="35"/>
        <v>2687491.3493100437</v>
      </c>
      <c r="F90" s="163">
        <f t="shared" si="36"/>
        <v>19438.144740223921</v>
      </c>
      <c r="G90" s="163">
        <f t="shared" si="37"/>
        <v>2452783.0473713134</v>
      </c>
      <c r="H90" s="163">
        <f t="shared" si="38"/>
        <v>24202012.960383881</v>
      </c>
      <c r="I90" s="163">
        <f t="shared" si="39"/>
        <v>813348.1129619563</v>
      </c>
      <c r="J90" s="163">
        <f t="shared" si="40"/>
        <v>30175073.614767417</v>
      </c>
      <c r="K90" s="163">
        <f t="shared" si="41"/>
        <v>732508.37726435508</v>
      </c>
      <c r="L90" s="163">
        <f t="shared" si="42"/>
        <v>1720274.6701069586</v>
      </c>
      <c r="M90" s="165">
        <f t="shared" si="43"/>
        <v>8.1285072529895766E-2</v>
      </c>
      <c r="O90" s="32">
        <v>2050</v>
      </c>
      <c r="P90" s="163">
        <v>844831.11490421381</v>
      </c>
      <c r="Q90" s="163">
        <v>1494.7017179563015</v>
      </c>
      <c r="R90" s="163">
        <v>732508.37726435508</v>
      </c>
      <c r="S90" s="163">
        <v>13939238.748017868</v>
      </c>
      <c r="T90" s="163">
        <v>83144.874304473517</v>
      </c>
      <c r="V90" s="32">
        <v>2050</v>
      </c>
      <c r="W90" s="163">
        <v>170112.95230667043</v>
      </c>
      <c r="X90" s="163">
        <v>1.2997692363764186</v>
      </c>
      <c r="Y90" s="163">
        <v>6458.5321779896203</v>
      </c>
      <c r="Z90" s="163">
        <v>855716.63809260202</v>
      </c>
      <c r="AA90" s="163">
        <v>10487.100026572854</v>
      </c>
      <c r="AC90" s="32">
        <v>2050</v>
      </c>
      <c r="AD90" s="163">
        <v>914435.93865345547</v>
      </c>
      <c r="AE90" s="163">
        <v>5529.4043593346605</v>
      </c>
      <c r="AF90" s="163">
        <v>326319.26155611884</v>
      </c>
      <c r="AG90" s="163">
        <v>6956378.8157693353</v>
      </c>
      <c r="AH90" s="163">
        <v>259803.73335812765</v>
      </c>
      <c r="AJ90" s="32">
        <v>2050</v>
      </c>
      <c r="AK90" s="163">
        <v>758111.34344570397</v>
      </c>
      <c r="AL90" s="163">
        <v>12412.738893696582</v>
      </c>
      <c r="AM90" s="163">
        <v>1387496.87637285</v>
      </c>
      <c r="AN90" s="163">
        <v>2450678.7585040736</v>
      </c>
      <c r="AO90" s="163">
        <v>459912.40527278237</v>
      </c>
    </row>
    <row r="91" spans="1:41">
      <c r="E91" s="163"/>
      <c r="F91" s="163"/>
      <c r="G91" s="163"/>
      <c r="H91" s="163"/>
      <c r="I91" s="163"/>
      <c r="J91" s="163"/>
      <c r="K91" s="163"/>
      <c r="L91" s="163"/>
      <c r="M91" s="165"/>
      <c r="P91" s="163"/>
      <c r="Q91" s="163"/>
      <c r="R91" s="163"/>
      <c r="S91" s="163"/>
      <c r="T91" s="163"/>
      <c r="W91" s="163"/>
      <c r="X91" s="163"/>
      <c r="Y91" s="163"/>
      <c r="Z91" s="163"/>
      <c r="AA91" s="163"/>
      <c r="AD91" s="163"/>
      <c r="AE91" s="163"/>
      <c r="AF91" s="163"/>
      <c r="AG91" s="163"/>
      <c r="AH91" s="163"/>
      <c r="AK91" s="163"/>
      <c r="AL91" s="163"/>
      <c r="AM91" s="163"/>
      <c r="AN91" s="163"/>
      <c r="AO91" s="163"/>
    </row>
    <row r="92" spans="1:41">
      <c r="P92" s="163"/>
      <c r="Q92" s="163"/>
      <c r="R92" s="163"/>
      <c r="S92" s="163"/>
      <c r="T92" s="163"/>
      <c r="W92" s="163"/>
      <c r="X92" s="163"/>
      <c r="Y92" s="163"/>
      <c r="Z92" s="163"/>
      <c r="AA92" s="163"/>
      <c r="AD92" s="163"/>
      <c r="AE92" s="163"/>
      <c r="AF92" s="163"/>
      <c r="AG92" s="163"/>
      <c r="AH92" s="163"/>
      <c r="AK92" s="163"/>
      <c r="AL92" s="163"/>
      <c r="AM92" s="163"/>
      <c r="AN92" s="163"/>
      <c r="AO92" s="163"/>
    </row>
    <row r="93" spans="1:41">
      <c r="A93" s="161" t="s">
        <v>262</v>
      </c>
      <c r="D93" s="136" t="s">
        <v>263</v>
      </c>
      <c r="F93" s="136" t="s">
        <v>264</v>
      </c>
      <c r="L93" s="161" t="s">
        <v>265</v>
      </c>
      <c r="M93" s="161"/>
      <c r="P93" s="161" t="s">
        <v>267</v>
      </c>
    </row>
    <row r="94" spans="1:41">
      <c r="A94" s="32" t="s">
        <v>208</v>
      </c>
      <c r="B94" s="32" t="s">
        <v>266</v>
      </c>
      <c r="C94" s="32" t="s">
        <v>35</v>
      </c>
      <c r="D94" s="32" t="s">
        <v>109</v>
      </c>
      <c r="L94" s="32" t="s">
        <v>208</v>
      </c>
      <c r="P94" s="32" t="s">
        <v>208</v>
      </c>
    </row>
    <row r="95" spans="1:41">
      <c r="A95" s="32">
        <v>2025</v>
      </c>
      <c r="B95" s="164">
        <f>B96</f>
        <v>0.60000000000000009</v>
      </c>
      <c r="C95" s="164">
        <f>C96</f>
        <v>0.49</v>
      </c>
      <c r="L95" s="32">
        <v>2025</v>
      </c>
      <c r="N95" s="165">
        <f t="shared" ref="N95:N110" si="44">(H65+I65+K65*B95+L65*C95)/J65</f>
        <v>5.2787319162738988E-2</v>
      </c>
      <c r="P95" s="32">
        <v>2025</v>
      </c>
      <c r="Q95" s="168">
        <f t="shared" ref="Q95:Q110" si="45">N95-N34</f>
        <v>-1.1102230246251565E-16</v>
      </c>
    </row>
    <row r="96" spans="1:41">
      <c r="A96" s="32">
        <v>2026</v>
      </c>
      <c r="B96" s="164">
        <f>(0.54*0.5)+(0.66*0.5)</f>
        <v>0.60000000000000009</v>
      </c>
      <c r="C96" s="32">
        <f>(0.49*0.5)+(0.49*0.5)</f>
        <v>0.49</v>
      </c>
      <c r="L96" s="32">
        <v>2026</v>
      </c>
      <c r="N96" s="165">
        <f t="shared" si="44"/>
        <v>7.3879850508714998E-2</v>
      </c>
      <c r="P96" s="32">
        <v>2026</v>
      </c>
      <c r="Q96" s="168">
        <f t="shared" si="45"/>
        <v>9.7905184404352141E-3</v>
      </c>
    </row>
    <row r="97" spans="1:17">
      <c r="A97" s="32">
        <v>2027</v>
      </c>
      <c r="B97" s="32">
        <f>(0.57*0.5)+(0.69*0.5)</f>
        <v>0.62999999999999989</v>
      </c>
      <c r="C97" s="32">
        <f>(0.51*0.5)+(0.62*0.5)</f>
        <v>0.56499999999999995</v>
      </c>
      <c r="L97" s="32">
        <v>2027</v>
      </c>
      <c r="N97" s="165">
        <f t="shared" si="44"/>
        <v>9.9681210649081184E-2</v>
      </c>
      <c r="P97" s="32">
        <v>2027</v>
      </c>
      <c r="Q97" s="168">
        <f t="shared" si="45"/>
        <v>2.410048860840569E-2</v>
      </c>
    </row>
    <row r="98" spans="1:17">
      <c r="A98" s="32">
        <v>2028</v>
      </c>
      <c r="B98" s="32">
        <f>(0.58*0.5)+(0.71*0.5)</f>
        <v>0.64500000000000002</v>
      </c>
      <c r="C98" s="32">
        <f>(0.52*0.5)+(0.64*0.5)</f>
        <v>0.58000000000000007</v>
      </c>
      <c r="L98" s="32">
        <v>2028</v>
      </c>
      <c r="N98" s="165">
        <f t="shared" si="44"/>
        <v>0.12927650120236342</v>
      </c>
      <c r="P98" s="32">
        <v>2028</v>
      </c>
      <c r="Q98" s="168">
        <f t="shared" si="45"/>
        <v>4.3096979039863592E-2</v>
      </c>
    </row>
    <row r="99" spans="1:17">
      <c r="A99" s="32">
        <v>2029</v>
      </c>
      <c r="B99" s="32">
        <f>(0.6*0.1)+0.73*0.9</f>
        <v>0.71700000000000008</v>
      </c>
      <c r="C99" s="32">
        <f>0.55*0.1+0.67*0.9</f>
        <v>0.65800000000000014</v>
      </c>
      <c r="L99" s="32">
        <v>2029</v>
      </c>
      <c r="N99" s="165">
        <f t="shared" si="44"/>
        <v>0.16450186244508158</v>
      </c>
      <c r="P99" s="32">
        <v>2029</v>
      </c>
      <c r="Q99" s="168">
        <f t="shared" si="45"/>
        <v>6.67485960347355E-2</v>
      </c>
    </row>
    <row r="100" spans="1:17">
      <c r="A100" s="32">
        <v>2030</v>
      </c>
      <c r="B100" s="32">
        <f>0.62*0.1+0.75*0.9</f>
        <v>0.7370000000000001</v>
      </c>
      <c r="C100" s="32">
        <f>0.57*0.1+0.69*0.9</f>
        <v>0.67799999999999994</v>
      </c>
      <c r="L100" s="32">
        <v>2030</v>
      </c>
      <c r="N100" s="165">
        <f t="shared" si="44"/>
        <v>0.20328073306706942</v>
      </c>
      <c r="P100" s="32">
        <v>2030</v>
      </c>
      <c r="Q100" s="168">
        <f t="shared" si="45"/>
        <v>9.5579175919431866E-2</v>
      </c>
    </row>
    <row r="101" spans="1:17">
      <c r="A101" s="32">
        <v>2031</v>
      </c>
      <c r="B101" s="32">
        <f>0.62*0.1+0.77*0.9</f>
        <v>0.75500000000000012</v>
      </c>
      <c r="C101" s="32">
        <f>0.59*0.1+0.72*0.9</f>
        <v>0.70700000000000007</v>
      </c>
      <c r="L101" s="32">
        <v>2031</v>
      </c>
      <c r="N101" s="165">
        <f t="shared" si="44"/>
        <v>0.24597459938694693</v>
      </c>
      <c r="P101" s="32">
        <v>2031</v>
      </c>
      <c r="Q101" s="168">
        <f t="shared" si="45"/>
        <v>0.12874877904701809</v>
      </c>
    </row>
    <row r="102" spans="1:17">
      <c r="A102" s="32">
        <v>2032</v>
      </c>
      <c r="B102" s="32">
        <f>0.65*0.1+0.79*0.9</f>
        <v>0.77600000000000002</v>
      </c>
      <c r="C102" s="32">
        <f>0.61*0.1+0.74*0.9</f>
        <v>0.72700000000000009</v>
      </c>
      <c r="L102" s="32">
        <v>2032</v>
      </c>
      <c r="N102" s="165">
        <f t="shared" si="44"/>
        <v>0.29095241888332357</v>
      </c>
      <c r="P102" s="32">
        <v>2032</v>
      </c>
      <c r="Q102" s="168">
        <f t="shared" si="45"/>
        <v>0.16465763424633659</v>
      </c>
    </row>
    <row r="103" spans="1:17">
      <c r="A103" s="32">
        <v>2033</v>
      </c>
      <c r="B103" s="32">
        <f>B102</f>
        <v>0.77600000000000002</v>
      </c>
      <c r="C103" s="32">
        <f>C102</f>
        <v>0.72700000000000009</v>
      </c>
      <c r="L103" s="32">
        <v>2033</v>
      </c>
      <c r="N103" s="165">
        <f t="shared" si="44"/>
        <v>0.33762533244446724</v>
      </c>
      <c r="P103" s="32">
        <v>2033</v>
      </c>
      <c r="Q103" s="168">
        <f t="shared" si="45"/>
        <v>0.20330207042378659</v>
      </c>
    </row>
    <row r="104" spans="1:17">
      <c r="A104" s="32">
        <v>2034</v>
      </c>
      <c r="B104" s="32">
        <f t="shared" ref="B104:C105" si="46">B103</f>
        <v>0.77600000000000002</v>
      </c>
      <c r="C104" s="32">
        <f t="shared" si="46"/>
        <v>0.72700000000000009</v>
      </c>
      <c r="L104" s="32">
        <v>2034</v>
      </c>
      <c r="N104" s="165">
        <f t="shared" si="44"/>
        <v>0.38636488026191385</v>
      </c>
      <c r="P104" s="32">
        <v>2034</v>
      </c>
      <c r="Q104" s="168">
        <f t="shared" si="45"/>
        <v>0.24452531371012765</v>
      </c>
    </row>
    <row r="105" spans="1:17">
      <c r="A105" s="32">
        <v>2035</v>
      </c>
      <c r="B105" s="32">
        <f t="shared" si="46"/>
        <v>0.77600000000000002</v>
      </c>
      <c r="C105" s="32">
        <f t="shared" si="46"/>
        <v>0.72700000000000009</v>
      </c>
      <c r="L105" s="32">
        <v>2035</v>
      </c>
      <c r="N105" s="165">
        <f t="shared" si="44"/>
        <v>0.43618736134651354</v>
      </c>
      <c r="P105" s="32">
        <v>2035</v>
      </c>
      <c r="Q105" s="168">
        <f t="shared" si="45"/>
        <v>0.28736786283405502</v>
      </c>
    </row>
    <row r="106" spans="1:17">
      <c r="A106" s="32">
        <v>2036</v>
      </c>
      <c r="B106" s="32">
        <f>0.79</f>
        <v>0.79</v>
      </c>
      <c r="C106" s="32">
        <f>0.74</f>
        <v>0.74</v>
      </c>
      <c r="L106" s="32">
        <v>2036</v>
      </c>
      <c r="N106" s="165">
        <f t="shared" si="44"/>
        <v>0.48419723328571068</v>
      </c>
      <c r="P106" s="32">
        <v>2036</v>
      </c>
      <c r="Q106" s="168">
        <f t="shared" si="45"/>
        <v>0.32855409334383223</v>
      </c>
    </row>
    <row r="107" spans="1:17">
      <c r="A107" s="32">
        <v>2037</v>
      </c>
      <c r="B107" s="32">
        <f>B106</f>
        <v>0.79</v>
      </c>
      <c r="C107" s="32">
        <f>C106</f>
        <v>0.74</v>
      </c>
      <c r="L107" s="32">
        <v>2037</v>
      </c>
      <c r="N107" s="165">
        <f t="shared" si="44"/>
        <v>0.52944664064077873</v>
      </c>
      <c r="P107" s="32">
        <v>2037</v>
      </c>
      <c r="Q107" s="168">
        <f t="shared" si="45"/>
        <v>0.36795868020093137</v>
      </c>
    </row>
    <row r="108" spans="1:17">
      <c r="A108" s="32">
        <v>2038</v>
      </c>
      <c r="B108" s="32">
        <f t="shared" ref="B108:C110" si="47">B107</f>
        <v>0.79</v>
      </c>
      <c r="C108" s="32">
        <f t="shared" si="47"/>
        <v>0.74</v>
      </c>
      <c r="L108" s="32">
        <v>2038</v>
      </c>
      <c r="N108" s="165">
        <f t="shared" si="44"/>
        <v>0.57232726010618273</v>
      </c>
      <c r="P108" s="32">
        <v>2038</v>
      </c>
      <c r="Q108" s="168">
        <f t="shared" si="45"/>
        <v>0.4055658587593895</v>
      </c>
    </row>
    <row r="109" spans="1:17">
      <c r="A109" s="32">
        <v>2039</v>
      </c>
      <c r="B109" s="32">
        <f t="shared" si="47"/>
        <v>0.79</v>
      </c>
      <c r="C109" s="32">
        <f t="shared" si="47"/>
        <v>0.74</v>
      </c>
      <c r="L109" s="32">
        <v>2039</v>
      </c>
      <c r="N109" s="165">
        <f t="shared" si="44"/>
        <v>0.61282455246042433</v>
      </c>
      <c r="P109" s="32">
        <v>2039</v>
      </c>
      <c r="Q109" s="168">
        <f t="shared" si="45"/>
        <v>0.44133226724831343</v>
      </c>
    </row>
    <row r="110" spans="1:17">
      <c r="A110" s="32">
        <v>2040</v>
      </c>
      <c r="B110" s="32">
        <f t="shared" si="47"/>
        <v>0.79</v>
      </c>
      <c r="C110" s="32">
        <f t="shared" si="47"/>
        <v>0.74</v>
      </c>
      <c r="L110" s="32">
        <v>2040</v>
      </c>
      <c r="N110" s="165">
        <f t="shared" si="44"/>
        <v>0.65080566239853144</v>
      </c>
      <c r="P110" s="32">
        <v>2040</v>
      </c>
      <c r="Q110" s="168">
        <f t="shared" si="45"/>
        <v>0.47511632305618995</v>
      </c>
    </row>
    <row r="111" spans="1:17">
      <c r="A111" s="32">
        <v>2041</v>
      </c>
      <c r="B111" s="32">
        <f t="shared" ref="B111:C111" si="48">B110</f>
        <v>0.79</v>
      </c>
      <c r="C111" s="32">
        <f t="shared" si="48"/>
        <v>0.74</v>
      </c>
      <c r="L111" s="32">
        <v>2041</v>
      </c>
      <c r="N111" s="165">
        <f t="shared" ref="N111:N120" si="49">(H81+I81+K81*B111+L81*C111)/J81</f>
        <v>0.68609796944747514</v>
      </c>
      <c r="P111" s="32">
        <v>2041</v>
      </c>
      <c r="Q111" s="168">
        <f t="shared" ref="Q111:Q120" si="50">N111-N50</f>
        <v>0.50674287028637777</v>
      </c>
    </row>
    <row r="112" spans="1:17">
      <c r="A112" s="32">
        <v>2042</v>
      </c>
      <c r="B112" s="32">
        <f t="shared" ref="B112:C112" si="51">B111</f>
        <v>0.79</v>
      </c>
      <c r="C112" s="32">
        <f t="shared" si="51"/>
        <v>0.74</v>
      </c>
      <c r="L112" s="32">
        <v>2042</v>
      </c>
      <c r="N112" s="165">
        <f t="shared" si="49"/>
        <v>0.71890619542992129</v>
      </c>
      <c r="P112" s="32">
        <v>2042</v>
      </c>
      <c r="Q112" s="168">
        <f t="shared" si="50"/>
        <v>0.53631802452116284</v>
      </c>
    </row>
    <row r="113" spans="1:17">
      <c r="A113" s="32">
        <v>2043</v>
      </c>
      <c r="B113" s="32">
        <f t="shared" ref="B113:C113" si="52">B112</f>
        <v>0.79</v>
      </c>
      <c r="C113" s="32">
        <f t="shared" si="52"/>
        <v>0.74</v>
      </c>
      <c r="L113" s="32">
        <v>2043</v>
      </c>
      <c r="N113" s="165">
        <f t="shared" si="49"/>
        <v>0.74906977868602953</v>
      </c>
      <c r="P113" s="32">
        <v>2043</v>
      </c>
      <c r="Q113" s="168">
        <f t="shared" si="50"/>
        <v>0.56367718019448765</v>
      </c>
    </row>
    <row r="114" spans="1:17">
      <c r="A114" s="32">
        <v>2044</v>
      </c>
      <c r="B114" s="32">
        <f t="shared" ref="B114:C114" si="53">B113</f>
        <v>0.79</v>
      </c>
      <c r="C114" s="32">
        <f t="shared" si="53"/>
        <v>0.74</v>
      </c>
      <c r="L114" s="32">
        <v>2044</v>
      </c>
      <c r="N114" s="165">
        <f t="shared" si="49"/>
        <v>0.77662765776112019</v>
      </c>
      <c r="P114" s="32">
        <v>2044</v>
      </c>
      <c r="Q114" s="168">
        <f t="shared" si="50"/>
        <v>0.58880568358637786</v>
      </c>
    </row>
    <row r="115" spans="1:17">
      <c r="A115" s="32">
        <v>2045</v>
      </c>
      <c r="B115" s="32">
        <f t="shared" ref="B115:C115" si="54">B114</f>
        <v>0.79</v>
      </c>
      <c r="C115" s="32">
        <f t="shared" si="54"/>
        <v>0.74</v>
      </c>
      <c r="L115" s="32">
        <v>2045</v>
      </c>
      <c r="N115" s="165">
        <f t="shared" si="49"/>
        <v>0.80165275219784016</v>
      </c>
      <c r="P115" s="32">
        <v>2045</v>
      </c>
      <c r="Q115" s="168">
        <f t="shared" si="50"/>
        <v>0.61172128213004107</v>
      </c>
    </row>
    <row r="116" spans="1:17">
      <c r="A116" s="32">
        <v>2046</v>
      </c>
      <c r="B116" s="32">
        <f t="shared" ref="B116:C116" si="55">B115</f>
        <v>0.79</v>
      </c>
      <c r="C116" s="32">
        <f t="shared" si="55"/>
        <v>0.74</v>
      </c>
      <c r="L116" s="32">
        <v>2046</v>
      </c>
      <c r="N116" s="165">
        <f t="shared" si="49"/>
        <v>0.82410452939881673</v>
      </c>
      <c r="P116" s="32">
        <v>2046</v>
      </c>
      <c r="Q116" s="168">
        <f t="shared" si="50"/>
        <v>0.63236748165973189</v>
      </c>
    </row>
    <row r="117" spans="1:17">
      <c r="A117" s="32">
        <v>2047</v>
      </c>
      <c r="B117" s="32">
        <f t="shared" ref="B117:C117" si="56">B116</f>
        <v>0.79</v>
      </c>
      <c r="C117" s="32">
        <f t="shared" si="56"/>
        <v>0.74</v>
      </c>
      <c r="L117" s="32">
        <v>2047</v>
      </c>
      <c r="N117" s="165">
        <f t="shared" si="49"/>
        <v>0.84404012540409934</v>
      </c>
      <c r="P117" s="32">
        <v>2047</v>
      </c>
      <c r="Q117" s="168">
        <f t="shared" si="50"/>
        <v>0.65076277845668984</v>
      </c>
    </row>
    <row r="118" spans="1:17">
      <c r="A118" s="32">
        <v>2048</v>
      </c>
      <c r="B118" s="32">
        <f t="shared" ref="B118:C118" si="57">B117</f>
        <v>0.79</v>
      </c>
      <c r="C118" s="32">
        <f t="shared" si="57"/>
        <v>0.74</v>
      </c>
      <c r="L118" s="32">
        <v>2048</v>
      </c>
      <c r="N118" s="165">
        <f t="shared" si="49"/>
        <v>0.86163068619441441</v>
      </c>
      <c r="P118" s="32">
        <v>2048</v>
      </c>
      <c r="Q118" s="168">
        <f t="shared" si="50"/>
        <v>0.66702909639703234</v>
      </c>
    </row>
    <row r="119" spans="1:17">
      <c r="A119" s="32">
        <v>2049</v>
      </c>
      <c r="B119" s="32">
        <f t="shared" ref="B119:C119" si="58">B118</f>
        <v>0.79</v>
      </c>
      <c r="C119" s="32">
        <f t="shared" si="58"/>
        <v>0.74</v>
      </c>
      <c r="L119" s="32">
        <v>2049</v>
      </c>
      <c r="N119" s="165">
        <f t="shared" si="49"/>
        <v>0.87702949505743222</v>
      </c>
      <c r="P119" s="32">
        <v>2049</v>
      </c>
      <c r="Q119" s="168">
        <f t="shared" si="50"/>
        <v>0.68128674523765964</v>
      </c>
    </row>
    <row r="120" spans="1:17">
      <c r="A120" s="32">
        <v>2050</v>
      </c>
      <c r="B120" s="32">
        <f t="shared" ref="B120:C120" si="59">B119</f>
        <v>0.79</v>
      </c>
      <c r="C120" s="32">
        <f t="shared" si="59"/>
        <v>0.74</v>
      </c>
      <c r="L120" s="32">
        <v>2050</v>
      </c>
      <c r="N120" s="165">
        <f t="shared" si="49"/>
        <v>0.89037217573233451</v>
      </c>
      <c r="P120" s="32">
        <v>2050</v>
      </c>
      <c r="Q120" s="168">
        <f t="shared" si="50"/>
        <v>0.69365404219815063</v>
      </c>
    </row>
  </sheetData>
  <sheetProtection algorithmName="SHA-512" hashValue="VaZx7Qh6+A9tLPIcQEikRdDsK5c4Y5SfMEK9Fn+yAPvz7JIZjQuMlYlnAiNASlNiVlUVzp5ztdWUFGqepIjHaw==" saltValue="sM7t5ql3hfZ9j9XZkIN4fA==" spinCount="100000" sheet="1" objects="1" scenarios="1"/>
  <pageMargins left="0.7" right="0.7" top="0.75" bottom="0.75" header="0.3" footer="0.3"/>
  <ignoredErrors>
    <ignoredError sqref="B106:C106 B45:C45" formula="1"/>
  </ignoredError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4E0752-E285-4E6D-AE87-C9ED6E836382}">
  <sheetPr codeName="Sheet13"/>
  <dimension ref="A1:N59"/>
  <sheetViews>
    <sheetView workbookViewId="0"/>
  </sheetViews>
  <sheetFormatPr baseColWidth="10" defaultColWidth="8.83203125" defaultRowHeight="15"/>
  <cols>
    <col min="1" max="1" width="12.33203125" customWidth="1"/>
    <col min="3" max="3" width="10" bestFit="1" customWidth="1"/>
    <col min="7" max="7" width="11.5" customWidth="1"/>
    <col min="11" max="12" width="10.83203125" customWidth="1"/>
  </cols>
  <sheetData>
    <row r="1" spans="1:13">
      <c r="A1" s="2" t="s">
        <v>250</v>
      </c>
    </row>
    <row r="3" spans="1:13" ht="16" thickBot="1">
      <c r="A3" t="s">
        <v>219</v>
      </c>
    </row>
    <row r="4" spans="1:13">
      <c r="A4" s="314" t="s">
        <v>220</v>
      </c>
      <c r="B4" s="315"/>
      <c r="C4" s="315"/>
      <c r="D4" s="315"/>
      <c r="E4" s="315"/>
      <c r="F4" s="315"/>
      <c r="G4" s="315"/>
      <c r="H4" s="315"/>
      <c r="I4" s="315"/>
      <c r="J4" s="315"/>
      <c r="K4" s="315"/>
      <c r="L4" s="315"/>
      <c r="M4" s="316"/>
    </row>
    <row r="5" spans="1:13" ht="16" thickBot="1">
      <c r="A5" s="144" t="s">
        <v>221</v>
      </c>
      <c r="B5" s="145" t="s">
        <v>222</v>
      </c>
      <c r="C5" s="146" t="s">
        <v>223</v>
      </c>
      <c r="D5" s="146" t="s">
        <v>224</v>
      </c>
      <c r="E5" s="146" t="s">
        <v>225</v>
      </c>
      <c r="F5" s="146" t="s">
        <v>226</v>
      </c>
      <c r="G5" s="146" t="s">
        <v>227</v>
      </c>
      <c r="H5" s="146" t="s">
        <v>228</v>
      </c>
      <c r="I5" s="146" t="s">
        <v>229</v>
      </c>
      <c r="J5" s="146" t="s">
        <v>230</v>
      </c>
      <c r="K5" s="146" t="s">
        <v>231</v>
      </c>
      <c r="L5" s="146" t="s">
        <v>232</v>
      </c>
      <c r="M5" s="147" t="s">
        <v>233</v>
      </c>
    </row>
    <row r="6" spans="1:13">
      <c r="A6" s="148" t="s">
        <v>234</v>
      </c>
      <c r="B6" s="149" t="s">
        <v>235</v>
      </c>
      <c r="C6" s="150">
        <v>208.60670288821427</v>
      </c>
      <c r="D6" s="150">
        <f t="shared" ref="D6:M15" si="0">C6*(1-BEV_Annual_Efficiency_Improvement)</f>
        <v>207.56366937377319</v>
      </c>
      <c r="E6" s="150">
        <f t="shared" si="0"/>
        <v>206.52585102690432</v>
      </c>
      <c r="F6" s="150">
        <f t="shared" si="0"/>
        <v>205.49322177176981</v>
      </c>
      <c r="G6" s="150">
        <f t="shared" si="0"/>
        <v>204.46575566291096</v>
      </c>
      <c r="H6" s="150">
        <f t="shared" si="0"/>
        <v>203.44342688459642</v>
      </c>
      <c r="I6" s="150">
        <f t="shared" si="0"/>
        <v>202.42620975017343</v>
      </c>
      <c r="J6" s="150">
        <f t="shared" si="0"/>
        <v>201.41407870142257</v>
      </c>
      <c r="K6" s="150">
        <f t="shared" si="0"/>
        <v>200.40700830791545</v>
      </c>
      <c r="L6" s="150">
        <f t="shared" si="0"/>
        <v>199.40497326637586</v>
      </c>
      <c r="M6" s="151">
        <f t="shared" si="0"/>
        <v>198.40794840004398</v>
      </c>
    </row>
    <row r="7" spans="1:13">
      <c r="A7" s="152" t="s">
        <v>234</v>
      </c>
      <c r="B7" s="153" t="s">
        <v>236</v>
      </c>
      <c r="C7" s="154">
        <v>231.79753496646828</v>
      </c>
      <c r="D7" s="154">
        <f t="shared" si="0"/>
        <v>230.63854729163594</v>
      </c>
      <c r="E7" s="154">
        <f t="shared" si="0"/>
        <v>229.48535455517776</v>
      </c>
      <c r="F7" s="154">
        <f t="shared" si="0"/>
        <v>228.33792778240186</v>
      </c>
      <c r="G7" s="154">
        <f t="shared" si="0"/>
        <v>227.19623814348986</v>
      </c>
      <c r="H7" s="154">
        <f t="shared" si="0"/>
        <v>226.06025695277242</v>
      </c>
      <c r="I7" s="154">
        <f t="shared" si="0"/>
        <v>224.92995566800855</v>
      </c>
      <c r="J7" s="154">
        <f t="shared" si="0"/>
        <v>223.80530588966849</v>
      </c>
      <c r="K7" s="154">
        <f t="shared" si="0"/>
        <v>222.68627936022014</v>
      </c>
      <c r="L7" s="154">
        <f t="shared" si="0"/>
        <v>221.57284796341904</v>
      </c>
      <c r="M7" s="155">
        <f t="shared" si="0"/>
        <v>220.46498372360193</v>
      </c>
    </row>
    <row r="8" spans="1:13">
      <c r="A8" s="152" t="s">
        <v>237</v>
      </c>
      <c r="B8" s="153" t="s">
        <v>235</v>
      </c>
      <c r="C8" s="154">
        <v>215.32979737345238</v>
      </c>
      <c r="D8" s="154">
        <f t="shared" si="0"/>
        <v>214.25314838658511</v>
      </c>
      <c r="E8" s="154">
        <f t="shared" si="0"/>
        <v>213.18188264465218</v>
      </c>
      <c r="F8" s="154">
        <f t="shared" si="0"/>
        <v>212.11597323142891</v>
      </c>
      <c r="G8" s="154">
        <f t="shared" si="0"/>
        <v>211.05539336527175</v>
      </c>
      <c r="H8" s="154">
        <f t="shared" si="0"/>
        <v>210.00011639844539</v>
      </c>
      <c r="I8" s="154">
        <f t="shared" si="0"/>
        <v>208.95011581645315</v>
      </c>
      <c r="J8" s="154">
        <f t="shared" si="0"/>
        <v>207.90536523737089</v>
      </c>
      <c r="K8" s="154">
        <f t="shared" si="0"/>
        <v>206.86583841118403</v>
      </c>
      <c r="L8" s="154">
        <f t="shared" si="0"/>
        <v>205.83150921912809</v>
      </c>
      <c r="M8" s="155">
        <f t="shared" si="0"/>
        <v>204.80235167303246</v>
      </c>
    </row>
    <row r="9" spans="1:13">
      <c r="A9" s="152" t="s">
        <v>237</v>
      </c>
      <c r="B9" s="153" t="s">
        <v>236</v>
      </c>
      <c r="C9" s="154">
        <v>239.50482069007938</v>
      </c>
      <c r="D9" s="154">
        <f t="shared" si="0"/>
        <v>238.30729658662898</v>
      </c>
      <c r="E9" s="154">
        <f t="shared" si="0"/>
        <v>237.11576010369583</v>
      </c>
      <c r="F9" s="154">
        <f t="shared" si="0"/>
        <v>235.93018130317736</v>
      </c>
      <c r="G9" s="154">
        <f t="shared" si="0"/>
        <v>234.75053039666147</v>
      </c>
      <c r="H9" s="154">
        <f t="shared" si="0"/>
        <v>233.57677774467817</v>
      </c>
      <c r="I9" s="154">
        <f t="shared" si="0"/>
        <v>232.40889385595477</v>
      </c>
      <c r="J9" s="154">
        <f t="shared" si="0"/>
        <v>231.246849386675</v>
      </c>
      <c r="K9" s="154">
        <f t="shared" si="0"/>
        <v>230.09061513974163</v>
      </c>
      <c r="L9" s="154">
        <f t="shared" si="0"/>
        <v>228.94016206404291</v>
      </c>
      <c r="M9" s="155">
        <f t="shared" si="0"/>
        <v>227.79546125372269</v>
      </c>
    </row>
    <row r="10" spans="1:13">
      <c r="A10" s="152" t="s">
        <v>238</v>
      </c>
      <c r="B10" s="153" t="s">
        <v>235</v>
      </c>
      <c r="C10" s="154">
        <v>224.60757430002184</v>
      </c>
      <c r="D10" s="154">
        <f t="shared" si="0"/>
        <v>223.48453642852172</v>
      </c>
      <c r="E10" s="154">
        <f t="shared" si="0"/>
        <v>222.36711374637912</v>
      </c>
      <c r="F10" s="154">
        <f t="shared" si="0"/>
        <v>221.25527817764723</v>
      </c>
      <c r="G10" s="154">
        <f t="shared" si="0"/>
        <v>220.14900178675899</v>
      </c>
      <c r="H10" s="154">
        <f t="shared" si="0"/>
        <v>219.0482567778252</v>
      </c>
      <c r="I10" s="154">
        <f t="shared" si="0"/>
        <v>217.95301549393608</v>
      </c>
      <c r="J10" s="154">
        <f t="shared" si="0"/>
        <v>216.8632504164664</v>
      </c>
      <c r="K10" s="154">
        <f t="shared" si="0"/>
        <v>215.77893416438405</v>
      </c>
      <c r="L10" s="154">
        <f t="shared" si="0"/>
        <v>214.70003949356214</v>
      </c>
      <c r="M10" s="155">
        <f t="shared" si="0"/>
        <v>213.62653929609434</v>
      </c>
    </row>
    <row r="11" spans="1:13">
      <c r="A11" s="152" t="s">
        <v>238</v>
      </c>
      <c r="B11" s="153" t="s">
        <v>236</v>
      </c>
      <c r="C11" s="154">
        <v>249.21141200729167</v>
      </c>
      <c r="D11" s="154">
        <f t="shared" si="0"/>
        <v>247.96535494725521</v>
      </c>
      <c r="E11" s="154">
        <f t="shared" si="0"/>
        <v>246.72552817251892</v>
      </c>
      <c r="F11" s="154">
        <f t="shared" si="0"/>
        <v>245.49190053165631</v>
      </c>
      <c r="G11" s="154">
        <f t="shared" si="0"/>
        <v>244.26444102899802</v>
      </c>
      <c r="H11" s="154">
        <f t="shared" si="0"/>
        <v>243.04311882385304</v>
      </c>
      <c r="I11" s="154">
        <f t="shared" si="0"/>
        <v>241.82790322973378</v>
      </c>
      <c r="J11" s="154">
        <f t="shared" si="0"/>
        <v>240.61876371358511</v>
      </c>
      <c r="K11" s="154">
        <f t="shared" si="0"/>
        <v>239.41566989501717</v>
      </c>
      <c r="L11" s="154">
        <f t="shared" si="0"/>
        <v>238.2185915455421</v>
      </c>
      <c r="M11" s="155">
        <f t="shared" si="0"/>
        <v>237.02749858781439</v>
      </c>
    </row>
    <row r="12" spans="1:13">
      <c r="A12" s="152" t="s">
        <v>239</v>
      </c>
      <c r="B12" s="153" t="s">
        <v>235</v>
      </c>
      <c r="C12" s="154">
        <v>271.69529279523806</v>
      </c>
      <c r="D12" s="154">
        <f t="shared" si="0"/>
        <v>270.33681633126184</v>
      </c>
      <c r="E12" s="154">
        <f t="shared" si="0"/>
        <v>268.98513224960556</v>
      </c>
      <c r="F12" s="154">
        <f t="shared" si="0"/>
        <v>267.6402065883575</v>
      </c>
      <c r="G12" s="154">
        <f t="shared" si="0"/>
        <v>266.30200555541569</v>
      </c>
      <c r="H12" s="154">
        <f t="shared" si="0"/>
        <v>264.9704955276386</v>
      </c>
      <c r="I12" s="154">
        <f t="shared" si="0"/>
        <v>263.64564305000039</v>
      </c>
      <c r="J12" s="154">
        <f t="shared" si="0"/>
        <v>262.32741483475036</v>
      </c>
      <c r="K12" s="154">
        <f t="shared" si="0"/>
        <v>261.01577776057661</v>
      </c>
      <c r="L12" s="154">
        <f t="shared" si="0"/>
        <v>259.71069887177373</v>
      </c>
      <c r="M12" s="155">
        <f t="shared" si="0"/>
        <v>258.41214537741484</v>
      </c>
    </row>
    <row r="13" spans="1:13">
      <c r="A13" s="152" t="s">
        <v>239</v>
      </c>
      <c r="B13" s="153" t="s">
        <v>236</v>
      </c>
      <c r="C13" s="154">
        <v>300.76724061066068</v>
      </c>
      <c r="D13" s="154">
        <f t="shared" si="0"/>
        <v>299.26340440760737</v>
      </c>
      <c r="E13" s="154">
        <f t="shared" si="0"/>
        <v>297.76708738556931</v>
      </c>
      <c r="F13" s="154">
        <f t="shared" si="0"/>
        <v>296.27825194864147</v>
      </c>
      <c r="G13" s="154">
        <f t="shared" si="0"/>
        <v>294.79686068889828</v>
      </c>
      <c r="H13" s="154">
        <f t="shared" si="0"/>
        <v>293.32287638545381</v>
      </c>
      <c r="I13" s="154">
        <f t="shared" si="0"/>
        <v>291.85626200352652</v>
      </c>
      <c r="J13" s="154">
        <f t="shared" si="0"/>
        <v>290.39698069350891</v>
      </c>
      <c r="K13" s="154">
        <f t="shared" si="0"/>
        <v>288.94499579004139</v>
      </c>
      <c r="L13" s="154">
        <f t="shared" si="0"/>
        <v>287.50027081109118</v>
      </c>
      <c r="M13" s="155">
        <f t="shared" si="0"/>
        <v>286.0627694570357</v>
      </c>
    </row>
    <row r="14" spans="1:13">
      <c r="A14" s="152" t="s">
        <v>240</v>
      </c>
      <c r="B14" s="153" t="s">
        <v>235</v>
      </c>
      <c r="C14" s="154">
        <v>346.78691837968256</v>
      </c>
      <c r="D14" s="154">
        <f t="shared" si="0"/>
        <v>345.05298378778417</v>
      </c>
      <c r="E14" s="154">
        <f t="shared" si="0"/>
        <v>343.32771886884524</v>
      </c>
      <c r="F14" s="154">
        <f t="shared" si="0"/>
        <v>341.61108027450103</v>
      </c>
      <c r="G14" s="154">
        <f t="shared" si="0"/>
        <v>339.90302487312852</v>
      </c>
      <c r="H14" s="154">
        <f t="shared" si="0"/>
        <v>338.20350974876288</v>
      </c>
      <c r="I14" s="154">
        <f t="shared" si="0"/>
        <v>336.51249220001904</v>
      </c>
      <c r="J14" s="154">
        <f t="shared" si="0"/>
        <v>334.82992973901895</v>
      </c>
      <c r="K14" s="154">
        <f t="shared" si="0"/>
        <v>333.15578009032384</v>
      </c>
      <c r="L14" s="154">
        <f t="shared" si="0"/>
        <v>331.4900011898722</v>
      </c>
      <c r="M14" s="155">
        <f t="shared" si="0"/>
        <v>329.83255118392282</v>
      </c>
    </row>
    <row r="15" spans="1:13">
      <c r="A15" s="152" t="s">
        <v>240</v>
      </c>
      <c r="B15" s="153" t="s">
        <v>236</v>
      </c>
      <c r="C15" s="154">
        <v>384.07320274496033</v>
      </c>
      <c r="D15" s="154">
        <f t="shared" si="0"/>
        <v>382.15283673123554</v>
      </c>
      <c r="E15" s="154">
        <f t="shared" si="0"/>
        <v>380.24207254757937</v>
      </c>
      <c r="F15" s="154">
        <f t="shared" si="0"/>
        <v>378.34086218484146</v>
      </c>
      <c r="G15" s="154">
        <f t="shared" si="0"/>
        <v>376.44915787391727</v>
      </c>
      <c r="H15" s="154">
        <f t="shared" si="0"/>
        <v>374.56691208454771</v>
      </c>
      <c r="I15" s="154">
        <f t="shared" si="0"/>
        <v>372.69407752412496</v>
      </c>
      <c r="J15" s="154">
        <f t="shared" si="0"/>
        <v>370.83060713650434</v>
      </c>
      <c r="K15" s="154">
        <f t="shared" si="0"/>
        <v>368.9764541008218</v>
      </c>
      <c r="L15" s="154">
        <f t="shared" si="0"/>
        <v>367.13157183031768</v>
      </c>
      <c r="M15" s="155">
        <f t="shared" si="0"/>
        <v>365.2959139711661</v>
      </c>
    </row>
    <row r="17" spans="1:13" ht="16" thickBot="1">
      <c r="A17" t="s">
        <v>241</v>
      </c>
    </row>
    <row r="18" spans="1:13">
      <c r="A18" s="314" t="s">
        <v>220</v>
      </c>
      <c r="B18" s="315"/>
      <c r="C18" s="315"/>
      <c r="D18" s="315"/>
      <c r="E18" s="315"/>
      <c r="F18" s="315"/>
      <c r="G18" s="315"/>
      <c r="H18" s="315"/>
      <c r="I18" s="315"/>
      <c r="J18" s="315"/>
      <c r="K18" s="315"/>
      <c r="L18" s="315"/>
      <c r="M18" s="316"/>
    </row>
    <row r="19" spans="1:13" ht="16" thickBot="1">
      <c r="A19" s="144" t="s">
        <v>221</v>
      </c>
      <c r="B19" s="145" t="s">
        <v>222</v>
      </c>
      <c r="C19" s="146" t="s">
        <v>223</v>
      </c>
      <c r="D19" s="146" t="s">
        <v>224</v>
      </c>
      <c r="E19" s="146" t="s">
        <v>225</v>
      </c>
      <c r="F19" s="146" t="s">
        <v>226</v>
      </c>
      <c r="G19" s="146" t="s">
        <v>227</v>
      </c>
      <c r="H19" s="146" t="s">
        <v>228</v>
      </c>
      <c r="I19" s="146" t="s">
        <v>229</v>
      </c>
      <c r="J19" s="146" t="s">
        <v>230</v>
      </c>
      <c r="K19" s="146" t="s">
        <v>231</v>
      </c>
      <c r="L19" s="146" t="s">
        <v>232</v>
      </c>
      <c r="M19" s="147" t="s">
        <v>233</v>
      </c>
    </row>
    <row r="20" spans="1:13">
      <c r="A20" s="148" t="s">
        <v>234</v>
      </c>
      <c r="B20" s="149" t="s">
        <v>242</v>
      </c>
      <c r="C20" s="150">
        <f>(C6+C7)/2</f>
        <v>220.20211892734127</v>
      </c>
      <c r="D20" s="150">
        <f t="shared" ref="D20:M20" si="1">(D6+D7)/2</f>
        <v>219.10110833270457</v>
      </c>
      <c r="E20" s="150">
        <f t="shared" si="1"/>
        <v>218.00560279104104</v>
      </c>
      <c r="F20" s="150">
        <f t="shared" si="1"/>
        <v>216.91557477708585</v>
      </c>
      <c r="G20" s="150">
        <f t="shared" si="1"/>
        <v>215.8309969032004</v>
      </c>
      <c r="H20" s="150">
        <f t="shared" si="1"/>
        <v>214.75184191868442</v>
      </c>
      <c r="I20" s="150">
        <f t="shared" si="1"/>
        <v>213.67808270909097</v>
      </c>
      <c r="J20" s="150">
        <f t="shared" si="1"/>
        <v>212.60969229554553</v>
      </c>
      <c r="K20" s="150">
        <f t="shared" si="1"/>
        <v>211.54664383406779</v>
      </c>
      <c r="L20" s="150">
        <f t="shared" si="1"/>
        <v>210.48891061489746</v>
      </c>
      <c r="M20" s="150">
        <f t="shared" si="1"/>
        <v>209.43646606182295</v>
      </c>
    </row>
    <row r="21" spans="1:13" ht="16" thickBot="1">
      <c r="A21" s="152" t="s">
        <v>243</v>
      </c>
      <c r="B21" s="153"/>
      <c r="C21" s="154">
        <f>C20*1.07</f>
        <v>235.61626725225517</v>
      </c>
      <c r="D21" s="154">
        <f t="shared" ref="D21:M21" si="2">D20*1.07</f>
        <v>234.4381859159939</v>
      </c>
      <c r="E21" s="154">
        <f t="shared" si="2"/>
        <v>233.26599498641392</v>
      </c>
      <c r="F21" s="154">
        <f t="shared" si="2"/>
        <v>232.09966501148187</v>
      </c>
      <c r="G21" s="154">
        <f t="shared" si="2"/>
        <v>230.93916668642444</v>
      </c>
      <c r="H21" s="154">
        <f t="shared" si="2"/>
        <v>229.78447085299234</v>
      </c>
      <c r="I21" s="154">
        <f t="shared" si="2"/>
        <v>228.63554849872736</v>
      </c>
      <c r="J21" s="154">
        <f t="shared" si="2"/>
        <v>227.49237075623373</v>
      </c>
      <c r="K21" s="154">
        <f t="shared" si="2"/>
        <v>226.35490890245256</v>
      </c>
      <c r="L21" s="154">
        <f t="shared" si="2"/>
        <v>225.2231343579403</v>
      </c>
      <c r="M21" s="154">
        <f t="shared" si="2"/>
        <v>224.09701868615056</v>
      </c>
    </row>
    <row r="22" spans="1:13">
      <c r="A22" s="152" t="s">
        <v>237</v>
      </c>
      <c r="B22" s="149" t="s">
        <v>242</v>
      </c>
      <c r="C22" s="150">
        <f>(C8+C9)/2</f>
        <v>227.41730903176588</v>
      </c>
      <c r="D22" s="150">
        <f t="shared" ref="D22:M22" si="3">(D8+D9)/2</f>
        <v>226.28022248660704</v>
      </c>
      <c r="E22" s="150">
        <f t="shared" si="3"/>
        <v>225.14882137417402</v>
      </c>
      <c r="F22" s="150">
        <f t="shared" si="3"/>
        <v>224.02307726730314</v>
      </c>
      <c r="G22" s="150">
        <f t="shared" si="3"/>
        <v>222.90296188096661</v>
      </c>
      <c r="H22" s="150">
        <f t="shared" si="3"/>
        <v>221.78844707156179</v>
      </c>
      <c r="I22" s="150">
        <f t="shared" si="3"/>
        <v>220.67950483620396</v>
      </c>
      <c r="J22" s="150">
        <f t="shared" si="3"/>
        <v>219.57610731202294</v>
      </c>
      <c r="K22" s="150">
        <f t="shared" si="3"/>
        <v>218.47822677546282</v>
      </c>
      <c r="L22" s="150">
        <f t="shared" si="3"/>
        <v>217.38583564158552</v>
      </c>
      <c r="M22" s="150">
        <f t="shared" si="3"/>
        <v>216.29890646337759</v>
      </c>
    </row>
    <row r="23" spans="1:13" ht="16" thickBot="1">
      <c r="A23" s="152" t="s">
        <v>243</v>
      </c>
      <c r="B23" s="153"/>
      <c r="C23" s="154">
        <f>C22*1.07</f>
        <v>243.33652066398952</v>
      </c>
      <c r="D23" s="154">
        <f t="shared" ref="D23:M23" si="4">D22*1.07</f>
        <v>242.11983806066957</v>
      </c>
      <c r="E23" s="154">
        <f t="shared" si="4"/>
        <v>240.90923887036621</v>
      </c>
      <c r="F23" s="154">
        <f t="shared" si="4"/>
        <v>239.70469267601436</v>
      </c>
      <c r="G23" s="154">
        <f t="shared" si="4"/>
        <v>238.50616921263429</v>
      </c>
      <c r="H23" s="154">
        <f t="shared" si="4"/>
        <v>237.31363836657113</v>
      </c>
      <c r="I23" s="154">
        <f t="shared" si="4"/>
        <v>236.12707017473826</v>
      </c>
      <c r="J23" s="154">
        <f t="shared" si="4"/>
        <v>234.94643482386456</v>
      </c>
      <c r="K23" s="154">
        <f t="shared" si="4"/>
        <v>233.77170264974524</v>
      </c>
      <c r="L23" s="154">
        <f t="shared" si="4"/>
        <v>232.60284413649651</v>
      </c>
      <c r="M23" s="154">
        <f t="shared" si="4"/>
        <v>231.43982991581404</v>
      </c>
    </row>
    <row r="24" spans="1:13">
      <c r="A24" s="152" t="s">
        <v>238</v>
      </c>
      <c r="B24" s="149" t="s">
        <v>242</v>
      </c>
      <c r="C24" s="150">
        <f>(C10+C11)/2</f>
        <v>236.90949315365674</v>
      </c>
      <c r="D24" s="150">
        <f t="shared" ref="D24:M24" si="5">(D10+D11)/2</f>
        <v>235.72494568788846</v>
      </c>
      <c r="E24" s="150">
        <f t="shared" si="5"/>
        <v>234.54632095944902</v>
      </c>
      <c r="F24" s="150">
        <f t="shared" si="5"/>
        <v>233.37358935465176</v>
      </c>
      <c r="G24" s="150">
        <f t="shared" si="5"/>
        <v>232.20672140787849</v>
      </c>
      <c r="H24" s="150">
        <f t="shared" si="5"/>
        <v>231.04568780083912</v>
      </c>
      <c r="I24" s="150">
        <f t="shared" si="5"/>
        <v>229.89045936183493</v>
      </c>
      <c r="J24" s="150">
        <f t="shared" si="5"/>
        <v>228.74100706502577</v>
      </c>
      <c r="K24" s="150">
        <f t="shared" si="5"/>
        <v>227.59730202970061</v>
      </c>
      <c r="L24" s="150">
        <f t="shared" si="5"/>
        <v>226.45931551955212</v>
      </c>
      <c r="M24" s="150">
        <f t="shared" si="5"/>
        <v>225.32701894195435</v>
      </c>
    </row>
    <row r="25" spans="1:13" ht="16" thickBot="1">
      <c r="A25" s="152" t="s">
        <v>243</v>
      </c>
      <c r="B25" s="153"/>
      <c r="C25" s="154">
        <f>C24*1.07</f>
        <v>253.49315767441271</v>
      </c>
      <c r="D25" s="154">
        <f t="shared" ref="D25:M25" si="6">D24*1.07</f>
        <v>252.22569188604066</v>
      </c>
      <c r="E25" s="154">
        <f t="shared" si="6"/>
        <v>250.96456342661045</v>
      </c>
      <c r="F25" s="154">
        <f t="shared" si="6"/>
        <v>249.70974060947739</v>
      </c>
      <c r="G25" s="154">
        <f t="shared" si="6"/>
        <v>248.46119190643</v>
      </c>
      <c r="H25" s="154">
        <f t="shared" si="6"/>
        <v>247.21888594689787</v>
      </c>
      <c r="I25" s="154">
        <f t="shared" si="6"/>
        <v>245.98279151716338</v>
      </c>
      <c r="J25" s="154">
        <f t="shared" si="6"/>
        <v>244.7528775595776</v>
      </c>
      <c r="K25" s="154">
        <f t="shared" si="6"/>
        <v>243.52911317177967</v>
      </c>
      <c r="L25" s="154">
        <f t="shared" si="6"/>
        <v>242.3114676059208</v>
      </c>
      <c r="M25" s="154">
        <f t="shared" si="6"/>
        <v>241.09991026789118</v>
      </c>
    </row>
    <row r="26" spans="1:13">
      <c r="A26" s="152" t="s">
        <v>239</v>
      </c>
      <c r="B26" s="149" t="s">
        <v>242</v>
      </c>
      <c r="C26" s="150">
        <f>(C12+C13)/2</f>
        <v>286.23126670294937</v>
      </c>
      <c r="D26" s="150">
        <f t="shared" ref="D26:M26" si="7">(D12+D13)/2</f>
        <v>284.80011036943461</v>
      </c>
      <c r="E26" s="150">
        <f t="shared" si="7"/>
        <v>283.37610981758746</v>
      </c>
      <c r="F26" s="150">
        <f t="shared" si="7"/>
        <v>281.95922926849948</v>
      </c>
      <c r="G26" s="150">
        <f t="shared" si="7"/>
        <v>280.54943312215698</v>
      </c>
      <c r="H26" s="150">
        <f t="shared" si="7"/>
        <v>279.14668595654621</v>
      </c>
      <c r="I26" s="150">
        <f t="shared" si="7"/>
        <v>277.75095252676346</v>
      </c>
      <c r="J26" s="150">
        <f t="shared" si="7"/>
        <v>276.36219776412963</v>
      </c>
      <c r="K26" s="150">
        <f t="shared" si="7"/>
        <v>274.980386775309</v>
      </c>
      <c r="L26" s="150">
        <f t="shared" si="7"/>
        <v>273.60548484143249</v>
      </c>
      <c r="M26" s="150">
        <f t="shared" si="7"/>
        <v>272.2374574172253</v>
      </c>
    </row>
    <row r="27" spans="1:13" ht="16" thickBot="1">
      <c r="A27" s="152" t="s">
        <v>243</v>
      </c>
      <c r="B27" s="153"/>
      <c r="C27" s="154">
        <f>C26*1.07</f>
        <v>306.26745537215584</v>
      </c>
      <c r="D27" s="154">
        <f t="shared" ref="D27:M27" si="8">D26*1.07</f>
        <v>304.73611809529507</v>
      </c>
      <c r="E27" s="154">
        <f t="shared" si="8"/>
        <v>303.21243750481858</v>
      </c>
      <c r="F27" s="154">
        <f t="shared" si="8"/>
        <v>301.69637531729444</v>
      </c>
      <c r="G27" s="154">
        <f t="shared" si="8"/>
        <v>300.18789344070797</v>
      </c>
      <c r="H27" s="154">
        <f t="shared" si="8"/>
        <v>298.68695397350444</v>
      </c>
      <c r="I27" s="154">
        <f t="shared" si="8"/>
        <v>297.19351920363692</v>
      </c>
      <c r="J27" s="154">
        <f t="shared" si="8"/>
        <v>295.70755160761871</v>
      </c>
      <c r="K27" s="154">
        <f t="shared" si="8"/>
        <v>294.22901384958067</v>
      </c>
      <c r="L27" s="154">
        <f t="shared" si="8"/>
        <v>292.75786878033279</v>
      </c>
      <c r="M27" s="154">
        <f t="shared" si="8"/>
        <v>291.2940794364311</v>
      </c>
    </row>
    <row r="28" spans="1:13">
      <c r="A28" s="152" t="s">
        <v>240</v>
      </c>
      <c r="B28" s="149" t="s">
        <v>242</v>
      </c>
      <c r="C28" s="150">
        <f>(C14+C15)/2</f>
        <v>365.43006056232144</v>
      </c>
      <c r="D28" s="150">
        <f t="shared" ref="D28:M28" si="9">(D14+D15)/2</f>
        <v>363.60291025950983</v>
      </c>
      <c r="E28" s="150">
        <f t="shared" si="9"/>
        <v>361.78489570821228</v>
      </c>
      <c r="F28" s="150">
        <f t="shared" si="9"/>
        <v>359.97597122967125</v>
      </c>
      <c r="G28" s="150">
        <f t="shared" si="9"/>
        <v>358.17609137352292</v>
      </c>
      <c r="H28" s="150">
        <f t="shared" si="9"/>
        <v>356.3852109166553</v>
      </c>
      <c r="I28" s="150">
        <f t="shared" si="9"/>
        <v>354.60328486207197</v>
      </c>
      <c r="J28" s="150">
        <f t="shared" si="9"/>
        <v>352.83026843776167</v>
      </c>
      <c r="K28" s="150">
        <f t="shared" si="9"/>
        <v>351.06611709557285</v>
      </c>
      <c r="L28" s="150">
        <f t="shared" si="9"/>
        <v>349.31078651009494</v>
      </c>
      <c r="M28" s="150">
        <f t="shared" si="9"/>
        <v>347.56423257754443</v>
      </c>
    </row>
    <row r="29" spans="1:13">
      <c r="A29" s="152" t="s">
        <v>243</v>
      </c>
      <c r="B29" s="153"/>
      <c r="C29" s="154">
        <f>C28*1.07</f>
        <v>391.01016480168397</v>
      </c>
      <c r="D29" s="154">
        <f t="shared" ref="D29:M29" si="10">D28*1.07</f>
        <v>389.05511397767555</v>
      </c>
      <c r="E29" s="154">
        <f t="shared" si="10"/>
        <v>387.10983840778715</v>
      </c>
      <c r="F29" s="154">
        <f t="shared" si="10"/>
        <v>385.17428921574827</v>
      </c>
      <c r="G29" s="154">
        <f t="shared" si="10"/>
        <v>383.24841776966957</v>
      </c>
      <c r="H29" s="154">
        <f t="shared" si="10"/>
        <v>381.33217568082119</v>
      </c>
      <c r="I29" s="154">
        <f t="shared" si="10"/>
        <v>379.42551480241701</v>
      </c>
      <c r="J29" s="154">
        <f t="shared" si="10"/>
        <v>377.52838722840499</v>
      </c>
      <c r="K29" s="154">
        <f t="shared" si="10"/>
        <v>375.64074529226298</v>
      </c>
      <c r="L29" s="154">
        <f t="shared" si="10"/>
        <v>373.7625415658016</v>
      </c>
      <c r="M29" s="154">
        <f t="shared" si="10"/>
        <v>371.89372885797258</v>
      </c>
    </row>
    <row r="31" spans="1:13" ht="16" thickBot="1">
      <c r="A31" t="s">
        <v>244</v>
      </c>
    </row>
    <row r="32" spans="1:13">
      <c r="A32" s="314"/>
      <c r="B32" s="315"/>
      <c r="C32" s="315"/>
      <c r="D32" s="315"/>
      <c r="E32" s="315"/>
      <c r="F32" s="315"/>
      <c r="G32" s="315"/>
      <c r="H32" s="315"/>
      <c r="I32" s="315"/>
      <c r="J32" s="315"/>
      <c r="K32" s="315"/>
      <c r="L32" s="315"/>
      <c r="M32" s="316"/>
    </row>
    <row r="33" spans="1:14" ht="16" thickBot="1">
      <c r="A33" s="144" t="s">
        <v>221</v>
      </c>
      <c r="B33" s="145" t="s">
        <v>222</v>
      </c>
      <c r="C33" s="146" t="s">
        <v>223</v>
      </c>
      <c r="D33" s="146" t="s">
        <v>224</v>
      </c>
      <c r="E33" s="146" t="s">
        <v>225</v>
      </c>
      <c r="F33" s="146" t="s">
        <v>226</v>
      </c>
      <c r="G33" s="146" t="s">
        <v>227</v>
      </c>
      <c r="H33" s="146" t="s">
        <v>228</v>
      </c>
      <c r="I33" s="146" t="s">
        <v>229</v>
      </c>
      <c r="J33" s="146" t="s">
        <v>230</v>
      </c>
      <c r="K33" s="146" t="s">
        <v>231</v>
      </c>
      <c r="L33" s="146" t="s">
        <v>232</v>
      </c>
      <c r="M33" s="147" t="s">
        <v>233</v>
      </c>
    </row>
    <row r="34" spans="1:14" ht="16" thickBot="1">
      <c r="A34" s="148" t="s">
        <v>234</v>
      </c>
      <c r="B34" s="149" t="s">
        <v>245</v>
      </c>
      <c r="C34" s="150">
        <f>C21/1000/0.000293071</f>
        <v>803.95626743094738</v>
      </c>
      <c r="D34" s="150">
        <f t="shared" ref="D34:M34" si="11">D21/1000/0.000293071</f>
        <v>799.93648609379261</v>
      </c>
      <c r="E34" s="150">
        <f t="shared" si="11"/>
        <v>795.93680366332364</v>
      </c>
      <c r="F34" s="150">
        <f t="shared" si="11"/>
        <v>791.95711964500708</v>
      </c>
      <c r="G34" s="150">
        <f t="shared" si="11"/>
        <v>787.99733404678204</v>
      </c>
      <c r="H34" s="150">
        <f t="shared" si="11"/>
        <v>784.05734737654814</v>
      </c>
      <c r="I34" s="150">
        <f t="shared" si="11"/>
        <v>780.13706063966538</v>
      </c>
      <c r="J34" s="150">
        <f t="shared" si="11"/>
        <v>776.23637533646695</v>
      </c>
      <c r="K34" s="150">
        <f t="shared" si="11"/>
        <v>772.35519345978469</v>
      </c>
      <c r="L34" s="150">
        <f t="shared" si="11"/>
        <v>768.49341749248583</v>
      </c>
      <c r="M34" s="150">
        <f t="shared" si="11"/>
        <v>764.6509504050232</v>
      </c>
    </row>
    <row r="35" spans="1:14" ht="16" thickBot="1">
      <c r="A35" s="152" t="s">
        <v>237</v>
      </c>
      <c r="B35" s="149" t="s">
        <v>245</v>
      </c>
      <c r="C35" s="154">
        <f>C23/1000/0.000293071</f>
        <v>830.29887182283312</v>
      </c>
      <c r="D35" s="154">
        <f t="shared" ref="D35:M35" si="12">D23/1000/0.000293071</f>
        <v>826.14737746371884</v>
      </c>
      <c r="E35" s="154">
        <f t="shared" si="12"/>
        <v>822.01664057640028</v>
      </c>
      <c r="F35" s="154">
        <f t="shared" si="12"/>
        <v>817.90655737351824</v>
      </c>
      <c r="G35" s="154">
        <f t="shared" si="12"/>
        <v>813.81702458665063</v>
      </c>
      <c r="H35" s="154">
        <f t="shared" si="12"/>
        <v>809.74793946371744</v>
      </c>
      <c r="I35" s="154">
        <f t="shared" si="12"/>
        <v>805.69919976639881</v>
      </c>
      <c r="J35" s="154">
        <f t="shared" si="12"/>
        <v>801.67070376756681</v>
      </c>
      <c r="K35" s="154">
        <f t="shared" si="12"/>
        <v>797.6623502487289</v>
      </c>
      <c r="L35" s="154">
        <f t="shared" si="12"/>
        <v>793.6740384974853</v>
      </c>
      <c r="M35" s="154">
        <f t="shared" si="12"/>
        <v>789.70566830499797</v>
      </c>
    </row>
    <row r="36" spans="1:14" ht="16" thickBot="1">
      <c r="A36" s="152" t="s">
        <v>238</v>
      </c>
      <c r="B36" s="149" t="s">
        <v>245</v>
      </c>
      <c r="C36" s="154">
        <f>C25/1000/0.000293071</f>
        <v>864.95476411658854</v>
      </c>
      <c r="D36" s="154">
        <f t="shared" ref="D36:M36" si="13">D25/1000/0.000293071</f>
        <v>860.62999029600564</v>
      </c>
      <c r="E36" s="154">
        <f t="shared" si="13"/>
        <v>856.32684034452552</v>
      </c>
      <c r="F36" s="154">
        <f t="shared" si="13"/>
        <v>852.04520614280295</v>
      </c>
      <c r="G36" s="154">
        <f t="shared" si="13"/>
        <v>847.78498011208887</v>
      </c>
      <c r="H36" s="154">
        <f t="shared" si="13"/>
        <v>843.54605521152848</v>
      </c>
      <c r="I36" s="154">
        <f t="shared" si="13"/>
        <v>839.32832493547085</v>
      </c>
      <c r="J36" s="154">
        <f t="shared" si="13"/>
        <v>835.13168331079362</v>
      </c>
      <c r="K36" s="154">
        <f t="shared" si="13"/>
        <v>830.95602489423948</v>
      </c>
      <c r="L36" s="154">
        <f t="shared" si="13"/>
        <v>826.80124476976835</v>
      </c>
      <c r="M36" s="154">
        <f t="shared" si="13"/>
        <v>822.66723854591953</v>
      </c>
    </row>
    <row r="37" spans="1:14" ht="16" thickBot="1">
      <c r="A37" s="152" t="s">
        <v>239</v>
      </c>
      <c r="B37" s="149" t="s">
        <v>245</v>
      </c>
      <c r="C37" s="154">
        <f>C27/1000/0.000293071</f>
        <v>1045.0281855664866</v>
      </c>
      <c r="D37" s="154">
        <f t="shared" ref="D37:M37" si="14">D27/1000/0.000293071</f>
        <v>1039.8030446386542</v>
      </c>
      <c r="E37" s="154">
        <f t="shared" si="14"/>
        <v>1034.6040294154611</v>
      </c>
      <c r="F37" s="154">
        <f t="shared" si="14"/>
        <v>1029.4310092683836</v>
      </c>
      <c r="G37" s="154">
        <f t="shared" si="14"/>
        <v>1024.2838542220416</v>
      </c>
      <c r="H37" s="154">
        <f t="shared" si="14"/>
        <v>1019.1624349509315</v>
      </c>
      <c r="I37" s="154">
        <f t="shared" si="14"/>
        <v>1014.0666227761768</v>
      </c>
      <c r="J37" s="154">
        <f t="shared" si="14"/>
        <v>1008.9962896622958</v>
      </c>
      <c r="K37" s="154">
        <f t="shared" si="14"/>
        <v>1003.9513082139846</v>
      </c>
      <c r="L37" s="154">
        <f t="shared" si="14"/>
        <v>998.93155167291468</v>
      </c>
      <c r="M37" s="154">
        <f t="shared" si="14"/>
        <v>993.93689391455007</v>
      </c>
    </row>
    <row r="38" spans="1:14">
      <c r="A38" s="152" t="s">
        <v>240</v>
      </c>
      <c r="B38" s="149" t="s">
        <v>245</v>
      </c>
      <c r="C38" s="154">
        <f>C29/1000/0.000293071</f>
        <v>1334.1823817494189</v>
      </c>
      <c r="D38" s="154">
        <f t="shared" ref="D38:M38" si="15">D29/1000/0.000293071</f>
        <v>1327.5114698406719</v>
      </c>
      <c r="E38" s="154">
        <f t="shared" si="15"/>
        <v>1320.8739124914684</v>
      </c>
      <c r="F38" s="154">
        <f t="shared" si="15"/>
        <v>1314.2695429290113</v>
      </c>
      <c r="G38" s="154">
        <f t="shared" si="15"/>
        <v>1307.6981952143663</v>
      </c>
      <c r="H38" s="154">
        <f t="shared" si="15"/>
        <v>1301.1597042382944</v>
      </c>
      <c r="I38" s="154">
        <f t="shared" si="15"/>
        <v>1294.6539057171026</v>
      </c>
      <c r="J38" s="154">
        <f t="shared" si="15"/>
        <v>1288.1806361885174</v>
      </c>
      <c r="K38" s="154">
        <f t="shared" si="15"/>
        <v>1281.7397330075748</v>
      </c>
      <c r="L38" s="154">
        <f t="shared" si="15"/>
        <v>1275.3310343425367</v>
      </c>
      <c r="M38" s="154">
        <f t="shared" si="15"/>
        <v>1268.954379170824</v>
      </c>
    </row>
    <row r="39" spans="1:14">
      <c r="A39" s="152" t="s">
        <v>242</v>
      </c>
      <c r="B39" s="153"/>
      <c r="C39" s="154">
        <f>(C34+C35+C36+C37+C38)/5</f>
        <v>975.68409413725499</v>
      </c>
      <c r="D39" s="154">
        <f t="shared" ref="D39:M39" si="16">(D34+D35+D36+D37+D38)/5</f>
        <v>970.80567366656874</v>
      </c>
      <c r="E39" s="154">
        <f t="shared" si="16"/>
        <v>965.9516452982358</v>
      </c>
      <c r="F39" s="154">
        <f t="shared" si="16"/>
        <v>961.1218870717446</v>
      </c>
      <c r="G39" s="154">
        <f t="shared" si="16"/>
        <v>956.31627763638585</v>
      </c>
      <c r="H39" s="154">
        <f t="shared" si="16"/>
        <v>951.53469624820389</v>
      </c>
      <c r="I39" s="154">
        <f t="shared" si="16"/>
        <v>946.77702276696289</v>
      </c>
      <c r="J39" s="154">
        <f t="shared" si="16"/>
        <v>942.04313765312816</v>
      </c>
      <c r="K39" s="154">
        <f t="shared" si="16"/>
        <v>937.33292196486252</v>
      </c>
      <c r="L39" s="154">
        <f t="shared" si="16"/>
        <v>932.64625735503819</v>
      </c>
      <c r="M39" s="154">
        <f t="shared" si="16"/>
        <v>927.98302606826292</v>
      </c>
    </row>
    <row r="40" spans="1:14">
      <c r="A40" s="152" t="s">
        <v>246</v>
      </c>
      <c r="B40" s="153"/>
      <c r="C40" s="156">
        <f>E47/C39</f>
        <v>4.6312809293076898</v>
      </c>
      <c r="D40" s="154"/>
      <c r="E40" s="154"/>
      <c r="F40" s="154"/>
      <c r="G40" s="154"/>
      <c r="H40" s="156">
        <f>E52/H39</f>
        <v>4.3004228323236049</v>
      </c>
      <c r="I40" s="154"/>
      <c r="J40" s="154"/>
      <c r="K40" s="154"/>
      <c r="L40" s="154"/>
      <c r="M40" s="157">
        <f>E57/M39</f>
        <v>4.1194029778691217</v>
      </c>
    </row>
    <row r="41" spans="1:14">
      <c r="A41" s="8"/>
      <c r="B41" s="136"/>
      <c r="C41" s="158"/>
      <c r="D41" s="159"/>
      <c r="E41" s="159"/>
      <c r="F41" s="159"/>
      <c r="G41" s="159"/>
      <c r="H41" s="158"/>
      <c r="I41" s="159"/>
      <c r="J41" s="159"/>
      <c r="K41" s="159"/>
      <c r="L41" s="159"/>
      <c r="M41" s="158"/>
    </row>
    <row r="42" spans="1:14">
      <c r="A42" t="s">
        <v>247</v>
      </c>
      <c r="I42" s="313" t="s">
        <v>270</v>
      </c>
      <c r="J42" s="313"/>
      <c r="K42" s="313" t="s">
        <v>272</v>
      </c>
      <c r="L42" s="313"/>
      <c r="N42" s="68" t="s">
        <v>273</v>
      </c>
    </row>
    <row r="43" spans="1:14">
      <c r="A43" t="s">
        <v>251</v>
      </c>
      <c r="F43" s="32" t="s">
        <v>0</v>
      </c>
      <c r="G43" s="32" t="s">
        <v>1</v>
      </c>
      <c r="H43" s="32" t="s">
        <v>268</v>
      </c>
      <c r="I43" s="32" t="s">
        <v>48</v>
      </c>
      <c r="J43" s="32" t="s">
        <v>271</v>
      </c>
      <c r="K43" s="32" t="s">
        <v>48</v>
      </c>
      <c r="L43" s="32" t="s">
        <v>271</v>
      </c>
      <c r="N43" s="167" t="s">
        <v>274</v>
      </c>
    </row>
    <row r="44" spans="1:14">
      <c r="A44" t="s">
        <v>0</v>
      </c>
      <c r="B44" t="s">
        <v>1</v>
      </c>
      <c r="C44" t="s">
        <v>22</v>
      </c>
      <c r="D44" t="s">
        <v>75</v>
      </c>
      <c r="E44" t="s">
        <v>248</v>
      </c>
      <c r="F44">
        <v>2025</v>
      </c>
      <c r="G44" t="s">
        <v>109</v>
      </c>
      <c r="H44" s="139">
        <f>C40</f>
        <v>4.6312809293076898</v>
      </c>
      <c r="I44" s="15">
        <f>1-0.5*'CARB ZEV counts'!M5</f>
        <v>0.99077323796605243</v>
      </c>
      <c r="J44" s="15">
        <f>1-0.5*'CARB ZEV counts'!M65</f>
        <v>0.99077323796605243</v>
      </c>
      <c r="K44" s="15">
        <f>H44*I44</f>
        <v>4.5885492022606078</v>
      </c>
      <c r="L44" s="15">
        <f>H44*J44</f>
        <v>4.5885492022606078</v>
      </c>
      <c r="N44" s="6"/>
    </row>
    <row r="45" spans="1:14">
      <c r="A45">
        <v>2025</v>
      </c>
      <c r="B45">
        <v>20</v>
      </c>
      <c r="C45">
        <v>60408500</v>
      </c>
      <c r="D45">
        <v>15603900000</v>
      </c>
      <c r="F45">
        <v>2026</v>
      </c>
      <c r="G45" t="s">
        <v>109</v>
      </c>
      <c r="H45" s="139">
        <f t="shared" ref="H45" si="17">H44+(H49-H44)/5</f>
        <v>4.5651093099108726</v>
      </c>
      <c r="I45" s="15">
        <f>1-0.5*'CARB ZEV counts'!M6</f>
        <v>0.99004737057998826</v>
      </c>
      <c r="J45" s="15">
        <f>1-0.5*'CARB ZEV counts'!M66</f>
        <v>0.99004931789783146</v>
      </c>
      <c r="K45" s="15">
        <f t="shared" ref="K45:K59" si="18">H45*I45</f>
        <v>4.5196744686874846</v>
      </c>
      <c r="L45" s="15">
        <f t="shared" ref="L45:L59" si="19">H45*J45</f>
        <v>4.5196833584062999</v>
      </c>
    </row>
    <row r="46" spans="1:14">
      <c r="A46">
        <v>2025</v>
      </c>
      <c r="B46">
        <v>30</v>
      </c>
      <c r="C46">
        <v>101860000</v>
      </c>
      <c r="D46">
        <v>20306800000</v>
      </c>
      <c r="F46">
        <v>2027</v>
      </c>
      <c r="G46" t="s">
        <v>109</v>
      </c>
      <c r="H46" s="139">
        <f t="shared" ref="H46" si="20">H44+(H49-H44)/5*2</f>
        <v>4.4989376905140555</v>
      </c>
      <c r="I46" s="15">
        <f>1-0.5*'CARB ZEV counts'!M7</f>
        <v>0.98936637082551349</v>
      </c>
      <c r="J46" s="15">
        <f>1-0.5*'CARB ZEV counts'!M67</f>
        <v>0.98937005177598103</v>
      </c>
      <c r="K46" s="15">
        <f t="shared" si="18"/>
        <v>4.4510976554340083</v>
      </c>
      <c r="L46" s="15">
        <f t="shared" si="19"/>
        <v>4.4511142158008035</v>
      </c>
      <c r="N46" s="6"/>
    </row>
    <row r="47" spans="1:14">
      <c r="A47">
        <v>2025</v>
      </c>
      <c r="B47" t="s">
        <v>249</v>
      </c>
      <c r="C47">
        <f>C45+C46</f>
        <v>162268500</v>
      </c>
      <c r="D47">
        <f>D45+D46</f>
        <v>35910700000</v>
      </c>
      <c r="E47">
        <f>C47*1000000/D47</f>
        <v>4518.6671382067179</v>
      </c>
      <c r="F47">
        <v>2028</v>
      </c>
      <c r="G47" t="s">
        <v>109</v>
      </c>
      <c r="H47" s="139">
        <f t="shared" ref="H47" si="21">H44+(H49-H44)/5*3</f>
        <v>4.4327660711172392</v>
      </c>
      <c r="I47" s="15">
        <f>1-0.5*'CARB ZEV counts'!M8</f>
        <v>0.98873613832164686</v>
      </c>
      <c r="J47" s="15">
        <f>1-0.5*'CARB ZEV counts'!M68</f>
        <v>0.98855348268451282</v>
      </c>
      <c r="K47" s="15">
        <f t="shared" si="18"/>
        <v>4.3828360072396775</v>
      </c>
      <c r="L47" s="15">
        <f t="shared" si="19"/>
        <v>4.3820263375286919</v>
      </c>
    </row>
    <row r="48" spans="1:14">
      <c r="F48">
        <v>2029</v>
      </c>
      <c r="G48" t="s">
        <v>109</v>
      </c>
      <c r="H48" s="139">
        <f t="shared" ref="H48" si="22">H44+(H49-H44)/5*4</f>
        <v>4.366594451720422</v>
      </c>
      <c r="I48" s="15">
        <f>1-0.5*'CARB ZEV counts'!M9</f>
        <v>0.98815428395808291</v>
      </c>
      <c r="J48" s="15">
        <f>1-0.5*'CARB ZEV counts'!M69</f>
        <v>0.98780855567644854</v>
      </c>
      <c r="K48" s="15">
        <f t="shared" si="18"/>
        <v>4.3148690137751311</v>
      </c>
      <c r="L48" s="15">
        <f t="shared" si="19"/>
        <v>4.3133593585787438</v>
      </c>
      <c r="N48" s="6"/>
    </row>
    <row r="49" spans="1:12">
      <c r="A49" t="s">
        <v>0</v>
      </c>
      <c r="B49" t="s">
        <v>1</v>
      </c>
      <c r="C49" t="s">
        <v>22</v>
      </c>
      <c r="D49" t="s">
        <v>75</v>
      </c>
      <c r="F49">
        <v>2030</v>
      </c>
      <c r="G49" t="s">
        <v>109</v>
      </c>
      <c r="H49" s="139">
        <f>H40</f>
        <v>4.3004228323236049</v>
      </c>
      <c r="I49" s="15">
        <f>1-0.5*'CARB ZEV counts'!M10</f>
        <v>0.98762194164773576</v>
      </c>
      <c r="J49" s="15">
        <f>1-0.5*'CARB ZEV counts'!M70</f>
        <v>0.98711647482908504</v>
      </c>
      <c r="K49" s="15">
        <f t="shared" si="18"/>
        <v>4.2471919475656934</v>
      </c>
      <c r="L49" s="15">
        <f t="shared" si="19"/>
        <v>4.2450182265177867</v>
      </c>
    </row>
    <row r="50" spans="1:12">
      <c r="A50">
        <v>2030</v>
      </c>
      <c r="B50">
        <v>20</v>
      </c>
      <c r="C50">
        <v>57299300</v>
      </c>
      <c r="D50">
        <v>16509400000</v>
      </c>
      <c r="F50">
        <v>2031</v>
      </c>
      <c r="G50" t="s">
        <v>109</v>
      </c>
      <c r="H50" s="139">
        <f t="shared" ref="H50" si="23">H49+(H54-H49)/5</f>
        <v>4.2642188614327079</v>
      </c>
      <c r="I50" s="15">
        <f>1-0.5*'CARB ZEV counts'!M11</f>
        <v>0.98713821070559038</v>
      </c>
      <c r="J50" s="15">
        <f>1-0.5*'CARB ZEV counts'!M71</f>
        <v>0.98647828837784246</v>
      </c>
      <c r="K50" s="15">
        <f t="shared" si="18"/>
        <v>4.2093733769317128</v>
      </c>
      <c r="L50" s="15">
        <f t="shared" si="19"/>
        <v>4.2065593236946501</v>
      </c>
    </row>
    <row r="51" spans="1:12">
      <c r="A51">
        <v>2030</v>
      </c>
      <c r="B51">
        <v>30</v>
      </c>
      <c r="C51">
        <v>94266800</v>
      </c>
      <c r="D51">
        <v>20530200000</v>
      </c>
      <c r="F51">
        <v>2032</v>
      </c>
      <c r="G51" t="s">
        <v>109</v>
      </c>
      <c r="H51" s="139">
        <f t="shared" ref="H51" si="24">H49+(H54-H49)/5*2</f>
        <v>4.2280148905418118</v>
      </c>
      <c r="I51" s="15">
        <f>1-0.5*'CARB ZEV counts'!M12</f>
        <v>0.98670249156485557</v>
      </c>
      <c r="J51" s="15">
        <f>1-0.5*'CARB ZEV counts'!M72</f>
        <v>0.98589229066811024</v>
      </c>
      <c r="K51" s="15">
        <f t="shared" si="18"/>
        <v>4.1717928268709157</v>
      </c>
      <c r="L51" s="15">
        <f t="shared" si="19"/>
        <v>4.1683672854151466</v>
      </c>
    </row>
    <row r="52" spans="1:12">
      <c r="A52">
        <v>2030</v>
      </c>
      <c r="B52" t="s">
        <v>249</v>
      </c>
      <c r="C52">
        <f>C50+C51</f>
        <v>151566100</v>
      </c>
      <c r="D52">
        <f>D50+D51</f>
        <v>37039600000</v>
      </c>
      <c r="E52">
        <f>C52*1000000/D52</f>
        <v>4092.0015334938821</v>
      </c>
      <c r="F52">
        <v>2033</v>
      </c>
      <c r="G52" t="s">
        <v>109</v>
      </c>
      <c r="H52" s="139">
        <f t="shared" ref="H52" si="25">H49+(H54-H49)/5*3</f>
        <v>4.1918109196509148</v>
      </c>
      <c r="I52" s="15">
        <f>1-0.5*'CARB ZEV counts'!M13</f>
        <v>0.98631289964001778</v>
      </c>
      <c r="J52" s="15">
        <f>1-0.5*'CARB ZEV counts'!M73</f>
        <v>0.98535718432258934</v>
      </c>
      <c r="K52" s="15">
        <f t="shared" si="18"/>
        <v>4.1344371829035831</v>
      </c>
      <c r="L52" s="15">
        <f t="shared" si="19"/>
        <v>4.1304310049999096</v>
      </c>
    </row>
    <row r="53" spans="1:12">
      <c r="F53">
        <v>2034</v>
      </c>
      <c r="G53" t="s">
        <v>109</v>
      </c>
      <c r="H53" s="139">
        <f t="shared" ref="H53" si="26">H49+(H54-H49)/5*4</f>
        <v>4.1556069487600187</v>
      </c>
      <c r="I53" s="15">
        <f>1-0.5*'CARB ZEV counts'!M14</f>
        <v>0.9859659509874581</v>
      </c>
      <c r="J53" s="15">
        <f>1-0.5*'CARB ZEV counts'!M74</f>
        <v>0.98457265159230622</v>
      </c>
      <c r="K53" s="15">
        <f t="shared" si="18"/>
        <v>4.0972869571642612</v>
      </c>
      <c r="L53" s="15">
        <f t="shared" si="19"/>
        <v>4.0914969525160645</v>
      </c>
    </row>
    <row r="54" spans="1:12">
      <c r="A54" t="s">
        <v>0</v>
      </c>
      <c r="B54" t="s">
        <v>1</v>
      </c>
      <c r="C54" t="s">
        <v>22</v>
      </c>
      <c r="D54" t="s">
        <v>75</v>
      </c>
      <c r="F54">
        <v>2035</v>
      </c>
      <c r="G54" t="s">
        <v>109</v>
      </c>
      <c r="H54" s="139">
        <f>M40</f>
        <v>4.1194029778691217</v>
      </c>
      <c r="I54" s="15">
        <f>1-0.5*'CARB ZEV counts'!M15</f>
        <v>0.98566121292601072</v>
      </c>
      <c r="J54" s="15">
        <f>1-0.5*'CARB ZEV counts'!M75</f>
        <v>0.98228772242204487</v>
      </c>
      <c r="K54" s="15">
        <f t="shared" si="18"/>
        <v>4.0603357356974987</v>
      </c>
      <c r="L54" s="15">
        <f t="shared" si="19"/>
        <v>4.0464389688696487</v>
      </c>
    </row>
    <row r="55" spans="1:12">
      <c r="A55">
        <v>2035</v>
      </c>
      <c r="B55">
        <v>20</v>
      </c>
      <c r="C55">
        <v>57006600</v>
      </c>
      <c r="D55">
        <v>17602700000</v>
      </c>
      <c r="F55">
        <v>2036</v>
      </c>
      <c r="G55" t="s">
        <v>109</v>
      </c>
      <c r="H55" s="139">
        <f>H54</f>
        <v>4.1194029778691217</v>
      </c>
      <c r="I55" s="15">
        <f>1-0.5*'CARB ZEV counts'!M16</f>
        <v>0.98539563169589472</v>
      </c>
      <c r="J55" s="15">
        <f>1-0.5*'CARB ZEV counts'!M76</f>
        <v>0.98019970495166531</v>
      </c>
      <c r="K55" s="15">
        <f t="shared" si="18"/>
        <v>4.0592416995872931</v>
      </c>
      <c r="L55" s="15">
        <f t="shared" si="19"/>
        <v>4.0378375834843245</v>
      </c>
    </row>
    <row r="56" spans="1:12">
      <c r="A56">
        <v>2035</v>
      </c>
      <c r="B56">
        <v>30</v>
      </c>
      <c r="C56">
        <v>87855600</v>
      </c>
      <c r="D56">
        <v>20292200000</v>
      </c>
      <c r="F56">
        <v>2037</v>
      </c>
      <c r="G56" t="s">
        <v>109</v>
      </c>
      <c r="H56" s="139">
        <f t="shared" ref="H56:H59" si="27">H55</f>
        <v>4.1194029778691217</v>
      </c>
      <c r="I56" s="15">
        <f>1-0.5*'CARB ZEV counts'!M17</f>
        <v>0.98516829761422497</v>
      </c>
      <c r="J56" s="15">
        <f>1-0.5*'CARB ZEV counts'!M77</f>
        <v>0.97819707547491686</v>
      </c>
      <c r="K56" s="15">
        <f t="shared" si="18"/>
        <v>4.0583052188942919</v>
      </c>
      <c r="L56" s="15">
        <f t="shared" si="19"/>
        <v>4.0295879456542387</v>
      </c>
    </row>
    <row r="57" spans="1:12">
      <c r="A57">
        <v>2035</v>
      </c>
      <c r="B57" t="s">
        <v>249</v>
      </c>
      <c r="C57">
        <f>C55+C56</f>
        <v>144862200</v>
      </c>
      <c r="D57">
        <f>D55+D56</f>
        <v>37894900000</v>
      </c>
      <c r="E57">
        <f>C57*1000000/D57</f>
        <v>3822.7360409976013</v>
      </c>
      <c r="F57">
        <v>2038</v>
      </c>
      <c r="G57" t="s">
        <v>109</v>
      </c>
      <c r="H57" s="139">
        <f t="shared" si="27"/>
        <v>4.1194029778691217</v>
      </c>
      <c r="I57" s="15">
        <f>1-0.5*'CARB ZEV counts'!M18</f>
        <v>0.98497512235534934</v>
      </c>
      <c r="J57" s="15">
        <f>1-0.5*'CARB ZEV counts'!M78</f>
        <v>0.97628341260436857</v>
      </c>
      <c r="K57" s="15">
        <f t="shared" si="18"/>
        <v>4.0575094521576283</v>
      </c>
      <c r="L57" s="15">
        <f t="shared" si="19"/>
        <v>4.021704797126664</v>
      </c>
    </row>
    <row r="58" spans="1:12">
      <c r="F58">
        <v>2039</v>
      </c>
      <c r="G58" t="s">
        <v>109</v>
      </c>
      <c r="H58" s="139">
        <f t="shared" si="27"/>
        <v>4.1194029778691217</v>
      </c>
      <c r="I58" s="15">
        <f>1-0.5*'CARB ZEV counts'!M19</f>
        <v>0.98481154164049578</v>
      </c>
      <c r="J58" s="15">
        <f>1-0.5*'CARB ZEV counts'!M79</f>
        <v>0.97443979487467991</v>
      </c>
      <c r="K58" s="15">
        <f t="shared" si="18"/>
        <v>4.0568355972737384</v>
      </c>
      <c r="L58" s="15">
        <f t="shared" si="19"/>
        <v>4.0141101927609322</v>
      </c>
    </row>
    <row r="59" spans="1:12">
      <c r="F59">
        <v>2040</v>
      </c>
      <c r="G59" t="s">
        <v>109</v>
      </c>
      <c r="H59" s="139">
        <f t="shared" si="27"/>
        <v>4.1194029778691217</v>
      </c>
      <c r="I59" s="15">
        <f>1-0.5*'CARB ZEV counts'!M20</f>
        <v>0.98467416201208302</v>
      </c>
      <c r="J59" s="15">
        <f>1-0.5*'CARB ZEV counts'!M80</f>
        <v>0.97266716175967904</v>
      </c>
      <c r="K59" s="15">
        <f t="shared" si="18"/>
        <v>4.0562696752233567</v>
      </c>
      <c r="L59" s="15">
        <f t="shared" si="19"/>
        <v>4.0068080026283281</v>
      </c>
    </row>
  </sheetData>
  <sheetProtection algorithmName="SHA-512" hashValue="524KWFrM0qTKhyJbK/PjrAQ6uR6Hm+SoXDtIuRpoJos77cHODHlStOHC1+kmYGvZ1pe6x6B5g3uSfuu5mQ9jhA==" saltValue="1oo043K0knkbKWphWyGBqg==" spinCount="100000" sheet="1" objects="1" scenarios="1"/>
  <mergeCells count="5">
    <mergeCell ref="A4:M4"/>
    <mergeCell ref="A18:M18"/>
    <mergeCell ref="A32:M32"/>
    <mergeCell ref="I42:J42"/>
    <mergeCell ref="K42:L42"/>
  </mergeCells>
  <pageMargins left="0.7" right="0.7" top="0.75" bottom="0.75" header="0.3" footer="0.3"/>
  <drawing r:id="rId1"/>
  <tableParts count="3">
    <tablePart r:id="rId2"/>
    <tablePart r:id="rId3"/>
    <tablePart r:id="rId4"/>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4"/>
  <dimension ref="A1:V72"/>
  <sheetViews>
    <sheetView topLeftCell="A30" workbookViewId="0">
      <selection activeCell="D49" sqref="D49"/>
    </sheetView>
  </sheetViews>
  <sheetFormatPr baseColWidth="10" defaultColWidth="8.83203125" defaultRowHeight="15"/>
  <cols>
    <col min="3" max="3" width="18.6640625" customWidth="1"/>
    <col min="4" max="4" width="12.5" customWidth="1"/>
    <col min="5" max="5" width="10.33203125" customWidth="1"/>
    <col min="6" max="6" width="13.6640625" customWidth="1"/>
    <col min="7" max="7" width="12.1640625" customWidth="1"/>
    <col min="8" max="14" width="11.5" customWidth="1"/>
    <col min="15" max="16" width="11.83203125" customWidth="1"/>
    <col min="17" max="17" width="10" customWidth="1"/>
    <col min="18" max="18" width="8.83203125" customWidth="1"/>
    <col min="19" max="19" width="11.1640625" customWidth="1"/>
  </cols>
  <sheetData>
    <row r="1" spans="1:22" ht="16" thickBot="1">
      <c r="A1" s="2" t="s">
        <v>450</v>
      </c>
      <c r="C1" s="2"/>
      <c r="D1" s="2"/>
      <c r="E1" s="2"/>
      <c r="F1" s="67"/>
      <c r="J1" s="2"/>
      <c r="N1" s="2"/>
    </row>
    <row r="2" spans="1:22" ht="16" thickBot="1">
      <c r="B2" s="2"/>
      <c r="C2" s="2"/>
      <c r="D2" s="2"/>
      <c r="E2" s="2"/>
      <c r="F2" s="333" t="s">
        <v>449</v>
      </c>
      <c r="G2" s="333"/>
      <c r="H2" s="333"/>
      <c r="I2" s="333"/>
      <c r="J2" s="333" t="s">
        <v>130</v>
      </c>
      <c r="K2" s="333"/>
      <c r="L2" s="333"/>
      <c r="M2" s="333"/>
      <c r="N2" s="333" t="s">
        <v>131</v>
      </c>
      <c r="O2" s="333"/>
      <c r="P2" s="333"/>
      <c r="Q2" s="333"/>
    </row>
    <row r="3" spans="1:22" ht="16" thickBot="1">
      <c r="A3" t="s">
        <v>19</v>
      </c>
      <c r="B3" t="s">
        <v>50</v>
      </c>
      <c r="C3" t="s">
        <v>137</v>
      </c>
      <c r="D3" t="s">
        <v>134</v>
      </c>
      <c r="E3" t="s">
        <v>211</v>
      </c>
      <c r="F3" s="86" t="s">
        <v>129</v>
      </c>
      <c r="G3" s="87" t="s">
        <v>124</v>
      </c>
      <c r="H3" s="87" t="s">
        <v>122</v>
      </c>
      <c r="I3" s="87" t="s">
        <v>132</v>
      </c>
      <c r="J3" s="86" t="s">
        <v>129</v>
      </c>
      <c r="K3" s="87" t="s">
        <v>124</v>
      </c>
      <c r="L3" s="87" t="s">
        <v>122</v>
      </c>
      <c r="M3" s="87" t="s">
        <v>132</v>
      </c>
      <c r="N3" s="86" t="s">
        <v>129</v>
      </c>
      <c r="O3" s="87" t="s">
        <v>124</v>
      </c>
      <c r="P3" s="87" t="s">
        <v>122</v>
      </c>
      <c r="Q3" s="87" t="s">
        <v>132</v>
      </c>
      <c r="U3" s="3"/>
      <c r="V3" s="3"/>
    </row>
    <row r="4" spans="1:22">
      <c r="A4">
        <f>'ZEV Sales'!S10</f>
        <v>2025</v>
      </c>
      <c r="B4">
        <f>'ZEV Sales'!T10</f>
        <v>20</v>
      </c>
      <c r="C4" s="3">
        <f>'Combined MOVES output'!AE18</f>
        <v>3247602.260427475</v>
      </c>
      <c r="D4" s="3">
        <f>'ZEV Sales'!D4</f>
        <v>190944.20643927535</v>
      </c>
      <c r="E4" s="3"/>
      <c r="F4" s="84"/>
      <c r="G4" s="3"/>
      <c r="H4" s="3"/>
      <c r="I4" s="88"/>
      <c r="J4" s="84"/>
      <c r="K4" s="3"/>
      <c r="L4" s="3"/>
      <c r="M4" s="88"/>
      <c r="N4" s="98"/>
      <c r="O4" s="3"/>
      <c r="P4" s="3"/>
      <c r="Q4" s="99"/>
      <c r="U4" s="3"/>
      <c r="V4" s="3"/>
    </row>
    <row r="5" spans="1:22">
      <c r="A5">
        <f>'ZEV Sales'!S11</f>
        <v>2025</v>
      </c>
      <c r="B5">
        <f>'ZEV Sales'!T11</f>
        <v>30</v>
      </c>
      <c r="C5" s="3">
        <f>'Combined MOVES output'!AE19</f>
        <v>3047829.4918574151</v>
      </c>
      <c r="D5" s="3">
        <f>'ZEV Sales'!D5</f>
        <v>167461.98275804406</v>
      </c>
      <c r="E5" s="3">
        <f>D4+D5</f>
        <v>358406.18919731944</v>
      </c>
      <c r="F5" s="84"/>
      <c r="G5" s="3"/>
      <c r="H5" s="3"/>
      <c r="I5" s="88"/>
      <c r="J5" s="84"/>
      <c r="K5" s="3"/>
      <c r="L5" s="3"/>
      <c r="M5" s="88"/>
      <c r="N5" s="84"/>
      <c r="O5" s="3"/>
      <c r="P5" s="3"/>
      <c r="Q5" s="89"/>
      <c r="U5" s="3"/>
      <c r="V5" s="3"/>
    </row>
    <row r="6" spans="1:22">
      <c r="A6">
        <f>'ZEV Sales'!S12</f>
        <v>2025</v>
      </c>
      <c r="B6">
        <f>'ZEV Sales'!T12</f>
        <v>41</v>
      </c>
      <c r="C6" s="3"/>
      <c r="D6" s="3">
        <f>'ZEV Sales'!D6</f>
        <v>13384.467122292444</v>
      </c>
      <c r="E6" s="3"/>
      <c r="F6" s="84"/>
      <c r="G6" s="3"/>
      <c r="H6" s="3"/>
      <c r="I6" s="88"/>
      <c r="J6" s="84"/>
      <c r="K6" s="3"/>
      <c r="L6" s="3"/>
      <c r="M6" s="88"/>
      <c r="N6" s="84"/>
      <c r="O6" s="3"/>
      <c r="P6" s="3"/>
      <c r="Q6" s="89"/>
      <c r="U6" s="3"/>
      <c r="V6" s="3"/>
    </row>
    <row r="7" spans="1:22">
      <c r="A7" s="90">
        <f>A6</f>
        <v>2025</v>
      </c>
      <c r="B7" s="205" t="s">
        <v>33</v>
      </c>
      <c r="C7" s="91">
        <f>C4+C5</f>
        <v>6295431.75228489</v>
      </c>
      <c r="D7" s="3">
        <f>'ZEV Sales'!D7</f>
        <v>370402.58415340399</v>
      </c>
      <c r="E7" s="91"/>
      <c r="F7" s="92">
        <f>C7-I7</f>
        <v>6096768.6424697936</v>
      </c>
      <c r="G7" s="91">
        <f>'Fleet ZEV fractions'!V17</f>
        <v>137393.17875062718</v>
      </c>
      <c r="H7" s="91">
        <f>'Fleet ZEV fractions'!X17</f>
        <v>61269.931064468896</v>
      </c>
      <c r="I7" s="93">
        <f>'Fleet ZEV fractions'!Z17</f>
        <v>198663.10981509608</v>
      </c>
      <c r="J7" s="251">
        <f>F7</f>
        <v>6096768.6424697936</v>
      </c>
      <c r="K7" s="252">
        <f t="shared" ref="K7:M7" si="0">G7</f>
        <v>137393.17875062718</v>
      </c>
      <c r="L7" s="252">
        <f t="shared" si="0"/>
        <v>61269.931064468896</v>
      </c>
      <c r="M7" s="252">
        <f t="shared" si="0"/>
        <v>198663.10981509608</v>
      </c>
      <c r="N7" s="251">
        <f>F7</f>
        <v>6096768.6424697936</v>
      </c>
      <c r="O7" s="252">
        <f t="shared" ref="O7:Q7" si="1">G7</f>
        <v>137393.17875062718</v>
      </c>
      <c r="P7" s="252">
        <f t="shared" si="1"/>
        <v>61269.931064468896</v>
      </c>
      <c r="Q7" s="253">
        <f t="shared" si="1"/>
        <v>198663.10981509608</v>
      </c>
      <c r="U7" s="3"/>
      <c r="V7" s="3"/>
    </row>
    <row r="8" spans="1:22">
      <c r="A8">
        <v>2026</v>
      </c>
      <c r="B8">
        <f>'ZEV Sales'!T14</f>
        <v>20</v>
      </c>
      <c r="C8" s="3">
        <f>C4+(C24-C4)/5</f>
        <v>3254071.2271850342</v>
      </c>
      <c r="D8" s="3">
        <f>'ZEV Sales'!D8</f>
        <v>192992.17459446946</v>
      </c>
      <c r="E8" s="3"/>
      <c r="F8" s="84"/>
      <c r="G8" s="3"/>
      <c r="H8" s="3"/>
      <c r="I8" s="3"/>
      <c r="J8" s="84"/>
      <c r="K8" s="3"/>
      <c r="L8" s="3"/>
      <c r="M8" s="3"/>
      <c r="N8" s="84"/>
      <c r="O8" s="3"/>
      <c r="P8" s="3"/>
      <c r="Q8" s="85"/>
      <c r="U8" s="3"/>
      <c r="V8" s="3"/>
    </row>
    <row r="9" spans="1:22">
      <c r="A9">
        <v>2026</v>
      </c>
      <c r="B9">
        <f>'ZEV Sales'!T15</f>
        <v>30</v>
      </c>
      <c r="C9" s="3">
        <f t="shared" ref="C9:C11" si="2">C5+(C25-C5)/5</f>
        <v>3053900.527065692</v>
      </c>
      <c r="D9" s="3">
        <f>'ZEV Sales'!D9</f>
        <v>165645.31174850377</v>
      </c>
      <c r="E9" s="3">
        <f>D8+D9</f>
        <v>358637.48634297319</v>
      </c>
      <c r="F9" s="84"/>
      <c r="G9" s="3"/>
      <c r="H9" s="3"/>
      <c r="I9" s="3"/>
      <c r="J9" s="84"/>
      <c r="K9" s="3"/>
      <c r="L9" s="3"/>
      <c r="M9" s="3"/>
      <c r="N9" s="84"/>
      <c r="O9" s="3"/>
      <c r="P9" s="3"/>
      <c r="Q9" s="85"/>
      <c r="U9" s="3"/>
      <c r="V9" s="3"/>
    </row>
    <row r="10" spans="1:22">
      <c r="A10">
        <v>2026</v>
      </c>
      <c r="B10">
        <f>'ZEV Sales'!T16</f>
        <v>41</v>
      </c>
      <c r="C10" s="3"/>
      <c r="D10" s="3">
        <f>'ZEV Sales'!D10</f>
        <v>13349.882197487354</v>
      </c>
      <c r="E10" s="3"/>
      <c r="F10" s="84"/>
      <c r="G10" s="3"/>
      <c r="H10" s="3"/>
      <c r="I10" s="3"/>
      <c r="J10" s="84"/>
      <c r="K10" s="3"/>
      <c r="L10" s="3"/>
      <c r="M10" s="3"/>
      <c r="N10" s="84"/>
      <c r="O10" s="3"/>
      <c r="P10" s="3"/>
      <c r="Q10" s="85"/>
      <c r="U10" s="3"/>
      <c r="V10" s="3"/>
    </row>
    <row r="11" spans="1:22">
      <c r="A11" s="90">
        <v>2026</v>
      </c>
      <c r="B11" s="205" t="s">
        <v>33</v>
      </c>
      <c r="C11" s="91">
        <f t="shared" si="2"/>
        <v>6307971.7542507267</v>
      </c>
      <c r="D11" s="3">
        <f>'ZEV Sales'!D11</f>
        <v>370305.99935011374</v>
      </c>
      <c r="E11" s="91"/>
      <c r="F11" s="92">
        <f>C11-I11</f>
        <v>6047622.9967846395</v>
      </c>
      <c r="G11" s="91">
        <f>'Fleet ZEV fractions'!V18</f>
        <v>196927.00148356071</v>
      </c>
      <c r="H11" s="91">
        <f>'Fleet ZEV fractions'!X18</f>
        <v>63421.755982526753</v>
      </c>
      <c r="I11" s="91">
        <f>'Fleet ZEV fractions'!Z18</f>
        <v>260348.75746608747</v>
      </c>
      <c r="J11" s="92">
        <f>C11-M11</f>
        <v>5983785.5242155902</v>
      </c>
      <c r="K11" s="91">
        <f>'Fleet ZEV fractions'!AB18</f>
        <v>246672.13047160371</v>
      </c>
      <c r="L11" s="91">
        <f>'Fleet ZEV fractions'!AD18</f>
        <v>77514.099563532975</v>
      </c>
      <c r="M11" s="91">
        <f>'Fleet ZEV fractions'!AF18</f>
        <v>324186.23003513669</v>
      </c>
      <c r="N11" s="92">
        <f>C11-Q11</f>
        <v>6008890.1482595978</v>
      </c>
      <c r="O11" s="91">
        <f>'Fleet ZEV fractions'!AH18</f>
        <v>224816.34012740839</v>
      </c>
      <c r="P11" s="91">
        <f>'Fleet ZEV fractions'!AJ18</f>
        <v>74265.265863720153</v>
      </c>
      <c r="Q11" s="94">
        <f>'Fleet ZEV fractions'!AL18</f>
        <v>299081.60599112854</v>
      </c>
      <c r="U11" s="3"/>
      <c r="V11" s="3"/>
    </row>
    <row r="12" spans="1:22">
      <c r="A12">
        <v>2027</v>
      </c>
      <c r="B12">
        <f>'ZEV Sales'!T18</f>
        <v>20</v>
      </c>
      <c r="C12" s="3">
        <f>C4+2*(C24-C4)/5</f>
        <v>3260540.1939425939</v>
      </c>
      <c r="D12" s="3">
        <f>'ZEV Sales'!D12</f>
        <v>195046.77308633243</v>
      </c>
      <c r="E12" s="3"/>
      <c r="F12" s="84"/>
      <c r="G12" s="3"/>
      <c r="H12" s="3"/>
      <c r="I12" s="3"/>
      <c r="J12" s="84"/>
      <c r="K12" s="3"/>
      <c r="L12" s="3"/>
      <c r="M12" s="3"/>
      <c r="N12" s="84"/>
      <c r="O12" s="3"/>
      <c r="P12" s="3"/>
      <c r="Q12" s="85"/>
      <c r="U12" s="3"/>
      <c r="V12" s="3"/>
    </row>
    <row r="13" spans="1:22">
      <c r="A13">
        <v>2027</v>
      </c>
      <c r="B13">
        <f>'ZEV Sales'!T19</f>
        <v>30</v>
      </c>
      <c r="C13" s="3">
        <f t="shared" ref="C13:C15" si="3">C5+2*(C25-C5)/5</f>
        <v>3059971.5622739689</v>
      </c>
      <c r="D13" s="3">
        <f>'ZEV Sales'!D13</f>
        <v>163820.09154428347</v>
      </c>
      <c r="E13" s="3">
        <f>D12+D13</f>
        <v>358866.86463061592</v>
      </c>
      <c r="F13" s="84"/>
      <c r="G13" s="3"/>
      <c r="H13" s="3"/>
      <c r="I13" s="3"/>
      <c r="J13" s="84"/>
      <c r="K13" s="3"/>
      <c r="L13" s="3"/>
      <c r="M13" s="3"/>
      <c r="N13" s="84"/>
      <c r="O13" s="3"/>
      <c r="P13" s="3"/>
      <c r="Q13" s="85"/>
      <c r="U13" s="3"/>
      <c r="V13" s="3"/>
    </row>
    <row r="14" spans="1:22">
      <c r="A14">
        <v>2027</v>
      </c>
      <c r="B14">
        <f>'ZEV Sales'!T20</f>
        <v>41</v>
      </c>
      <c r="C14" s="3"/>
      <c r="D14" s="3">
        <f>'ZEV Sales'!D14</f>
        <v>13315.053764456885</v>
      </c>
      <c r="E14" s="3"/>
      <c r="F14" s="84"/>
      <c r="G14" s="3"/>
      <c r="H14" s="3"/>
      <c r="I14" s="3"/>
      <c r="J14" s="84"/>
      <c r="K14" s="3"/>
      <c r="L14" s="3"/>
      <c r="M14" s="3"/>
      <c r="N14" s="84"/>
      <c r="O14" s="3"/>
      <c r="P14" s="3"/>
      <c r="Q14" s="85"/>
      <c r="U14" s="3"/>
      <c r="V14" s="3"/>
    </row>
    <row r="15" spans="1:22">
      <c r="A15" s="90">
        <v>2027</v>
      </c>
      <c r="B15" s="205" t="s">
        <v>33</v>
      </c>
      <c r="C15" s="91">
        <f t="shared" si="3"/>
        <v>6320511.7562165624</v>
      </c>
      <c r="D15" s="3">
        <f>'ZEV Sales'!D15</f>
        <v>370206.09704762994</v>
      </c>
      <c r="E15" s="91"/>
      <c r="F15" s="92">
        <f>C15-I15</f>
        <v>5998437.8980340092</v>
      </c>
      <c r="G15" s="91">
        <f>'Fleet ZEV fractions'!V19</f>
        <v>256498.90101224295</v>
      </c>
      <c r="H15" s="91">
        <f>'Fleet ZEV fractions'!X19</f>
        <v>65574.957170310488</v>
      </c>
      <c r="I15" s="91">
        <f>'Fleet ZEV fractions'!Z19</f>
        <v>322073.85818255343</v>
      </c>
      <c r="J15" s="92">
        <f>C15-M15</f>
        <v>5842012.7743902607</v>
      </c>
      <c r="K15" s="91">
        <f>'Fleet ZEV fractions'!AB19</f>
        <v>386007.46811833198</v>
      </c>
      <c r="L15" s="91">
        <f>'Fleet ZEV fractions'!AD19</f>
        <v>92491.513707969571</v>
      </c>
      <c r="M15" s="91">
        <f>'Fleet ZEV fractions'!AF19</f>
        <v>478498.98182630155</v>
      </c>
      <c r="N15" s="92">
        <f>C15-Q15</f>
        <v>5897979.9487925023</v>
      </c>
      <c r="O15" s="91">
        <f>'Fleet ZEV fractions'!AH19</f>
        <v>336284.61024479102</v>
      </c>
      <c r="P15" s="91">
        <f>'Fleet ZEV fractions'!AJ19</f>
        <v>86247.197179269424</v>
      </c>
      <c r="Q15" s="94">
        <f>'Fleet ZEV fractions'!AL19</f>
        <v>422531.80742406042</v>
      </c>
      <c r="U15" s="3"/>
      <c r="V15" s="3"/>
    </row>
    <row r="16" spans="1:22">
      <c r="A16">
        <v>2028</v>
      </c>
      <c r="B16">
        <f>'ZEV Sales'!T22</f>
        <v>20</v>
      </c>
      <c r="C16" s="3">
        <f>C4+3*(C24-C4)/5</f>
        <v>3267009.1607001531</v>
      </c>
      <c r="D16" s="3">
        <f>'ZEV Sales'!D16</f>
        <v>197108.0019148642</v>
      </c>
      <c r="E16" s="3"/>
      <c r="F16" s="84"/>
      <c r="G16" s="3"/>
      <c r="H16" s="3"/>
      <c r="I16" s="3"/>
      <c r="J16" s="84"/>
      <c r="K16" s="3"/>
      <c r="L16" s="3"/>
      <c r="M16" s="3"/>
      <c r="N16" s="84"/>
      <c r="O16" s="3"/>
      <c r="P16" s="3"/>
      <c r="Q16" s="85"/>
      <c r="U16" s="3"/>
      <c r="V16" s="3"/>
    </row>
    <row r="17" spans="1:22">
      <c r="A17">
        <v>2028</v>
      </c>
      <c r="B17">
        <f>'ZEV Sales'!T23</f>
        <v>30</v>
      </c>
      <c r="C17" s="3">
        <f>C5+3*(C25-C5)/5</f>
        <v>3066042.5974822454</v>
      </c>
      <c r="D17" s="3">
        <f>'ZEV Sales'!D17</f>
        <v>161986.32214538314</v>
      </c>
      <c r="E17" s="3">
        <f>D16+D17</f>
        <v>359094.32406024734</v>
      </c>
      <c r="F17" s="84"/>
      <c r="G17" s="3"/>
      <c r="H17" s="3"/>
      <c r="I17" s="3"/>
      <c r="J17" s="84"/>
      <c r="K17" s="3"/>
      <c r="L17" s="3"/>
      <c r="M17" s="3"/>
      <c r="N17" s="84"/>
      <c r="O17" s="3"/>
      <c r="P17" s="3"/>
      <c r="Q17" s="85"/>
      <c r="U17" s="3"/>
      <c r="V17" s="3"/>
    </row>
    <row r="18" spans="1:22">
      <c r="A18">
        <v>2028</v>
      </c>
      <c r="B18">
        <f>'ZEV Sales'!T24</f>
        <v>41</v>
      </c>
      <c r="C18" s="3"/>
      <c r="D18" s="3">
        <f>'ZEV Sales'!D18</f>
        <v>13279.981823201038</v>
      </c>
      <c r="E18" s="3"/>
      <c r="F18" s="84"/>
      <c r="G18" s="3"/>
      <c r="H18" s="3"/>
      <c r="I18" s="3"/>
      <c r="J18" s="84"/>
      <c r="K18" s="3"/>
      <c r="L18" s="3"/>
      <c r="M18" s="3"/>
      <c r="N18" s="84"/>
      <c r="O18" s="3"/>
      <c r="P18" s="3"/>
      <c r="Q18" s="85"/>
      <c r="U18" s="3"/>
      <c r="V18" s="3"/>
    </row>
    <row r="19" spans="1:22">
      <c r="A19" s="90">
        <v>2028</v>
      </c>
      <c r="B19" s="205" t="s">
        <v>33</v>
      </c>
      <c r="C19" s="91">
        <f>C7+3*(C27-C7)/5</f>
        <v>6333051.758182399</v>
      </c>
      <c r="D19" s="3">
        <f>'ZEV Sales'!D19</f>
        <v>367904.40212878812</v>
      </c>
      <c r="E19" s="91"/>
      <c r="F19" s="92">
        <f>C19-I19</f>
        <v>5949213.6762614828</v>
      </c>
      <c r="G19" s="91">
        <f>'Fleet ZEV fractions'!V20</f>
        <v>316108.55880624399</v>
      </c>
      <c r="H19" s="91">
        <f>'Fleet ZEV fractions'!X20</f>
        <v>67729.523114671989</v>
      </c>
      <c r="I19" s="91">
        <f>'Fleet ZEV fractions'!Z20</f>
        <v>383838.08192091598</v>
      </c>
      <c r="J19" s="92">
        <f>C19-M19</f>
        <v>5671414.6710853716</v>
      </c>
      <c r="K19" s="91">
        <f>'Fleet ZEV fractions'!AB20</f>
        <v>554494.52496740001</v>
      </c>
      <c r="L19" s="91">
        <f>'Fleet ZEV fractions'!AD20</f>
        <v>107142.56212962767</v>
      </c>
      <c r="M19" s="91">
        <f>'Fleet ZEV fractions'!AF20</f>
        <v>661637.08709702769</v>
      </c>
      <c r="N19" s="92">
        <f>C19-Q19</f>
        <v>5764009.4665417578</v>
      </c>
      <c r="O19" s="91">
        <f>'Fleet ZEV fractions'!AH20</f>
        <v>471074.25572404545</v>
      </c>
      <c r="P19" s="91">
        <f>'Fleet ZEV fractions'!AJ20</f>
        <v>97968.035916595894</v>
      </c>
      <c r="Q19" s="94">
        <f>'Fleet ZEV fractions'!AL20</f>
        <v>569042.2916406414</v>
      </c>
      <c r="U19" s="3"/>
      <c r="V19" s="3"/>
    </row>
    <row r="20" spans="1:22">
      <c r="A20">
        <v>2029</v>
      </c>
      <c r="B20">
        <v>20</v>
      </c>
      <c r="C20" s="3">
        <f>C4+4*(C24-C4)/5</f>
        <v>3273478.1274577128</v>
      </c>
      <c r="D20" s="3">
        <f>'ZEV Sales'!D20</f>
        <v>199175.86108006482</v>
      </c>
      <c r="E20" s="3"/>
      <c r="F20" s="84"/>
      <c r="G20" s="3"/>
      <c r="H20" s="3"/>
      <c r="I20" s="3"/>
      <c r="J20" s="84"/>
      <c r="K20" s="3"/>
      <c r="L20" s="3"/>
      <c r="M20" s="3"/>
      <c r="N20" s="84"/>
      <c r="O20" s="3"/>
      <c r="P20" s="3"/>
      <c r="Q20" s="85"/>
      <c r="U20" s="3"/>
      <c r="V20" s="3"/>
    </row>
    <row r="21" spans="1:22">
      <c r="A21">
        <v>2029</v>
      </c>
      <c r="B21">
        <v>30</v>
      </c>
      <c r="C21" s="3">
        <f t="shared" ref="C21:C23" si="4">C5+4*(C25-C5)/5</f>
        <v>3072113.6326905224</v>
      </c>
      <c r="D21" s="3">
        <f>'ZEV Sales'!D21</f>
        <v>160144.00355180283</v>
      </c>
      <c r="E21" s="3">
        <f>D20+D21</f>
        <v>359319.86463186762</v>
      </c>
      <c r="F21" s="84"/>
      <c r="G21" s="3"/>
      <c r="H21" s="3"/>
      <c r="I21" s="3"/>
      <c r="J21" s="84"/>
      <c r="K21" s="3"/>
      <c r="L21" s="3"/>
      <c r="M21" s="3"/>
      <c r="N21" s="84"/>
      <c r="O21" s="3"/>
      <c r="P21" s="3"/>
      <c r="Q21" s="85"/>
      <c r="U21" s="3"/>
      <c r="V21" s="3"/>
    </row>
    <row r="22" spans="1:22">
      <c r="A22">
        <v>2029</v>
      </c>
      <c r="B22">
        <v>41</v>
      </c>
      <c r="C22" s="3"/>
      <c r="D22" s="3">
        <f>'ZEV Sales'!D22</f>
        <v>13244.666373719814</v>
      </c>
      <c r="E22" s="3"/>
      <c r="F22" s="84"/>
      <c r="G22" s="3"/>
      <c r="H22" s="3"/>
      <c r="I22" s="3"/>
      <c r="J22" s="84"/>
      <c r="K22" s="3"/>
      <c r="L22" s="3"/>
      <c r="M22" s="3"/>
      <c r="N22" s="84"/>
      <c r="O22" s="3"/>
      <c r="P22" s="3"/>
      <c r="Q22" s="85"/>
      <c r="U22" s="3"/>
      <c r="V22" s="3"/>
    </row>
    <row r="23" spans="1:22">
      <c r="A23" s="90">
        <v>2029</v>
      </c>
      <c r="B23" s="205" t="s">
        <v>33</v>
      </c>
      <c r="C23" s="91">
        <f t="shared" si="4"/>
        <v>6345591.7601482347</v>
      </c>
      <c r="D23" s="3">
        <f>'ZEV Sales'!D23</f>
        <v>369996.33994508191</v>
      </c>
      <c r="E23" s="91"/>
      <c r="F23" s="92">
        <f>C23-I23</f>
        <v>5899950.661510637</v>
      </c>
      <c r="G23" s="91">
        <f>'Fleet ZEV fractions'!V21</f>
        <v>375755.656335134</v>
      </c>
      <c r="H23" s="91">
        <f>'Fleet ZEV fractions'!X21</f>
        <v>69885.442302463227</v>
      </c>
      <c r="I23" s="91">
        <f>'Fleet ZEV fractions'!Z21</f>
        <v>445641.09863759723</v>
      </c>
      <c r="J23" s="92">
        <f>C23-M23</f>
        <v>5471955.9529184047</v>
      </c>
      <c r="K23" s="91">
        <f>'Fleet ZEV fractions'!AB21</f>
        <v>752359.9970913484</v>
      </c>
      <c r="L23" s="91">
        <f>'Fleet ZEV fractions'!AD21</f>
        <v>121275.81013848113</v>
      </c>
      <c r="M23" s="91">
        <f>'Fleet ZEV fractions'!AF21</f>
        <v>873635.8072298296</v>
      </c>
      <c r="N23" s="92">
        <f>C23-Q23</f>
        <v>5606950.4924013522</v>
      </c>
      <c r="O23" s="91">
        <f>'Fleet ZEV fractions'!AH21</f>
        <v>629366.63342320418</v>
      </c>
      <c r="P23" s="91">
        <f>'Fleet ZEV fractions'!AJ21</f>
        <v>109274.63432367866</v>
      </c>
      <c r="Q23" s="94">
        <f>'Fleet ZEV fractions'!AL21</f>
        <v>738641.26774688298</v>
      </c>
      <c r="U23" s="3"/>
      <c r="V23" s="3"/>
    </row>
    <row r="24" spans="1:22">
      <c r="A24">
        <v>2030</v>
      </c>
      <c r="B24">
        <v>20</v>
      </c>
      <c r="C24" s="3">
        <f>'Combined MOVES output'!AE23</f>
        <v>3279947.094215272</v>
      </c>
      <c r="D24" s="3">
        <f>'ZEV Sales'!D24</f>
        <v>201250.35058193424</v>
      </c>
      <c r="E24" s="3"/>
      <c r="F24" s="84"/>
      <c r="G24" s="3"/>
      <c r="H24" s="3"/>
      <c r="I24" s="88"/>
      <c r="J24" s="84"/>
      <c r="K24" s="3"/>
      <c r="L24" s="3"/>
      <c r="M24" s="88"/>
      <c r="N24" s="84"/>
      <c r="O24" s="3"/>
      <c r="P24" s="3"/>
      <c r="Q24" s="89"/>
      <c r="U24" s="3"/>
      <c r="V24" s="3"/>
    </row>
    <row r="25" spans="1:22">
      <c r="A25">
        <v>2030</v>
      </c>
      <c r="B25">
        <v>30</v>
      </c>
      <c r="C25" s="3">
        <f>'Combined MOVES output'!AE24</f>
        <v>3078184.6678987993</v>
      </c>
      <c r="D25" s="3">
        <f>'ZEV Sales'!D25</f>
        <v>158293.13576354249</v>
      </c>
      <c r="E25" s="3">
        <f>D24+D25</f>
        <v>359543.4863454767</v>
      </c>
      <c r="F25" s="84"/>
      <c r="G25" s="3"/>
      <c r="H25" s="3"/>
      <c r="I25" s="88"/>
      <c r="J25" s="84"/>
      <c r="K25" s="3"/>
      <c r="L25" s="3"/>
      <c r="M25" s="88"/>
      <c r="N25" s="84"/>
      <c r="O25" s="3"/>
      <c r="P25" s="3"/>
      <c r="Q25" s="89"/>
      <c r="U25" s="3"/>
      <c r="V25" s="3"/>
    </row>
    <row r="26" spans="1:22">
      <c r="A26">
        <v>2030</v>
      </c>
      <c r="B26">
        <v>41</v>
      </c>
      <c r="C26" s="3"/>
      <c r="D26" s="3">
        <f>'ZEV Sales'!D26</f>
        <v>13209.107416013212</v>
      </c>
      <c r="E26" s="3"/>
      <c r="F26" s="84"/>
      <c r="G26" s="3"/>
      <c r="H26" s="3"/>
      <c r="I26" s="88"/>
      <c r="J26" s="84"/>
      <c r="K26" s="3"/>
      <c r="L26" s="3"/>
      <c r="M26" s="88"/>
      <c r="N26" s="84"/>
      <c r="O26" s="3"/>
      <c r="P26" s="3"/>
      <c r="Q26" s="89"/>
      <c r="U26" s="3"/>
      <c r="V26" s="3"/>
    </row>
    <row r="27" spans="1:22">
      <c r="A27" s="90">
        <v>2030</v>
      </c>
      <c r="B27" s="205" t="s">
        <v>33</v>
      </c>
      <c r="C27" s="91">
        <f>C24+C25</f>
        <v>6358131.7621140713</v>
      </c>
      <c r="D27" s="3">
        <f>'ZEV Sales'!D27</f>
        <v>369886.48514501756</v>
      </c>
      <c r="E27" s="91"/>
      <c r="F27" s="92">
        <f>C27-I27</f>
        <v>5850649.1838250523</v>
      </c>
      <c r="G27" s="91">
        <f>'Fleet ZEV fractions'!V22</f>
        <v>435439.87506848312</v>
      </c>
      <c r="H27" s="91">
        <f>'Fleet ZEV fractions'!X22</f>
        <v>72042.703220536117</v>
      </c>
      <c r="I27" s="93">
        <f>'Fleet ZEV fractions'!Z22</f>
        <v>507482.57828901923</v>
      </c>
      <c r="J27" s="92">
        <f>C27-M27</f>
        <v>5240006.3841693178</v>
      </c>
      <c r="K27" s="91">
        <f>'Fleet ZEV fractions'!AB22</f>
        <v>982878.73519399122</v>
      </c>
      <c r="L27" s="91">
        <f>'Fleet ZEV fractions'!AD22</f>
        <v>135246.64275076252</v>
      </c>
      <c r="M27" s="91">
        <f>'Fleet ZEV fractions'!AF22</f>
        <v>1118125.3779447537</v>
      </c>
      <c r="N27" s="92">
        <f>C27-Q27</f>
        <v>5423898.8377952492</v>
      </c>
      <c r="O27" s="91">
        <f>'Fleet ZEV fractions'!AH22</f>
        <v>813781.62390531844</v>
      </c>
      <c r="P27" s="91">
        <f>'Fleet ZEV fractions'!AJ22</f>
        <v>120451.30041350378</v>
      </c>
      <c r="Q27" s="94">
        <f>'Fleet ZEV fractions'!AL22</f>
        <v>934232.92431882233</v>
      </c>
      <c r="U27" s="3"/>
      <c r="V27" s="3"/>
    </row>
    <row r="28" spans="1:22">
      <c r="A28">
        <v>2031</v>
      </c>
      <c r="B28">
        <v>20</v>
      </c>
      <c r="C28" s="3">
        <f>C24+(C44-C24)/5</f>
        <v>3282494.7667470532</v>
      </c>
      <c r="D28" s="3">
        <f>'ZEV Sales'!D28</f>
        <v>203052.15517416407</v>
      </c>
      <c r="E28" s="3"/>
      <c r="F28" s="84"/>
      <c r="G28" s="3"/>
      <c r="H28" s="3"/>
      <c r="I28" s="3"/>
      <c r="J28" s="84"/>
      <c r="K28" s="3"/>
      <c r="L28" s="3"/>
      <c r="M28" s="3"/>
      <c r="N28" s="84"/>
      <c r="O28" s="3"/>
      <c r="P28" s="3"/>
      <c r="Q28" s="85"/>
      <c r="U28" s="3"/>
      <c r="V28" s="3"/>
    </row>
    <row r="29" spans="1:22">
      <c r="A29">
        <v>2031</v>
      </c>
      <c r="B29">
        <v>30</v>
      </c>
      <c r="C29" s="3">
        <f t="shared" ref="C29:C31" si="5">C25+(C45-C25)/5</f>
        <v>3087806.5265777735</v>
      </c>
      <c r="D29" s="3">
        <f>'ZEV Sales'!D29</f>
        <v>158463.95921955843</v>
      </c>
      <c r="E29" s="3">
        <f>D28+D29</f>
        <v>361516.1143937225</v>
      </c>
      <c r="F29" s="84"/>
      <c r="G29" s="3"/>
      <c r="H29" s="3"/>
      <c r="I29" s="3"/>
      <c r="J29" s="84"/>
      <c r="K29" s="3"/>
      <c r="L29" s="3"/>
      <c r="M29" s="3"/>
      <c r="N29" s="84"/>
      <c r="O29" s="3"/>
      <c r="P29" s="3"/>
      <c r="Q29" s="85"/>
      <c r="U29" s="3"/>
      <c r="V29" s="3"/>
    </row>
    <row r="30" spans="1:22">
      <c r="A30">
        <v>2031</v>
      </c>
      <c r="B30">
        <v>41</v>
      </c>
      <c r="C30" s="3"/>
      <c r="D30" s="3">
        <f>'ZEV Sales'!D30</f>
        <v>13273.663168620431</v>
      </c>
      <c r="E30" s="3"/>
      <c r="F30" s="84"/>
      <c r="G30" s="3"/>
      <c r="H30" s="3"/>
      <c r="I30" s="3"/>
      <c r="J30" s="84"/>
      <c r="K30" s="3"/>
      <c r="L30" s="3"/>
      <c r="M30" s="3"/>
      <c r="N30" s="84"/>
      <c r="O30" s="3"/>
      <c r="P30" s="3"/>
      <c r="Q30" s="85"/>
      <c r="U30" s="3"/>
      <c r="V30" s="3"/>
    </row>
    <row r="31" spans="1:22">
      <c r="A31" s="90">
        <v>2031</v>
      </c>
      <c r="B31" s="205" t="s">
        <v>33</v>
      </c>
      <c r="C31" s="91">
        <f t="shared" si="5"/>
        <v>6370301.2933248272</v>
      </c>
      <c r="D31" s="3">
        <f>'ZEV Sales'!D31</f>
        <v>372025.19459754642</v>
      </c>
      <c r="E31" s="91"/>
      <c r="F31" s="92">
        <f>C31-I31</f>
        <v>5800637.9433600875</v>
      </c>
      <c r="G31" s="91">
        <f>'Fleet ZEV fractions'!V23</f>
        <v>495451.55005784106</v>
      </c>
      <c r="H31" s="91">
        <f>'Fleet ZEV fractions'!X23</f>
        <v>74211.799906898465</v>
      </c>
      <c r="I31" s="91">
        <f>'Fleet ZEV fractions'!Z23</f>
        <v>569663.34996473952</v>
      </c>
      <c r="J31" s="92">
        <f>C31-M31</f>
        <v>4977423.6684408449</v>
      </c>
      <c r="K31" s="91">
        <f>'Fleet ZEV fractions'!AB23</f>
        <v>1245339.4342438336</v>
      </c>
      <c r="L31" s="91">
        <f>'Fleet ZEV fractions'!AD23</f>
        <v>147538.19064014909</v>
      </c>
      <c r="M31" s="91">
        <f>'Fleet ZEV fractions'!AF23</f>
        <v>1392877.6248839828</v>
      </c>
      <c r="N31" s="92">
        <f>C31-Q31</f>
        <v>5216266.5714546219</v>
      </c>
      <c r="O31" s="91">
        <f>'Fleet ZEV fractions'!AH23</f>
        <v>1023750.1831451925</v>
      </c>
      <c r="P31" s="91">
        <f>'Fleet ZEV fractions'!AJ23</f>
        <v>130284.53872501303</v>
      </c>
      <c r="Q31" s="94">
        <f>'Fleet ZEV fractions'!AL23</f>
        <v>1154034.7218702056</v>
      </c>
      <c r="U31" s="3"/>
      <c r="V31" s="3"/>
    </row>
    <row r="32" spans="1:22">
      <c r="A32">
        <v>2032</v>
      </c>
      <c r="B32">
        <v>20</v>
      </c>
      <c r="C32" s="3">
        <f>C24+2*(C44-C24)/5</f>
        <v>3285042.4392788345</v>
      </c>
      <c r="D32" s="3">
        <f>'ZEV Sales'!D32</f>
        <v>204856.51401688659</v>
      </c>
      <c r="E32" s="3"/>
      <c r="F32" s="84"/>
      <c r="G32" s="3"/>
      <c r="H32" s="3"/>
      <c r="I32" s="3"/>
      <c r="J32" s="84"/>
      <c r="K32" s="3"/>
      <c r="L32" s="3"/>
      <c r="M32" s="3"/>
      <c r="N32" s="84"/>
      <c r="O32" s="3"/>
      <c r="P32" s="3"/>
      <c r="Q32" s="85"/>
      <c r="U32" s="3"/>
      <c r="V32" s="3"/>
    </row>
    <row r="33" spans="1:22">
      <c r="A33">
        <v>2032</v>
      </c>
      <c r="B33">
        <v>30</v>
      </c>
      <c r="C33" s="3">
        <f t="shared" ref="C33:C35" si="6">C25+2*(C45-C25)/5</f>
        <v>3097428.3852567482</v>
      </c>
      <c r="D33" s="3">
        <f>'ZEV Sales'!D33</f>
        <v>158632.76362401681</v>
      </c>
      <c r="E33" s="3">
        <f>D32+D33</f>
        <v>363489.27764090337</v>
      </c>
      <c r="F33" s="84"/>
      <c r="G33" s="3"/>
      <c r="H33" s="3"/>
      <c r="I33" s="3"/>
      <c r="J33" s="84"/>
      <c r="K33" s="3"/>
      <c r="L33" s="3"/>
      <c r="M33" s="3"/>
      <c r="N33" s="84"/>
      <c r="O33" s="3"/>
      <c r="P33" s="3"/>
      <c r="Q33" s="85"/>
      <c r="U33" s="3"/>
      <c r="V33" s="3"/>
    </row>
    <row r="34" spans="1:22">
      <c r="A34">
        <v>2032</v>
      </c>
      <c r="B34">
        <v>41</v>
      </c>
      <c r="C34" s="3"/>
      <c r="D34" s="3">
        <f>'ZEV Sales'!D34</f>
        <v>13338.373870924097</v>
      </c>
      <c r="E34" s="3"/>
      <c r="F34" s="84"/>
      <c r="G34" s="3"/>
      <c r="H34" s="3"/>
      <c r="I34" s="3"/>
      <c r="J34" s="84"/>
      <c r="K34" s="3"/>
      <c r="L34" s="3"/>
      <c r="M34" s="3"/>
      <c r="N34" s="84"/>
      <c r="O34" s="3"/>
      <c r="P34" s="3"/>
      <c r="Q34" s="85"/>
      <c r="U34" s="3"/>
      <c r="V34" s="3"/>
    </row>
    <row r="35" spans="1:22">
      <c r="A35" s="90">
        <v>2032</v>
      </c>
      <c r="B35" s="205" t="s">
        <v>33</v>
      </c>
      <c r="C35" s="91">
        <f t="shared" si="6"/>
        <v>6382470.8245355822</v>
      </c>
      <c r="D35" s="3">
        <f>'ZEV Sales'!D35</f>
        <v>374169.38272538991</v>
      </c>
      <c r="E35" s="91"/>
      <c r="F35" s="92">
        <f>C35-I35</f>
        <v>5750287.3188166078</v>
      </c>
      <c r="G35" s="91">
        <f>'Fleet ZEV fractions'!V24</f>
        <v>555790.77014623105</v>
      </c>
      <c r="H35" s="91">
        <f>'Fleet ZEV fractions'!X24</f>
        <v>76392.735572743812</v>
      </c>
      <c r="I35" s="91">
        <f>'Fleet ZEV fractions'!Z24</f>
        <v>632183.50571897486</v>
      </c>
      <c r="J35" s="92">
        <f>C35-M35</f>
        <v>4691531.9919860587</v>
      </c>
      <c r="K35" s="91">
        <f>'Fleet ZEV fractions'!AB24</f>
        <v>1531042.0064695836</v>
      </c>
      <c r="L35" s="91">
        <f>'Fleet ZEV fractions'!AD24</f>
        <v>159896.82607993981</v>
      </c>
      <c r="M35" s="91">
        <f>'Fleet ZEV fractions'!AF24</f>
        <v>1690938.8325495236</v>
      </c>
      <c r="N35" s="92">
        <f>C35-Q35</f>
        <v>4989987.1365329437</v>
      </c>
      <c r="O35" s="91">
        <f>'Fleet ZEV fractions'!AH24</f>
        <v>1252312.2409257926</v>
      </c>
      <c r="P35" s="91">
        <f>'Fleet ZEV fractions'!AJ24</f>
        <v>140171.44707684559</v>
      </c>
      <c r="Q35" s="94">
        <f>'Fleet ZEV fractions'!AL24</f>
        <v>1392483.6880026383</v>
      </c>
      <c r="U35" s="3"/>
      <c r="V35" s="3"/>
    </row>
    <row r="36" spans="1:22">
      <c r="A36">
        <v>2033</v>
      </c>
      <c r="B36">
        <v>20</v>
      </c>
      <c r="C36" s="3">
        <f>C24+3*(C44-C24)/5</f>
        <v>3287590.1118106153</v>
      </c>
      <c r="D36" s="3">
        <f>'ZEV Sales'!D36</f>
        <v>206663.42711010177</v>
      </c>
      <c r="E36" s="3"/>
      <c r="F36" s="84"/>
      <c r="G36" s="3"/>
      <c r="H36" s="3"/>
      <c r="I36" s="3"/>
      <c r="J36" s="84"/>
      <c r="K36" s="3"/>
      <c r="L36" s="3"/>
      <c r="M36" s="3"/>
      <c r="N36" s="84"/>
      <c r="O36" s="3"/>
      <c r="P36" s="3"/>
      <c r="Q36" s="85"/>
      <c r="U36" s="3"/>
      <c r="V36" s="3"/>
    </row>
    <row r="37" spans="1:22">
      <c r="A37">
        <v>2033</v>
      </c>
      <c r="B37">
        <v>30</v>
      </c>
      <c r="C37" s="3">
        <f>C25+3*(C45-C25)/5</f>
        <v>3107050.2439357224</v>
      </c>
      <c r="D37" s="3">
        <f>'ZEV Sales'!D37</f>
        <v>158799.54897691752</v>
      </c>
      <c r="E37" s="3">
        <f>D36+D37</f>
        <v>365462.97608701931</v>
      </c>
      <c r="F37" s="84"/>
      <c r="G37" s="3"/>
      <c r="H37" s="3"/>
      <c r="I37" s="3"/>
      <c r="J37" s="84"/>
      <c r="K37" s="3"/>
      <c r="L37" s="3"/>
      <c r="M37" s="3"/>
      <c r="N37" s="84"/>
      <c r="O37" s="3"/>
      <c r="P37" s="3"/>
      <c r="Q37" s="85"/>
      <c r="U37" s="3"/>
      <c r="V37" s="3"/>
    </row>
    <row r="38" spans="1:22">
      <c r="A38">
        <v>2033</v>
      </c>
      <c r="B38">
        <v>41</v>
      </c>
      <c r="C38" s="3"/>
      <c r="D38" s="3">
        <f>'ZEV Sales'!D38</f>
        <v>13403.239522924207</v>
      </c>
      <c r="E38" s="3"/>
      <c r="F38" s="84"/>
      <c r="G38" s="3"/>
      <c r="H38" s="3"/>
      <c r="I38" s="3"/>
      <c r="J38" s="84"/>
      <c r="K38" s="3"/>
      <c r="L38" s="3"/>
      <c r="M38" s="3"/>
      <c r="N38" s="84"/>
      <c r="O38" s="3"/>
      <c r="P38" s="3"/>
      <c r="Q38" s="85"/>
      <c r="U38" s="3"/>
      <c r="V38" s="3"/>
    </row>
    <row r="39" spans="1:22">
      <c r="A39" s="90">
        <v>2033</v>
      </c>
      <c r="B39" s="205" t="s">
        <v>33</v>
      </c>
      <c r="C39" s="91">
        <f>C27+3*(C47-C27)/5</f>
        <v>6394640.3557463381</v>
      </c>
      <c r="D39" s="3">
        <f>'ZEV Sales'!D39</f>
        <v>376319.04952854809</v>
      </c>
      <c r="E39" s="91"/>
      <c r="F39" s="92">
        <f>C39-I39</f>
        <v>5699597.2181403963</v>
      </c>
      <c r="G39" s="91">
        <f>'Fleet ZEV fractions'!V25</f>
        <v>616457.62417667627</v>
      </c>
      <c r="H39" s="91">
        <f>'Fleet ZEV fractions'!X25</f>
        <v>78585.513429265935</v>
      </c>
      <c r="I39" s="91">
        <f>'Fleet ZEV fractions'!Z25</f>
        <v>695043.1376059422</v>
      </c>
      <c r="J39" s="92">
        <f>C39-M39</f>
        <v>4382094.1042402377</v>
      </c>
      <c r="K39" s="91">
        <f>'Fleet ZEV fractions'!AB25</f>
        <v>1828163.4060283303</v>
      </c>
      <c r="L39" s="91">
        <f>'Fleet ZEV fractions'!AD25</f>
        <v>184382.84547777011</v>
      </c>
      <c r="M39" s="91">
        <f>'Fleet ZEV fractions'!AF25</f>
        <v>2012546.2515061004</v>
      </c>
      <c r="N39" s="92">
        <f>C39-Q39</f>
        <v>4744870.7325784378</v>
      </c>
      <c r="O39" s="91">
        <f>'Fleet ZEV fractions'!AH25</f>
        <v>1490009.36057279</v>
      </c>
      <c r="P39" s="91">
        <f>'Fleet ZEV fractions'!AJ25</f>
        <v>159760.26259510982</v>
      </c>
      <c r="Q39" s="94">
        <f>'Fleet ZEV fractions'!AL25</f>
        <v>1649769.6231678999</v>
      </c>
      <c r="U39" s="3"/>
      <c r="V39" s="3"/>
    </row>
    <row r="40" spans="1:22">
      <c r="A40">
        <v>2034</v>
      </c>
      <c r="B40">
        <v>20</v>
      </c>
      <c r="C40" s="3">
        <f>C24+4*(C44-C24)/5</f>
        <v>3290137.7843423965</v>
      </c>
      <c r="D40" s="3">
        <f>'ZEV Sales'!D40</f>
        <v>208472.89445380965</v>
      </c>
      <c r="E40" s="3"/>
      <c r="F40" s="84"/>
      <c r="G40" s="3"/>
      <c r="H40" s="3"/>
      <c r="I40" s="3"/>
      <c r="J40" s="84"/>
      <c r="K40" s="3"/>
      <c r="L40" s="3"/>
      <c r="M40" s="3"/>
      <c r="N40" s="84"/>
      <c r="O40" s="3"/>
      <c r="P40" s="3"/>
      <c r="Q40" s="85"/>
      <c r="U40" s="3"/>
      <c r="V40" s="3"/>
    </row>
    <row r="41" spans="1:22">
      <c r="A41">
        <v>2034</v>
      </c>
      <c r="B41">
        <v>30</v>
      </c>
      <c r="C41" s="3">
        <f t="shared" ref="C41:C43" si="7">C25+4*(C45-C25)/5</f>
        <v>3116672.1026146971</v>
      </c>
      <c r="D41" s="3">
        <f>'ZEV Sales'!D41</f>
        <v>158964.31527826068</v>
      </c>
      <c r="E41" s="3">
        <f>D40+D41</f>
        <v>367437.20973207033</v>
      </c>
      <c r="F41" s="84"/>
      <c r="G41" s="3"/>
      <c r="H41" s="3"/>
      <c r="I41" s="3"/>
      <c r="J41" s="84"/>
      <c r="K41" s="3"/>
      <c r="L41" s="3"/>
      <c r="M41" s="3"/>
      <c r="N41" s="84"/>
      <c r="O41" s="3"/>
      <c r="P41" s="3"/>
      <c r="Q41" s="85"/>
      <c r="U41" s="3"/>
      <c r="V41" s="3"/>
    </row>
    <row r="42" spans="1:22">
      <c r="A42">
        <v>2034</v>
      </c>
      <c r="B42">
        <v>41</v>
      </c>
      <c r="C42" s="3"/>
      <c r="D42" s="3">
        <f>'ZEV Sales'!D42</f>
        <v>13468.260124620763</v>
      </c>
      <c r="E42" s="3"/>
      <c r="F42" s="84"/>
      <c r="G42" s="3"/>
      <c r="H42" s="3"/>
      <c r="I42" s="3"/>
      <c r="J42" s="84"/>
      <c r="K42" s="3"/>
      <c r="L42" s="3"/>
      <c r="M42" s="3"/>
      <c r="N42" s="84"/>
      <c r="O42" s="3"/>
      <c r="P42" s="3"/>
      <c r="Q42" s="85"/>
      <c r="U42" s="3"/>
      <c r="V42" s="3"/>
    </row>
    <row r="43" spans="1:22">
      <c r="A43" s="90">
        <v>2034</v>
      </c>
      <c r="B43" s="205" t="s">
        <v>33</v>
      </c>
      <c r="C43" s="91">
        <f t="shared" si="7"/>
        <v>6406809.8869570931</v>
      </c>
      <c r="D43" s="3">
        <f>'ZEV Sales'!D43</f>
        <v>378474.19500702084</v>
      </c>
      <c r="E43" s="91"/>
      <c r="F43" s="92">
        <f>C43-I43</f>
        <v>5648567.5492772348</v>
      </c>
      <c r="G43" s="91">
        <f>'Fleet ZEV fractions'!V26</f>
        <v>677452.20099219994</v>
      </c>
      <c r="H43" s="91">
        <f>'Fleet ZEV fractions'!X26</f>
        <v>80790.136687658378</v>
      </c>
      <c r="I43" s="91">
        <f>'Fleet ZEV fractions'!Z26</f>
        <v>758242.33767985832</v>
      </c>
      <c r="J43" s="92">
        <f>C43-M43</f>
        <v>4048872.6583028468</v>
      </c>
      <c r="K43" s="91">
        <f>'Fleet ZEV fractions'!AB26</f>
        <v>2132033.9784767525</v>
      </c>
      <c r="L43" s="91">
        <f>'Fleet ZEV fractions'!AD26</f>
        <v>225903.25017749408</v>
      </c>
      <c r="M43" s="91">
        <f>'Fleet ZEV fractions'!AF26</f>
        <v>2357937.2286542463</v>
      </c>
      <c r="N43" s="92">
        <f>C43-Q43</f>
        <v>4480727.4820706761</v>
      </c>
      <c r="O43" s="91">
        <f>'Fleet ZEV fractions'!AH26</f>
        <v>1733105.8185315276</v>
      </c>
      <c r="P43" s="91">
        <f>'Fleet ZEV fractions'!AJ26</f>
        <v>192976.58635488898</v>
      </c>
      <c r="Q43" s="94">
        <f>'Fleet ZEV fractions'!AL26</f>
        <v>1926082.4048864169</v>
      </c>
      <c r="U43" s="3"/>
      <c r="V43" s="3"/>
    </row>
    <row r="44" spans="1:22">
      <c r="A44">
        <v>2035</v>
      </c>
      <c r="B44">
        <v>20</v>
      </c>
      <c r="C44" s="3">
        <f>'Combined MOVES output'!AE28</f>
        <v>3292685.4568741778</v>
      </c>
      <c r="D44" s="3">
        <f>'ZEV Sales'!D44</f>
        <v>210284.91604801023</v>
      </c>
      <c r="E44" s="3"/>
      <c r="F44" s="84"/>
      <c r="G44" s="3"/>
      <c r="H44" s="3"/>
      <c r="I44" s="88"/>
      <c r="J44" s="84"/>
      <c r="K44" s="3"/>
      <c r="L44" s="3"/>
      <c r="M44" s="88"/>
      <c r="N44" s="84"/>
      <c r="O44" s="3"/>
      <c r="P44" s="3"/>
      <c r="Q44" s="89"/>
      <c r="U44" s="3"/>
      <c r="V44" s="3"/>
    </row>
    <row r="45" spans="1:22">
      <c r="A45">
        <v>2035</v>
      </c>
      <c r="B45">
        <v>30</v>
      </c>
      <c r="C45" s="3">
        <f>'Combined MOVES output'!AE29</f>
        <v>3126293.9612936713</v>
      </c>
      <c r="D45" s="3">
        <f>'ZEV Sales'!D45</f>
        <v>159127.06252804623</v>
      </c>
      <c r="E45" s="3">
        <f>D44+D45</f>
        <v>369411.97857605643</v>
      </c>
      <c r="F45" s="84"/>
      <c r="G45" s="3"/>
      <c r="H45" s="3"/>
      <c r="I45" s="88"/>
      <c r="J45" s="84"/>
      <c r="K45" s="3"/>
      <c r="L45" s="3"/>
      <c r="M45" s="88"/>
      <c r="N45" s="84"/>
      <c r="O45" s="3"/>
      <c r="P45" s="3"/>
      <c r="Q45" s="89"/>
      <c r="U45" s="3"/>
      <c r="V45" s="3"/>
    </row>
    <row r="46" spans="1:22">
      <c r="A46">
        <v>2035</v>
      </c>
      <c r="B46">
        <v>41</v>
      </c>
      <c r="C46" s="3"/>
      <c r="D46" s="3">
        <f>'ZEV Sales'!D46</f>
        <v>13533.435676013762</v>
      </c>
      <c r="E46" s="3"/>
      <c r="F46" s="84"/>
      <c r="G46" s="3"/>
      <c r="H46" s="3"/>
      <c r="I46" s="88"/>
      <c r="J46" s="84"/>
      <c r="K46" s="3"/>
      <c r="L46" s="3"/>
      <c r="M46" s="88"/>
      <c r="N46" s="84"/>
      <c r="O46" s="3"/>
      <c r="P46" s="3"/>
      <c r="Q46" s="89"/>
      <c r="U46" s="3"/>
      <c r="V46" s="3"/>
    </row>
    <row r="47" spans="1:22">
      <c r="A47" s="90">
        <v>2035</v>
      </c>
      <c r="B47" s="205" t="s">
        <v>33</v>
      </c>
      <c r="C47" s="91">
        <f>C44+C45</f>
        <v>6418979.4181678491</v>
      </c>
      <c r="D47" s="3">
        <f>'ZEV Sales'!D47</f>
        <v>380634.8191608084</v>
      </c>
      <c r="E47" s="91"/>
      <c r="F47" s="92">
        <f>C47-I47</f>
        <v>5597198.2201729091</v>
      </c>
      <c r="G47" s="91">
        <f>'Fleet ZEV fractions'!V27</f>
        <v>738774.58943582536</v>
      </c>
      <c r="H47" s="91">
        <f>'Fleet ZEV fractions'!X27</f>
        <v>83006.608559114626</v>
      </c>
      <c r="I47" s="93">
        <f>'Fleet ZEV fractions'!Z27</f>
        <v>821781.19799493998</v>
      </c>
      <c r="J47" s="92">
        <f>C47-M47</f>
        <v>3691630.2109375466</v>
      </c>
      <c r="K47" s="91">
        <f>'Fleet ZEV fractions'!AB27</f>
        <v>2437537.6847591512</v>
      </c>
      <c r="L47" s="91">
        <f>'Fleet ZEV fractions'!AD27</f>
        <v>289811.52247115184</v>
      </c>
      <c r="M47" s="91">
        <f>'Fleet ZEV fractions'!AF27</f>
        <v>2727349.2072303025</v>
      </c>
      <c r="N47" s="92">
        <f>C47-Q47</f>
        <v>4197367.4304205868</v>
      </c>
      <c r="O47" s="91">
        <f>'Fleet ZEV fractions'!AH27</f>
        <v>1977508.7835574467</v>
      </c>
      <c r="P47" s="91">
        <f>'Fleet ZEV fractions'!AJ27</f>
        <v>244103.20418981518</v>
      </c>
      <c r="Q47" s="94">
        <f>'Fleet ZEV fractions'!AL27</f>
        <v>2221611.9877472622</v>
      </c>
      <c r="U47" s="3"/>
      <c r="V47" s="3"/>
    </row>
    <row r="48" spans="1:22">
      <c r="A48">
        <v>2040</v>
      </c>
      <c r="B48">
        <v>20</v>
      </c>
      <c r="C48" s="3">
        <f>'Combined MOVES output'!AE33</f>
        <v>3346139.5863728612</v>
      </c>
      <c r="D48" s="3">
        <f>'ZEV Sales'!D48</f>
        <v>211373.59756519183</v>
      </c>
      <c r="E48" s="3"/>
      <c r="F48" s="84"/>
      <c r="G48" s="3"/>
      <c r="H48" s="3"/>
      <c r="I48" s="88"/>
      <c r="J48" s="84"/>
      <c r="K48" s="3"/>
      <c r="L48" s="3"/>
      <c r="M48" s="88"/>
      <c r="N48" s="84"/>
      <c r="O48" s="3"/>
      <c r="P48" s="3"/>
      <c r="Q48" s="89"/>
      <c r="U48" s="3"/>
      <c r="V48" s="3"/>
    </row>
    <row r="49" spans="1:22">
      <c r="A49">
        <v>2040</v>
      </c>
      <c r="B49">
        <v>30</v>
      </c>
      <c r="C49" s="3">
        <f>'Combined MOVES output'!AE34</f>
        <v>3140305.3999218415</v>
      </c>
      <c r="D49" s="3">
        <f>'ZEV Sales'!D49</f>
        <v>160577.56382944612</v>
      </c>
      <c r="E49" s="3">
        <f>D48+D49</f>
        <v>371951.16139463795</v>
      </c>
      <c r="F49" s="84"/>
      <c r="G49" s="3"/>
      <c r="H49" s="3"/>
      <c r="I49" s="88"/>
      <c r="J49" s="84"/>
      <c r="K49" s="3"/>
      <c r="L49" s="3"/>
      <c r="M49" s="88"/>
      <c r="N49" s="84"/>
      <c r="O49" s="3"/>
      <c r="P49" s="3"/>
      <c r="Q49" s="89"/>
      <c r="U49" s="3"/>
      <c r="V49" s="3"/>
    </row>
    <row r="50" spans="1:22">
      <c r="A50">
        <v>2040</v>
      </c>
      <c r="B50">
        <v>41</v>
      </c>
      <c r="C50" s="3"/>
      <c r="D50" s="3">
        <f>'ZEV Sales'!D50</f>
        <v>13935.621534824479</v>
      </c>
      <c r="E50" s="3"/>
      <c r="F50" s="84"/>
      <c r="G50" s="3"/>
      <c r="H50" s="3"/>
      <c r="I50" s="88"/>
      <c r="J50" s="84"/>
      <c r="K50" s="3"/>
      <c r="L50" s="3"/>
      <c r="M50" s="88"/>
      <c r="N50" s="84"/>
      <c r="O50" s="3"/>
      <c r="P50" s="3"/>
      <c r="Q50" s="89"/>
      <c r="U50" s="3"/>
      <c r="V50" s="3"/>
    </row>
    <row r="51" spans="1:22" ht="16" thickBot="1">
      <c r="A51" s="90">
        <v>2040</v>
      </c>
      <c r="B51" s="205" t="s">
        <v>33</v>
      </c>
      <c r="C51" s="91">
        <f>C48+C49</f>
        <v>6486444.9862947026</v>
      </c>
      <c r="D51" s="3">
        <f>'ZEV Sales'!D51</f>
        <v>385040.73198978801</v>
      </c>
      <c r="E51" s="91"/>
      <c r="F51" s="95">
        <f>C51-I51</f>
        <v>5370776.4486520141</v>
      </c>
      <c r="G51" s="96">
        <f>'Fleet ZEV fractions'!V32</f>
        <v>1046651.0446976058</v>
      </c>
      <c r="H51" s="96">
        <f>'Fleet ZEV fractions'!X32</f>
        <v>69017.492945083184</v>
      </c>
      <c r="I51" s="97">
        <f>'Fleet ZEV fractions'!Z32</f>
        <v>1115668.537642689</v>
      </c>
      <c r="J51" s="95">
        <f>C51-M51</f>
        <v>1904418.3377283737</v>
      </c>
      <c r="K51" s="96">
        <f>'Fleet ZEV fractions'!AB32</f>
        <v>3971355.9287440451</v>
      </c>
      <c r="L51" s="96">
        <f>'Fleet ZEV fractions'!AD32</f>
        <v>610670.71982228442</v>
      </c>
      <c r="M51" s="96">
        <f>'Fleet ZEV fractions'!AF32</f>
        <v>4582026.6485663289</v>
      </c>
      <c r="N51" s="95">
        <f>C51-Q51</f>
        <v>2781091.0454786187</v>
      </c>
      <c r="O51" s="96">
        <f>'Fleet ZEV fractions'!AH32</f>
        <v>3204563.3787453617</v>
      </c>
      <c r="P51" s="96">
        <f>'Fleet ZEV fractions'!AJ32</f>
        <v>500790.56207072124</v>
      </c>
      <c r="Q51" s="100">
        <f>'Fleet ZEV fractions'!AL32</f>
        <v>3705353.9408160839</v>
      </c>
      <c r="U51" s="3"/>
      <c r="V51" s="3"/>
    </row>
    <row r="52" spans="1:22">
      <c r="C52" s="3"/>
      <c r="N52" s="78"/>
      <c r="U52" s="3"/>
      <c r="V52" s="3"/>
    </row>
    <row r="53" spans="1:22">
      <c r="N53" s="78"/>
      <c r="U53" s="3"/>
      <c r="V53" s="3"/>
    </row>
    <row r="54" spans="1:22">
      <c r="U54" s="3"/>
      <c r="V54" s="3"/>
    </row>
    <row r="55" spans="1:22">
      <c r="U55" s="3"/>
      <c r="V55" s="3"/>
    </row>
    <row r="56" spans="1:22">
      <c r="U56" s="3"/>
      <c r="V56" s="3"/>
    </row>
    <row r="57" spans="1:22">
      <c r="U57" s="3"/>
      <c r="V57" s="3"/>
    </row>
    <row r="58" spans="1:22">
      <c r="U58" s="3"/>
      <c r="V58" s="3"/>
    </row>
    <row r="59" spans="1:22">
      <c r="U59" s="3"/>
      <c r="V59" s="3"/>
    </row>
    <row r="60" spans="1:22">
      <c r="C60" s="3"/>
      <c r="D60" s="3"/>
      <c r="U60" s="3"/>
      <c r="V60" s="3"/>
    </row>
    <row r="61" spans="1:22">
      <c r="C61" s="3"/>
      <c r="D61" s="3"/>
      <c r="U61" s="3"/>
      <c r="V61" s="3"/>
    </row>
    <row r="62" spans="1:22">
      <c r="C62" s="3"/>
      <c r="D62" s="3"/>
      <c r="U62" s="3"/>
      <c r="V62" s="3"/>
    </row>
    <row r="63" spans="1:22">
      <c r="C63" s="3"/>
      <c r="D63" s="3"/>
      <c r="U63" s="3"/>
      <c r="V63" s="3"/>
    </row>
    <row r="64" spans="1:22">
      <c r="C64" s="3"/>
      <c r="D64" s="3"/>
      <c r="U64" s="3"/>
      <c r="V64" s="3"/>
    </row>
    <row r="65" spans="3:22">
      <c r="C65" s="3"/>
      <c r="D65" s="3"/>
      <c r="U65" s="3"/>
      <c r="V65" s="3"/>
    </row>
    <row r="66" spans="3:22">
      <c r="C66" s="3"/>
      <c r="D66" s="3"/>
      <c r="U66" s="3"/>
      <c r="V66" s="3"/>
    </row>
    <row r="67" spans="3:22">
      <c r="C67" s="3"/>
      <c r="D67" s="3"/>
      <c r="U67" s="3"/>
      <c r="V67" s="3"/>
    </row>
    <row r="68" spans="3:22">
      <c r="C68" s="3"/>
      <c r="D68" s="3"/>
      <c r="U68" s="3"/>
      <c r="V68" s="3"/>
    </row>
    <row r="69" spans="3:22">
      <c r="C69" s="3"/>
      <c r="D69" s="3"/>
      <c r="U69" s="3"/>
      <c r="V69" s="3"/>
    </row>
    <row r="70" spans="3:22">
      <c r="C70" s="3"/>
      <c r="D70" s="3"/>
      <c r="U70" s="3"/>
      <c r="V70" s="3"/>
    </row>
    <row r="71" spans="3:22">
      <c r="U71" s="3"/>
      <c r="V71" s="3"/>
    </row>
    <row r="72" spans="3:22">
      <c r="U72" s="3"/>
      <c r="V72" s="3"/>
    </row>
  </sheetData>
  <sheetProtection algorithmName="SHA-512" hashValue="F+Kaqstx9q8/bkw6bsBVNJeOMrQjMY3F41FkjPJSNnLtcyRCZnI+H95VbdlQyll+OW4f4ueuN+q8zIT0zlJ+4Q==" saltValue="GkFh2otRh0HGYWX4NSYNkw==" spinCount="100000" sheet="1" objects="1" scenarios="1"/>
  <mergeCells count="3">
    <mergeCell ref="F2:I2"/>
    <mergeCell ref="J2:M2"/>
    <mergeCell ref="N2:Q2"/>
  </mergeCells>
  <pageMargins left="0.7" right="0.7" top="0.75" bottom="0.75" header="0.3" footer="0.3"/>
  <pageSetup orientation="portrait" horizontalDpi="360" verticalDpi="36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A3DCDC-7953-43DD-9FF2-3FBCAB79B74B}">
  <sheetPr codeName="Sheet15"/>
  <dimension ref="A1:AF53"/>
  <sheetViews>
    <sheetView topLeftCell="K3" workbookViewId="0">
      <selection activeCell="X29" sqref="X29"/>
    </sheetView>
  </sheetViews>
  <sheetFormatPr baseColWidth="10" defaultColWidth="8.83203125" defaultRowHeight="15"/>
  <cols>
    <col min="3" max="3" width="10.1640625" customWidth="1"/>
    <col min="4" max="5" width="10.33203125" customWidth="1"/>
    <col min="9" max="9" width="9.5" bestFit="1" customWidth="1"/>
  </cols>
  <sheetData>
    <row r="1" spans="1:32" ht="16" thickBot="1">
      <c r="A1" s="2" t="s">
        <v>452</v>
      </c>
      <c r="C1" s="2"/>
      <c r="D1" s="2"/>
      <c r="E1" s="2"/>
      <c r="F1" s="67"/>
      <c r="J1" s="2"/>
      <c r="N1" s="2"/>
      <c r="S1" s="33" t="s">
        <v>70</v>
      </c>
      <c r="T1" s="37"/>
      <c r="U1" s="37"/>
      <c r="V1" s="37"/>
      <c r="W1" s="37"/>
      <c r="X1" s="37"/>
      <c r="Y1" s="37"/>
      <c r="Z1" s="37"/>
      <c r="AA1" s="37"/>
      <c r="AB1" s="37"/>
      <c r="AC1" s="37"/>
      <c r="AD1" s="37"/>
      <c r="AE1" s="37"/>
      <c r="AF1" s="38"/>
    </row>
    <row r="2" spans="1:32" ht="16" thickBot="1">
      <c r="B2" s="2"/>
      <c r="C2" s="2"/>
      <c r="D2" s="2"/>
      <c r="E2" s="2"/>
      <c r="F2" s="333" t="s">
        <v>48</v>
      </c>
      <c r="G2" s="333"/>
      <c r="H2" s="333"/>
      <c r="I2" s="333"/>
      <c r="J2" s="333" t="s">
        <v>130</v>
      </c>
      <c r="K2" s="333"/>
      <c r="L2" s="333"/>
      <c r="M2" s="333"/>
      <c r="N2" s="333" t="s">
        <v>131</v>
      </c>
      <c r="O2" s="333"/>
      <c r="P2" s="333"/>
      <c r="Q2" s="333"/>
      <c r="S2" s="18" t="s">
        <v>71</v>
      </c>
      <c r="AF2" s="81"/>
    </row>
    <row r="3" spans="1:32" ht="16" thickBot="1">
      <c r="A3" t="s">
        <v>19</v>
      </c>
      <c r="B3" t="s">
        <v>50</v>
      </c>
      <c r="C3" t="s">
        <v>137</v>
      </c>
      <c r="D3" t="s">
        <v>134</v>
      </c>
      <c r="E3" t="s">
        <v>211</v>
      </c>
      <c r="F3" s="86" t="s">
        <v>129</v>
      </c>
      <c r="G3" s="87" t="s">
        <v>124</v>
      </c>
      <c r="H3" s="87" t="s">
        <v>122</v>
      </c>
      <c r="I3" s="87" t="s">
        <v>132</v>
      </c>
      <c r="J3" s="86" t="s">
        <v>129</v>
      </c>
      <c r="K3" s="87" t="s">
        <v>124</v>
      </c>
      <c r="L3" s="87" t="s">
        <v>122</v>
      </c>
      <c r="M3" s="87" t="s">
        <v>132</v>
      </c>
      <c r="N3" s="86" t="s">
        <v>129</v>
      </c>
      <c r="O3" s="87" t="s">
        <v>124</v>
      </c>
      <c r="P3" s="87" t="s">
        <v>122</v>
      </c>
      <c r="Q3" s="87" t="s">
        <v>132</v>
      </c>
      <c r="S3" s="18"/>
      <c r="AF3" s="81"/>
    </row>
    <row r="4" spans="1:32">
      <c r="A4">
        <f>'ZEV Sales'!S10</f>
        <v>2025</v>
      </c>
      <c r="B4">
        <f>'ZEV Sales'!T10</f>
        <v>20</v>
      </c>
      <c r="C4" s="3">
        <f>'Combined MOVES output'!AE18</f>
        <v>3247602.260427475</v>
      </c>
      <c r="D4" s="3">
        <f>C4*U10</f>
        <v>190944.20643927535</v>
      </c>
      <c r="E4" s="3"/>
      <c r="F4" s="84"/>
      <c r="G4" s="3"/>
      <c r="H4" s="3"/>
      <c r="I4" s="88"/>
      <c r="J4" s="84"/>
      <c r="K4" s="3"/>
      <c r="L4" s="3"/>
      <c r="M4" s="88"/>
      <c r="N4" s="98"/>
      <c r="O4" s="3"/>
      <c r="P4" s="3"/>
      <c r="Q4" s="99"/>
      <c r="S4" s="18"/>
      <c r="AF4" s="81"/>
    </row>
    <row r="5" spans="1:32">
      <c r="A5">
        <f>'ZEV Sales'!S11</f>
        <v>2025</v>
      </c>
      <c r="B5">
        <f>'ZEV Sales'!T11</f>
        <v>30</v>
      </c>
      <c r="C5" s="3">
        <f>'Combined MOVES output'!AE19</f>
        <v>3047829.4918574151</v>
      </c>
      <c r="D5" s="3">
        <f>C5*U11</f>
        <v>167461.98275804406</v>
      </c>
      <c r="E5" s="3">
        <f>D4+D5</f>
        <v>358406.18919731944</v>
      </c>
      <c r="F5" s="84"/>
      <c r="G5" s="3"/>
      <c r="H5" s="3"/>
      <c r="I5" s="88"/>
      <c r="J5" s="84"/>
      <c r="K5" s="3"/>
      <c r="L5" s="3"/>
      <c r="M5" s="88"/>
      <c r="N5" s="84"/>
      <c r="O5" s="3"/>
      <c r="P5" s="3"/>
      <c r="Q5" s="89"/>
      <c r="S5" s="18" t="s">
        <v>0</v>
      </c>
      <c r="T5" t="s">
        <v>136</v>
      </c>
      <c r="U5" t="s">
        <v>135</v>
      </c>
      <c r="AF5" s="81"/>
    </row>
    <row r="6" spans="1:32">
      <c r="A6">
        <f>'ZEV Sales'!S12</f>
        <v>2025</v>
      </c>
      <c r="B6">
        <f>'ZEV Sales'!T12</f>
        <v>41</v>
      </c>
      <c r="C6" s="3">
        <f>'Combined MOVES output'!AE20</f>
        <v>249658.58922714656</v>
      </c>
      <c r="D6" s="3">
        <f>C6*U12</f>
        <v>13384.467122292444</v>
      </c>
      <c r="E6" s="3"/>
      <c r="F6" s="84"/>
      <c r="G6" s="3"/>
      <c r="H6" s="3"/>
      <c r="I6" s="88"/>
      <c r="J6" s="84"/>
      <c r="K6" s="3"/>
      <c r="L6" s="3"/>
      <c r="M6" s="88"/>
      <c r="N6" s="84"/>
      <c r="O6" s="3"/>
      <c r="P6" s="3"/>
      <c r="Q6" s="89"/>
      <c r="S6" s="18">
        <v>2020</v>
      </c>
      <c r="T6">
        <v>20</v>
      </c>
      <c r="U6">
        <v>6.0165773347153381E-2</v>
      </c>
      <c r="AF6" s="81"/>
    </row>
    <row r="7" spans="1:32">
      <c r="A7" s="90">
        <f>A6</f>
        <v>2025</v>
      </c>
      <c r="B7" s="90" t="s">
        <v>133</v>
      </c>
      <c r="C7" s="91">
        <f>'Combined MOVES output'!AE21</f>
        <v>6545090.3415120365</v>
      </c>
      <c r="D7" s="91">
        <f>C7*U13</f>
        <v>370402.58415340399</v>
      </c>
      <c r="E7" s="91">
        <f>E5</f>
        <v>358406.18919731944</v>
      </c>
      <c r="F7" s="92">
        <f>E7-I7</f>
        <v>309662.94746648398</v>
      </c>
      <c r="G7" s="93">
        <f>$E7*'Fleet ZEV fractions'!B17</f>
        <v>46234.398406454209</v>
      </c>
      <c r="H7" s="93">
        <f>$E7*'Fleet ZEV fractions'!C17</f>
        <v>2508.843324381236</v>
      </c>
      <c r="I7" s="93">
        <f>$E7*'Fleet ZEV fractions'!D17</f>
        <v>48743.241730835449</v>
      </c>
      <c r="J7" s="251">
        <f>F7</f>
        <v>309662.94746648398</v>
      </c>
      <c r="K7" s="252">
        <f t="shared" ref="K7:M7" si="0">G7</f>
        <v>46234.398406454209</v>
      </c>
      <c r="L7" s="252">
        <f t="shared" si="0"/>
        <v>2508.843324381236</v>
      </c>
      <c r="M7" s="252">
        <f t="shared" si="0"/>
        <v>48743.241730835449</v>
      </c>
      <c r="N7" s="251">
        <f>F7</f>
        <v>309662.94746648398</v>
      </c>
      <c r="O7" s="252">
        <f t="shared" ref="O7:Q7" si="1">G7</f>
        <v>46234.398406454209</v>
      </c>
      <c r="P7" s="252">
        <f t="shared" si="1"/>
        <v>2508.843324381236</v>
      </c>
      <c r="Q7" s="253">
        <f t="shared" si="1"/>
        <v>48743.241730835449</v>
      </c>
      <c r="S7" s="18">
        <v>2020</v>
      </c>
      <c r="T7">
        <v>30</v>
      </c>
      <c r="U7">
        <v>6.0448579796706946E-2</v>
      </c>
      <c r="AF7" s="81"/>
    </row>
    <row r="8" spans="1:32">
      <c r="A8">
        <v>2026</v>
      </c>
      <c r="B8">
        <f>'ZEV Sales'!T14</f>
        <v>20</v>
      </c>
      <c r="C8" s="3">
        <f>C4+(C24-C4)/5</f>
        <v>3254071.2271850342</v>
      </c>
      <c r="D8" s="3">
        <f t="shared" ref="D8:D23" si="2">C8*AB10</f>
        <v>192992.17459446946</v>
      </c>
      <c r="E8" s="3"/>
      <c r="F8" s="84"/>
      <c r="G8" s="3"/>
      <c r="H8" s="3"/>
      <c r="I8" s="3"/>
      <c r="J8" s="84"/>
      <c r="K8" s="3"/>
      <c r="L8" s="3"/>
      <c r="M8" s="3"/>
      <c r="N8" s="84"/>
      <c r="O8" s="3"/>
      <c r="P8" s="3"/>
      <c r="Q8" s="85"/>
      <c r="S8" s="18">
        <v>2020</v>
      </c>
      <c r="T8">
        <v>41</v>
      </c>
      <c r="U8">
        <v>5.1021689276319594E-2</v>
      </c>
      <c r="Z8" t="s">
        <v>0</v>
      </c>
      <c r="AA8" t="s">
        <v>136</v>
      </c>
      <c r="AB8" t="s">
        <v>135</v>
      </c>
      <c r="AF8" s="81"/>
    </row>
    <row r="9" spans="1:32">
      <c r="A9">
        <v>2026</v>
      </c>
      <c r="B9">
        <f>'ZEV Sales'!T15</f>
        <v>30</v>
      </c>
      <c r="C9" s="3">
        <f t="shared" ref="C9:C11" si="3">C5+(C25-C5)/5</f>
        <v>3053900.527065692</v>
      </c>
      <c r="D9" s="3">
        <f t="shared" si="2"/>
        <v>165645.31174850377</v>
      </c>
      <c r="E9" s="3">
        <f>D8+D9</f>
        <v>358637.48634297319</v>
      </c>
      <c r="F9" s="84"/>
      <c r="G9" s="3"/>
      <c r="H9" s="3"/>
      <c r="I9" s="3"/>
      <c r="J9" s="84"/>
      <c r="K9" s="3"/>
      <c r="L9" s="3"/>
      <c r="M9" s="3"/>
      <c r="N9" s="84"/>
      <c r="O9" s="3"/>
      <c r="P9" s="3"/>
      <c r="Q9" s="85"/>
      <c r="S9" s="18">
        <v>2020</v>
      </c>
      <c r="T9" s="8" t="s">
        <v>109</v>
      </c>
      <c r="U9">
        <v>5.9864498528082767E-2</v>
      </c>
      <c r="Z9" t="s">
        <v>128</v>
      </c>
      <c r="AF9" s="82"/>
    </row>
    <row r="10" spans="1:32">
      <c r="A10">
        <v>2026</v>
      </c>
      <c r="B10">
        <f>'ZEV Sales'!T16</f>
        <v>41</v>
      </c>
      <c r="C10" s="3">
        <f t="shared" si="3"/>
        <v>250155.88938428988</v>
      </c>
      <c r="D10" s="3">
        <f t="shared" si="2"/>
        <v>13349.882197487354</v>
      </c>
      <c r="E10" s="3"/>
      <c r="F10" s="84"/>
      <c r="G10" s="3"/>
      <c r="H10" s="3"/>
      <c r="I10" s="3"/>
      <c r="J10" s="84"/>
      <c r="K10" s="3"/>
      <c r="L10" s="3"/>
      <c r="M10" s="3"/>
      <c r="N10" s="84"/>
      <c r="O10" s="3"/>
      <c r="P10" s="3"/>
      <c r="Q10" s="85"/>
      <c r="S10" s="18">
        <v>2025</v>
      </c>
      <c r="T10">
        <v>20</v>
      </c>
      <c r="U10">
        <v>5.8795440798265049E-2</v>
      </c>
      <c r="X10">
        <f t="shared" ref="X10:X17" si="4">(U14-U10)/5</f>
        <v>5.124726186822526E-4</v>
      </c>
      <c r="Z10">
        <v>2026</v>
      </c>
      <c r="AA10">
        <v>20</v>
      </c>
      <c r="AB10">
        <f>U10+X10</f>
        <v>5.93079134169473E-2</v>
      </c>
      <c r="AD10">
        <v>2031</v>
      </c>
      <c r="AE10">
        <v>20</v>
      </c>
      <c r="AF10" s="81">
        <f>U14+X14</f>
        <v>6.1859094866246626E-2</v>
      </c>
    </row>
    <row r="11" spans="1:32">
      <c r="A11" s="90">
        <v>2026</v>
      </c>
      <c r="B11" s="90" t="s">
        <v>133</v>
      </c>
      <c r="C11" s="91">
        <f t="shared" si="3"/>
        <v>6558127.6436350159</v>
      </c>
      <c r="D11" s="91">
        <f t="shared" si="2"/>
        <v>370305.99935011374</v>
      </c>
      <c r="E11" s="91">
        <f>E9</f>
        <v>358637.48634297319</v>
      </c>
      <c r="F11" s="92">
        <f>E11-I11</f>
        <v>296951.8386919818</v>
      </c>
      <c r="G11" s="91">
        <f>$E11*'Fleet ZEV fractions'!B18</f>
        <v>59533.82273293355</v>
      </c>
      <c r="H11" s="91">
        <f>$E11*'Fleet ZEV fractions'!C18</f>
        <v>2151.8249180578391</v>
      </c>
      <c r="I11" s="91">
        <f>$E11*'Fleet ZEV fractions'!D18</f>
        <v>61685.647650991392</v>
      </c>
      <c r="J11" s="92">
        <f>E11-M11</f>
        <v>233114.36612293258</v>
      </c>
      <c r="K11" s="91">
        <f>$E11*'Fleet ZEV fractions'!H18</f>
        <v>109278.95172097653</v>
      </c>
      <c r="L11" s="91">
        <f>$E11*'Fleet ZEV fractions'!I18</f>
        <v>16244.168499064081</v>
      </c>
      <c r="M11" s="91">
        <f>$E11*'Fleet ZEV fractions'!J18</f>
        <v>125523.12022004061</v>
      </c>
      <c r="N11" s="92">
        <f>E11-Q11</f>
        <v>258218.99016694073</v>
      </c>
      <c r="O11" s="91">
        <f>$E11*'Fleet ZEV fractions'!K18</f>
        <v>87423.161376781223</v>
      </c>
      <c r="P11" s="91">
        <f>$E11*'Fleet ZEV fractions'!L18</f>
        <v>12995.334799251264</v>
      </c>
      <c r="Q11" s="94">
        <f>$E11*'Fleet ZEV fractions'!M18</f>
        <v>100418.49617603248</v>
      </c>
      <c r="S11" s="18">
        <v>2025</v>
      </c>
      <c r="T11">
        <v>30</v>
      </c>
      <c r="U11">
        <v>5.494466905233239E-2</v>
      </c>
      <c r="X11">
        <f t="shared" si="4"/>
        <v>-7.040969444837078E-4</v>
      </c>
      <c r="Z11">
        <v>2026</v>
      </c>
      <c r="AA11">
        <v>30</v>
      </c>
      <c r="AB11">
        <f>U11+X11</f>
        <v>5.4240572107848682E-2</v>
      </c>
      <c r="AD11">
        <v>2031</v>
      </c>
      <c r="AE11">
        <v>30</v>
      </c>
      <c r="AF11" s="81">
        <f>U15+X15</f>
        <v>5.1319264291854641E-2</v>
      </c>
    </row>
    <row r="12" spans="1:32">
      <c r="A12">
        <v>2027</v>
      </c>
      <c r="B12">
        <f>'ZEV Sales'!T18</f>
        <v>20</v>
      </c>
      <c r="C12" s="3">
        <f>C4+2*(C24-C4)/5</f>
        <v>3260540.1939425939</v>
      </c>
      <c r="D12" s="3">
        <f t="shared" si="2"/>
        <v>195046.77308633243</v>
      </c>
      <c r="E12" s="3"/>
      <c r="F12" s="84"/>
      <c r="G12" s="3"/>
      <c r="H12" s="3"/>
      <c r="I12" s="3"/>
      <c r="J12" s="84"/>
      <c r="K12" s="3"/>
      <c r="L12" s="3"/>
      <c r="M12" s="3"/>
      <c r="N12" s="84"/>
      <c r="O12" s="3"/>
      <c r="P12" s="3"/>
      <c r="Q12" s="85"/>
      <c r="S12" s="18">
        <v>2025</v>
      </c>
      <c r="T12">
        <v>41</v>
      </c>
      <c r="U12">
        <v>5.3611082093053375E-2</v>
      </c>
      <c r="X12">
        <f t="shared" si="4"/>
        <v>-2.4483023168206939E-4</v>
      </c>
      <c r="Z12">
        <v>2026</v>
      </c>
      <c r="AA12">
        <v>41</v>
      </c>
      <c r="AB12">
        <f>U12+X12</f>
        <v>5.3366251861371304E-2</v>
      </c>
      <c r="AD12">
        <v>2031</v>
      </c>
      <c r="AE12">
        <v>41</v>
      </c>
      <c r="AF12" s="81">
        <f>U16+X16</f>
        <v>5.2530648581707987E-2</v>
      </c>
    </row>
    <row r="13" spans="1:32">
      <c r="A13">
        <v>2027</v>
      </c>
      <c r="B13">
        <f>'ZEV Sales'!T19</f>
        <v>30</v>
      </c>
      <c r="C13" s="3">
        <f t="shared" ref="C13:C15" si="5">C5+2*(C25-C5)/5</f>
        <v>3059971.5622739689</v>
      </c>
      <c r="D13" s="3">
        <f t="shared" si="2"/>
        <v>163820.09154428347</v>
      </c>
      <c r="E13" s="3">
        <f>D12+D13</f>
        <v>358866.86463061592</v>
      </c>
      <c r="F13" s="84"/>
      <c r="G13" s="3"/>
      <c r="H13" s="3"/>
      <c r="I13" s="3"/>
      <c r="J13" s="84"/>
      <c r="K13" s="3"/>
      <c r="L13" s="3"/>
      <c r="M13" s="3"/>
      <c r="N13" s="84"/>
      <c r="O13" s="3"/>
      <c r="P13" s="3"/>
      <c r="Q13" s="85"/>
      <c r="S13" s="18">
        <v>2025</v>
      </c>
      <c r="T13" s="8" t="s">
        <v>109</v>
      </c>
      <c r="U13">
        <v>5.6592432621462359E-2</v>
      </c>
      <c r="X13">
        <f t="shared" si="4"/>
        <v>-1.2723104681569287E-4</v>
      </c>
      <c r="Z13">
        <v>2026</v>
      </c>
      <c r="AA13" s="8" t="s">
        <v>109</v>
      </c>
      <c r="AB13">
        <f>U13+X13</f>
        <v>5.6465201574646663E-2</v>
      </c>
      <c r="AD13">
        <v>2031</v>
      </c>
      <c r="AE13" s="8" t="s">
        <v>109</v>
      </c>
      <c r="AF13" s="81">
        <f>U17+X17</f>
        <v>5.6171827167234449E-2</v>
      </c>
    </row>
    <row r="14" spans="1:32">
      <c r="A14">
        <v>2027</v>
      </c>
      <c r="B14">
        <f>'ZEV Sales'!T20</f>
        <v>41</v>
      </c>
      <c r="C14" s="3">
        <f t="shared" si="5"/>
        <v>250653.18954143321</v>
      </c>
      <c r="D14" s="3">
        <f t="shared" si="2"/>
        <v>13315.053764456885</v>
      </c>
      <c r="E14" s="3"/>
      <c r="F14" s="84"/>
      <c r="G14" s="3"/>
      <c r="H14" s="3"/>
      <c r="I14" s="3"/>
      <c r="J14" s="84"/>
      <c r="K14" s="3"/>
      <c r="L14" s="3"/>
      <c r="M14" s="3"/>
      <c r="N14" s="84"/>
      <c r="O14" s="3"/>
      <c r="P14" s="3"/>
      <c r="Q14" s="85"/>
      <c r="S14" s="18">
        <v>2030</v>
      </c>
      <c r="T14">
        <v>20</v>
      </c>
      <c r="U14">
        <v>6.1357803891676312E-2</v>
      </c>
      <c r="X14">
        <f t="shared" si="4"/>
        <v>5.0129097457031621E-4</v>
      </c>
      <c r="Z14">
        <v>2027</v>
      </c>
      <c r="AA14">
        <v>20</v>
      </c>
      <c r="AB14">
        <f>U10+2*X10</f>
        <v>5.9820386035629551E-2</v>
      </c>
      <c r="AD14">
        <v>2032</v>
      </c>
      <c r="AE14">
        <v>20</v>
      </c>
      <c r="AF14" s="81">
        <f>U14+X14*2</f>
        <v>6.2360385840816941E-2</v>
      </c>
    </row>
    <row r="15" spans="1:32">
      <c r="A15" s="90">
        <v>2027</v>
      </c>
      <c r="B15" s="90" t="s">
        <v>133</v>
      </c>
      <c r="C15" s="91">
        <f t="shared" si="5"/>
        <v>6571164.9457579954</v>
      </c>
      <c r="D15" s="91">
        <f t="shared" si="2"/>
        <v>370206.09704762994</v>
      </c>
      <c r="E15" s="91">
        <f>E13</f>
        <v>358866.86463061592</v>
      </c>
      <c r="F15" s="92">
        <f>E15-I15</f>
        <v>297141.76391414995</v>
      </c>
      <c r="G15" s="91">
        <f>$E15*'Fleet ZEV fractions'!B19</f>
        <v>59571.899528682246</v>
      </c>
      <c r="H15" s="91">
        <f>$E15*'Fleet ZEV fractions'!C19</f>
        <v>2153.2011877836958</v>
      </c>
      <c r="I15" s="91">
        <f>$E15*'Fleet ZEV fractions'!D19</f>
        <v>61725.100716465946</v>
      </c>
      <c r="J15" s="92">
        <f>E15-M15</f>
        <v>204554.11283945109</v>
      </c>
      <c r="K15" s="91">
        <f>$E15*'Fleet ZEV fractions'!H19</f>
        <v>139335.33764672827</v>
      </c>
      <c r="L15" s="91">
        <f>$E15*'Fleet ZEV fractions'!I19</f>
        <v>14977.414144436591</v>
      </c>
      <c r="M15" s="91">
        <f>$E15*'Fleet ZEV fractions'!J19</f>
        <v>154312.75179116483</v>
      </c>
      <c r="N15" s="92">
        <f>E15-Q15</f>
        <v>235416.66319768404</v>
      </c>
      <c r="O15" s="91">
        <f>$E15*'Fleet ZEV fractions'!K19</f>
        <v>111468.27011738261</v>
      </c>
      <c r="P15" s="91">
        <f>$E15*'Fleet ZEV fractions'!L19</f>
        <v>11981.931315549273</v>
      </c>
      <c r="Q15" s="94">
        <f>$E15*'Fleet ZEV fractions'!M19</f>
        <v>123450.20143293189</v>
      </c>
      <c r="S15" s="18">
        <v>2030</v>
      </c>
      <c r="T15">
        <v>30</v>
      </c>
      <c r="U15">
        <v>5.1424184329913851E-2</v>
      </c>
      <c r="X15">
        <f t="shared" si="4"/>
        <v>-1.0492003805921135E-4</v>
      </c>
      <c r="Z15">
        <v>2027</v>
      </c>
      <c r="AA15">
        <v>30</v>
      </c>
      <c r="AB15">
        <f>U11+2*X11</f>
        <v>5.3536475163364974E-2</v>
      </c>
      <c r="AD15">
        <v>2032</v>
      </c>
      <c r="AE15">
        <v>30</v>
      </c>
      <c r="AF15" s="81">
        <f>U15+X15*2</f>
        <v>5.1214344253795431E-2</v>
      </c>
    </row>
    <row r="16" spans="1:32">
      <c r="A16">
        <v>2028</v>
      </c>
      <c r="B16">
        <f>'ZEV Sales'!T22</f>
        <v>20</v>
      </c>
      <c r="C16" s="3">
        <f>C4+3*(C24-C4)/5</f>
        <v>3267009.1607001531</v>
      </c>
      <c r="D16" s="3">
        <f t="shared" si="2"/>
        <v>197108.0019148642</v>
      </c>
      <c r="E16" s="3"/>
      <c r="F16" s="84"/>
      <c r="G16" s="3"/>
      <c r="H16" s="3"/>
      <c r="I16" s="3"/>
      <c r="J16" s="84"/>
      <c r="K16" s="3"/>
      <c r="L16" s="3"/>
      <c r="M16" s="3"/>
      <c r="N16" s="84"/>
      <c r="O16" s="3"/>
      <c r="P16" s="3"/>
      <c r="Q16" s="85"/>
      <c r="S16" s="18">
        <v>2030</v>
      </c>
      <c r="T16">
        <v>41</v>
      </c>
      <c r="U16">
        <v>5.2386930934643028E-2</v>
      </c>
      <c r="X16">
        <f t="shared" si="4"/>
        <v>1.4371764706495871E-4</v>
      </c>
      <c r="Z16">
        <v>2027</v>
      </c>
      <c r="AA16">
        <v>41</v>
      </c>
      <c r="AB16">
        <f>U12+2*X12</f>
        <v>5.3121421629689233E-2</v>
      </c>
      <c r="AD16">
        <v>2032</v>
      </c>
      <c r="AE16">
        <v>41</v>
      </c>
      <c r="AF16" s="81">
        <f>U16+X16*2</f>
        <v>5.2674366228772945E-2</v>
      </c>
    </row>
    <row r="17" spans="1:32">
      <c r="A17">
        <v>2028</v>
      </c>
      <c r="B17">
        <f>'ZEV Sales'!T23</f>
        <v>30</v>
      </c>
      <c r="C17" s="3">
        <f>C5+3*(C25-C5)/5</f>
        <v>3066042.5974822454</v>
      </c>
      <c r="D17" s="3">
        <f t="shared" si="2"/>
        <v>161986.32214538314</v>
      </c>
      <c r="E17" s="3">
        <f>D16+D17</f>
        <v>359094.32406024734</v>
      </c>
      <c r="F17" s="84"/>
      <c r="G17" s="3"/>
      <c r="H17" s="3"/>
      <c r="I17" s="3"/>
      <c r="J17" s="84"/>
      <c r="K17" s="3"/>
      <c r="L17" s="3"/>
      <c r="M17" s="3"/>
      <c r="N17" s="84"/>
      <c r="O17" s="3"/>
      <c r="P17" s="3"/>
      <c r="Q17" s="85"/>
      <c r="S17" s="18">
        <v>2030</v>
      </c>
      <c r="T17" s="8" t="s">
        <v>109</v>
      </c>
      <c r="U17">
        <v>5.5956277387383895E-2</v>
      </c>
      <c r="X17">
        <f t="shared" si="4"/>
        <v>2.1554977985055457E-4</v>
      </c>
      <c r="Z17">
        <v>2027</v>
      </c>
      <c r="AA17" s="8" t="s">
        <v>109</v>
      </c>
      <c r="AB17">
        <f>U13+2*X13</f>
        <v>5.6337970527830974E-2</v>
      </c>
      <c r="AD17">
        <v>2032</v>
      </c>
      <c r="AE17" s="8" t="s">
        <v>109</v>
      </c>
      <c r="AF17" s="81">
        <f>U17+X17*2</f>
        <v>5.6387376947085004E-2</v>
      </c>
    </row>
    <row r="18" spans="1:32">
      <c r="A18">
        <v>2028</v>
      </c>
      <c r="B18">
        <f>'ZEV Sales'!T24</f>
        <v>41</v>
      </c>
      <c r="C18" s="3">
        <f>C6+3*(C26-C6)/5</f>
        <v>251150.48969857651</v>
      </c>
      <c r="D18" s="3">
        <f t="shared" si="2"/>
        <v>13279.981823201038</v>
      </c>
      <c r="E18" s="3"/>
      <c r="F18" s="84"/>
      <c r="G18" s="3"/>
      <c r="H18" s="3"/>
      <c r="I18" s="3"/>
      <c r="J18" s="84"/>
      <c r="K18" s="3"/>
      <c r="L18" s="3"/>
      <c r="M18" s="3"/>
      <c r="N18" s="84"/>
      <c r="O18" s="3"/>
      <c r="P18" s="3"/>
      <c r="Q18" s="85"/>
      <c r="S18" s="18">
        <v>2035</v>
      </c>
      <c r="T18">
        <v>20</v>
      </c>
      <c r="U18">
        <v>6.3864258764527893E-2</v>
      </c>
      <c r="Z18">
        <v>2028</v>
      </c>
      <c r="AA18">
        <v>20</v>
      </c>
      <c r="AB18">
        <f>U10+3*X10</f>
        <v>6.0332858654311809E-2</v>
      </c>
      <c r="AD18">
        <v>2033</v>
      </c>
      <c r="AE18">
        <v>20</v>
      </c>
      <c r="AF18" s="81">
        <f>U14+X14*3</f>
        <v>6.2861676815387263E-2</v>
      </c>
    </row>
    <row r="19" spans="1:32">
      <c r="A19" s="90">
        <v>2028</v>
      </c>
      <c r="B19" s="90" t="s">
        <v>133</v>
      </c>
      <c r="C19" s="91">
        <f t="shared" ref="C19" si="6">C7+3*(C27/C7)/5</f>
        <v>6545090.9474877995</v>
      </c>
      <c r="D19" s="91">
        <f t="shared" si="2"/>
        <v>367904.40212878812</v>
      </c>
      <c r="E19" s="91">
        <f>E17</f>
        <v>359094.32406024734</v>
      </c>
      <c r="F19" s="92">
        <f>E19-I19</f>
        <v>297330.10032188479</v>
      </c>
      <c r="G19" s="91">
        <f>$E19*'Fleet ZEV fractions'!B20</f>
        <v>59609.657794001061</v>
      </c>
      <c r="H19" s="91">
        <f>$E19*'Fleet ZEV fractions'!C20</f>
        <v>2154.5659443614841</v>
      </c>
      <c r="I19" s="91">
        <f>$E19*'Fleet ZEV fractions'!D20</f>
        <v>61764.223738362547</v>
      </c>
      <c r="J19" s="92">
        <f>E19-M19</f>
        <v>175956.2187895212</v>
      </c>
      <c r="K19" s="91">
        <f>$E19*'Fleet ZEV fractions'!H20</f>
        <v>168487.05684906806</v>
      </c>
      <c r="L19" s="91">
        <f>$E19*'Fleet ZEV fractions'!I20</f>
        <v>14651.048421658092</v>
      </c>
      <c r="M19" s="91">
        <f>$E19*'Fleet ZEV fractions'!J20</f>
        <v>183138.10527072614</v>
      </c>
      <c r="N19" s="92">
        <f>E19-Q19</f>
        <v>212583.83984366641</v>
      </c>
      <c r="O19" s="91">
        <f>$E19*'Fleet ZEV fractions'!K20</f>
        <v>134789.64547925445</v>
      </c>
      <c r="P19" s="91">
        <f>$E19*'Fleet ZEV fractions'!L20</f>
        <v>11720.838737326474</v>
      </c>
      <c r="Q19" s="94">
        <f>$E19*'Fleet ZEV fractions'!M20</f>
        <v>146510.48421658092</v>
      </c>
      <c r="S19" s="18">
        <v>2035</v>
      </c>
      <c r="T19">
        <v>30</v>
      </c>
      <c r="U19">
        <v>5.0899584139617794E-2</v>
      </c>
      <c r="Z19">
        <v>2028</v>
      </c>
      <c r="AA19">
        <v>30</v>
      </c>
      <c r="AB19">
        <f>U11+3*X11</f>
        <v>5.2832378218881267E-2</v>
      </c>
      <c r="AD19">
        <v>2033</v>
      </c>
      <c r="AE19">
        <v>30</v>
      </c>
      <c r="AF19" s="81">
        <f>U15+X15*3</f>
        <v>5.1109424215736214E-2</v>
      </c>
    </row>
    <row r="20" spans="1:32">
      <c r="A20">
        <v>2029</v>
      </c>
      <c r="B20">
        <v>20</v>
      </c>
      <c r="C20" s="3">
        <f>C4+4*(C24-C4)/5</f>
        <v>3273478.1274577128</v>
      </c>
      <c r="D20" s="3">
        <f t="shared" si="2"/>
        <v>199175.86108006482</v>
      </c>
      <c r="E20" s="3"/>
      <c r="F20" s="84"/>
      <c r="G20" s="3"/>
      <c r="H20" s="3"/>
      <c r="I20" s="3"/>
      <c r="J20" s="84"/>
      <c r="K20" s="3"/>
      <c r="L20" s="3"/>
      <c r="M20" s="3"/>
      <c r="N20" s="84"/>
      <c r="O20" s="3"/>
      <c r="P20" s="3"/>
      <c r="Q20" s="85"/>
      <c r="S20" s="18">
        <v>2035</v>
      </c>
      <c r="T20">
        <v>41</v>
      </c>
      <c r="U20">
        <v>5.3105519169967821E-2</v>
      </c>
      <c r="Z20">
        <v>2028</v>
      </c>
      <c r="AA20">
        <v>41</v>
      </c>
      <c r="AB20">
        <f>U12+3*X12</f>
        <v>5.2876591398007169E-2</v>
      </c>
      <c r="AD20">
        <v>2033</v>
      </c>
      <c r="AE20">
        <v>41</v>
      </c>
      <c r="AF20" s="81">
        <f>U16+X16*3</f>
        <v>5.2818083875837904E-2</v>
      </c>
    </row>
    <row r="21" spans="1:32">
      <c r="A21">
        <v>2029</v>
      </c>
      <c r="B21">
        <v>30</v>
      </c>
      <c r="C21" s="3">
        <f t="shared" ref="C21:C23" si="7">C5+4*(C25-C5)/5</f>
        <v>3072113.6326905224</v>
      </c>
      <c r="D21" s="3">
        <f t="shared" si="2"/>
        <v>160144.00355180283</v>
      </c>
      <c r="E21" s="3">
        <f>D20+D21</f>
        <v>359319.86463186762</v>
      </c>
      <c r="F21" s="84"/>
      <c r="G21" s="3"/>
      <c r="H21" s="3"/>
      <c r="I21" s="3"/>
      <c r="J21" s="84"/>
      <c r="K21" s="3"/>
      <c r="L21" s="3"/>
      <c r="M21" s="3"/>
      <c r="N21" s="84"/>
      <c r="O21" s="3"/>
      <c r="P21" s="3"/>
      <c r="Q21" s="85"/>
      <c r="S21" s="18">
        <v>2035</v>
      </c>
      <c r="T21" s="8" t="s">
        <v>109</v>
      </c>
      <c r="U21">
        <v>5.7034026286636667E-2</v>
      </c>
      <c r="Z21">
        <v>2028</v>
      </c>
      <c r="AA21" s="8" t="s">
        <v>109</v>
      </c>
      <c r="AB21">
        <f>U13+3*X13</f>
        <v>5.6210739481015279E-2</v>
      </c>
      <c r="AD21">
        <v>2033</v>
      </c>
      <c r="AE21" s="8" t="s">
        <v>109</v>
      </c>
      <c r="AF21" s="81">
        <f>U17+X17*3</f>
        <v>5.6602926726935558E-2</v>
      </c>
    </row>
    <row r="22" spans="1:32">
      <c r="A22">
        <v>2029</v>
      </c>
      <c r="B22">
        <v>41</v>
      </c>
      <c r="C22" s="3">
        <f t="shared" si="7"/>
        <v>251647.78985571984</v>
      </c>
      <c r="D22" s="3">
        <f t="shared" si="2"/>
        <v>13244.666373719814</v>
      </c>
      <c r="E22" s="3"/>
      <c r="F22" s="84"/>
      <c r="G22" s="3"/>
      <c r="H22" s="3"/>
      <c r="I22" s="3"/>
      <c r="J22" s="84"/>
      <c r="K22" s="3"/>
      <c r="L22" s="3"/>
      <c r="M22" s="3"/>
      <c r="N22" s="84"/>
      <c r="O22" s="3"/>
      <c r="P22" s="3"/>
      <c r="Q22" s="85"/>
      <c r="S22" s="18">
        <v>2040</v>
      </c>
      <c r="T22">
        <v>20</v>
      </c>
      <c r="U22">
        <v>6.3169390310556642E-2</v>
      </c>
      <c r="Z22">
        <v>2029</v>
      </c>
      <c r="AA22">
        <v>20</v>
      </c>
      <c r="AB22">
        <f>U10+4*X10</f>
        <v>6.084533127299406E-2</v>
      </c>
      <c r="AD22">
        <v>2034</v>
      </c>
      <c r="AE22">
        <v>20</v>
      </c>
      <c r="AF22" s="81">
        <f>U14+X14*4</f>
        <v>6.3362967789957578E-2</v>
      </c>
    </row>
    <row r="23" spans="1:32">
      <c r="A23" s="90">
        <v>2029</v>
      </c>
      <c r="B23" s="90" t="s">
        <v>133</v>
      </c>
      <c r="C23" s="91">
        <f t="shared" si="7"/>
        <v>6597239.5500039551</v>
      </c>
      <c r="D23" s="91">
        <f t="shared" si="2"/>
        <v>369996.33994508191</v>
      </c>
      <c r="E23" s="91">
        <f>E21</f>
        <v>359319.86463186762</v>
      </c>
      <c r="F23" s="92">
        <f>E23-I23</f>
        <v>297516.84791518637</v>
      </c>
      <c r="G23" s="91">
        <f>$E23*'Fleet ZEV fractions'!B21</f>
        <v>59647.09752889003</v>
      </c>
      <c r="H23" s="91">
        <f>$E23*'Fleet ZEV fractions'!C21</f>
        <v>2155.9191877912058</v>
      </c>
      <c r="I23" s="91">
        <f>$E23*'Fleet ZEV fractions'!D21</f>
        <v>61803.016716681239</v>
      </c>
      <c r="J23" s="92">
        <f>E23-M23</f>
        <v>147321.14449906573</v>
      </c>
      <c r="K23" s="91">
        <f>$E23*'Fleet ZEV fractions'!H21</f>
        <v>197865.47212394842</v>
      </c>
      <c r="L23" s="91">
        <f>$E23*'Fleet ZEV fractions'!I21</f>
        <v>14133.248008853459</v>
      </c>
      <c r="M23" s="91">
        <f>$E23*'Fleet ZEV fractions'!J21</f>
        <v>211998.72013280189</v>
      </c>
      <c r="N23" s="92">
        <f>E23-Q23</f>
        <v>189720.8885256261</v>
      </c>
      <c r="O23" s="91">
        <f>$E23*'Fleet ZEV fractions'!K21</f>
        <v>158292.37769915874</v>
      </c>
      <c r="P23" s="91">
        <f>$E23*'Fleet ZEV fractions'!L21</f>
        <v>11306.598407082767</v>
      </c>
      <c r="Q23" s="94">
        <f>$E23*'Fleet ZEV fractions'!M21</f>
        <v>169598.97610624152</v>
      </c>
      <c r="S23" s="18">
        <v>2040</v>
      </c>
      <c r="T23">
        <v>30</v>
      </c>
      <c r="U23">
        <v>5.1134378151068589E-2</v>
      </c>
      <c r="Z23">
        <v>2029</v>
      </c>
      <c r="AA23">
        <v>30</v>
      </c>
      <c r="AB23">
        <f>U11+4*X11</f>
        <v>5.2128281274397559E-2</v>
      </c>
      <c r="AD23">
        <v>2034</v>
      </c>
      <c r="AE23">
        <v>30</v>
      </c>
      <c r="AF23" s="81">
        <f>U15+X15*4</f>
        <v>5.1004504177677004E-2</v>
      </c>
    </row>
    <row r="24" spans="1:32">
      <c r="A24">
        <v>2030</v>
      </c>
      <c r="B24">
        <v>20</v>
      </c>
      <c r="C24" s="3">
        <f>'Combined MOVES output'!AE23</f>
        <v>3279947.094215272</v>
      </c>
      <c r="D24" s="3">
        <f>C24*U14</f>
        <v>201250.35058193424</v>
      </c>
      <c r="E24" s="3"/>
      <c r="F24" s="84"/>
      <c r="G24" s="3"/>
      <c r="H24" s="3"/>
      <c r="I24" s="88"/>
      <c r="J24" s="84"/>
      <c r="K24" s="3"/>
      <c r="L24" s="3"/>
      <c r="M24" s="88"/>
      <c r="N24" s="84"/>
      <c r="O24" s="3"/>
      <c r="P24" s="3"/>
      <c r="Q24" s="89"/>
      <c r="S24" s="18">
        <v>2040</v>
      </c>
      <c r="T24">
        <v>41</v>
      </c>
      <c r="U24">
        <v>5.4174961614402543E-2</v>
      </c>
      <c r="Z24">
        <v>2029</v>
      </c>
      <c r="AA24">
        <v>41</v>
      </c>
      <c r="AB24">
        <f>U12+4*X12</f>
        <v>5.2631761166325099E-2</v>
      </c>
      <c r="AD24">
        <v>2034</v>
      </c>
      <c r="AE24">
        <v>41</v>
      </c>
      <c r="AF24" s="81">
        <f>U16+X16*4</f>
        <v>5.2961801522902863E-2</v>
      </c>
    </row>
    <row r="25" spans="1:32">
      <c r="A25">
        <v>2030</v>
      </c>
      <c r="B25">
        <v>30</v>
      </c>
      <c r="C25" s="3">
        <f>'Combined MOVES output'!AE24</f>
        <v>3078184.6678987993</v>
      </c>
      <c r="D25" s="3">
        <f>C25*U15</f>
        <v>158293.13576354249</v>
      </c>
      <c r="E25" s="3">
        <f>D24+D25</f>
        <v>359543.4863454767</v>
      </c>
      <c r="F25" s="84"/>
      <c r="G25" s="3"/>
      <c r="H25" s="3"/>
      <c r="I25" s="88"/>
      <c r="J25" s="84"/>
      <c r="K25" s="3"/>
      <c r="L25" s="3"/>
      <c r="M25" s="88"/>
      <c r="N25" s="84"/>
      <c r="O25" s="3"/>
      <c r="P25" s="3"/>
      <c r="Q25" s="89"/>
      <c r="S25" s="19">
        <v>2040</v>
      </c>
      <c r="T25" s="66" t="s">
        <v>109</v>
      </c>
      <c r="U25" s="65">
        <v>5.7096542469052977E-2</v>
      </c>
      <c r="V25" s="65"/>
      <c r="W25" s="65"/>
      <c r="X25" s="65"/>
      <c r="Y25" s="65"/>
      <c r="Z25" s="65">
        <v>2029</v>
      </c>
      <c r="AA25" s="66" t="s">
        <v>109</v>
      </c>
      <c r="AB25" s="65">
        <f>U13+4*X13</f>
        <v>5.608350843419959E-2</v>
      </c>
      <c r="AC25" s="65"/>
      <c r="AD25" s="65">
        <v>2034</v>
      </c>
      <c r="AE25" s="66" t="s">
        <v>109</v>
      </c>
      <c r="AF25" s="83">
        <f>U17+X17*4</f>
        <v>5.6818476506786113E-2</v>
      </c>
    </row>
    <row r="26" spans="1:32">
      <c r="A26">
        <v>2030</v>
      </c>
      <c r="B26">
        <v>41</v>
      </c>
      <c r="C26" s="3">
        <f>'Combined MOVES output'!AE25</f>
        <v>252145.09001286316</v>
      </c>
      <c r="D26" s="3">
        <f>C26*U16</f>
        <v>13209.107416013212</v>
      </c>
      <c r="E26" s="3"/>
      <c r="F26" s="84"/>
      <c r="G26" s="3"/>
      <c r="H26" s="3"/>
      <c r="I26" s="88"/>
      <c r="J26" s="84"/>
      <c r="K26" s="3"/>
      <c r="L26" s="3"/>
      <c r="M26" s="88"/>
      <c r="N26" s="84"/>
      <c r="O26" s="3"/>
      <c r="P26" s="3"/>
      <c r="Q26" s="89"/>
    </row>
    <row r="27" spans="1:32">
      <c r="A27" s="90">
        <v>2030</v>
      </c>
      <c r="B27" s="90" t="s">
        <v>133</v>
      </c>
      <c r="C27" s="91">
        <f>'Combined MOVES output'!AE26</f>
        <v>6610276.8521269346</v>
      </c>
      <c r="D27" s="91">
        <f>C27*U17</f>
        <v>369886.48514501756</v>
      </c>
      <c r="E27" s="91">
        <f>E25</f>
        <v>359543.4863454767</v>
      </c>
      <c r="F27" s="92">
        <f>E27-I27</f>
        <v>297702.0066940547</v>
      </c>
      <c r="G27" s="93">
        <f>$E27*'Fleet ZEV fractions'!B22</f>
        <v>59684.218733349138</v>
      </c>
      <c r="H27" s="93">
        <f>$E27*'Fleet ZEV fractions'!C22</f>
        <v>2157.2609180728605</v>
      </c>
      <c r="I27" s="93">
        <f>$E27*'Fleet ZEV fractions'!D22</f>
        <v>61841.479651422</v>
      </c>
      <c r="J27" s="92">
        <f>E27-M27</f>
        <v>115053.91563055254</v>
      </c>
      <c r="K27" s="91">
        <f>$E27*'Fleet ZEV fractions'!H22</f>
        <v>230518.73810264282</v>
      </c>
      <c r="L27" s="91">
        <f>$E27*'Fleet ZEV fractions'!I22</f>
        <v>13970.832612281381</v>
      </c>
      <c r="M27" s="91">
        <f>$E27*'Fleet ZEV fractions'!J22</f>
        <v>244489.57071492416</v>
      </c>
      <c r="N27" s="92">
        <f>E27-Q27</f>
        <v>163951.82977353735</v>
      </c>
      <c r="O27" s="91">
        <f>$E27*'Fleet ZEV fractions'!K22</f>
        <v>184414.99048211426</v>
      </c>
      <c r="P27" s="91">
        <f>$E27*'Fleet ZEV fractions'!L22</f>
        <v>11176.666089825107</v>
      </c>
      <c r="Q27" s="94">
        <f>$E27*'Fleet ZEV fractions'!M22</f>
        <v>195591.65657193935</v>
      </c>
    </row>
    <row r="28" spans="1:32">
      <c r="A28">
        <v>2031</v>
      </c>
      <c r="B28">
        <v>20</v>
      </c>
      <c r="C28" s="3">
        <f>C24+(C44-C24)/5</f>
        <v>3282494.7667470532</v>
      </c>
      <c r="D28" s="3">
        <f t="shared" ref="D28:D43" si="8">C28*AF10</f>
        <v>203052.15517416407</v>
      </c>
      <c r="E28" s="3"/>
      <c r="F28" s="84"/>
      <c r="G28" s="3"/>
      <c r="H28" s="3"/>
      <c r="I28" s="3"/>
      <c r="J28" s="84"/>
      <c r="K28" s="3"/>
      <c r="L28" s="3"/>
      <c r="M28" s="3"/>
      <c r="N28" s="84"/>
      <c r="O28" s="3"/>
      <c r="P28" s="3"/>
      <c r="Q28" s="85"/>
    </row>
    <row r="29" spans="1:32">
      <c r="A29">
        <v>2031</v>
      </c>
      <c r="B29">
        <v>30</v>
      </c>
      <c r="C29" s="3">
        <f t="shared" ref="C29:C31" si="9">C25+(C45-C25)/5</f>
        <v>3087806.5265777735</v>
      </c>
      <c r="D29" s="3">
        <f t="shared" si="8"/>
        <v>158463.95921955843</v>
      </c>
      <c r="E29" s="3">
        <f>D28+D29</f>
        <v>361516.1143937225</v>
      </c>
      <c r="F29" s="84"/>
      <c r="G29" s="3"/>
      <c r="H29" s="3"/>
      <c r="I29" s="3"/>
      <c r="J29" s="84"/>
      <c r="K29" s="3"/>
      <c r="L29" s="3"/>
      <c r="M29" s="3"/>
      <c r="N29" s="84"/>
      <c r="O29" s="3"/>
      <c r="P29" s="3"/>
      <c r="Q29" s="85"/>
    </row>
    <row r="30" spans="1:32">
      <c r="A30">
        <v>2031</v>
      </c>
      <c r="B30">
        <v>41</v>
      </c>
      <c r="C30" s="3">
        <f t="shared" si="9"/>
        <v>252684.16680548151</v>
      </c>
      <c r="D30" s="3">
        <f t="shared" si="8"/>
        <v>13273.663168620431</v>
      </c>
      <c r="E30" s="3"/>
      <c r="F30" s="84"/>
      <c r="G30" s="3"/>
      <c r="H30" s="3"/>
      <c r="I30" s="3"/>
      <c r="J30" s="84"/>
      <c r="K30" s="3"/>
      <c r="L30" s="3"/>
      <c r="M30" s="3"/>
      <c r="N30" s="84"/>
      <c r="O30" s="3"/>
      <c r="P30" s="3"/>
      <c r="Q30" s="85"/>
    </row>
    <row r="31" spans="1:32">
      <c r="A31" s="90">
        <v>2031</v>
      </c>
      <c r="B31" s="90" t="s">
        <v>133</v>
      </c>
      <c r="C31" s="91">
        <f t="shared" si="9"/>
        <v>6622985.4601303088</v>
      </c>
      <c r="D31" s="91">
        <f t="shared" si="8"/>
        <v>372025.19459754642</v>
      </c>
      <c r="E31" s="91">
        <f>E29</f>
        <v>361516.1143937225</v>
      </c>
      <c r="F31" s="92">
        <f>E31-I31</f>
        <v>299335.34271800221</v>
      </c>
      <c r="G31" s="91">
        <f>$E31*'Fleet ZEV fractions'!B23</f>
        <v>60011.67498935794</v>
      </c>
      <c r="H31" s="91">
        <f>$E31*'Fleet ZEV fractions'!C23</f>
        <v>2169.0966863623348</v>
      </c>
      <c r="I31" s="91">
        <f>$E31*'Fleet ZEV fractions'!D23</f>
        <v>62180.771675720272</v>
      </c>
      <c r="J31" s="92">
        <f>E31-M31</f>
        <v>86763.867454493418</v>
      </c>
      <c r="K31" s="91">
        <f>$E31*'Fleet ZEV fractions'!H23</f>
        <v>262460.69904984254</v>
      </c>
      <c r="L31" s="91">
        <f>$E31*'Fleet ZEV fractions'!I23</f>
        <v>12291.547889386566</v>
      </c>
      <c r="M31" s="91">
        <f>$E31*'Fleet ZEV fractions'!J23</f>
        <v>274752.24693922908</v>
      </c>
      <c r="N31" s="92">
        <f>E31-Q31</f>
        <v>141714.31684233918</v>
      </c>
      <c r="O31" s="91">
        <f>$E31*'Fleet ZEV fractions'!K23</f>
        <v>209968.55923987401</v>
      </c>
      <c r="P31" s="91">
        <f>$E31*'Fleet ZEV fractions'!L23</f>
        <v>9833.2383115092525</v>
      </c>
      <c r="Q31" s="94">
        <f>$E31*'Fleet ZEV fractions'!M23</f>
        <v>219801.79755138332</v>
      </c>
    </row>
    <row r="32" spans="1:32">
      <c r="A32">
        <v>2032</v>
      </c>
      <c r="B32">
        <v>20</v>
      </c>
      <c r="C32" s="3">
        <f>C24+2*(C44-C24)/5</f>
        <v>3285042.4392788345</v>
      </c>
      <c r="D32" s="3">
        <f t="shared" si="8"/>
        <v>204856.51401688659</v>
      </c>
      <c r="E32" s="3"/>
      <c r="F32" s="84"/>
      <c r="G32" s="3"/>
      <c r="H32" s="3"/>
      <c r="I32" s="3"/>
      <c r="J32" s="84"/>
      <c r="K32" s="3"/>
      <c r="L32" s="3"/>
      <c r="M32" s="3"/>
      <c r="N32" s="84"/>
      <c r="O32" s="3"/>
      <c r="P32" s="3"/>
      <c r="Q32" s="85"/>
    </row>
    <row r="33" spans="1:17">
      <c r="A33">
        <v>2032</v>
      </c>
      <c r="B33">
        <v>30</v>
      </c>
      <c r="C33" s="3">
        <f t="shared" ref="C33:C35" si="10">C25+2*(C45-C25)/5</f>
        <v>3097428.3852567482</v>
      </c>
      <c r="D33" s="3">
        <f t="shared" si="8"/>
        <v>158632.76362401681</v>
      </c>
      <c r="E33" s="3">
        <f>D32+D33</f>
        <v>363489.27764090337</v>
      </c>
      <c r="F33" s="84"/>
      <c r="G33" s="3"/>
      <c r="H33" s="3"/>
      <c r="I33" s="3"/>
      <c r="J33" s="84"/>
      <c r="K33" s="3"/>
      <c r="L33" s="3"/>
      <c r="M33" s="3"/>
      <c r="N33" s="84"/>
      <c r="O33" s="3"/>
      <c r="P33" s="3"/>
      <c r="Q33" s="85"/>
    </row>
    <row r="34" spans="1:17">
      <c r="A34">
        <v>2032</v>
      </c>
      <c r="B34">
        <v>41</v>
      </c>
      <c r="C34" s="3">
        <f t="shared" si="10"/>
        <v>253223.24359809989</v>
      </c>
      <c r="D34" s="3">
        <f t="shared" si="8"/>
        <v>13338.373870924097</v>
      </c>
      <c r="E34" s="3"/>
      <c r="F34" s="84"/>
      <c r="G34" s="3"/>
      <c r="H34" s="3"/>
      <c r="I34" s="3"/>
      <c r="J34" s="84"/>
      <c r="K34" s="3"/>
      <c r="L34" s="3"/>
      <c r="M34" s="3"/>
      <c r="N34" s="84"/>
      <c r="O34" s="3"/>
      <c r="P34" s="3"/>
      <c r="Q34" s="85"/>
    </row>
    <row r="35" spans="1:17">
      <c r="A35" s="90">
        <v>2032</v>
      </c>
      <c r="B35" s="90" t="s">
        <v>133</v>
      </c>
      <c r="C35" s="91">
        <f t="shared" si="10"/>
        <v>6635694.068133682</v>
      </c>
      <c r="D35" s="91">
        <f t="shared" si="8"/>
        <v>374169.38272538991</v>
      </c>
      <c r="E35" s="91">
        <f>E33</f>
        <v>363489.27764090337</v>
      </c>
      <c r="F35" s="92">
        <f>E35-I35</f>
        <v>300969.12188666797</v>
      </c>
      <c r="G35" s="91">
        <f>$E35*'Fleet ZEV fractions'!B24</f>
        <v>60339.220088389964</v>
      </c>
      <c r="H35" s="91">
        <f>$E35*'Fleet ZEV fractions'!C24</f>
        <v>2180.9356658454203</v>
      </c>
      <c r="I35" s="91">
        <f>$E35*'Fleet ZEV fractions'!D24</f>
        <v>62520.155754235384</v>
      </c>
      <c r="J35" s="92">
        <f>E35-M35</f>
        <v>65428.069975362567</v>
      </c>
      <c r="K35" s="91">
        <f>$E35*'Fleet ZEV fractions'!H24</f>
        <v>285702.57222575007</v>
      </c>
      <c r="L35" s="91">
        <f>$E35*'Fleet ZEV fractions'!I24</f>
        <v>12358.635439790716</v>
      </c>
      <c r="M35" s="91">
        <f>$E35*'Fleet ZEV fractions'!J24</f>
        <v>298061.2076655408</v>
      </c>
      <c r="N35" s="92">
        <f>E35-Q35</f>
        <v>125040.31150847071</v>
      </c>
      <c r="O35" s="91">
        <f>$E35*'Fleet ZEV fractions'!K24</f>
        <v>228562.05778060004</v>
      </c>
      <c r="P35" s="91">
        <f>$E35*'Fleet ZEV fractions'!L24</f>
        <v>9886.9083518325715</v>
      </c>
      <c r="Q35" s="94">
        <f>$E35*'Fleet ZEV fractions'!M24</f>
        <v>238448.96613243266</v>
      </c>
    </row>
    <row r="36" spans="1:17">
      <c r="A36">
        <v>2033</v>
      </c>
      <c r="B36">
        <v>20</v>
      </c>
      <c r="C36" s="3">
        <f>C24+3*(C44-C24)/5</f>
        <v>3287590.1118106153</v>
      </c>
      <c r="D36" s="3">
        <f t="shared" si="8"/>
        <v>206663.42711010177</v>
      </c>
      <c r="E36" s="3"/>
      <c r="F36" s="84"/>
      <c r="G36" s="3"/>
      <c r="H36" s="3"/>
      <c r="I36" s="3"/>
      <c r="J36" s="84"/>
      <c r="K36" s="3"/>
      <c r="L36" s="3"/>
      <c r="M36" s="3"/>
      <c r="N36" s="84"/>
      <c r="O36" s="3"/>
      <c r="P36" s="3"/>
      <c r="Q36" s="85"/>
    </row>
    <row r="37" spans="1:17">
      <c r="A37">
        <v>2033</v>
      </c>
      <c r="B37">
        <v>30</v>
      </c>
      <c r="C37" s="3">
        <f>C25+3*(C45-C25)/5</f>
        <v>3107050.2439357224</v>
      </c>
      <c r="D37" s="3">
        <f t="shared" si="8"/>
        <v>158799.54897691752</v>
      </c>
      <c r="E37" s="3">
        <f>D36+D37</f>
        <v>365462.97608701931</v>
      </c>
      <c r="F37" s="84"/>
      <c r="G37" s="3"/>
      <c r="H37" s="3"/>
      <c r="I37" s="3"/>
      <c r="J37" s="84"/>
      <c r="K37" s="3"/>
      <c r="L37" s="3"/>
      <c r="M37" s="3"/>
      <c r="N37" s="84"/>
      <c r="O37" s="3"/>
      <c r="P37" s="3"/>
      <c r="Q37" s="85"/>
    </row>
    <row r="38" spans="1:17">
      <c r="A38">
        <v>2033</v>
      </c>
      <c r="B38">
        <v>41</v>
      </c>
      <c r="C38" s="3">
        <f>C26+3*(C46-C26)/5</f>
        <v>253762.32039071823</v>
      </c>
      <c r="D38" s="3">
        <f t="shared" si="8"/>
        <v>13403.239522924207</v>
      </c>
      <c r="E38" s="3"/>
      <c r="F38" s="84"/>
      <c r="G38" s="3"/>
      <c r="H38" s="3"/>
      <c r="I38" s="3"/>
      <c r="J38" s="84"/>
      <c r="K38" s="3"/>
      <c r="L38" s="3"/>
      <c r="M38" s="3"/>
      <c r="N38" s="84"/>
      <c r="O38" s="3"/>
      <c r="P38" s="3"/>
      <c r="Q38" s="85"/>
    </row>
    <row r="39" spans="1:17">
      <c r="A39" s="90">
        <v>2033</v>
      </c>
      <c r="B39" s="90" t="s">
        <v>133</v>
      </c>
      <c r="C39" s="91">
        <f>C27+3*(C47-C27)/5</f>
        <v>6648402.6761370562</v>
      </c>
      <c r="D39" s="91">
        <f t="shared" si="8"/>
        <v>376319.04952854809</v>
      </c>
      <c r="E39" s="91">
        <f>E37</f>
        <v>365462.97608701931</v>
      </c>
      <c r="F39" s="92">
        <f>E39-I39</f>
        <v>302603.34420005197</v>
      </c>
      <c r="G39" s="91">
        <f>$E39*'Fleet ZEV fractions'!B25</f>
        <v>60666.854030445211</v>
      </c>
      <c r="H39" s="91">
        <f>$E39*'Fleet ZEV fractions'!C25</f>
        <v>2192.7778565221161</v>
      </c>
      <c r="I39" s="91">
        <f>$E39*'Fleet ZEV fractions'!D25</f>
        <v>62859.631886967327</v>
      </c>
      <c r="J39" s="92">
        <f>E39-M39</f>
        <v>43855.55713044235</v>
      </c>
      <c r="K39" s="91">
        <f>$E39*'Fleet ZEV fractions'!H25</f>
        <v>297121.39955874666</v>
      </c>
      <c r="L39" s="91">
        <f>$E39*'Fleet ZEV fractions'!I25</f>
        <v>24486.019397830296</v>
      </c>
      <c r="M39" s="91">
        <f>$E39*'Fleet ZEV fractions'!J25</f>
        <v>321607.41895657696</v>
      </c>
      <c r="N39" s="92">
        <f>E39-Q39</f>
        <v>108177.04092175773</v>
      </c>
      <c r="O39" s="91">
        <f>$E39*'Fleet ZEV fractions'!K25</f>
        <v>237697.11964699737</v>
      </c>
      <c r="P39" s="91">
        <f>$E39*'Fleet ZEV fractions'!L25</f>
        <v>19588.815518264237</v>
      </c>
      <c r="Q39" s="94">
        <f>$E39*'Fleet ZEV fractions'!M25</f>
        <v>257285.93516526159</v>
      </c>
    </row>
    <row r="40" spans="1:17">
      <c r="A40">
        <v>2034</v>
      </c>
      <c r="B40">
        <v>20</v>
      </c>
      <c r="C40" s="3">
        <f>C24+4*(C44-C24)/5</f>
        <v>3290137.7843423965</v>
      </c>
      <c r="D40" s="3">
        <f t="shared" si="8"/>
        <v>208472.89445380965</v>
      </c>
      <c r="E40" s="3"/>
      <c r="F40" s="84"/>
      <c r="G40" s="3"/>
      <c r="H40" s="3"/>
      <c r="I40" s="3"/>
      <c r="J40" s="84"/>
      <c r="K40" s="3"/>
      <c r="L40" s="3"/>
      <c r="M40" s="3"/>
      <c r="N40" s="84"/>
      <c r="O40" s="3"/>
      <c r="P40" s="3"/>
      <c r="Q40" s="85"/>
    </row>
    <row r="41" spans="1:17">
      <c r="A41">
        <v>2034</v>
      </c>
      <c r="B41">
        <v>30</v>
      </c>
      <c r="C41" s="3">
        <f t="shared" ref="C41:C43" si="11">C25+4*(C45-C25)/5</f>
        <v>3116672.1026146971</v>
      </c>
      <c r="D41" s="3">
        <f t="shared" si="8"/>
        <v>158964.31527826068</v>
      </c>
      <c r="E41" s="3">
        <f>D40+D41</f>
        <v>367437.20973207033</v>
      </c>
      <c r="F41" s="84"/>
      <c r="G41" s="3"/>
      <c r="H41" s="3"/>
      <c r="I41" s="3"/>
      <c r="J41" s="84"/>
      <c r="K41" s="3"/>
      <c r="L41" s="3"/>
      <c r="M41" s="3"/>
      <c r="N41" s="84"/>
      <c r="O41" s="3"/>
      <c r="P41" s="3"/>
      <c r="Q41" s="85"/>
    </row>
    <row r="42" spans="1:17">
      <c r="A42">
        <v>2034</v>
      </c>
      <c r="B42">
        <v>41</v>
      </c>
      <c r="C42" s="3">
        <f t="shared" si="11"/>
        <v>254301.39718333661</v>
      </c>
      <c r="D42" s="3">
        <f t="shared" si="8"/>
        <v>13468.260124620763</v>
      </c>
      <c r="E42" s="3"/>
      <c r="F42" s="84"/>
      <c r="G42" s="3"/>
      <c r="H42" s="3"/>
      <c r="I42" s="3"/>
      <c r="J42" s="84"/>
      <c r="K42" s="3"/>
      <c r="L42" s="3"/>
      <c r="M42" s="3"/>
      <c r="N42" s="84"/>
      <c r="O42" s="3"/>
      <c r="P42" s="3"/>
      <c r="Q42" s="85"/>
    </row>
    <row r="43" spans="1:17">
      <c r="A43" s="90">
        <v>2034</v>
      </c>
      <c r="B43" s="90" t="s">
        <v>133</v>
      </c>
      <c r="C43" s="91">
        <f t="shared" si="11"/>
        <v>6661111.2841404295</v>
      </c>
      <c r="D43" s="91">
        <f t="shared" si="8"/>
        <v>378474.19500702084</v>
      </c>
      <c r="E43" s="91">
        <f>E41</f>
        <v>367437.20973207033</v>
      </c>
      <c r="F43" s="92">
        <f>E43-I43</f>
        <v>304238.00965815422</v>
      </c>
      <c r="G43" s="91">
        <f>$E43*'Fleet ZEV fractions'!B26</f>
        <v>60994.57681552368</v>
      </c>
      <c r="H43" s="91">
        <f>$E43*'Fleet ZEV fractions'!C26</f>
        <v>2204.623258392422</v>
      </c>
      <c r="I43" s="91">
        <f>$E43*'Fleet ZEV fractions'!D26</f>
        <v>63199.200073916101</v>
      </c>
      <c r="J43" s="92">
        <f>E43-M43</f>
        <v>22046.232583924255</v>
      </c>
      <c r="K43" s="91">
        <f>$E43*'Fleet ZEV fractions'!H26</f>
        <v>303870.57244842214</v>
      </c>
      <c r="L43" s="91">
        <f>$E43*'Fleet ZEV fractions'!I26</f>
        <v>41520.404699723949</v>
      </c>
      <c r="M43" s="91">
        <f>$E43*'Fleet ZEV fractions'!J26</f>
        <v>345390.97714814608</v>
      </c>
      <c r="N43" s="92">
        <f>E43-Q43</f>
        <v>91124.428013553435</v>
      </c>
      <c r="O43" s="91">
        <f>$E43*'Fleet ZEV fractions'!K26</f>
        <v>243096.45795873771</v>
      </c>
      <c r="P43" s="91">
        <f>$E43*'Fleet ZEV fractions'!L26</f>
        <v>33216.323759779159</v>
      </c>
      <c r="Q43" s="94">
        <f>$E43*'Fleet ZEV fractions'!M26</f>
        <v>276312.7817185169</v>
      </c>
    </row>
    <row r="44" spans="1:17">
      <c r="A44">
        <v>2035</v>
      </c>
      <c r="B44">
        <v>20</v>
      </c>
      <c r="C44" s="3">
        <f>'Combined MOVES output'!AE28</f>
        <v>3292685.4568741778</v>
      </c>
      <c r="D44" s="3">
        <f t="shared" ref="D44:D51" si="12">C44*U18</f>
        <v>210284.91604801023</v>
      </c>
      <c r="E44" s="3"/>
      <c r="F44" s="84"/>
      <c r="G44" s="3"/>
      <c r="H44" s="3"/>
      <c r="I44" s="88"/>
      <c r="J44" s="84"/>
      <c r="K44" s="3"/>
      <c r="L44" s="3"/>
      <c r="M44" s="88"/>
      <c r="N44" s="84"/>
      <c r="O44" s="3"/>
      <c r="P44" s="3"/>
      <c r="Q44" s="89"/>
    </row>
    <row r="45" spans="1:17">
      <c r="A45">
        <v>2035</v>
      </c>
      <c r="B45">
        <v>30</v>
      </c>
      <c r="C45" s="3">
        <f>'Combined MOVES output'!AE29</f>
        <v>3126293.9612936713</v>
      </c>
      <c r="D45" s="3">
        <f t="shared" si="12"/>
        <v>159127.06252804623</v>
      </c>
      <c r="E45" s="3">
        <f>D44+D45</f>
        <v>369411.97857605643</v>
      </c>
      <c r="F45" s="84"/>
      <c r="G45" s="3"/>
      <c r="H45" s="3"/>
      <c r="I45" s="88"/>
      <c r="J45" s="84"/>
      <c r="K45" s="3"/>
      <c r="L45" s="3"/>
      <c r="M45" s="88"/>
      <c r="N45" s="84"/>
      <c r="O45" s="3"/>
      <c r="P45" s="3"/>
      <c r="Q45" s="89"/>
    </row>
    <row r="46" spans="1:17">
      <c r="A46">
        <v>2035</v>
      </c>
      <c r="B46">
        <v>41</v>
      </c>
      <c r="C46" s="3">
        <f>'Combined MOVES output'!AE30</f>
        <v>254840.47397595496</v>
      </c>
      <c r="D46" s="3">
        <f t="shared" si="12"/>
        <v>13533.435676013762</v>
      </c>
      <c r="E46" s="3"/>
      <c r="F46" s="84"/>
      <c r="G46" s="3"/>
      <c r="H46" s="3"/>
      <c r="I46" s="88"/>
      <c r="J46" s="84"/>
      <c r="K46" s="3"/>
      <c r="L46" s="3"/>
      <c r="M46" s="88"/>
      <c r="N46" s="84"/>
      <c r="O46" s="3"/>
      <c r="P46" s="3"/>
      <c r="Q46" s="89"/>
    </row>
    <row r="47" spans="1:17">
      <c r="A47" s="90">
        <v>2035</v>
      </c>
      <c r="B47" s="90" t="s">
        <v>133</v>
      </c>
      <c r="C47" s="91">
        <f>'Combined MOVES output'!AE31</f>
        <v>6673819.8921438036</v>
      </c>
      <c r="D47" s="91">
        <f t="shared" si="12"/>
        <v>380634.8191608084</v>
      </c>
      <c r="E47" s="91">
        <f>E45</f>
        <v>369411.97857605643</v>
      </c>
      <c r="F47" s="92">
        <f>E47-I47</f>
        <v>305873.1182609747</v>
      </c>
      <c r="G47" s="93">
        <f>$E47*'Fleet ZEV fractions'!B27</f>
        <v>61322.388443625372</v>
      </c>
      <c r="H47" s="93">
        <f>$E47*'Fleet ZEV fractions'!C27</f>
        <v>2216.4718714563387</v>
      </c>
      <c r="I47" s="93">
        <f>$E47*'Fleet ZEV fractions'!D27</f>
        <v>63538.860315081707</v>
      </c>
      <c r="J47" s="92">
        <f>E47-M47</f>
        <v>0</v>
      </c>
      <c r="K47" s="91">
        <f>$E47*'Fleet ZEV fractions'!H27</f>
        <v>305503.70628239866</v>
      </c>
      <c r="L47" s="91">
        <f>$E47*'Fleet ZEV fractions'!I27</f>
        <v>63908.272293657756</v>
      </c>
      <c r="M47" s="91">
        <f>$E47*'Fleet ZEV fractions'!J27</f>
        <v>369411.97857605643</v>
      </c>
      <c r="N47" s="92">
        <f>E47-Q47</f>
        <v>73882.395715211285</v>
      </c>
      <c r="O47" s="91">
        <f>$E47*'Fleet ZEV fractions'!K27</f>
        <v>244402.96502591891</v>
      </c>
      <c r="P47" s="91">
        <f>$E47*'Fleet ZEV fractions'!L27</f>
        <v>51126.617834926205</v>
      </c>
      <c r="Q47" s="94">
        <f>$E47*'Fleet ZEV fractions'!M27</f>
        <v>295529.58286084514</v>
      </c>
    </row>
    <row r="48" spans="1:17">
      <c r="A48">
        <v>2040</v>
      </c>
      <c r="B48">
        <v>20</v>
      </c>
      <c r="C48" s="3">
        <f>'Combined MOVES output'!AE33</f>
        <v>3346139.5863728612</v>
      </c>
      <c r="D48" s="3">
        <f t="shared" si="12"/>
        <v>211373.59756519183</v>
      </c>
      <c r="E48" s="3"/>
      <c r="F48" s="84"/>
      <c r="G48" s="3"/>
      <c r="H48" s="3"/>
      <c r="I48" s="88"/>
      <c r="J48" s="84"/>
      <c r="K48" s="3"/>
      <c r="L48" s="3"/>
      <c r="M48" s="88"/>
      <c r="N48" s="84"/>
      <c r="O48" s="3"/>
      <c r="P48" s="3"/>
      <c r="Q48" s="89"/>
    </row>
    <row r="49" spans="1:17">
      <c r="A49">
        <v>2040</v>
      </c>
      <c r="B49">
        <v>30</v>
      </c>
      <c r="C49" s="3">
        <f>'Combined MOVES output'!AE34</f>
        <v>3140305.3999218415</v>
      </c>
      <c r="D49" s="3">
        <f t="shared" si="12"/>
        <v>160577.56382944612</v>
      </c>
      <c r="E49" s="3">
        <f>D48+D49</f>
        <v>371951.16139463795</v>
      </c>
      <c r="F49" s="84"/>
      <c r="G49" s="3"/>
      <c r="H49" s="3"/>
      <c r="I49" s="88"/>
      <c r="J49" s="84"/>
      <c r="K49" s="3"/>
      <c r="L49" s="3"/>
      <c r="M49" s="88"/>
      <c r="N49" s="84"/>
      <c r="O49" s="3"/>
      <c r="P49" s="3"/>
      <c r="Q49" s="89"/>
    </row>
    <row r="50" spans="1:17">
      <c r="A50">
        <v>2040</v>
      </c>
      <c r="B50">
        <v>41</v>
      </c>
      <c r="C50" s="3">
        <f>'Combined MOVES output'!AE35</f>
        <v>257233.62083785326</v>
      </c>
      <c r="D50" s="3">
        <f t="shared" si="12"/>
        <v>13935.621534824479</v>
      </c>
      <c r="E50" s="3"/>
      <c r="F50" s="84"/>
      <c r="G50" s="3"/>
      <c r="H50" s="3"/>
      <c r="I50" s="88"/>
      <c r="J50" s="84"/>
      <c r="K50" s="3"/>
      <c r="L50" s="3"/>
      <c r="M50" s="88"/>
      <c r="N50" s="84"/>
      <c r="O50" s="3"/>
      <c r="P50" s="3"/>
      <c r="Q50" s="89"/>
    </row>
    <row r="51" spans="1:17" ht="16" thickBot="1">
      <c r="A51" s="90">
        <v>2040</v>
      </c>
      <c r="B51" s="90" t="s">
        <v>133</v>
      </c>
      <c r="C51" s="91">
        <f>'Combined MOVES output'!AE36</f>
        <v>6743678.6071325559</v>
      </c>
      <c r="D51" s="91">
        <f t="shared" si="12"/>
        <v>385040.73198978801</v>
      </c>
      <c r="E51" s="91">
        <f>E49</f>
        <v>371951.16139463795</v>
      </c>
      <c r="F51" s="92">
        <f>E51-I51</f>
        <v>307975.56163476023</v>
      </c>
      <c r="G51" s="97">
        <f>$E51*'Fleet ZEV fractions'!B32</f>
        <v>61743.892791509905</v>
      </c>
      <c r="H51" s="97">
        <f>$E51*'Fleet ZEV fractions'!C32</f>
        <v>2231.7069683678278</v>
      </c>
      <c r="I51" s="97">
        <f>$E51*'Fleet ZEV fractions'!D32</f>
        <v>63975.599759877732</v>
      </c>
      <c r="J51" s="95">
        <f>E51-M51</f>
        <v>0</v>
      </c>
      <c r="K51" s="96">
        <f>$E51*'Fleet ZEV fractions'!H32</f>
        <v>307603.61047336558</v>
      </c>
      <c r="L51" s="96">
        <f>$E51*'Fleet ZEV fractions'!I32</f>
        <v>64347.550921272363</v>
      </c>
      <c r="M51" s="96">
        <f>$E51*'Fleet ZEV fractions'!J32</f>
        <v>371951.16139463795</v>
      </c>
      <c r="N51" s="95">
        <f>E51-Q51</f>
        <v>74390.232278927579</v>
      </c>
      <c r="O51" s="96">
        <f>$E51*'Fleet ZEV fractions'!K32</f>
        <v>246082.88837869244</v>
      </c>
      <c r="P51" s="96">
        <f>$E51*'Fleet ZEV fractions'!L32</f>
        <v>51478.040737017887</v>
      </c>
      <c r="Q51" s="100">
        <f>$E51*'Fleet ZEV fractions'!M32</f>
        <v>297560.92911571037</v>
      </c>
    </row>
    <row r="52" spans="1:17">
      <c r="N52" s="248" t="s">
        <v>138</v>
      </c>
    </row>
    <row r="53" spans="1:17">
      <c r="N53" s="248" t="s">
        <v>451</v>
      </c>
    </row>
  </sheetData>
  <sheetProtection algorithmName="SHA-512" hashValue="PXe33iB6v2ZYPN0OYEunhPF3J3VQf+Khj4b5ZLI1v1Nc01WsLkRed3bX89igKNLy2V4EEfstIhd2/Vm9AAPXpQ==" saltValue="83YsK4ef54F37aW/6Wjwnw==" spinCount="100000" sheet="1" objects="1" scenarios="1"/>
  <mergeCells count="3">
    <mergeCell ref="F2:I2"/>
    <mergeCell ref="J2:M2"/>
    <mergeCell ref="N2:Q2"/>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6"/>
  <dimension ref="A1:BA57"/>
  <sheetViews>
    <sheetView workbookViewId="0">
      <selection activeCell="AE11" sqref="AE11"/>
    </sheetView>
  </sheetViews>
  <sheetFormatPr baseColWidth="10" defaultColWidth="8.83203125" defaultRowHeight="15"/>
  <cols>
    <col min="3" max="3" width="12" bestFit="1" customWidth="1"/>
    <col min="4" max="4" width="15.6640625" customWidth="1"/>
    <col min="5" max="6" width="11.6640625" customWidth="1"/>
    <col min="7" max="7" width="12.83203125" customWidth="1"/>
    <col min="8" max="9" width="12.5" customWidth="1"/>
    <col min="10" max="10" width="9.1640625" bestFit="1" customWidth="1"/>
    <col min="11" max="11" width="14.5" customWidth="1"/>
    <col min="12" max="12" width="15.33203125" customWidth="1"/>
    <col min="13" max="14" width="11.6640625" customWidth="1"/>
    <col min="18" max="18" width="16.6640625" bestFit="1" customWidth="1"/>
    <col min="19" max="19" width="11.6640625" customWidth="1"/>
    <col min="20" max="20" width="12.6640625" customWidth="1"/>
    <col min="21" max="22" width="14.6640625" customWidth="1"/>
    <col min="23" max="23" width="10.33203125" customWidth="1"/>
    <col min="24" max="24" width="13.6640625" customWidth="1"/>
    <col min="25" max="25" width="11" customWidth="1"/>
    <col min="26" max="32" width="13.33203125" customWidth="1"/>
    <col min="33" max="33" width="13.1640625" bestFit="1" customWidth="1"/>
    <col min="34" max="35" width="8.83203125" customWidth="1"/>
    <col min="36" max="36" width="12" customWidth="1"/>
    <col min="37" max="46" width="8.83203125" customWidth="1"/>
  </cols>
  <sheetData>
    <row r="1" spans="1:53">
      <c r="A1" s="2" t="s">
        <v>4</v>
      </c>
      <c r="P1" s="2"/>
      <c r="U1" s="6"/>
      <c r="V1" s="6"/>
    </row>
    <row r="2" spans="1:53">
      <c r="A2" t="s">
        <v>5</v>
      </c>
    </row>
    <row r="3" spans="1:53">
      <c r="A3" t="s">
        <v>113</v>
      </c>
    </row>
    <row r="4" spans="1:53">
      <c r="A4" t="s">
        <v>114</v>
      </c>
    </row>
    <row r="5" spans="1:53">
      <c r="A5" t="s">
        <v>202</v>
      </c>
      <c r="AH5" s="313" t="s">
        <v>46</v>
      </c>
      <c r="AI5" s="313"/>
    </row>
    <row r="6" spans="1:53">
      <c r="C6" s="3"/>
      <c r="P6" s="115" t="str">
        <f>'County Scale Output 2017-2040'!A3</f>
        <v>yearID</v>
      </c>
      <c r="Q6" s="80" t="str">
        <f>'County Scale Output 2017-2040'!B3</f>
        <v>regClassID</v>
      </c>
      <c r="R6" s="80" t="str">
        <f>'County Scale Output 2017-2040'!C3</f>
        <v>NOx</v>
      </c>
      <c r="S6" s="80" t="str">
        <f>'County Scale Output 2017-2040'!D3</f>
        <v>CH4</v>
      </c>
      <c r="T6" s="80" t="str">
        <f>'County Scale Output 2017-2040'!E3</f>
        <v>N2O</v>
      </c>
      <c r="U6" s="80" t="str">
        <f>'County Scale Output 2017-2040'!F3</f>
        <v>CO2</v>
      </c>
      <c r="V6" s="80" t="s">
        <v>47</v>
      </c>
      <c r="W6" s="80" t="str">
        <f>'County Scale Output 2017-2040'!G3</f>
        <v>Energy</v>
      </c>
      <c r="X6" s="80" t="str">
        <f>'County Scale Output 2017-2040'!H3</f>
        <v>PM25 Exh</v>
      </c>
      <c r="Y6" s="80" t="str">
        <f>'County Scale Output 2017-2040'!I3</f>
        <v>PM25 BW</v>
      </c>
      <c r="Z6" s="80" t="str">
        <f>'County Scale Output 2017-2040'!J3</f>
        <v>PM25 TW</v>
      </c>
      <c r="AA6" s="80" t="s">
        <v>24</v>
      </c>
      <c r="AB6" s="80" t="s">
        <v>115</v>
      </c>
      <c r="AC6" s="80" t="s">
        <v>116</v>
      </c>
      <c r="AD6" s="80" t="s">
        <v>117</v>
      </c>
      <c r="AE6" s="80" t="str">
        <f>'County Scale Output 2017-2040'!N3</f>
        <v>POP</v>
      </c>
      <c r="AF6" s="116" t="str">
        <f>'County Scale Output 2017-2040'!O3</f>
        <v>VMT</v>
      </c>
      <c r="AH6" t="s">
        <v>26</v>
      </c>
      <c r="AI6" t="s">
        <v>21</v>
      </c>
      <c r="AJ6" t="s">
        <v>47</v>
      </c>
    </row>
    <row r="7" spans="1:53">
      <c r="A7" s="115" t="s">
        <v>0</v>
      </c>
      <c r="B7" s="80" t="s">
        <v>1</v>
      </c>
      <c r="C7" s="80" t="s">
        <v>2</v>
      </c>
      <c r="D7" s="80" t="s">
        <v>47</v>
      </c>
      <c r="E7" s="80" t="s">
        <v>22</v>
      </c>
      <c r="F7" s="80" t="s">
        <v>24</v>
      </c>
      <c r="G7" s="80" t="s">
        <v>115</v>
      </c>
      <c r="H7" s="80" t="s">
        <v>116</v>
      </c>
      <c r="I7" s="80" t="s">
        <v>117</v>
      </c>
      <c r="J7" s="80" t="s">
        <v>74</v>
      </c>
      <c r="K7" s="116" t="s">
        <v>75</v>
      </c>
      <c r="L7" s="204" t="s">
        <v>3</v>
      </c>
      <c r="M7" s="204" t="s">
        <v>26</v>
      </c>
      <c r="N7" s="204" t="s">
        <v>21</v>
      </c>
      <c r="O7" s="28"/>
      <c r="P7" s="106">
        <f>'County Scale Output 2017-2040'!A4</f>
        <v>2017</v>
      </c>
      <c r="Q7" s="107">
        <f>'County Scale Output 2017-2040'!B4</f>
        <v>20</v>
      </c>
      <c r="R7" s="108">
        <f>'County Scale Output 2017-2040'!C4</f>
        <v>7779037745.0898399</v>
      </c>
      <c r="S7" s="108">
        <f>'County Scale Output 2017-2040'!D4</f>
        <v>767548802.09375</v>
      </c>
      <c r="T7" s="108">
        <f>'County Scale Output 2017-2040'!E4</f>
        <v>206416823.251221</v>
      </c>
      <c r="U7" s="108">
        <f>'County Scale Output 2017-2040'!F4</f>
        <v>12775029117936</v>
      </c>
      <c r="V7" s="108">
        <f>AJ7</f>
        <v>12855730051317.207</v>
      </c>
      <c r="W7" s="108">
        <f>'County Scale Output 2017-2040'!G4</f>
        <v>168708388.27539101</v>
      </c>
      <c r="X7" s="108">
        <f>'County Scale Output 2017-2040'!H4</f>
        <v>130307399.730408</v>
      </c>
      <c r="Y7" s="108">
        <f>'County Scale Output 2017-2040'!I4</f>
        <v>91532720.153808594</v>
      </c>
      <c r="Z7" s="108">
        <f>'County Scale Output 2017-2040'!J4</f>
        <v>45952014.090820298</v>
      </c>
      <c r="AA7" s="108">
        <f>X7+Y7+Z7</f>
        <v>267792133.97503692</v>
      </c>
      <c r="AB7" s="108">
        <f>'County Scale Output 2017-2040'!K4</f>
        <v>8123669704.9921904</v>
      </c>
      <c r="AC7" s="108">
        <f>'County Scale Output 2017-2040'!L4</f>
        <v>262763927.55822799</v>
      </c>
      <c r="AD7" s="108">
        <f>'County Scale Output 2017-2040'!M4</f>
        <v>945719075.69140601</v>
      </c>
      <c r="AE7" s="108">
        <f>'County Scale Output 2017-2040'!N4</f>
        <v>3195850.5263669998</v>
      </c>
      <c r="AF7" s="109">
        <f>'County Scale Output 2017-2040'!O4</f>
        <v>35920696423.509995</v>
      </c>
      <c r="AH7">
        <v>25</v>
      </c>
      <c r="AI7">
        <v>298</v>
      </c>
      <c r="AJ7">
        <f>U7+(S7*AH7)+(T7*AI7)</f>
        <v>12855730051317.207</v>
      </c>
      <c r="AM7" s="6"/>
    </row>
    <row r="8" spans="1:53">
      <c r="A8">
        <v>2020</v>
      </c>
      <c r="B8" s="32" t="s">
        <v>109</v>
      </c>
      <c r="C8" s="3">
        <f>R16</f>
        <v>15457645754.81538</v>
      </c>
      <c r="D8" s="3">
        <f>V16</f>
        <v>29047992482678.434</v>
      </c>
      <c r="E8" s="3">
        <f>W16</f>
        <v>335464115.71543819</v>
      </c>
      <c r="F8" s="3">
        <f t="shared" ref="F8:K8" si="0">AA16</f>
        <v>692674293.9936769</v>
      </c>
      <c r="G8" s="3">
        <f t="shared" si="0"/>
        <v>13792345245.096146</v>
      </c>
      <c r="H8" s="3">
        <f t="shared" si="0"/>
        <v>468237242.07894558</v>
      </c>
      <c r="I8" s="3">
        <f t="shared" si="0"/>
        <v>1828486825.0644176</v>
      </c>
      <c r="J8" s="3">
        <f t="shared" si="0"/>
        <v>6479903.8308971385</v>
      </c>
      <c r="K8" s="34">
        <f t="shared" si="0"/>
        <v>74247872672.431076</v>
      </c>
      <c r="L8" s="203"/>
      <c r="M8" s="203"/>
      <c r="N8" s="203"/>
      <c r="P8" s="106">
        <f>'County Scale Output 2017-2040'!A5</f>
        <v>2017</v>
      </c>
      <c r="Q8" s="107">
        <f>'County Scale Output 2017-2040'!B5</f>
        <v>30</v>
      </c>
      <c r="R8" s="108">
        <f>'County Scale Output 2017-2040'!C5</f>
        <v>9723638575.5</v>
      </c>
      <c r="S8" s="108">
        <f>'County Scale Output 2017-2040'!D5</f>
        <v>776887909.046875</v>
      </c>
      <c r="T8" s="108">
        <f>'County Scale Output 2017-2040'!E5</f>
        <v>283081075.790039</v>
      </c>
      <c r="U8" s="108">
        <f>'County Scale Output 2017-2040'!F5</f>
        <v>15680442718976</v>
      </c>
      <c r="V8" s="108">
        <f t="shared" ref="V8:V10" si="1">AJ8</f>
        <v>15784223077287.604</v>
      </c>
      <c r="W8" s="108">
        <f>'County Scale Output 2017-2040'!G5</f>
        <v>206842041.80767801</v>
      </c>
      <c r="X8" s="108">
        <f>'County Scale Output 2017-2040'!H5</f>
        <v>149743584.98632801</v>
      </c>
      <c r="Y8" s="108">
        <f>'County Scale Output 2017-2040'!I5</f>
        <v>96355834.733444199</v>
      </c>
      <c r="Z8" s="108">
        <f>'County Scale Output 2017-2040'!J5</f>
        <v>43686729.046096802</v>
      </c>
      <c r="AA8" s="108">
        <f t="shared" ref="AA8:AA10" si="2">X8+Y8+Z8</f>
        <v>289786148.76586902</v>
      </c>
      <c r="AB8" s="108">
        <f>'County Scale Output 2017-2040'!K5</f>
        <v>7072889655.875</v>
      </c>
      <c r="AC8" s="108">
        <f>'County Scale Output 2017-2040'!L5</f>
        <v>322724224.227539</v>
      </c>
      <c r="AD8" s="108">
        <f>'County Scale Output 2017-2040'!M5</f>
        <v>873602069.94921899</v>
      </c>
      <c r="AE8" s="108">
        <f>'County Scale Output 2017-2040'!N5</f>
        <v>2999261.2101912</v>
      </c>
      <c r="AF8" s="109">
        <f>'County Scale Output 2017-2040'!O5</f>
        <v>34188060852.5</v>
      </c>
      <c r="AH8">
        <v>25</v>
      </c>
      <c r="AI8">
        <v>298</v>
      </c>
      <c r="AJ8">
        <f>U8+(S8*AH8)+(T8*AI8)</f>
        <v>15784223077287.604</v>
      </c>
      <c r="AN8" s="6"/>
    </row>
    <row r="9" spans="1:53">
      <c r="A9">
        <v>2025</v>
      </c>
      <c r="B9" s="32" t="s">
        <v>109</v>
      </c>
      <c r="C9" s="3">
        <f>R21</f>
        <v>8743808308.6598263</v>
      </c>
      <c r="D9" s="3">
        <f>V21</f>
        <v>26476263356893.922</v>
      </c>
      <c r="E9" s="3">
        <f>W21</f>
        <v>327404720.48998964</v>
      </c>
      <c r="F9" s="3">
        <f t="shared" ref="F9:K9" si="3">AA21</f>
        <v>616112120.65316606</v>
      </c>
      <c r="G9" s="3">
        <f t="shared" si="3"/>
        <v>11295288267.431297</v>
      </c>
      <c r="H9" s="3">
        <f t="shared" si="3"/>
        <v>461119113.06245333</v>
      </c>
      <c r="I9" s="3">
        <f t="shared" si="3"/>
        <v>1772592869.8407173</v>
      </c>
      <c r="J9" s="3">
        <f t="shared" si="3"/>
        <v>6545090.3415120365</v>
      </c>
      <c r="K9" s="34">
        <f t="shared" si="3"/>
        <v>76596895999.799545</v>
      </c>
      <c r="L9" s="203">
        <f>U21</f>
        <v>26329681756333.598</v>
      </c>
      <c r="M9" s="203">
        <f>S21</f>
        <v>1101289120.7380743</v>
      </c>
      <c r="N9" s="203">
        <f>T21</f>
        <v>399494538.73112476</v>
      </c>
      <c r="P9" s="106">
        <f>'County Scale Output 2017-2040'!A6</f>
        <v>2017</v>
      </c>
      <c r="Q9" s="107">
        <f>'County Scale Output 2017-2040'!B6</f>
        <v>41</v>
      </c>
      <c r="R9" s="108">
        <f>'County Scale Output 2017-2040'!C6</f>
        <v>6687283648</v>
      </c>
      <c r="S9" s="108">
        <f>'County Scale Output 2017-2040'!D6</f>
        <v>215851443.75</v>
      </c>
      <c r="T9" s="108">
        <f>'County Scale Output 2017-2040'!E6</f>
        <v>63931580.65625</v>
      </c>
      <c r="U9" s="108">
        <f>'County Scale Output 2017-2040'!F6</f>
        <v>2140951228416</v>
      </c>
      <c r="V9" s="108">
        <f t="shared" si="1"/>
        <v>2165399125545.3125</v>
      </c>
      <c r="W9" s="108">
        <f>'County Scale Output 2017-2040'!G6</f>
        <v>27923376.4375</v>
      </c>
      <c r="X9" s="108">
        <f>'County Scale Output 2017-2040'!H6</f>
        <v>206165963.125</v>
      </c>
      <c r="Y9" s="108">
        <f>'County Scale Output 2017-2040'!I6</f>
        <v>8044585.47265625</v>
      </c>
      <c r="Z9" s="108">
        <f>'County Scale Output 2017-2040'!J6</f>
        <v>4821315.234375</v>
      </c>
      <c r="AA9" s="108">
        <f t="shared" si="2"/>
        <v>219031863.83203125</v>
      </c>
      <c r="AB9" s="108">
        <f>'County Scale Output 2017-2040'!K6</f>
        <v>1792334748</v>
      </c>
      <c r="AC9" s="108">
        <f>'County Scale Output 2017-2040'!L6</f>
        <v>27459611.484375</v>
      </c>
      <c r="AD9" s="108">
        <f>'County Scale Output 2017-2040'!M6</f>
        <v>120211974.25</v>
      </c>
      <c r="AE9" s="108">
        <f>'County Scale Output 2017-2040'!N6</f>
        <v>245680.18797</v>
      </c>
      <c r="AF9" s="109">
        <f>'County Scale Output 2017-2040'!O6</f>
        <v>2729701400</v>
      </c>
      <c r="AH9">
        <v>25</v>
      </c>
      <c r="AI9">
        <v>298</v>
      </c>
      <c r="AJ9">
        <f>U9+(S9*AH9)+(T9*AI9)</f>
        <v>2165399125545.3125</v>
      </c>
      <c r="AN9" s="6"/>
    </row>
    <row r="10" spans="1:53">
      <c r="A10">
        <v>2026</v>
      </c>
      <c r="B10" s="32" t="s">
        <v>109</v>
      </c>
      <c r="C10">
        <f t="shared" ref="C10:K10" si="4">C9+(C14-C9)/5</f>
        <v>7955899933.2149687</v>
      </c>
      <c r="D10" s="3">
        <f t="shared" si="4"/>
        <v>26084582349901.113</v>
      </c>
      <c r="E10" s="3">
        <f t="shared" si="4"/>
        <v>326172131.1756953</v>
      </c>
      <c r="F10">
        <f t="shared" si="4"/>
        <v>607209100.93354201</v>
      </c>
      <c r="G10">
        <f t="shared" si="4"/>
        <v>10870692382.710663</v>
      </c>
      <c r="H10" s="3">
        <f t="shared" si="4"/>
        <v>460027727.97176445</v>
      </c>
      <c r="I10">
        <f t="shared" si="4"/>
        <v>1762479259.16398</v>
      </c>
      <c r="J10">
        <f t="shared" si="4"/>
        <v>6558127.6436350159</v>
      </c>
      <c r="K10" s="81">
        <f t="shared" si="4"/>
        <v>77066700665.273239</v>
      </c>
      <c r="L10" s="203">
        <f t="shared" ref="L10:N10" si="5">L9+(L14-L9)/5</f>
        <v>25941127622372.477</v>
      </c>
      <c r="M10" s="203">
        <f t="shared" si="5"/>
        <v>1068710313.2222954</v>
      </c>
      <c r="N10" s="203">
        <f t="shared" si="5"/>
        <v>391734797.64456779</v>
      </c>
      <c r="P10" s="110">
        <f>P9</f>
        <v>2017</v>
      </c>
      <c r="Q10" s="111" t="s">
        <v>109</v>
      </c>
      <c r="R10" s="112">
        <f t="shared" ref="R10:Z10" si="6">SUM(R7:R9)</f>
        <v>24189959968.58984</v>
      </c>
      <c r="S10" s="112">
        <f t="shared" si="6"/>
        <v>1760288154.890625</v>
      </c>
      <c r="T10" s="112">
        <f t="shared" si="6"/>
        <v>553429479.69751</v>
      </c>
      <c r="U10" s="112">
        <f t="shared" si="6"/>
        <v>30596423065328</v>
      </c>
      <c r="V10" s="113">
        <f t="shared" si="1"/>
        <v>30805352254150.125</v>
      </c>
      <c r="W10" s="112">
        <f t="shared" si="6"/>
        <v>403473806.52056903</v>
      </c>
      <c r="X10" s="133">
        <f t="shared" si="6"/>
        <v>486216947.84173602</v>
      </c>
      <c r="Y10" s="112">
        <f t="shared" si="6"/>
        <v>195933140.35990906</v>
      </c>
      <c r="Z10" s="112">
        <f t="shared" si="6"/>
        <v>94460058.371292099</v>
      </c>
      <c r="AA10" s="113">
        <f t="shared" si="2"/>
        <v>776610146.57293725</v>
      </c>
      <c r="AB10" s="112">
        <f>SUM(AB7:AB9)</f>
        <v>16988894108.867191</v>
      </c>
      <c r="AC10" s="112">
        <f t="shared" ref="AC10:AD10" si="7">SUM(AC7:AC9)</f>
        <v>612947763.27014196</v>
      </c>
      <c r="AD10" s="112">
        <f t="shared" si="7"/>
        <v>1939533119.890625</v>
      </c>
      <c r="AE10" s="112">
        <f>SUM(AE7:AE9)</f>
        <v>6440791.9245282002</v>
      </c>
      <c r="AF10" s="114">
        <f>SUM(AF7:AF9)</f>
        <v>72838458676.009995</v>
      </c>
      <c r="AJ10">
        <f>SUM(AJ7:AJ9)</f>
        <v>30805352254150.125</v>
      </c>
      <c r="AM10" s="2" t="s">
        <v>79</v>
      </c>
    </row>
    <row r="11" spans="1:53">
      <c r="A11">
        <v>2027</v>
      </c>
      <c r="B11" s="32" t="s">
        <v>109</v>
      </c>
      <c r="C11">
        <f t="shared" ref="C11:K11" si="8">C9+(C14-C9)/5*2</f>
        <v>7167991557.770112</v>
      </c>
      <c r="D11" s="3">
        <f t="shared" si="8"/>
        <v>25692901342908.305</v>
      </c>
      <c r="E11" s="3">
        <f t="shared" si="8"/>
        <v>324939541.86140096</v>
      </c>
      <c r="F11">
        <f t="shared" si="8"/>
        <v>598306081.21391797</v>
      </c>
      <c r="G11">
        <f t="shared" si="8"/>
        <v>10446096497.99003</v>
      </c>
      <c r="H11" s="3">
        <f t="shared" si="8"/>
        <v>458936342.88107562</v>
      </c>
      <c r="I11">
        <f t="shared" si="8"/>
        <v>1752365648.4872427</v>
      </c>
      <c r="J11">
        <f t="shared" si="8"/>
        <v>6571164.9457579954</v>
      </c>
      <c r="K11" s="81">
        <f t="shared" si="8"/>
        <v>77536505330.746933</v>
      </c>
      <c r="L11" s="203">
        <f t="shared" ref="L11:N11" si="9">L9+(L14-L9)/5*2</f>
        <v>25552573488411.359</v>
      </c>
      <c r="M11" s="203">
        <f t="shared" si="9"/>
        <v>1036131505.7065165</v>
      </c>
      <c r="N11" s="203">
        <f t="shared" si="9"/>
        <v>383975056.55801082</v>
      </c>
      <c r="P11" s="37"/>
      <c r="R11" s="3"/>
      <c r="S11" s="3"/>
      <c r="T11" s="3"/>
      <c r="U11" s="3"/>
      <c r="V11" s="3"/>
      <c r="W11" s="3"/>
      <c r="X11" s="3"/>
      <c r="Y11" s="3"/>
      <c r="Z11" s="3"/>
      <c r="AA11" s="3"/>
      <c r="AB11" s="3"/>
      <c r="AC11" s="3"/>
      <c r="AD11" s="3"/>
      <c r="AE11" s="3">
        <f>AE7+AE8</f>
        <v>6195111.7365581999</v>
      </c>
      <c r="AF11" s="3"/>
      <c r="AH11" s="313"/>
      <c r="AI11" s="313"/>
      <c r="AM11" s="6"/>
    </row>
    <row r="12" spans="1:53">
      <c r="A12">
        <v>2028</v>
      </c>
      <c r="B12" s="32" t="s">
        <v>109</v>
      </c>
      <c r="C12">
        <f t="shared" ref="C12:K12" si="10">C9+(C14-C9)/5*3</f>
        <v>6380083182.3252544</v>
      </c>
      <c r="D12" s="3">
        <f t="shared" si="10"/>
        <v>25301220335915.5</v>
      </c>
      <c r="E12" s="3">
        <f t="shared" si="10"/>
        <v>323706952.54710668</v>
      </c>
      <c r="F12">
        <f t="shared" si="10"/>
        <v>589403061.49429393</v>
      </c>
      <c r="G12">
        <f t="shared" si="10"/>
        <v>10021500613.269396</v>
      </c>
      <c r="H12" s="3">
        <f t="shared" si="10"/>
        <v>457844957.79038674</v>
      </c>
      <c r="I12">
        <f t="shared" si="10"/>
        <v>1742252037.8105056</v>
      </c>
      <c r="J12">
        <f t="shared" si="10"/>
        <v>6584202.2478809757</v>
      </c>
      <c r="K12" s="81">
        <f t="shared" si="10"/>
        <v>78006309996.220612</v>
      </c>
      <c r="L12" s="203">
        <f t="shared" ref="L12:N12" si="11">L9+(L14-L9)/5*3</f>
        <v>25164019354450.238</v>
      </c>
      <c r="M12" s="203">
        <f t="shared" si="11"/>
        <v>1003552698.1907377</v>
      </c>
      <c r="N12" s="203">
        <f t="shared" si="11"/>
        <v>376215315.47145391</v>
      </c>
      <c r="P12" s="6"/>
      <c r="AH12" t="s">
        <v>26</v>
      </c>
      <c r="AI12" t="s">
        <v>21</v>
      </c>
      <c r="AJ12" t="s">
        <v>47</v>
      </c>
      <c r="AM12" t="str">
        <f>'Output Interpolation'!AC8</f>
        <v>yearID</v>
      </c>
      <c r="AN12" t="str">
        <f>'Output Interpolation'!AD8</f>
        <v>regClassID</v>
      </c>
      <c r="AO12" t="str">
        <f>'Output Interpolation'!AE8</f>
        <v>NOx</v>
      </c>
      <c r="AP12" t="str">
        <f>'Output Interpolation'!AF8</f>
        <v>CH4</v>
      </c>
      <c r="AQ12" t="str">
        <f>'Output Interpolation'!AG8</f>
        <v>N2O</v>
      </c>
      <c r="AR12" t="str">
        <f>'Output Interpolation'!AH8</f>
        <v>CO2</v>
      </c>
      <c r="AS12" t="str">
        <f>'Output Interpolation'!AI8</f>
        <v>Energy</v>
      </c>
      <c r="AT12" t="str">
        <f>'Output Interpolation'!AJ8</f>
        <v>PM25 Exh</v>
      </c>
      <c r="AU12" t="str">
        <f>'Output Interpolation'!AN8</f>
        <v>PM25 BW</v>
      </c>
      <c r="AV12" t="str">
        <f>'Output Interpolation'!AO8</f>
        <v>PM25 TW</v>
      </c>
      <c r="AW12" t="str">
        <f>'Output Interpolation'!AK8</f>
        <v>VOC</v>
      </c>
      <c r="AX12" t="str">
        <f>'Output Interpolation'!AL8</f>
        <v>SO2</v>
      </c>
      <c r="AY12" t="str">
        <f>'Output Interpolation'!AM8</f>
        <v>NH3</v>
      </c>
      <c r="AZ12" t="str">
        <f>'Output Interpolation'!AP8</f>
        <v>POP</v>
      </c>
      <c r="BA12" t="str">
        <f>'Output Interpolation'!AQ8</f>
        <v>VMT</v>
      </c>
    </row>
    <row r="13" spans="1:53">
      <c r="A13">
        <v>2029</v>
      </c>
      <c r="B13" s="32" t="s">
        <v>109</v>
      </c>
      <c r="C13">
        <f t="shared" ref="C13:K13" si="12">C9+(C14-C9)/5*4</f>
        <v>5592174806.8803978</v>
      </c>
      <c r="D13" s="3">
        <f t="shared" si="12"/>
        <v>24909539328922.691</v>
      </c>
      <c r="E13" s="3">
        <f t="shared" si="12"/>
        <v>322474363.23281235</v>
      </c>
      <c r="F13">
        <f t="shared" si="12"/>
        <v>580500041.77466989</v>
      </c>
      <c r="G13">
        <f t="shared" si="12"/>
        <v>9596904728.5487633</v>
      </c>
      <c r="H13" s="3">
        <f t="shared" si="12"/>
        <v>456753572.69969791</v>
      </c>
      <c r="I13">
        <f t="shared" si="12"/>
        <v>1732138427.1337683</v>
      </c>
      <c r="J13">
        <f t="shared" si="12"/>
        <v>6597239.5500039551</v>
      </c>
      <c r="K13" s="81">
        <f t="shared" si="12"/>
        <v>78476114661.694305</v>
      </c>
      <c r="L13" s="203">
        <f t="shared" ref="L13:N13" si="13">L9+(L14-L9)/5*4</f>
        <v>24775465220489.121</v>
      </c>
      <c r="M13" s="203">
        <f t="shared" si="13"/>
        <v>970973890.67495883</v>
      </c>
      <c r="N13" s="203">
        <f t="shared" si="13"/>
        <v>368455574.38489693</v>
      </c>
      <c r="P13">
        <f t="shared" ref="P13:P15" si="14">AM13</f>
        <v>2020</v>
      </c>
      <c r="Q13">
        <f t="shared" ref="Q13:Q15" si="15">AN13</f>
        <v>20</v>
      </c>
      <c r="R13" s="30">
        <f t="shared" ref="R13:U15" si="16">R7-AO13*(R7-R23)</f>
        <v>5071221916.6775436</v>
      </c>
      <c r="S13" s="30">
        <f t="shared" si="16"/>
        <v>595737840.84902048</v>
      </c>
      <c r="T13" s="30">
        <f t="shared" si="16"/>
        <v>183070374.76270649</v>
      </c>
      <c r="U13" s="30">
        <f t="shared" si="16"/>
        <v>12124461830245.395</v>
      </c>
      <c r="V13" s="3">
        <f>AJ13</f>
        <v>12193910247945.906</v>
      </c>
      <c r="W13" s="30">
        <f t="shared" ref="W13:X15" si="17">W7-AS13*(W7-W23)</f>
        <v>141494956.58416179</v>
      </c>
      <c r="X13" s="42">
        <f t="shared" si="17"/>
        <v>118710794.03162369</v>
      </c>
      <c r="Y13" s="42">
        <f t="shared" ref="Y13:Z15" si="18">IF(Y7&lt;Y23,Y7+AU13*(Y23-Y7),Y7+AU13*(Y7-Y23))</f>
        <v>93787391.783487231</v>
      </c>
      <c r="Z13" s="42">
        <f t="shared" si="18"/>
        <v>47005547.375335693</v>
      </c>
      <c r="AA13" s="3">
        <f>X13+Y13+Z13</f>
        <v>259503733.19044662</v>
      </c>
      <c r="AB13" s="30">
        <f>AB7-AW13*(AB7-AB23)</f>
        <v>6822997076.131073</v>
      </c>
      <c r="AC13" s="30">
        <f t="shared" ref="AC13:AD13" si="19">AC7-AX13*(AC7-AC23)</f>
        <v>205138781.90901351</v>
      </c>
      <c r="AD13" s="30">
        <f t="shared" si="19"/>
        <v>881492295.35382199</v>
      </c>
      <c r="AE13" s="42">
        <f>IF(AE7&lt;AE23,AE7+AZ13*(AE23-AE7),AE7+AZ13*(AE7-AE23))</f>
        <v>3215257.426639678</v>
      </c>
      <c r="AF13" s="42">
        <f>IF(AF7&lt;AF23,AF7+BA13*(AF23-AF7),AF7+BA13*(AF7-AF23))</f>
        <v>36705205318.140762</v>
      </c>
      <c r="AH13">
        <v>25</v>
      </c>
      <c r="AI13">
        <v>298</v>
      </c>
      <c r="AJ13">
        <f>U13+(S13*AH13)+(T13*AI13)</f>
        <v>12193910247945.906</v>
      </c>
      <c r="AM13">
        <f>'Output Interpolation'!AC9</f>
        <v>2020</v>
      </c>
      <c r="AN13">
        <f>'Output Interpolation'!AD9</f>
        <v>20</v>
      </c>
      <c r="AO13">
        <f>'Output Interpolation'!AE9</f>
        <v>0.44466595961262645</v>
      </c>
      <c r="AP13">
        <f>'Output Interpolation'!AF9</f>
        <v>0.5064060853727923</v>
      </c>
      <c r="AQ13">
        <f>'Output Interpolation'!AG9</f>
        <v>0.41425251282686371</v>
      </c>
      <c r="AR13">
        <f>'Output Interpolation'!AH9</f>
        <v>0.25184295914261356</v>
      </c>
      <c r="AS13">
        <f>'Output Interpolation'!AI9</f>
        <v>0.79445761429093065</v>
      </c>
      <c r="AT13">
        <f>'Output Interpolation'!AJ9</f>
        <v>0.56655719619921419</v>
      </c>
      <c r="AU13">
        <f>'Output Interpolation'!AN9</f>
        <v>0.23076923076923078</v>
      </c>
      <c r="AV13">
        <f>'Output Interpolation'!AO9</f>
        <v>0.23076923076923078</v>
      </c>
      <c r="AW13">
        <f>'Output Interpolation'!AK9</f>
        <v>0.38931661848010174</v>
      </c>
      <c r="AX13">
        <f>'Output Interpolation'!AL9</f>
        <v>0.91745718052638814</v>
      </c>
      <c r="AY13">
        <f>'Output Interpolation'!AM9</f>
        <v>0.55069290906993651</v>
      </c>
      <c r="AZ13">
        <f>'Output Interpolation'!AP9</f>
        <v>0.23076923076923078</v>
      </c>
      <c r="BA13">
        <f>'Output Interpolation'!AQ9</f>
        <v>0.23076923076923078</v>
      </c>
    </row>
    <row r="14" spans="1:53">
      <c r="A14">
        <v>2030</v>
      </c>
      <c r="B14" s="32" t="s">
        <v>109</v>
      </c>
      <c r="C14" s="3">
        <f>R26</f>
        <v>4804266431.4355402</v>
      </c>
      <c r="D14" s="3">
        <f>V26</f>
        <v>24517858321929.883</v>
      </c>
      <c r="E14" s="3">
        <f>W26</f>
        <v>321241773.91851801</v>
      </c>
      <c r="F14" s="3">
        <f t="shared" ref="F14:K14" si="20">AA26</f>
        <v>571597022.05504584</v>
      </c>
      <c r="G14" s="3">
        <f t="shared" si="20"/>
        <v>9172308843.8281288</v>
      </c>
      <c r="H14" s="3">
        <f t="shared" si="20"/>
        <v>455662187.60900903</v>
      </c>
      <c r="I14" s="3">
        <f t="shared" si="20"/>
        <v>1722024816.457031</v>
      </c>
      <c r="J14" s="3">
        <f t="shared" si="20"/>
        <v>6610276.8521269346</v>
      </c>
      <c r="K14" s="34">
        <f t="shared" si="20"/>
        <v>78945919327.167999</v>
      </c>
      <c r="L14" s="203">
        <f>U26</f>
        <v>24386911086528</v>
      </c>
      <c r="M14" s="203">
        <f>S26</f>
        <v>938395083.15917993</v>
      </c>
      <c r="N14" s="203">
        <f>T26</f>
        <v>360695833.29833996</v>
      </c>
      <c r="P14">
        <f t="shared" si="14"/>
        <v>2020</v>
      </c>
      <c r="Q14">
        <f t="shared" si="15"/>
        <v>30</v>
      </c>
      <c r="R14" s="30">
        <f t="shared" si="16"/>
        <v>6141632779.6223679</v>
      </c>
      <c r="S14" s="30">
        <f t="shared" si="16"/>
        <v>586417403.34293914</v>
      </c>
      <c r="T14" s="30">
        <f t="shared" si="16"/>
        <v>242848237.64951107</v>
      </c>
      <c r="U14" s="30">
        <f t="shared" si="16"/>
        <v>14659906641276.9</v>
      </c>
      <c r="V14" s="3">
        <f t="shared" ref="V14:V16" si="21">AJ14</f>
        <v>14746935851180.029</v>
      </c>
      <c r="W14" s="30">
        <f t="shared" si="17"/>
        <v>169438350.71104664</v>
      </c>
      <c r="X14" s="42">
        <f t="shared" si="17"/>
        <v>140917441.93452418</v>
      </c>
      <c r="Y14" s="42">
        <f t="shared" si="18"/>
        <v>97920357.597456083</v>
      </c>
      <c r="Z14" s="42">
        <f t="shared" si="18"/>
        <v>44378635.985437252</v>
      </c>
      <c r="AA14" s="3">
        <f t="shared" ref="AA14:AA16" si="22">X14+Y14+Z14</f>
        <v>283216435.51741755</v>
      </c>
      <c r="AB14" s="30">
        <f>AB8-AW14*(AB8-AB24)</f>
        <v>5721141598.9788027</v>
      </c>
      <c r="AC14" s="30">
        <f t="shared" ref="AC14:AD14" si="23">AC8-AX14*(AC8-AC24)</f>
        <v>243711257.68637037</v>
      </c>
      <c r="AD14" s="30">
        <f t="shared" si="23"/>
        <v>833163300.40320814</v>
      </c>
      <c r="AE14" s="42">
        <f>IF(AE8&lt;AE24,AE8+AZ14*(AE24-AE8),AE8+AZ14*(AE8-AE24))</f>
        <v>3017474.3158160308</v>
      </c>
      <c r="AF14" s="42">
        <f>IF(AF8&lt;AF24,AF8+BA14*(AF24-AF8),AF8+BA14*(AF8-AF24))</f>
        <v>34721184813.674927</v>
      </c>
      <c r="AH14">
        <v>25</v>
      </c>
      <c r="AI14">
        <v>298</v>
      </c>
      <c r="AJ14">
        <f>U14+(S14*AH14)+(T14*AI14)</f>
        <v>14746935851180.029</v>
      </c>
      <c r="AM14">
        <f>'Output Interpolation'!AC10</f>
        <v>2020</v>
      </c>
      <c r="AN14">
        <f>'Output Interpolation'!AD10</f>
        <v>30</v>
      </c>
      <c r="AO14">
        <f>'Output Interpolation'!AE10</f>
        <v>0.45662781133257863</v>
      </c>
      <c r="AP14">
        <f>'Output Interpolation'!AF10</f>
        <v>0.52210559321698868</v>
      </c>
      <c r="AQ14">
        <f>'Output Interpolation'!AG10</f>
        <v>0.42199992036547818</v>
      </c>
      <c r="AR14">
        <f>'Output Interpolation'!AH10</f>
        <v>0.30602000803362062</v>
      </c>
      <c r="AS14">
        <f>'Output Interpolation'!AI10</f>
        <v>0.8484170155021602</v>
      </c>
      <c r="AT14">
        <f>'Output Interpolation'!AJ10</f>
        <v>0.3461823573493894</v>
      </c>
      <c r="AU14">
        <f>'Output Interpolation'!AN10</f>
        <v>0.23076923076923078</v>
      </c>
      <c r="AV14">
        <f>'Output Interpolation'!AO10</f>
        <v>0.23076923076923078</v>
      </c>
      <c r="AW14">
        <f>'Output Interpolation'!AK10</f>
        <v>0.43613377226590844</v>
      </c>
      <c r="AX14">
        <f>'Output Interpolation'!AL10</f>
        <v>0.92707668886098638</v>
      </c>
      <c r="AY14">
        <f>'Output Interpolation'!AM10</f>
        <v>0.49318834889326424</v>
      </c>
      <c r="AZ14">
        <f>'Output Interpolation'!AP10</f>
        <v>0.23076923076923078</v>
      </c>
      <c r="BA14">
        <f>'Output Interpolation'!AQ10</f>
        <v>0.23076923076923078</v>
      </c>
    </row>
    <row r="15" spans="1:53">
      <c r="A15">
        <v>2031</v>
      </c>
      <c r="B15" s="32" t="s">
        <v>109</v>
      </c>
      <c r="C15">
        <f t="shared" ref="C15:K15" si="24">C14+(C19-C14)/5</f>
        <v>4450882683.0641556</v>
      </c>
      <c r="D15" s="3">
        <f t="shared" si="24"/>
        <v>24353023750309.527</v>
      </c>
      <c r="E15" s="3">
        <f t="shared" si="24"/>
        <v>319072521.27916521</v>
      </c>
      <c r="F15">
        <f t="shared" si="24"/>
        <v>562192479.81933379</v>
      </c>
      <c r="G15">
        <f t="shared" si="24"/>
        <v>8995403587.868763</v>
      </c>
      <c r="H15" s="3">
        <f t="shared" si="24"/>
        <v>455589868.85428941</v>
      </c>
      <c r="I15">
        <f t="shared" si="24"/>
        <v>1716151409.8824365</v>
      </c>
      <c r="J15">
        <f t="shared" si="24"/>
        <v>6622985.4601303088</v>
      </c>
      <c r="K15" s="81">
        <f t="shared" si="24"/>
        <v>79319833808.604416</v>
      </c>
      <c r="L15" s="222">
        <f t="shared" ref="L15:N15" si="25">L14+(L19-L14)/5</f>
        <v>24223765673998.238</v>
      </c>
      <c r="M15" s="203">
        <f t="shared" si="25"/>
        <v>911078885.2561177</v>
      </c>
      <c r="N15" s="203">
        <f t="shared" si="25"/>
        <v>357319141.54323775</v>
      </c>
      <c r="P15">
        <f t="shared" si="14"/>
        <v>2020</v>
      </c>
      <c r="Q15">
        <f t="shared" si="15"/>
        <v>41</v>
      </c>
      <c r="R15" s="30">
        <f t="shared" si="16"/>
        <v>4244791058.5154681</v>
      </c>
      <c r="S15" s="30">
        <f t="shared" si="16"/>
        <v>160006095.11417878</v>
      </c>
      <c r="T15" s="30">
        <f t="shared" si="16"/>
        <v>49049539.851593025</v>
      </c>
      <c r="U15" s="30">
        <f t="shared" si="16"/>
        <v>2088529468298.8655</v>
      </c>
      <c r="V15" s="3">
        <f t="shared" si="21"/>
        <v>2107146383552.4946</v>
      </c>
      <c r="W15" s="30">
        <f t="shared" si="17"/>
        <v>24530808.420229744</v>
      </c>
      <c r="X15" s="42">
        <f t="shared" si="17"/>
        <v>136561311.35672617</v>
      </c>
      <c r="Y15" s="42">
        <f t="shared" si="18"/>
        <v>8407258.889122596</v>
      </c>
      <c r="Z15" s="42">
        <f t="shared" si="18"/>
        <v>4985555.039963942</v>
      </c>
      <c r="AA15" s="3">
        <f t="shared" si="22"/>
        <v>149954125.28581271</v>
      </c>
      <c r="AB15" s="30">
        <f>AB9-AW15*(AB9-AB25)</f>
        <v>1248206569.9862709</v>
      </c>
      <c r="AC15" s="30">
        <f t="shared" ref="AC15:AD15" si="26">AC9-AX15*(AC9-AC25)</f>
        <v>19387202.483561683</v>
      </c>
      <c r="AD15" s="30">
        <f t="shared" si="26"/>
        <v>113831229.30738758</v>
      </c>
      <c r="AE15" s="42">
        <f>IF(AE9&lt;AE25,AE9+AZ15*(AE25-AE9),AE9-AZ15*(AE9-AE25))</f>
        <v>247172.08844142995</v>
      </c>
      <c r="AF15" s="42">
        <f>IF(AF9&lt;AF25,AF9+BA15*(AF25-AF9),AF9-BA15*(AF9-AF25))</f>
        <v>2821482540.6153846</v>
      </c>
      <c r="AH15">
        <v>25</v>
      </c>
      <c r="AI15">
        <v>298</v>
      </c>
      <c r="AJ15">
        <f>U15+(S15*AH15)+(T15*AI15)</f>
        <v>2107146383552.4946</v>
      </c>
      <c r="AM15">
        <f>'Output Interpolation'!AC11</f>
        <v>2020</v>
      </c>
      <c r="AN15">
        <f>'Output Interpolation'!AD11</f>
        <v>41</v>
      </c>
      <c r="AO15">
        <f>'Output Interpolation'!AE11</f>
        <v>0.44802671837545199</v>
      </c>
      <c r="AP15">
        <f>'Output Interpolation'!AF11</f>
        <v>0.47404595609233924</v>
      </c>
      <c r="AQ15">
        <f>'Output Interpolation'!AG11</f>
        <v>0.36264813036656401</v>
      </c>
      <c r="AR15">
        <f>'Output Interpolation'!AH11</f>
        <v>0.17988463262543994</v>
      </c>
      <c r="AS15">
        <f>'Output Interpolation'!AI11</f>
        <v>0.87179264914814147</v>
      </c>
      <c r="AT15">
        <f>'Output Interpolation'!AJ11</f>
        <v>0.3753372381091733</v>
      </c>
      <c r="AU15">
        <f>'Output Interpolation'!AN11</f>
        <v>0.23076923076923078</v>
      </c>
      <c r="AV15">
        <f>'Output Interpolation'!AO11</f>
        <v>0.23076923076923078</v>
      </c>
      <c r="AW15">
        <f>'Output Interpolation'!AK11</f>
        <v>0.39536025714751521</v>
      </c>
      <c r="AX15">
        <f>'Output Interpolation'!AL11</f>
        <v>0.87289426908606349</v>
      </c>
      <c r="AY15">
        <f>'Output Interpolation'!AM11</f>
        <v>0.33787913629495853</v>
      </c>
      <c r="AZ15">
        <f>'Output Interpolation'!AP11</f>
        <v>0.23076923076923078</v>
      </c>
      <c r="BA15">
        <f>'Output Interpolation'!AQ11</f>
        <v>0.23076923076923078</v>
      </c>
    </row>
    <row r="16" spans="1:53">
      <c r="A16">
        <v>2032</v>
      </c>
      <c r="B16" s="32" t="s">
        <v>109</v>
      </c>
      <c r="C16">
        <f t="shared" ref="C16:K16" si="27">C14+(C19-C14)/5*2</f>
        <v>4097498934.692771</v>
      </c>
      <c r="D16" s="3">
        <f t="shared" si="27"/>
        <v>24188189178689.172</v>
      </c>
      <c r="E16" s="3">
        <f t="shared" si="27"/>
        <v>316903268.63981247</v>
      </c>
      <c r="F16">
        <f t="shared" si="27"/>
        <v>552787937.58362174</v>
      </c>
      <c r="G16">
        <f t="shared" si="27"/>
        <v>8818498331.9093971</v>
      </c>
      <c r="H16" s="3">
        <f t="shared" si="27"/>
        <v>455517550.09956986</v>
      </c>
      <c r="I16">
        <f t="shared" si="27"/>
        <v>1710278003.307842</v>
      </c>
      <c r="J16">
        <f t="shared" si="27"/>
        <v>6635694.068133682</v>
      </c>
      <c r="K16" s="81">
        <f t="shared" si="27"/>
        <v>79693748290.040817</v>
      </c>
      <c r="L16" s="222">
        <f t="shared" ref="L16:N16" si="28">L14+(L19-L14)/5*2</f>
        <v>24060620261468.48</v>
      </c>
      <c r="M16" s="203">
        <f t="shared" si="28"/>
        <v>883762687.35305536</v>
      </c>
      <c r="N16" s="203">
        <f t="shared" si="28"/>
        <v>353942449.78813547</v>
      </c>
      <c r="P16">
        <v>2020</v>
      </c>
      <c r="Q16" s="8" t="s">
        <v>109</v>
      </c>
      <c r="R16" s="30">
        <f t="shared" ref="R16:Z16" si="29">SUM(R13:R15)</f>
        <v>15457645754.81538</v>
      </c>
      <c r="S16" s="30">
        <f t="shared" si="29"/>
        <v>1342161339.3061385</v>
      </c>
      <c r="T16" s="30">
        <f t="shared" si="29"/>
        <v>474968152.26381058</v>
      </c>
      <c r="U16" s="30">
        <f t="shared" si="29"/>
        <v>28872897939821.164</v>
      </c>
      <c r="V16" s="3">
        <f t="shared" si="21"/>
        <v>29047992482678.434</v>
      </c>
      <c r="W16" s="30">
        <f t="shared" si="29"/>
        <v>335464115.71543819</v>
      </c>
      <c r="X16" s="42">
        <f t="shared" si="29"/>
        <v>396189547.32287407</v>
      </c>
      <c r="Y16" s="30">
        <f t="shared" si="29"/>
        <v>200115008.2700659</v>
      </c>
      <c r="Z16" s="30">
        <f t="shared" si="29"/>
        <v>96369738.400736883</v>
      </c>
      <c r="AA16" s="3">
        <f t="shared" si="22"/>
        <v>692674293.9936769</v>
      </c>
      <c r="AB16" s="30">
        <f t="shared" ref="AB16:AD16" si="30">SUM(AB13:AB15)</f>
        <v>13792345245.096146</v>
      </c>
      <c r="AC16" s="30">
        <f t="shared" si="30"/>
        <v>468237242.07894558</v>
      </c>
      <c r="AD16" s="30">
        <f t="shared" si="30"/>
        <v>1828486825.0644176</v>
      </c>
      <c r="AE16" s="30">
        <f>SUM(AE13:AE15)</f>
        <v>6479903.8308971385</v>
      </c>
      <c r="AF16" s="42">
        <f>SUM(AF13:AF15)</f>
        <v>74247872672.431076</v>
      </c>
      <c r="AG16" s="203">
        <f>AE13+AE14</f>
        <v>6232731.7424557088</v>
      </c>
      <c r="AJ16">
        <f>SUM(AJ13:AJ15)</f>
        <v>29047992482678.434</v>
      </c>
    </row>
    <row r="17" spans="1:53">
      <c r="A17">
        <v>2033</v>
      </c>
      <c r="B17" s="32" t="s">
        <v>109</v>
      </c>
      <c r="C17">
        <f t="shared" ref="C17:K17" si="31">C14+(C19-C14)/5*3</f>
        <v>3744115186.3213863</v>
      </c>
      <c r="D17" s="3">
        <f t="shared" si="31"/>
        <v>24023354607068.812</v>
      </c>
      <c r="E17" s="3">
        <f t="shared" si="31"/>
        <v>314734016.00045967</v>
      </c>
      <c r="F17">
        <f t="shared" si="31"/>
        <v>543383395.34790969</v>
      </c>
      <c r="G17">
        <f t="shared" si="31"/>
        <v>8641593075.9500313</v>
      </c>
      <c r="H17" s="3">
        <f t="shared" si="31"/>
        <v>455445231.34485024</v>
      </c>
      <c r="I17">
        <f t="shared" si="31"/>
        <v>1704404596.7332475</v>
      </c>
      <c r="J17">
        <f t="shared" si="31"/>
        <v>6648402.6761370562</v>
      </c>
      <c r="K17" s="81">
        <f t="shared" si="31"/>
        <v>80067662771.477234</v>
      </c>
      <c r="L17" s="222">
        <f t="shared" ref="L17:N17" si="32">L14+(L19-L14)/5*3</f>
        <v>23897474848938.719</v>
      </c>
      <c r="M17" s="203">
        <f t="shared" si="32"/>
        <v>856446489.44999313</v>
      </c>
      <c r="N17" s="203">
        <f t="shared" si="32"/>
        <v>350565758.03303325</v>
      </c>
      <c r="P17" s="6"/>
      <c r="R17" s="3"/>
      <c r="S17" s="3"/>
      <c r="T17" s="3"/>
      <c r="U17" s="3"/>
      <c r="V17" s="3"/>
      <c r="W17" s="3"/>
      <c r="X17" s="3"/>
      <c r="Y17" s="3"/>
      <c r="Z17" s="3"/>
      <c r="AA17" s="3"/>
      <c r="AB17" s="3"/>
      <c r="AC17" s="3"/>
      <c r="AD17" s="3"/>
      <c r="AE17" s="30">
        <f>AE13+AE14</f>
        <v>6232731.7424557088</v>
      </c>
      <c r="AF17" s="30"/>
      <c r="AG17" s="204">
        <f>AG16/AE16</f>
        <v>0.96185559309339186</v>
      </c>
      <c r="AM17" t="str">
        <f>'Output Interpolation'!AC13</f>
        <v>yearID</v>
      </c>
      <c r="AN17" t="str">
        <f>'Output Interpolation'!AD13</f>
        <v>regClassID</v>
      </c>
      <c r="AO17" t="str">
        <f>'Output Interpolation'!AE13</f>
        <v>NOx</v>
      </c>
      <c r="AP17" t="str">
        <f>'Output Interpolation'!AF13</f>
        <v>CH4</v>
      </c>
      <c r="AQ17" t="str">
        <f>'Output Interpolation'!AG13</f>
        <v>N2O</v>
      </c>
      <c r="AR17" t="str">
        <f>'Output Interpolation'!AH13</f>
        <v>CO2</v>
      </c>
      <c r="AS17" t="str">
        <f>'Output Interpolation'!AI13</f>
        <v>Energy</v>
      </c>
      <c r="AT17" t="str">
        <f>'Output Interpolation'!AJ13</f>
        <v>PM25 Exh</v>
      </c>
      <c r="AU17" t="str">
        <f>'Output Interpolation'!AN13</f>
        <v>PM25 BW</v>
      </c>
      <c r="AV17" t="str">
        <f>'Output Interpolation'!AO13</f>
        <v>PM25 TW</v>
      </c>
      <c r="AW17" t="str">
        <f>'Output Interpolation'!AK13</f>
        <v>VOC</v>
      </c>
      <c r="AX17" t="str">
        <f>'Output Interpolation'!AL13</f>
        <v>SO2</v>
      </c>
      <c r="AY17" t="str">
        <f>'Output Interpolation'!AM13</f>
        <v>NH3</v>
      </c>
      <c r="AZ17" t="str">
        <f>'Output Interpolation'!AP13</f>
        <v>POP</v>
      </c>
      <c r="BA17" t="str">
        <f>'Output Interpolation'!AQ13</f>
        <v>VMT</v>
      </c>
    </row>
    <row r="18" spans="1:53">
      <c r="A18">
        <v>2034</v>
      </c>
      <c r="B18" s="32" t="s">
        <v>109</v>
      </c>
      <c r="C18">
        <f t="shared" ref="C18:K18" si="33">C14+(C19-C14)/5*4</f>
        <v>3390731437.9500017</v>
      </c>
      <c r="D18" s="3">
        <f t="shared" si="33"/>
        <v>23858520035448.457</v>
      </c>
      <c r="E18" s="3">
        <f t="shared" si="33"/>
        <v>312564763.36110693</v>
      </c>
      <c r="F18" s="3">
        <f t="shared" si="33"/>
        <v>533978853.11219764</v>
      </c>
      <c r="G18">
        <f t="shared" si="33"/>
        <v>8464687819.9906645</v>
      </c>
      <c r="H18" s="3">
        <f t="shared" si="33"/>
        <v>455372912.59013069</v>
      </c>
      <c r="I18">
        <f t="shared" si="33"/>
        <v>1698531190.158653</v>
      </c>
      <c r="J18">
        <f t="shared" si="33"/>
        <v>6661111.2841404295</v>
      </c>
      <c r="K18" s="81">
        <f t="shared" si="33"/>
        <v>80441577252.913635</v>
      </c>
      <c r="L18" s="222">
        <f t="shared" ref="L18:N18" si="34">L14+(L19-L14)/5*4</f>
        <v>23734329436408.961</v>
      </c>
      <c r="M18" s="203">
        <f t="shared" si="34"/>
        <v>829130291.54693079</v>
      </c>
      <c r="N18" s="203">
        <f t="shared" si="34"/>
        <v>347189066.27793097</v>
      </c>
      <c r="P18">
        <v>2025</v>
      </c>
      <c r="Q18">
        <v>20</v>
      </c>
      <c r="R18" s="3">
        <f t="shared" ref="R18:U20" si="35">R13-AO18*(R7-R23)</f>
        <v>2888861850.2356791</v>
      </c>
      <c r="S18" s="3">
        <f t="shared" si="35"/>
        <v>495983317.82780194</v>
      </c>
      <c r="T18" s="3">
        <f t="shared" si="35"/>
        <v>161015332.16940728</v>
      </c>
      <c r="U18" s="3">
        <f t="shared" si="35"/>
        <v>11050207677648.863</v>
      </c>
      <c r="V18" s="3">
        <f>AJ18</f>
        <v>11110589829581.041</v>
      </c>
      <c r="W18" s="3">
        <f t="shared" ref="W18:X20" si="36">W13-AS18*(W7-W23)</f>
        <v>137582405.86570483</v>
      </c>
      <c r="X18" s="3">
        <f t="shared" si="36"/>
        <v>112529986.1809282</v>
      </c>
      <c r="Y18" s="42">
        <f t="shared" ref="Y18:Z20" si="37">IF(Y7&lt;Y23,Y7+AU18*(Y23-Y7),Y7+AU18*(Y7-Y23))</f>
        <v>97545177.832951605</v>
      </c>
      <c r="Z18" s="42">
        <f t="shared" si="37"/>
        <v>48761436.182861343</v>
      </c>
      <c r="AA18" s="3">
        <f>X18+Y18+Z18</f>
        <v>258836600.19674116</v>
      </c>
      <c r="AB18" s="3">
        <f>AB13-AW18*(AB7-AB23)</f>
        <v>5804042491.4556036</v>
      </c>
      <c r="AC18" s="3">
        <f t="shared" ref="AC18:AD18" si="38">AC13-AX18*(AC7-AC23)</f>
        <v>202273785.45104924</v>
      </c>
      <c r="AD18" s="3">
        <f t="shared" si="38"/>
        <v>856995736.94098353</v>
      </c>
      <c r="AE18" s="42">
        <f>IF(AE7&lt;AE23,AE7+AZ18*(AE23-AE7),AE7+AZ18*(AE7-AE23))</f>
        <v>3247602.260427475</v>
      </c>
      <c r="AF18" s="42">
        <f>IF(AF7&lt;AF23,AF7+BA18*(AF23-AF7),AF7+BA18*(AF7-AF23))</f>
        <v>38012720142.525383</v>
      </c>
      <c r="AH18">
        <v>25</v>
      </c>
      <c r="AI18">
        <v>298</v>
      </c>
      <c r="AJ18">
        <f>U18+(S18*AH18)+(T18*AI18)</f>
        <v>11110589829581.041</v>
      </c>
      <c r="AM18">
        <f>'Output Interpolation'!AC14</f>
        <v>2025</v>
      </c>
      <c r="AN18">
        <f>'Output Interpolation'!AD14</f>
        <v>20</v>
      </c>
      <c r="AO18">
        <f>'Output Interpolation'!AE14</f>
        <v>0.35837785678860018</v>
      </c>
      <c r="AP18">
        <f>'Output Interpolation'!AF14</f>
        <v>0.29402255324937837</v>
      </c>
      <c r="AQ18">
        <f>'Output Interpolation'!AG14</f>
        <v>0.39133818658852604</v>
      </c>
      <c r="AR18">
        <f>'Output Interpolation'!AH14</f>
        <v>0.41585759041394532</v>
      </c>
      <c r="AS18">
        <f>'Output Interpolation'!AI14</f>
        <v>0.11422137953220336</v>
      </c>
      <c r="AT18">
        <f>'Output Interpolation'!AJ14</f>
        <v>0.30196604567690211</v>
      </c>
      <c r="AU18">
        <f>'Output Interpolation'!AN14</f>
        <v>0.61538461538461542</v>
      </c>
      <c r="AV18">
        <f>'Output Interpolation'!AO14</f>
        <v>0.61538461538461542</v>
      </c>
      <c r="AW18">
        <f>'Output Interpolation'!AK14</f>
        <v>0.30499292788070825</v>
      </c>
      <c r="AX18">
        <f>'Output Interpolation'!AL14</f>
        <v>4.5613968397454657E-2</v>
      </c>
      <c r="AY18">
        <f>'Output Interpolation'!AM14</f>
        <v>0.2100382573073418</v>
      </c>
      <c r="AZ18">
        <f>'Output Interpolation'!AP14</f>
        <v>0.61538461538461542</v>
      </c>
      <c r="BA18">
        <f>'Output Interpolation'!AQ14</f>
        <v>0.61538461538461542</v>
      </c>
    </row>
    <row r="19" spans="1:53">
      <c r="A19">
        <v>2035</v>
      </c>
      <c r="B19" s="32" t="s">
        <v>109</v>
      </c>
      <c r="C19" s="3">
        <f>R31</f>
        <v>3037347689.5786171</v>
      </c>
      <c r="D19" s="3">
        <f>V31</f>
        <v>23693685463828.102</v>
      </c>
      <c r="E19" s="3">
        <f>W31</f>
        <v>310395510.72175413</v>
      </c>
      <c r="F19" s="3">
        <f t="shared" ref="F19:K19" si="39">AA31</f>
        <v>524574310.87648559</v>
      </c>
      <c r="G19" s="3">
        <f t="shared" si="39"/>
        <v>8287782564.0312986</v>
      </c>
      <c r="H19" s="3">
        <f t="shared" si="39"/>
        <v>455300593.83541107</v>
      </c>
      <c r="I19" s="3">
        <f t="shared" si="39"/>
        <v>1692657783.5840585</v>
      </c>
      <c r="J19" s="3">
        <f t="shared" si="39"/>
        <v>6673819.8921438036</v>
      </c>
      <c r="K19" s="34">
        <f t="shared" si="39"/>
        <v>80815491734.350052</v>
      </c>
      <c r="L19" s="222">
        <f>U31</f>
        <v>23571184023879.199</v>
      </c>
      <c r="M19" s="203">
        <f>S31</f>
        <v>801814093.64386857</v>
      </c>
      <c r="N19" s="203">
        <f>T31</f>
        <v>343812374.52282876</v>
      </c>
      <c r="P19">
        <v>2025</v>
      </c>
      <c r="Q19">
        <v>30</v>
      </c>
      <c r="R19" s="3">
        <f t="shared" si="35"/>
        <v>3536329171.8868446</v>
      </c>
      <c r="S19" s="3">
        <f t="shared" si="35"/>
        <v>482933064.13717031</v>
      </c>
      <c r="T19" s="3">
        <f t="shared" si="35"/>
        <v>206621913.02718583</v>
      </c>
      <c r="U19" s="3">
        <f t="shared" si="35"/>
        <v>13311776623384.961</v>
      </c>
      <c r="V19" s="3">
        <f t="shared" ref="V19:V21" si="40">AJ19</f>
        <v>13385423280070.492</v>
      </c>
      <c r="W19" s="3">
        <f t="shared" si="36"/>
        <v>165544473.45858601</v>
      </c>
      <c r="X19" s="3">
        <f t="shared" si="36"/>
        <v>131586649.61375009</v>
      </c>
      <c r="Y19" s="42">
        <f t="shared" si="37"/>
        <v>100527895.70414254</v>
      </c>
      <c r="Z19" s="42">
        <f t="shared" si="37"/>
        <v>45531814.217671327</v>
      </c>
      <c r="AA19" s="3">
        <f t="shared" ref="AA19:AA21" si="41">X19+Y19+Z19</f>
        <v>277646359.53556395</v>
      </c>
      <c r="AB19" s="3">
        <f>AB14-AW19*(AB8-AB24)</f>
        <v>4727526153.6472244</v>
      </c>
      <c r="AC19" s="3">
        <f t="shared" ref="AC19:AD19" si="42">AC14-AX19*(AC8-AC24)</f>
        <v>240085766.94616073</v>
      </c>
      <c r="AD19" s="3">
        <f t="shared" si="42"/>
        <v>810064765.62869823</v>
      </c>
      <c r="AE19" s="42">
        <f>IF(AE8&lt;AE24,AE8+AZ19*(AE24-AE8),AE8+AZ19*(AE8-AE24))</f>
        <v>3047829.4918574151</v>
      </c>
      <c r="AF19" s="42">
        <f>IF(AF8&lt;AF24,AF8+BA19*(AF24-AF8),AF8+BA19*(AF8-AF24))</f>
        <v>35609724748.966461</v>
      </c>
      <c r="AG19">
        <f>AE18/(AE18+AE19)</f>
        <v>0.51586648671852842</v>
      </c>
      <c r="AH19">
        <v>25</v>
      </c>
      <c r="AI19">
        <v>298</v>
      </c>
      <c r="AJ19">
        <f>U19+(S19*AH19)+(T19*AI19)</f>
        <v>13385423280070.492</v>
      </c>
      <c r="AM19">
        <f>'Output Interpolation'!AC15</f>
        <v>2025</v>
      </c>
      <c r="AN19">
        <f>'Output Interpolation'!AD15</f>
        <v>30</v>
      </c>
      <c r="AO19">
        <f>'Output Interpolation'!AE15</f>
        <v>0.33211953080206114</v>
      </c>
      <c r="AP19">
        <f>'Output Interpolation'!AF15</f>
        <v>0.28366466561326259</v>
      </c>
      <c r="AQ19">
        <f>'Output Interpolation'!AG15</f>
        <v>0.37997583099551668</v>
      </c>
      <c r="AR19">
        <f>'Output Interpolation'!AH15</f>
        <v>0.40425298813129906</v>
      </c>
      <c r="AS19">
        <f>'Output Interpolation'!AI15</f>
        <v>8.8323681979127988E-2</v>
      </c>
      <c r="AT19">
        <f>'Output Interpolation'!AJ15</f>
        <v>0.36597590392362872</v>
      </c>
      <c r="AU19">
        <f>'Output Interpolation'!AN15</f>
        <v>0.61538461538461542</v>
      </c>
      <c r="AV19">
        <f>'Output Interpolation'!AO15</f>
        <v>0.61538461538461542</v>
      </c>
      <c r="AW19">
        <f>'Output Interpolation'!AK15</f>
        <v>0.32058433533032937</v>
      </c>
      <c r="AX19">
        <f>'Output Interpolation'!AL15</f>
        <v>4.2538688244016999E-2</v>
      </c>
      <c r="AY19">
        <f>'Output Interpolation'!AM15</f>
        <v>0.28170808249574913</v>
      </c>
      <c r="AZ19">
        <f>'Output Interpolation'!AP15</f>
        <v>0.61538461538461542</v>
      </c>
      <c r="BA19">
        <f>'Output Interpolation'!AQ15</f>
        <v>0.61538461538461542</v>
      </c>
    </row>
    <row r="20" spans="1:53">
      <c r="A20">
        <v>2036</v>
      </c>
      <c r="B20" s="32" t="s">
        <v>109</v>
      </c>
      <c r="C20">
        <f t="shared" ref="C20:K20" si="43">C19+(C24-C19)/5</f>
        <v>2990913014.2308626</v>
      </c>
      <c r="D20" s="3">
        <f t="shared" si="43"/>
        <v>23720861368945.434</v>
      </c>
      <c r="E20" s="3">
        <f t="shared" si="43"/>
        <v>310737968.7658385</v>
      </c>
      <c r="F20" s="3">
        <f t="shared" si="43"/>
        <v>519172233.06656128</v>
      </c>
      <c r="G20">
        <f t="shared" si="43"/>
        <v>8129893849.7656651</v>
      </c>
      <c r="H20" s="3">
        <f t="shared" si="43"/>
        <v>456157328.63693243</v>
      </c>
      <c r="I20">
        <f t="shared" si="43"/>
        <v>1714031346.7461531</v>
      </c>
      <c r="J20">
        <f t="shared" si="43"/>
        <v>6687791.6351415543</v>
      </c>
      <c r="K20" s="81">
        <f t="shared" si="43"/>
        <v>81374099411.014908</v>
      </c>
      <c r="L20" s="222">
        <f t="shared" ref="L20:N20" si="44">L19+(L24-L19)/5</f>
        <v>23598059677304.961</v>
      </c>
      <c r="M20" s="203">
        <f t="shared" si="44"/>
        <v>794801388.6959542</v>
      </c>
      <c r="N20" s="203">
        <f t="shared" si="44"/>
        <v>345408244.70830202</v>
      </c>
      <c r="P20">
        <v>2025</v>
      </c>
      <c r="Q20">
        <v>41</v>
      </c>
      <c r="R20" s="3">
        <f t="shared" si="35"/>
        <v>2318617286.537302</v>
      </c>
      <c r="S20" s="3">
        <f t="shared" si="35"/>
        <v>122372738.77310197</v>
      </c>
      <c r="T20" s="3">
        <f t="shared" si="35"/>
        <v>31857293.534531653</v>
      </c>
      <c r="U20" s="3">
        <f t="shared" si="35"/>
        <v>1967697455299.7742</v>
      </c>
      <c r="V20" s="3">
        <f t="shared" si="40"/>
        <v>1980250247242.3923</v>
      </c>
      <c r="W20" s="3">
        <f t="shared" si="36"/>
        <v>24277841.165698767</v>
      </c>
      <c r="X20" s="3">
        <f t="shared" si="36"/>
        <v>65358158.288348958</v>
      </c>
      <c r="Y20" s="42">
        <f t="shared" si="37"/>
        <v>9011714.5832331739</v>
      </c>
      <c r="Z20" s="42">
        <f t="shared" si="37"/>
        <v>5259288.049278846</v>
      </c>
      <c r="AA20" s="3">
        <f t="shared" si="41"/>
        <v>79629160.920860976</v>
      </c>
      <c r="AB20" s="3">
        <f>AB15-AW20*(AB9-AB25)</f>
        <v>763719622.32846761</v>
      </c>
      <c r="AC20" s="3">
        <f t="shared" ref="AC20:AD20" si="45">AC15-AX20*(AC9-AC25)</f>
        <v>18759560.665243302</v>
      </c>
      <c r="AD20" s="3">
        <f t="shared" si="45"/>
        <v>105532367.27103569</v>
      </c>
      <c r="AE20" s="42">
        <f>IF(AE9&lt;AE25,AE9+AZ20*(AE25-AE9),AE9-AZ20*(AE9-AE25))</f>
        <v>249658.58922714656</v>
      </c>
      <c r="AF20" s="42">
        <f>IF(AF9&lt;AF25,AF9+BA20*(AF25-AF9),AF9-BA20*(AF9-AF25))</f>
        <v>2974451108.3076925</v>
      </c>
      <c r="AH20">
        <v>25</v>
      </c>
      <c r="AI20">
        <v>298</v>
      </c>
      <c r="AJ20">
        <f>U20+(S20*AH20)+(T20*AI20)</f>
        <v>1980250247242.3923</v>
      </c>
      <c r="AM20">
        <f>'Output Interpolation'!AC16</f>
        <v>2025</v>
      </c>
      <c r="AN20">
        <f>'Output Interpolation'!AD16</f>
        <v>41</v>
      </c>
      <c r="AO20">
        <f>'Output Interpolation'!AE16</f>
        <v>0.35331829369536316</v>
      </c>
      <c r="AP20">
        <f>'Output Interpolation'!AF16</f>
        <v>0.3194525743586506</v>
      </c>
      <c r="AQ20">
        <f>'Output Interpolation'!AG16</f>
        <v>0.41894361569904737</v>
      </c>
      <c r="AR20">
        <f>'Output Interpolation'!AH16</f>
        <v>0.41463358382408388</v>
      </c>
      <c r="AS20">
        <f>'Output Interpolation'!AI16</f>
        <v>6.500532689473959E-2</v>
      </c>
      <c r="AT20">
        <f>'Output Interpolation'!AJ16</f>
        <v>0.38395702210137206</v>
      </c>
      <c r="AU20">
        <f>'Output Interpolation'!AN16</f>
        <v>0.61538461538461542</v>
      </c>
      <c r="AV20">
        <f>'Output Interpolation'!AO16</f>
        <v>0.61538461538461542</v>
      </c>
      <c r="AW20">
        <f>'Output Interpolation'!AK16</f>
        <v>0.35202529835859897</v>
      </c>
      <c r="AX20">
        <f>'Output Interpolation'!AL16</f>
        <v>6.7868829019153115E-2</v>
      </c>
      <c r="AY20">
        <f>'Output Interpolation'!AM16</f>
        <v>0.43944905528939221</v>
      </c>
      <c r="AZ20">
        <f>'Output Interpolation'!AP16</f>
        <v>0.61538461538461542</v>
      </c>
      <c r="BA20">
        <f>'Output Interpolation'!AQ16</f>
        <v>0.61538461538461542</v>
      </c>
    </row>
    <row r="21" spans="1:53">
      <c r="A21">
        <v>2037</v>
      </c>
      <c r="B21" s="32" t="s">
        <v>109</v>
      </c>
      <c r="C21">
        <f t="shared" ref="C21:K21" si="46">C19+(C24-C19)/5*2</f>
        <v>2944478338.8831077</v>
      </c>
      <c r="D21" s="3">
        <f t="shared" si="46"/>
        <v>23748037274062.766</v>
      </c>
      <c r="E21" s="3">
        <f t="shared" si="46"/>
        <v>311080426.80992287</v>
      </c>
      <c r="F21" s="3">
        <f t="shared" si="46"/>
        <v>513770155.25663698</v>
      </c>
      <c r="G21">
        <f t="shared" si="46"/>
        <v>7972005135.5000315</v>
      </c>
      <c r="H21" s="3">
        <f t="shared" si="46"/>
        <v>457014063.43845385</v>
      </c>
      <c r="I21">
        <f t="shared" si="46"/>
        <v>1735404909.9082475</v>
      </c>
      <c r="J21">
        <f t="shared" si="46"/>
        <v>6701763.3781393049</v>
      </c>
      <c r="K21" s="81">
        <f t="shared" si="46"/>
        <v>81932707087.679749</v>
      </c>
      <c r="L21" s="222">
        <f t="shared" ref="L21:N21" si="47">L19+(L24-L19)/5*2</f>
        <v>23624935330730.719</v>
      </c>
      <c r="M21" s="203">
        <f t="shared" si="47"/>
        <v>787788683.74803996</v>
      </c>
      <c r="N21" s="203">
        <f t="shared" si="47"/>
        <v>347004114.89377522</v>
      </c>
      <c r="P21">
        <v>2025</v>
      </c>
      <c r="Q21" s="8" t="s">
        <v>109</v>
      </c>
      <c r="R21" s="3">
        <f t="shared" ref="R21:Z21" si="48">SUM(R18:R20)</f>
        <v>8743808308.6598263</v>
      </c>
      <c r="S21" s="3">
        <f t="shared" si="48"/>
        <v>1101289120.7380743</v>
      </c>
      <c r="T21" s="3">
        <f t="shared" si="48"/>
        <v>399494538.73112476</v>
      </c>
      <c r="U21" s="3">
        <f t="shared" si="48"/>
        <v>26329681756333.598</v>
      </c>
      <c r="V21" s="3">
        <f t="shared" si="40"/>
        <v>26476263356893.922</v>
      </c>
      <c r="W21" s="3">
        <f t="shared" si="48"/>
        <v>327404720.48998964</v>
      </c>
      <c r="X21" s="3">
        <f t="shared" si="48"/>
        <v>309474794.08302724</v>
      </c>
      <c r="Y21" s="3">
        <f t="shared" si="48"/>
        <v>207084788.12032732</v>
      </c>
      <c r="Z21" s="3">
        <f t="shared" si="48"/>
        <v>99552538.449811503</v>
      </c>
      <c r="AA21" s="3">
        <f t="shared" si="41"/>
        <v>616112120.65316606</v>
      </c>
      <c r="AB21" s="3">
        <f t="shared" ref="AB21:AD21" si="49">SUM(AB18:AB20)</f>
        <v>11295288267.431297</v>
      </c>
      <c r="AC21" s="3">
        <f t="shared" si="49"/>
        <v>461119113.06245333</v>
      </c>
      <c r="AD21" s="3">
        <f t="shared" si="49"/>
        <v>1772592869.8407173</v>
      </c>
      <c r="AE21" s="3">
        <f>SUM(AE18:AE20)</f>
        <v>6545090.3415120365</v>
      </c>
      <c r="AF21" s="3">
        <f>SUM(AF18:AF20)</f>
        <v>76596895999.799545</v>
      </c>
      <c r="AJ21">
        <f>SUM(AJ18:AJ20)</f>
        <v>26476263356893.922</v>
      </c>
    </row>
    <row r="22" spans="1:53">
      <c r="A22">
        <v>2038</v>
      </c>
      <c r="B22" s="32" t="s">
        <v>109</v>
      </c>
      <c r="C22">
        <f t="shared" ref="C22:K22" si="50">C19+(C24-C19)/5*3</f>
        <v>2898043663.5353532</v>
      </c>
      <c r="D22" s="3">
        <f t="shared" si="50"/>
        <v>23775213179180.102</v>
      </c>
      <c r="E22" s="3">
        <f t="shared" si="50"/>
        <v>311422884.85400724</v>
      </c>
      <c r="F22" s="3">
        <f t="shared" si="50"/>
        <v>508368077.44671261</v>
      </c>
      <c r="G22">
        <f t="shared" si="50"/>
        <v>7814116421.2343969</v>
      </c>
      <c r="H22" s="3">
        <f t="shared" si="50"/>
        <v>457870798.23997521</v>
      </c>
      <c r="I22">
        <f t="shared" si="50"/>
        <v>1756778473.0703421</v>
      </c>
      <c r="J22">
        <f t="shared" si="50"/>
        <v>6715735.1211370546</v>
      </c>
      <c r="K22" s="81">
        <f t="shared" si="50"/>
        <v>82491314764.344604</v>
      </c>
      <c r="L22" s="222">
        <f t="shared" ref="L22:N22" si="51">L19+(L24-L19)/5*3</f>
        <v>23651810984156.48</v>
      </c>
      <c r="M22" s="203">
        <f t="shared" si="51"/>
        <v>780775978.8001256</v>
      </c>
      <c r="N22" s="203">
        <f t="shared" si="51"/>
        <v>348599985.07924849</v>
      </c>
      <c r="R22" s="3"/>
      <c r="S22" s="3"/>
      <c r="T22" s="3"/>
      <c r="U22" s="3"/>
      <c r="V22" s="3"/>
      <c r="W22" s="3"/>
      <c r="X22" s="3"/>
      <c r="Y22" s="3"/>
      <c r="Z22" s="3"/>
      <c r="AA22" s="3"/>
      <c r="AB22" s="3"/>
      <c r="AC22" s="3"/>
      <c r="AD22" s="3"/>
      <c r="AE22" s="3"/>
      <c r="AF22" s="3"/>
    </row>
    <row r="23" spans="1:53">
      <c r="A23">
        <v>2039</v>
      </c>
      <c r="B23" s="32" t="s">
        <v>109</v>
      </c>
      <c r="C23">
        <f t="shared" ref="C23:K23" si="52">C19+(C24-C19)/5*4</f>
        <v>2851608988.1875982</v>
      </c>
      <c r="D23" s="3">
        <f t="shared" si="52"/>
        <v>23802389084297.434</v>
      </c>
      <c r="E23" s="3">
        <f t="shared" si="52"/>
        <v>311765342.89809161</v>
      </c>
      <c r="F23" s="3">
        <f t="shared" si="52"/>
        <v>502965999.63678831</v>
      </c>
      <c r="G23">
        <f t="shared" si="52"/>
        <v>7656227706.9687634</v>
      </c>
      <c r="H23" s="3">
        <f t="shared" si="52"/>
        <v>458727533.04149663</v>
      </c>
      <c r="I23">
        <f t="shared" si="52"/>
        <v>1778152036.2324364</v>
      </c>
      <c r="J23">
        <f t="shared" si="52"/>
        <v>6729706.8641348053</v>
      </c>
      <c r="K23" s="81">
        <f t="shared" si="52"/>
        <v>83049922441.009445</v>
      </c>
      <c r="L23" s="222">
        <f t="shared" ref="L23:N23" si="53">L19+(L24-L19)/5*4</f>
        <v>23678686637582.238</v>
      </c>
      <c r="M23" s="203">
        <f t="shared" si="53"/>
        <v>773763273.85221136</v>
      </c>
      <c r="N23" s="203">
        <f t="shared" si="53"/>
        <v>350195855.26472169</v>
      </c>
      <c r="P23" s="17">
        <f>'County Scale Output 2017-2040'!A9</f>
        <v>2030</v>
      </c>
      <c r="Q23" s="37">
        <f>'County Scale Output 2017-2040'!B9</f>
        <v>20</v>
      </c>
      <c r="R23" s="39">
        <f>'County Scale Output 2017-2040'!C9</f>
        <v>1689487218.73242</v>
      </c>
      <c r="S23" s="39">
        <f>'County Scale Output 2017-2040'!D9</f>
        <v>428273729.76074201</v>
      </c>
      <c r="T23" s="39">
        <f>'County Scale Output 2017-2040'!E9</f>
        <v>150058810.286621</v>
      </c>
      <c r="U23" s="39">
        <f>'County Scale Output 2017-2040'!F9</f>
        <v>10191803087296</v>
      </c>
      <c r="V23" s="39">
        <f>AJ23</f>
        <v>10247227456005.43</v>
      </c>
      <c r="W23" s="39">
        <f>'County Scale Output 2017-2040'!G9</f>
        <v>134454286.858643</v>
      </c>
      <c r="X23" s="39">
        <f>'County Scale Output 2017-2040'!H9</f>
        <v>109838847.258423</v>
      </c>
      <c r="Y23" s="39">
        <f>'County Scale Output 2017-2040'!I9</f>
        <v>101302963.882416</v>
      </c>
      <c r="Z23" s="39">
        <f>'County Scale Output 2017-2040'!J9</f>
        <v>50517324.990387</v>
      </c>
      <c r="AA23" s="39">
        <f>X23+Y23+Z23</f>
        <v>261659136.13122597</v>
      </c>
      <c r="AB23" s="39">
        <f>'County Scale Output 2017-2040'!K9</f>
        <v>4782757534.4843798</v>
      </c>
      <c r="AC23" s="39">
        <f>'County Scale Output 2017-2040'!L9</f>
        <v>199954297.99475101</v>
      </c>
      <c r="AD23" s="39">
        <f>'County Scale Output 2017-2040'!M9</f>
        <v>829090044.73828101</v>
      </c>
      <c r="AE23" s="39">
        <f>'County Scale Output 2017-2040'!N9</f>
        <v>3279947.094215272</v>
      </c>
      <c r="AF23" s="40">
        <f>'County Scale Output 2017-2040'!O9</f>
        <v>39320234966.909996</v>
      </c>
      <c r="AH23">
        <v>25</v>
      </c>
      <c r="AI23">
        <v>298</v>
      </c>
      <c r="AJ23">
        <f>U23+(S23*AH23)+(T23*AI23)</f>
        <v>10247227456005.43</v>
      </c>
    </row>
    <row r="24" spans="1:53">
      <c r="A24" s="65">
        <v>2040</v>
      </c>
      <c r="B24" s="132" t="s">
        <v>109</v>
      </c>
      <c r="C24" s="31">
        <f>R36</f>
        <v>2805174312.8398438</v>
      </c>
      <c r="D24" s="31">
        <f>V36</f>
        <v>23829564989414.766</v>
      </c>
      <c r="E24" s="31">
        <f>W36</f>
        <v>312107800.94217598</v>
      </c>
      <c r="F24" s="31">
        <f t="shared" ref="F24:K24" si="54">AA36</f>
        <v>497563921.826864</v>
      </c>
      <c r="G24" s="31">
        <f t="shared" si="54"/>
        <v>7498338992.7031298</v>
      </c>
      <c r="H24" s="31">
        <f t="shared" si="54"/>
        <v>459584267.843018</v>
      </c>
      <c r="I24" s="31">
        <f t="shared" si="54"/>
        <v>1799525599.394531</v>
      </c>
      <c r="J24" s="31">
        <f t="shared" si="54"/>
        <v>6743678.6071325559</v>
      </c>
      <c r="K24" s="35">
        <f t="shared" si="54"/>
        <v>83608530117.674301</v>
      </c>
      <c r="L24" s="203">
        <f>U36</f>
        <v>23705562291008</v>
      </c>
      <c r="M24" s="203">
        <f>S36</f>
        <v>766750568.90429699</v>
      </c>
      <c r="N24" s="203">
        <f>T36</f>
        <v>351791725.45019495</v>
      </c>
      <c r="P24" s="18">
        <f>'County Scale Output 2017-2040'!A10</f>
        <v>2030</v>
      </c>
      <c r="Q24">
        <f>'County Scale Output 2017-2040'!B10</f>
        <v>30</v>
      </c>
      <c r="R24" s="3">
        <f>'County Scale Output 2017-2040'!C10</f>
        <v>1879162818.70312</v>
      </c>
      <c r="S24" s="3">
        <f>'County Scale Output 2017-2040'!D10</f>
        <v>412075679.14843798</v>
      </c>
      <c r="T24" s="3">
        <f>'County Scale Output 2017-2040'!E10</f>
        <v>187742578.79296899</v>
      </c>
      <c r="U24" s="3">
        <f>'County Scale Output 2017-2040'!F10</f>
        <v>12345575550464</v>
      </c>
      <c r="V24" s="3">
        <f t="shared" ref="V24:V26" si="55">AJ24</f>
        <v>12411824730923.016</v>
      </c>
      <c r="W24" s="3">
        <f>'County Scale Output 2017-2040'!G10</f>
        <v>162755595.62237501</v>
      </c>
      <c r="X24" s="3">
        <f>'County Scale Output 2017-2040'!H10</f>
        <v>124247938.35839801</v>
      </c>
      <c r="Y24" s="3">
        <f>'County Scale Output 2017-2040'!I10</f>
        <v>103135433.810829</v>
      </c>
      <c r="Z24" s="3">
        <f>'County Scale Output 2017-2040'!J10</f>
        <v>46684992.449905403</v>
      </c>
      <c r="AA24" s="3">
        <f t="shared" ref="AA24:AA26" si="56">X24+Y24+Z24</f>
        <v>274068364.6191324</v>
      </c>
      <c r="AB24" s="3">
        <f>'County Scale Output 2017-2040'!K10</f>
        <v>3973501021.34375</v>
      </c>
      <c r="AC24" s="3">
        <f>'County Scale Output 2017-2040'!L10</f>
        <v>237496143.86425799</v>
      </c>
      <c r="AD24" s="3">
        <f>'County Scale Output 2017-2040'!M10</f>
        <v>791607493.96875</v>
      </c>
      <c r="AE24" s="3">
        <f>'County Scale Output 2017-2040'!N10</f>
        <v>3078184.6678987993</v>
      </c>
      <c r="AF24" s="34">
        <f>'County Scale Output 2017-2040'!O10</f>
        <v>36498264684.258003</v>
      </c>
      <c r="AG24">
        <f>AE23/(AE23+AE24)</f>
        <v>0.51586648671852842</v>
      </c>
      <c r="AH24">
        <v>25</v>
      </c>
      <c r="AI24">
        <v>298</v>
      </c>
      <c r="AJ24">
        <f>U24+(S24*AH24)+(T24*AI24)</f>
        <v>12411824730923.016</v>
      </c>
    </row>
    <row r="25" spans="1:53">
      <c r="A25">
        <v>2041</v>
      </c>
      <c r="B25" s="32" t="s">
        <v>109</v>
      </c>
      <c r="C25">
        <f t="shared" ref="C25:I25" si="57">C24+(C29-C24)/5</f>
        <v>2740500251.026165</v>
      </c>
      <c r="D25" s="3">
        <f t="shared" si="57"/>
        <v>23881080349784.957</v>
      </c>
      <c r="E25" s="3">
        <f t="shared" si="57"/>
        <v>312773724.65919727</v>
      </c>
      <c r="F25" s="3">
        <f t="shared" si="57"/>
        <v>499177928.34421259</v>
      </c>
      <c r="G25" s="3">
        <f t="shared" si="57"/>
        <v>7447604886.2147837</v>
      </c>
      <c r="H25" s="3">
        <f t="shared" si="57"/>
        <v>460902185.20412743</v>
      </c>
      <c r="I25" s="3">
        <f t="shared" si="57"/>
        <v>1812672626.4820676</v>
      </c>
      <c r="J25" s="3">
        <f t="shared" ref="J25:K25" si="58">J24+(J29-J24)/5</f>
        <v>6757220.0217824774</v>
      </c>
      <c r="K25" s="3">
        <f t="shared" si="58"/>
        <v>84213648795.620956</v>
      </c>
      <c r="L25" s="3">
        <f t="shared" ref="L25:M25" si="59">L24+(L29-L24)/5</f>
        <v>23756858156473.652</v>
      </c>
      <c r="M25" s="3">
        <f t="shared" si="59"/>
        <v>760313277.54963434</v>
      </c>
      <c r="N25" s="3">
        <f t="shared" ref="N25" si="60">N24+(N29-N24)/5</f>
        <v>352942720.28969419</v>
      </c>
      <c r="P25" s="18">
        <f>'County Scale Output 2017-2040'!A11</f>
        <v>2030</v>
      </c>
      <c r="Q25" s="8">
        <v>41</v>
      </c>
      <c r="R25" s="3">
        <f>'County Scale Output 2017-2040'!C11</f>
        <v>1235616394</v>
      </c>
      <c r="S25" s="3">
        <f>'County Scale Output 2017-2040'!D11</f>
        <v>98045674.25</v>
      </c>
      <c r="T25" s="3">
        <f>'County Scale Output 2017-2040'!E11</f>
        <v>22894444.21875</v>
      </c>
      <c r="U25" s="3">
        <f>'County Scale Output 2017-2040'!F11</f>
        <v>1849532448768</v>
      </c>
      <c r="V25" s="3">
        <f t="shared" si="55"/>
        <v>1858806135001.4375</v>
      </c>
      <c r="W25" s="3">
        <f>'County Scale Output 2017-2040'!G11</f>
        <v>24031891.4375</v>
      </c>
      <c r="X25" s="3">
        <f>'County Scale Output 2017-2040'!H11</f>
        <v>20720329.96875</v>
      </c>
      <c r="Y25" s="3">
        <f>'County Scale Output 2017-2040'!I11</f>
        <v>9616170.27734375</v>
      </c>
      <c r="Z25" s="3">
        <f>'County Scale Output 2017-2040'!J11</f>
        <v>5533021.05859375</v>
      </c>
      <c r="AA25" s="3">
        <f t="shared" si="56"/>
        <v>35869521.3046875</v>
      </c>
      <c r="AB25" s="3">
        <f>'County Scale Output 2017-2040'!K11</f>
        <v>416050288</v>
      </c>
      <c r="AC25" s="3">
        <f>'County Scale Output 2017-2040'!L11</f>
        <v>18211745.75</v>
      </c>
      <c r="AD25" s="3">
        <f>'County Scale Output 2017-2040'!M11</f>
        <v>101327277.75</v>
      </c>
      <c r="AE25" s="3">
        <f>'County Scale Output 2017-2040'!N11</f>
        <v>252145.09001286316</v>
      </c>
      <c r="AF25" s="34">
        <f>'County Scale Output 2017-2040'!O11</f>
        <v>3127419676</v>
      </c>
      <c r="AH25">
        <v>25</v>
      </c>
      <c r="AI25">
        <v>298</v>
      </c>
      <c r="AJ25">
        <f>U25+(S25*AH25)+(T25*AI25)</f>
        <v>1858806135001.4375</v>
      </c>
    </row>
    <row r="26" spans="1:53">
      <c r="A26">
        <v>2042</v>
      </c>
      <c r="B26" s="32" t="s">
        <v>109</v>
      </c>
      <c r="C26">
        <f t="shared" ref="C26:I26" si="61">C24+(C29-C24)/5*2</f>
        <v>2675826189.2124863</v>
      </c>
      <c r="D26" s="3">
        <f t="shared" si="61"/>
        <v>23932595710155.148</v>
      </c>
      <c r="E26" s="3">
        <f t="shared" si="61"/>
        <v>313439648.37621862</v>
      </c>
      <c r="F26" s="3">
        <f t="shared" si="61"/>
        <v>500791934.86156118</v>
      </c>
      <c r="G26" s="3">
        <f t="shared" si="61"/>
        <v>7396870779.7264376</v>
      </c>
      <c r="H26" s="3">
        <f t="shared" si="61"/>
        <v>462220102.56523693</v>
      </c>
      <c r="I26" s="3">
        <f t="shared" si="61"/>
        <v>1825819653.5696042</v>
      </c>
      <c r="J26" s="3">
        <f t="shared" ref="J26:K26" si="62">J24+(J29-J24)/5*2</f>
        <v>6770761.4364323998</v>
      </c>
      <c r="K26" s="3">
        <f t="shared" si="62"/>
        <v>84818767473.567627</v>
      </c>
      <c r="L26" s="3">
        <f t="shared" ref="L26:M26" si="63">L24+(L29-L24)/5*2</f>
        <v>23808154021939.305</v>
      </c>
      <c r="M26" s="3">
        <f t="shared" si="63"/>
        <v>753875986.19497168</v>
      </c>
      <c r="N26" s="3">
        <f t="shared" ref="N26" si="64">N24+(N29-N24)/5*2</f>
        <v>354093715.12919348</v>
      </c>
      <c r="P26" s="19">
        <v>2030</v>
      </c>
      <c r="Q26" s="66" t="s">
        <v>109</v>
      </c>
      <c r="R26" s="31">
        <f t="shared" ref="R26:Z26" si="65">SUM(R23:R25)</f>
        <v>4804266431.4355402</v>
      </c>
      <c r="S26" s="31">
        <f t="shared" si="65"/>
        <v>938395083.15917993</v>
      </c>
      <c r="T26" s="31">
        <f t="shared" si="65"/>
        <v>360695833.29833996</v>
      </c>
      <c r="U26" s="31">
        <f t="shared" si="65"/>
        <v>24386911086528</v>
      </c>
      <c r="V26" s="31">
        <f t="shared" si="55"/>
        <v>24517858321929.883</v>
      </c>
      <c r="W26" s="31">
        <f t="shared" si="65"/>
        <v>321241773.91851801</v>
      </c>
      <c r="X26" s="31">
        <f t="shared" si="65"/>
        <v>254807115.58557099</v>
      </c>
      <c r="Y26" s="31">
        <f t="shared" si="65"/>
        <v>214054567.97058874</v>
      </c>
      <c r="Z26" s="31">
        <f t="shared" si="65"/>
        <v>102735338.49888615</v>
      </c>
      <c r="AA26" s="31">
        <f t="shared" si="56"/>
        <v>571597022.05504584</v>
      </c>
      <c r="AB26" s="31">
        <f>SUM(AB23:AB25)</f>
        <v>9172308843.8281288</v>
      </c>
      <c r="AC26" s="31">
        <f t="shared" ref="AC26:AD26" si="66">SUM(AC23:AC25)</f>
        <v>455662187.60900903</v>
      </c>
      <c r="AD26" s="31">
        <f t="shared" si="66"/>
        <v>1722024816.457031</v>
      </c>
      <c r="AE26" s="31">
        <f>SUM(AE23:AE25)</f>
        <v>6610276.8521269346</v>
      </c>
      <c r="AF26" s="35">
        <f>SUM(AF23:AF25)</f>
        <v>78945919327.167999</v>
      </c>
      <c r="AJ26">
        <f>SUM(AJ23:AJ25)</f>
        <v>24517858321929.883</v>
      </c>
    </row>
    <row r="27" spans="1:53">
      <c r="A27">
        <v>2043</v>
      </c>
      <c r="B27" s="32" t="s">
        <v>109</v>
      </c>
      <c r="C27">
        <f t="shared" ref="C27:I27" si="67">C24+(C29-C24)/5*3</f>
        <v>2611152127.398807</v>
      </c>
      <c r="D27" s="3">
        <f t="shared" si="67"/>
        <v>23984111070525.34</v>
      </c>
      <c r="E27" s="3">
        <f t="shared" si="67"/>
        <v>314105572.0932399</v>
      </c>
      <c r="F27" s="3">
        <f t="shared" si="67"/>
        <v>502405941.37890983</v>
      </c>
      <c r="G27" s="3">
        <f t="shared" si="67"/>
        <v>7346136673.2380924</v>
      </c>
      <c r="H27" s="3">
        <f t="shared" si="67"/>
        <v>463538019.92634636</v>
      </c>
      <c r="I27" s="3">
        <f t="shared" si="67"/>
        <v>1838966680.6571407</v>
      </c>
      <c r="J27" s="3">
        <f t="shared" ref="J27:K27" si="68">J24+(J29-J24)/5*3</f>
        <v>6784302.8510823213</v>
      </c>
      <c r="K27" s="3">
        <f t="shared" si="68"/>
        <v>85423886151.514282</v>
      </c>
      <c r="L27" s="3">
        <f t="shared" ref="L27:M27" si="69">L24+(L29-L24)/5*3</f>
        <v>23859449887404.953</v>
      </c>
      <c r="M27" s="3">
        <f t="shared" si="69"/>
        <v>747438694.84030914</v>
      </c>
      <c r="N27" s="3">
        <f t="shared" ref="N27" si="70">N24+(N29-N24)/5*3</f>
        <v>355244709.96869272</v>
      </c>
      <c r="P27" s="6"/>
      <c r="R27" s="3"/>
      <c r="S27" s="3"/>
      <c r="T27" s="3"/>
      <c r="U27" s="3"/>
      <c r="V27" s="3"/>
      <c r="W27" s="3"/>
      <c r="X27" s="3"/>
      <c r="Y27" s="3"/>
      <c r="Z27" s="3"/>
      <c r="AA27" s="3"/>
      <c r="AB27" s="3"/>
      <c r="AC27" s="3"/>
      <c r="AD27" s="3"/>
      <c r="AE27" s="3"/>
      <c r="AF27" s="3"/>
      <c r="AM27" t="str">
        <f>'Output Interpolation'!AC23</f>
        <v>yearID</v>
      </c>
      <c r="AN27" t="str">
        <f>'Output Interpolation'!AD23</f>
        <v>regClassID</v>
      </c>
      <c r="AO27" t="str">
        <f>'Output Interpolation'!AE23</f>
        <v>NOx</v>
      </c>
      <c r="AP27" t="str">
        <f>'Output Interpolation'!AF23</f>
        <v>CH4</v>
      </c>
      <c r="AQ27" t="str">
        <f>'Output Interpolation'!AG23</f>
        <v>N2O</v>
      </c>
      <c r="AR27" t="str">
        <f>'Output Interpolation'!AH23</f>
        <v>CO2</v>
      </c>
      <c r="AS27" t="str">
        <f>'Output Interpolation'!AI23</f>
        <v>Energy</v>
      </c>
      <c r="AT27" t="str">
        <f>'Output Interpolation'!AJ23</f>
        <v>PM25 Exh</v>
      </c>
      <c r="AU27" t="str">
        <f>'Output Interpolation'!AN23</f>
        <v>PM25 BW</v>
      </c>
      <c r="AV27" t="str">
        <f>'Output Interpolation'!AO23</f>
        <v>PM25 TW</v>
      </c>
      <c r="AW27" t="str">
        <f>'Output Interpolation'!AK23</f>
        <v>VOC</v>
      </c>
      <c r="AX27" t="str">
        <f>'Output Interpolation'!AL23</f>
        <v>SO2</v>
      </c>
      <c r="AY27" t="str">
        <f>'Output Interpolation'!AM23</f>
        <v>NH3</v>
      </c>
      <c r="AZ27" t="str">
        <f>'Output Interpolation'!AP23</f>
        <v>POP</v>
      </c>
      <c r="BA27" t="str">
        <f>'Output Interpolation'!AQ23</f>
        <v>VMT</v>
      </c>
    </row>
    <row r="28" spans="1:53">
      <c r="A28">
        <v>2044</v>
      </c>
      <c r="B28" s="32" t="s">
        <v>109</v>
      </c>
      <c r="C28">
        <f t="shared" ref="C28:I28" si="71">C24+(C29-C24)/5*4</f>
        <v>2546478065.5851283</v>
      </c>
      <c r="D28" s="3">
        <f t="shared" si="71"/>
        <v>24035626430895.531</v>
      </c>
      <c r="E28" s="3">
        <f t="shared" si="71"/>
        <v>314771495.81026125</v>
      </c>
      <c r="F28" s="3">
        <f t="shared" si="71"/>
        <v>504019947.89625841</v>
      </c>
      <c r="G28" s="3">
        <f t="shared" si="71"/>
        <v>7295402566.7497463</v>
      </c>
      <c r="H28" s="3">
        <f t="shared" si="71"/>
        <v>464855937.28745586</v>
      </c>
      <c r="I28" s="3">
        <f t="shared" si="71"/>
        <v>1852113707.7446773</v>
      </c>
      <c r="J28" s="3">
        <f t="shared" ref="J28:K28" si="72">J24+(J29-J24)/5*4</f>
        <v>6797844.2657322437</v>
      </c>
      <c r="K28" s="3">
        <f t="shared" si="72"/>
        <v>86029004829.460953</v>
      </c>
      <c r="L28" s="3">
        <f t="shared" ref="L28:M28" si="73">L24+(L29-L24)/5*4</f>
        <v>23910745752870.605</v>
      </c>
      <c r="M28" s="3">
        <f t="shared" si="73"/>
        <v>741001403.48564649</v>
      </c>
      <c r="N28" s="3">
        <f t="shared" ref="N28" si="74">N24+(N29-N24)/5*4</f>
        <v>356395704.80819201</v>
      </c>
      <c r="P28">
        <v>2035</v>
      </c>
      <c r="Q28">
        <v>20</v>
      </c>
      <c r="R28" s="3">
        <f t="shared" ref="R28:U30" si="75">AO28*(R23+R33)</f>
        <v>1055883203.8478169</v>
      </c>
      <c r="S28" s="3">
        <f t="shared" si="75"/>
        <v>370967284.4948917</v>
      </c>
      <c r="T28" s="3">
        <f t="shared" si="75"/>
        <v>145891183.33261123</v>
      </c>
      <c r="U28" s="3">
        <f t="shared" si="75"/>
        <v>10037450622082.379</v>
      </c>
      <c r="V28" s="3">
        <f>AJ28</f>
        <v>10090200376827.869</v>
      </c>
      <c r="W28" s="3">
        <f t="shared" ref="W28:Z30" si="76">AS28*(W23+W33)</f>
        <v>132359088.29762997</v>
      </c>
      <c r="X28" s="3">
        <f t="shared" si="76"/>
        <v>89888078.584337667</v>
      </c>
      <c r="Y28" s="3">
        <f t="shared" si="76"/>
        <v>106897112.90068819</v>
      </c>
      <c r="Z28" s="3">
        <f t="shared" si="76"/>
        <v>53151088.232187606</v>
      </c>
      <c r="AA28" s="3">
        <f>X28+Y28+Z28</f>
        <v>249936279.71721345</v>
      </c>
      <c r="AB28" s="3">
        <f>AW28*(AB23+AB33)</f>
        <v>4321937384.3991518</v>
      </c>
      <c r="AC28" s="3">
        <f t="shared" ref="AC28:AD28" si="77">AX28*(AC23+AC33)</f>
        <v>203570945.9641712</v>
      </c>
      <c r="AD28" s="3">
        <f t="shared" si="77"/>
        <v>849000481.351565</v>
      </c>
      <c r="AE28" s="3">
        <f t="shared" ref="AE28:AF30" si="78">AZ28*(AE23+AE33)</f>
        <v>3292685.4568741778</v>
      </c>
      <c r="AF28" s="3">
        <f t="shared" si="78"/>
        <v>41299574823.914673</v>
      </c>
      <c r="AH28">
        <v>25</v>
      </c>
      <c r="AI28">
        <v>298</v>
      </c>
      <c r="AJ28">
        <f>U28+(S28*AH28)+(T28*AI28)</f>
        <v>10090200376827.869</v>
      </c>
      <c r="AM28">
        <f>'Output Interpolation'!AC24</f>
        <v>2035</v>
      </c>
      <c r="AN28">
        <f>'Output Interpolation'!AD24</f>
        <v>20</v>
      </c>
      <c r="AO28">
        <f>'Output Interpolation'!AE24</f>
        <v>0.39800384516780252</v>
      </c>
      <c r="AP28">
        <f>'Output Interpolation'!AF24</f>
        <v>0.4694146807510392</v>
      </c>
      <c r="AQ28">
        <f>'Output Interpolation'!AG24</f>
        <v>0.48596787165744953</v>
      </c>
      <c r="AR28">
        <f>'Output Interpolation'!AH24</f>
        <v>0.48676243260566299</v>
      </c>
      <c r="AS28">
        <f>'Output Interpolation'!AI24</f>
        <v>0.48673408884026625</v>
      </c>
      <c r="AT28">
        <f>'Output Interpolation'!AJ24</f>
        <v>0.48502097193785898</v>
      </c>
      <c r="AU28">
        <f>'Output Interpolation'!AN24</f>
        <v>0.49485171962019331</v>
      </c>
      <c r="AV28">
        <f>'Output Interpolation'!AO24</f>
        <v>0.49485039132348346</v>
      </c>
      <c r="AW28">
        <f>'Output Interpolation'!AK24</f>
        <v>0.49485171962019331</v>
      </c>
      <c r="AX28">
        <f>'Output Interpolation'!AL24</f>
        <v>0.49485039132348346</v>
      </c>
      <c r="AY28">
        <f>'Output Interpolation'!AM24</f>
        <v>0.48640063133790212</v>
      </c>
      <c r="AZ28">
        <f>'Output Interpolation'!AP24</f>
        <v>0.49692761589136319</v>
      </c>
      <c r="BA28">
        <f>'Output Interpolation'!AQ24</f>
        <v>0.49485042377234073</v>
      </c>
    </row>
    <row r="29" spans="1:53">
      <c r="A29" s="2">
        <v>2045</v>
      </c>
      <c r="B29" s="7" t="s">
        <v>109</v>
      </c>
      <c r="C29">
        <f>C24*'2040-2050 extrapolation'!C24</f>
        <v>2481804003.7714496</v>
      </c>
      <c r="D29" s="3">
        <f>D24*'2040-2050 extrapolation'!V24</f>
        <v>24087141791265.723</v>
      </c>
      <c r="E29" s="3">
        <f>E24*'2040-2050 extrapolation'!G24</f>
        <v>315437419.52728254</v>
      </c>
      <c r="F29" s="3">
        <f>F24*'2040-2050 extrapolation'!K24</f>
        <v>505633954.413607</v>
      </c>
      <c r="G29">
        <f>G24*'2040-2050 extrapolation'!L24</f>
        <v>7244668460.2614002</v>
      </c>
      <c r="H29" s="3">
        <f>H24*'2040-2050 extrapolation'!M24</f>
        <v>466173854.64856529</v>
      </c>
      <c r="I29">
        <f>I24*'2040-2050 extrapolation'!N24</f>
        <v>1865260734.8322139</v>
      </c>
      <c r="J29" s="3">
        <f>J24*'2040-2050 extrapolation'!Q27</f>
        <v>6811385.6803821651</v>
      </c>
      <c r="K29" s="3">
        <f>K24*'2040-2050 extrapolation'!R27</f>
        <v>86634123507.407608</v>
      </c>
      <c r="L29" s="3">
        <f>L24*'2040-2050 extrapolation'!F24</f>
        <v>23962041618336.258</v>
      </c>
      <c r="M29" s="3">
        <f>M24*'2040-2050 extrapolation'!D24</f>
        <v>734564112.13098383</v>
      </c>
      <c r="N29" s="3">
        <f>N24*'2040-2050 extrapolation'!E24</f>
        <v>357546699.64769125</v>
      </c>
      <c r="P29">
        <v>2035</v>
      </c>
      <c r="Q29">
        <v>30</v>
      </c>
      <c r="R29" s="3">
        <f t="shared" si="75"/>
        <v>1057554815.1034865</v>
      </c>
      <c r="S29" s="3">
        <f t="shared" si="75"/>
        <v>344836965.47164744</v>
      </c>
      <c r="T29" s="3">
        <f t="shared" si="75"/>
        <v>178224132.78176776</v>
      </c>
      <c r="U29" s="3">
        <f t="shared" si="75"/>
        <v>11706708615207.785</v>
      </c>
      <c r="V29" s="3">
        <f t="shared" ref="V29:V31" si="79">AJ29</f>
        <v>11768440330913.543</v>
      </c>
      <c r="W29" s="3">
        <f t="shared" si="76"/>
        <v>154313022.80674621</v>
      </c>
      <c r="X29" s="3">
        <f t="shared" si="76"/>
        <v>96867007.249125212</v>
      </c>
      <c r="Y29" s="3">
        <f t="shared" si="76"/>
        <v>102242729.27752165</v>
      </c>
      <c r="Z29" s="3">
        <f t="shared" si="76"/>
        <v>46329135.825031005</v>
      </c>
      <c r="AA29" s="3">
        <f t="shared" ref="AA29:AA31" si="80">X29+Y29+Z29</f>
        <v>245438872.35167786</v>
      </c>
      <c r="AB29" s="3">
        <f>AW29*(AB24+AB34)</f>
        <v>3613053525.6788883</v>
      </c>
      <c r="AC29" s="3">
        <f t="shared" ref="AC29:AD29" si="81">AX29*(AC24+AC34)</f>
        <v>233795759.84893599</v>
      </c>
      <c r="AD29" s="3">
        <f t="shared" si="81"/>
        <v>752620968.78129196</v>
      </c>
      <c r="AE29" s="3">
        <f t="shared" si="78"/>
        <v>3126293.9612936713</v>
      </c>
      <c r="AF29" s="3">
        <f t="shared" si="78"/>
        <v>36241445431.158318</v>
      </c>
      <c r="AG29">
        <f>AE28/(AE28+AE29)</f>
        <v>0.51296089960263491</v>
      </c>
      <c r="AH29">
        <v>25</v>
      </c>
      <c r="AI29">
        <v>298</v>
      </c>
      <c r="AJ29">
        <f>U29+(S29*AH29)+(T29*AI29)</f>
        <v>11768440330913.543</v>
      </c>
      <c r="AM29">
        <f>'Output Interpolation'!AC25</f>
        <v>2035</v>
      </c>
      <c r="AN29">
        <f>'Output Interpolation'!AD25</f>
        <v>30</v>
      </c>
      <c r="AO29">
        <f>'Output Interpolation'!AE25</f>
        <v>0.37479437329323045</v>
      </c>
      <c r="AP29">
        <f>'Output Interpolation'!AF25</f>
        <v>0.46980791544944334</v>
      </c>
      <c r="AQ29">
        <f>'Output Interpolation'!AG25</f>
        <v>0.48217235201496911</v>
      </c>
      <c r="AR29">
        <f>'Output Interpolation'!AH25</f>
        <v>0.49263267086309737</v>
      </c>
      <c r="AS29">
        <f>'Output Interpolation'!AI25</f>
        <v>0.49260717916253249</v>
      </c>
      <c r="AT29">
        <f>'Output Interpolation'!AJ25</f>
        <v>0.48980538681381219</v>
      </c>
      <c r="AU29">
        <f>'Output Interpolation'!AN25</f>
        <v>0.49956860759493671</v>
      </c>
      <c r="AV29">
        <f>'Output Interpolation'!AO25</f>
        <v>0.49956737189923739</v>
      </c>
      <c r="AW29">
        <f>'Output Interpolation'!AK25</f>
        <v>0.49956860759493671</v>
      </c>
      <c r="AX29">
        <f>'Output Interpolation'!AL25</f>
        <v>0.49956737189923739</v>
      </c>
      <c r="AY29">
        <f>'Output Interpolation'!AM25</f>
        <v>0.48045057440654521</v>
      </c>
      <c r="AZ29">
        <f>'Output Interpolation'!AP25</f>
        <v>0.50274165065754073</v>
      </c>
      <c r="BA29">
        <f>'Output Interpolation'!AQ25</f>
        <v>0.4995666068138504</v>
      </c>
    </row>
    <row r="30" spans="1:53">
      <c r="A30">
        <v>2046</v>
      </c>
      <c r="B30" s="32" t="s">
        <v>109</v>
      </c>
      <c r="C30">
        <f t="shared" ref="C30:I30" si="82">C29+(C34-C29)/5</f>
        <v>2417129941.9577708</v>
      </c>
      <c r="D30" s="3">
        <f t="shared" si="82"/>
        <v>24138657151635.914</v>
      </c>
      <c r="E30" s="3">
        <f t="shared" si="82"/>
        <v>316103343.24430382</v>
      </c>
      <c r="F30" s="3">
        <f t="shared" si="82"/>
        <v>507247960.93095559</v>
      </c>
      <c r="G30" s="3">
        <f t="shared" si="82"/>
        <v>7212448836.6036568</v>
      </c>
      <c r="H30" s="3">
        <f t="shared" si="82"/>
        <v>468357668.90030628</v>
      </c>
      <c r="I30" s="3">
        <f t="shared" si="82"/>
        <v>1878302387.2542636</v>
      </c>
      <c r="J30" s="3">
        <f t="shared" ref="J30:K30" si="83">J29+(J34-J29)/5</f>
        <v>6825063.0519195693</v>
      </c>
      <c r="K30" s="3">
        <f t="shared" si="83"/>
        <v>87239242185.354263</v>
      </c>
      <c r="L30" s="3">
        <f t="shared" ref="L30:M30" si="84">L29+(L34-L29)/5</f>
        <v>24013337483801.91</v>
      </c>
      <c r="M30" s="3">
        <f t="shared" si="84"/>
        <v>728126820.77632117</v>
      </c>
      <c r="N30" s="3">
        <f t="shared" ref="N30" si="85">N29+(N34-N29)/5</f>
        <v>358697694.48719054</v>
      </c>
      <c r="P30">
        <v>2035</v>
      </c>
      <c r="Q30">
        <v>41</v>
      </c>
      <c r="R30" s="3">
        <f t="shared" si="75"/>
        <v>923909670.62731385</v>
      </c>
      <c r="S30" s="3">
        <f t="shared" si="75"/>
        <v>86009843.677329376</v>
      </c>
      <c r="T30" s="3">
        <f t="shared" si="75"/>
        <v>19697058.40844975</v>
      </c>
      <c r="U30" s="3">
        <f t="shared" si="75"/>
        <v>1827024786589.0352</v>
      </c>
      <c r="V30" s="3">
        <f t="shared" si="79"/>
        <v>1835044756086.6865</v>
      </c>
      <c r="W30" s="3">
        <f t="shared" si="76"/>
        <v>23723399.617377963</v>
      </c>
      <c r="X30" s="3">
        <f t="shared" si="76"/>
        <v>13359479.824529199</v>
      </c>
      <c r="Y30" s="3">
        <f t="shared" si="76"/>
        <v>10043180.029608741</v>
      </c>
      <c r="Z30" s="3">
        <f t="shared" si="76"/>
        <v>5796498.9534563283</v>
      </c>
      <c r="AA30" s="3">
        <f t="shared" si="80"/>
        <v>29199158.80759427</v>
      </c>
      <c r="AB30" s="3">
        <f>AW30*(AB25+AB35)</f>
        <v>352791653.95325845</v>
      </c>
      <c r="AC30" s="3">
        <f t="shared" ref="AC30:AD30" si="86">AX30*(AC25+AC35)</f>
        <v>17933888.022303876</v>
      </c>
      <c r="AD30" s="3">
        <f t="shared" si="86"/>
        <v>91036333.451201692</v>
      </c>
      <c r="AE30" s="3">
        <f t="shared" si="78"/>
        <v>254840.47397595496</v>
      </c>
      <c r="AF30" s="3">
        <f t="shared" si="78"/>
        <v>3274471479.27705</v>
      </c>
      <c r="AH30">
        <v>25</v>
      </c>
      <c r="AI30">
        <v>298</v>
      </c>
      <c r="AJ30">
        <f>U30+(S30*AH30)+(T30*AI30)</f>
        <v>1835044756086.6865</v>
      </c>
      <c r="AM30">
        <f>'Output Interpolation'!AC26</f>
        <v>2035</v>
      </c>
      <c r="AN30">
        <f>'Output Interpolation'!AD26</f>
        <v>41</v>
      </c>
      <c r="AO30">
        <f>'Output Interpolation'!AE26</f>
        <v>0.43278510090303313</v>
      </c>
      <c r="AP30">
        <f>'Output Interpolation'!AF26</f>
        <v>0.47552424229791135</v>
      </c>
      <c r="AQ30">
        <f>'Output Interpolation'!AG26</f>
        <v>0.46180150125104252</v>
      </c>
      <c r="AR30">
        <f>'Output Interpolation'!AH26</f>
        <v>0.49271618174057197</v>
      </c>
      <c r="AS30">
        <f>'Output Interpolation'!AI26</f>
        <v>0.49260823039523577</v>
      </c>
      <c r="AT30">
        <f>'Output Interpolation'!AJ26</f>
        <v>0.39772907355124587</v>
      </c>
      <c r="AU30">
        <f>'Output Interpolation'!AN26</f>
        <v>0.50077032370714003</v>
      </c>
      <c r="AV30">
        <f>'Output Interpolation'!AO26</f>
        <v>0.4999518895087055</v>
      </c>
      <c r="AW30">
        <f>'Output Interpolation'!AK26</f>
        <v>0.50077032370714003</v>
      </c>
      <c r="AX30">
        <f>'Output Interpolation'!AL26</f>
        <v>0.4999518895087055</v>
      </c>
      <c r="AY30">
        <f>'Output Interpolation'!AM26</f>
        <v>0.43436509913499122</v>
      </c>
      <c r="AZ30">
        <f>'Output Interpolation'!AP26</f>
        <v>0.5002966722938702</v>
      </c>
      <c r="BA30">
        <f>'Output Interpolation'!AQ26</f>
        <v>0.49992134491294515</v>
      </c>
    </row>
    <row r="31" spans="1:53">
      <c r="A31">
        <v>2047</v>
      </c>
      <c r="B31" s="32" t="s">
        <v>109</v>
      </c>
      <c r="C31">
        <f t="shared" ref="C31:I31" si="87">C29+(C34-C29)/5*2</f>
        <v>2352455880.1440921</v>
      </c>
      <c r="D31" s="3">
        <f t="shared" si="87"/>
        <v>24190172512006.105</v>
      </c>
      <c r="E31" s="3">
        <f t="shared" si="87"/>
        <v>316769266.96132517</v>
      </c>
      <c r="F31" s="3">
        <f t="shared" si="87"/>
        <v>508861967.44830418</v>
      </c>
      <c r="G31" s="3">
        <f t="shared" si="87"/>
        <v>7180229212.9459124</v>
      </c>
      <c r="H31" s="3">
        <f t="shared" si="87"/>
        <v>470541483.15204728</v>
      </c>
      <c r="I31" s="3">
        <f t="shared" si="87"/>
        <v>1891344039.6763136</v>
      </c>
      <c r="J31" s="3">
        <f t="shared" ref="J31:K31" si="88">J29+(J34-J29)/5*2</f>
        <v>6838740.4234569725</v>
      </c>
      <c r="K31" s="3">
        <f t="shared" si="88"/>
        <v>87844360863.300934</v>
      </c>
      <c r="L31" s="3">
        <f t="shared" ref="L31:M31" si="89">L29+(L34-L29)/5*2</f>
        <v>24064633349267.562</v>
      </c>
      <c r="M31" s="3">
        <f t="shared" si="89"/>
        <v>721689529.42165852</v>
      </c>
      <c r="N31" s="3">
        <f t="shared" ref="N31" si="90">N29+(N34-N29)/5*2</f>
        <v>359848689.32668978</v>
      </c>
      <c r="P31">
        <v>2035</v>
      </c>
      <c r="Q31" s="8" t="s">
        <v>109</v>
      </c>
      <c r="R31" s="3">
        <f t="shared" ref="R31:Z31" si="91">SUM(R28:R30)</f>
        <v>3037347689.5786171</v>
      </c>
      <c r="S31" s="3">
        <f t="shared" si="91"/>
        <v>801814093.64386857</v>
      </c>
      <c r="T31" s="3">
        <f t="shared" si="91"/>
        <v>343812374.52282876</v>
      </c>
      <c r="U31" s="3">
        <f t="shared" si="91"/>
        <v>23571184023879.199</v>
      </c>
      <c r="V31" s="3">
        <f t="shared" si="79"/>
        <v>23693685463828.102</v>
      </c>
      <c r="W31" s="3">
        <f t="shared" si="91"/>
        <v>310395510.72175413</v>
      </c>
      <c r="X31" s="3">
        <f t="shared" si="91"/>
        <v>200114565.65799209</v>
      </c>
      <c r="Y31" s="3">
        <f t="shared" si="91"/>
        <v>219183022.20781857</v>
      </c>
      <c r="Z31" s="3">
        <f t="shared" si="91"/>
        <v>105276723.01067494</v>
      </c>
      <c r="AA31" s="3">
        <f t="shared" si="80"/>
        <v>524574310.87648559</v>
      </c>
      <c r="AB31" s="3">
        <f t="shared" ref="AB31:AD31" si="92">SUM(AB28:AB30)</f>
        <v>8287782564.0312986</v>
      </c>
      <c r="AC31" s="3">
        <f t="shared" si="92"/>
        <v>455300593.83541107</v>
      </c>
      <c r="AD31" s="3">
        <f t="shared" si="92"/>
        <v>1692657783.5840585</v>
      </c>
      <c r="AE31" s="3">
        <f>SUM(AE28:AE30)</f>
        <v>6673819.8921438036</v>
      </c>
      <c r="AF31" s="3">
        <f>SUM(AF28:AF30)</f>
        <v>80815491734.350052</v>
      </c>
      <c r="AJ31">
        <f>SUM(AJ28:AJ30)</f>
        <v>23693685463828.102</v>
      </c>
    </row>
    <row r="32" spans="1:53">
      <c r="A32">
        <v>2048</v>
      </c>
      <c r="B32" s="32" t="s">
        <v>109</v>
      </c>
      <c r="C32">
        <f t="shared" ref="C32:I32" si="93">C29+(C34-C29)/5*3</f>
        <v>2287781818.3304129</v>
      </c>
      <c r="D32" s="3">
        <f t="shared" si="93"/>
        <v>24241687872376.297</v>
      </c>
      <c r="E32" s="3">
        <f t="shared" si="93"/>
        <v>317435190.67834646</v>
      </c>
      <c r="F32" s="3">
        <f t="shared" si="93"/>
        <v>510475973.96565282</v>
      </c>
      <c r="G32" s="3">
        <f t="shared" si="93"/>
        <v>7148009589.2881689</v>
      </c>
      <c r="H32" s="3">
        <f t="shared" si="93"/>
        <v>472725297.40378821</v>
      </c>
      <c r="I32" s="3">
        <f t="shared" si="93"/>
        <v>1904385692.0983634</v>
      </c>
      <c r="J32" s="3">
        <f t="shared" ref="J32:K32" si="94">J29+(J34-J29)/5*3</f>
        <v>6852417.7949943766</v>
      </c>
      <c r="K32" s="3">
        <f t="shared" si="94"/>
        <v>88449479541.247589</v>
      </c>
      <c r="L32" s="3">
        <f t="shared" ref="L32:M32" si="95">L29+(L34-L29)/5*3</f>
        <v>24115929214733.215</v>
      </c>
      <c r="M32" s="3">
        <f t="shared" si="95"/>
        <v>715252238.06699598</v>
      </c>
      <c r="N32" s="3">
        <f t="shared" ref="N32" si="96">N29+(N34-N29)/5*3</f>
        <v>360999684.16618907</v>
      </c>
      <c r="P32" s="6"/>
      <c r="R32" s="3"/>
      <c r="S32" s="3"/>
      <c r="T32" s="3"/>
      <c r="U32" s="3"/>
      <c r="V32" s="3"/>
      <c r="W32" s="3"/>
      <c r="X32" s="3"/>
      <c r="Y32" s="3"/>
      <c r="Z32" s="3"/>
      <c r="AA32" s="3"/>
      <c r="AB32" s="3"/>
      <c r="AC32" s="3"/>
      <c r="AD32" s="3"/>
      <c r="AE32" s="3"/>
      <c r="AF32" s="3"/>
    </row>
    <row r="33" spans="1:36">
      <c r="A33">
        <v>2049</v>
      </c>
      <c r="B33" s="32" t="s">
        <v>109</v>
      </c>
      <c r="C33">
        <f t="shared" ref="C33:I33" si="97">C29+(C34-C29)/5*4</f>
        <v>2223107756.5167341</v>
      </c>
      <c r="D33" s="3">
        <f t="shared" si="97"/>
        <v>24293203232746.488</v>
      </c>
      <c r="E33" s="3">
        <f t="shared" si="97"/>
        <v>318101114.3953678</v>
      </c>
      <c r="F33" s="3">
        <f t="shared" si="97"/>
        <v>512089980.48300141</v>
      </c>
      <c r="G33" s="3">
        <f t="shared" si="97"/>
        <v>7115789965.6304245</v>
      </c>
      <c r="H33" s="3">
        <f t="shared" si="97"/>
        <v>474909111.6555292</v>
      </c>
      <c r="I33" s="3">
        <f t="shared" si="97"/>
        <v>1917427344.5204134</v>
      </c>
      <c r="J33" s="3">
        <f t="shared" ref="J33:K33" si="98">J29+(J34-J29)/5*4</f>
        <v>6866095.1665317798</v>
      </c>
      <c r="K33" s="3">
        <f t="shared" si="98"/>
        <v>89054598219.19426</v>
      </c>
      <c r="L33" s="3">
        <f t="shared" ref="L33:M33" si="99">L29+(L34-L29)/5*4</f>
        <v>24167225080198.867</v>
      </c>
      <c r="M33" s="3">
        <f t="shared" si="99"/>
        <v>708814946.71233332</v>
      </c>
      <c r="N33" s="3">
        <f t="shared" ref="N33" si="100">N29+(N34-N29)/5*4</f>
        <v>362150679.00568831</v>
      </c>
      <c r="P33" s="17">
        <f>'County Scale Output 2017-2040'!A14</f>
        <v>2040</v>
      </c>
      <c r="Q33" s="37">
        <f>'County Scale Output 2017-2040'!B14</f>
        <v>20</v>
      </c>
      <c r="R33" s="39">
        <f>'County Scale Output 2017-2040'!C14</f>
        <v>963460024.53515601</v>
      </c>
      <c r="S33" s="39">
        <f>'County Scale Output 2017-2040'!D14</f>
        <v>362002543.45117199</v>
      </c>
      <c r="T33" s="39">
        <f>'County Scale Output 2017-2040'!E14</f>
        <v>150148655.76464799</v>
      </c>
      <c r="U33" s="39">
        <f>'County Scale Output 2017-2040'!F14</f>
        <v>10429037696064</v>
      </c>
      <c r="V33" s="39">
        <f>AJ33</f>
        <v>10482832059068.145</v>
      </c>
      <c r="W33" s="39">
        <f>'County Scale Output 2017-2040'!G14</f>
        <v>137478769.264465</v>
      </c>
      <c r="X33" s="39">
        <f>'County Scale Output 2017-2040'!H14</f>
        <v>75489383.447143599</v>
      </c>
      <c r="Y33" s="39">
        <f>'County Scale Output 2017-2040'!I14</f>
        <v>114715509.25279599</v>
      </c>
      <c r="Z33" s="39">
        <f>'County Scale Output 2017-2040'!J14</f>
        <v>56891073.919906601</v>
      </c>
      <c r="AA33" s="39">
        <f>X33+Y33+Z33</f>
        <v>247095966.61984622</v>
      </c>
      <c r="AB33" s="39">
        <f>'County Scale Output 2017-2040'!K14</f>
        <v>3951045366.5468798</v>
      </c>
      <c r="AC33" s="39">
        <f>'County Scale Output 2017-2040'!L14</f>
        <v>211424473.313721</v>
      </c>
      <c r="AD33" s="39">
        <f>'County Scale Output 2017-2040'!M14</f>
        <v>916385652.97265601</v>
      </c>
      <c r="AE33" s="39">
        <f>'County Scale Output 2017-2040'!N14</f>
        <v>3346139.5863728612</v>
      </c>
      <c r="AF33" s="40">
        <f>'County Scale Output 2017-2040'!O14</f>
        <v>44138468592.601997</v>
      </c>
      <c r="AH33">
        <v>25</v>
      </c>
      <c r="AI33">
        <v>298</v>
      </c>
      <c r="AJ33">
        <f>U33+(S33*AH33)+(T33*AI33)</f>
        <v>10482832059068.145</v>
      </c>
    </row>
    <row r="34" spans="1:36">
      <c r="A34" s="2">
        <v>2050</v>
      </c>
      <c r="B34" s="7" t="s">
        <v>109</v>
      </c>
      <c r="C34">
        <f>C24*'2040-2050 extrapolation'!C25</f>
        <v>2158433694.7030554</v>
      </c>
      <c r="D34" s="3">
        <f>D24*'2040-2050 extrapolation'!V25</f>
        <v>24344718593116.68</v>
      </c>
      <c r="E34" s="3">
        <f>E24*'2040-2050 extrapolation'!G25</f>
        <v>318767038.11238909</v>
      </c>
      <c r="F34">
        <f>F24*'2040-2050 extrapolation'!K25</f>
        <v>513703987.00035</v>
      </c>
      <c r="G34">
        <f>G24*'2040-2050 extrapolation'!L25</f>
        <v>7083570341.972681</v>
      </c>
      <c r="H34" s="3">
        <f>H24*'2040-2050 extrapolation'!M25</f>
        <v>477092925.90727019</v>
      </c>
      <c r="I34">
        <f>I24*'2040-2050 extrapolation'!N25</f>
        <v>1930468996.9424632</v>
      </c>
      <c r="J34" s="3">
        <f>J24*'2040-2050 extrapolation'!Q31</f>
        <v>6879772.5380691839</v>
      </c>
      <c r="K34" s="3">
        <f>K24*'2040-2050 extrapolation'!R31</f>
        <v>89659716897.140915</v>
      </c>
      <c r="L34" s="3">
        <f>L24*'2040-2050 extrapolation'!F25</f>
        <v>24218520945664.52</v>
      </c>
      <c r="M34" s="3">
        <f>M24*'2040-2050 extrapolation'!D25</f>
        <v>702377655.35767066</v>
      </c>
      <c r="N34" s="3">
        <f>N24*'2040-2050 extrapolation'!E25</f>
        <v>363301673.8451876</v>
      </c>
      <c r="P34" s="18">
        <f>'County Scale Output 2017-2040'!A15</f>
        <v>2040</v>
      </c>
      <c r="Q34">
        <f>'County Scale Output 2017-2040'!B15</f>
        <v>30</v>
      </c>
      <c r="R34" s="3">
        <f>'County Scale Output 2017-2040'!C15</f>
        <v>942530596.30468798</v>
      </c>
      <c r="S34" s="3">
        <f>'County Scale Output 2017-2040'!D15</f>
        <v>321919969.140625</v>
      </c>
      <c r="T34" s="3">
        <f>'County Scale Output 2017-2040'!E15</f>
        <v>181884862.59179699</v>
      </c>
      <c r="U34" s="3">
        <f>'County Scale Output 2017-2040'!F15</f>
        <v>11417989693184</v>
      </c>
      <c r="V34" s="3">
        <f t="shared" ref="V34:V36" si="101">AJ34</f>
        <v>11480239381464.871</v>
      </c>
      <c r="W34" s="3">
        <f>'County Scale Output 2017-2040'!G15</f>
        <v>150502167.02146101</v>
      </c>
      <c r="X34" s="3">
        <f>'County Scale Output 2017-2040'!H15</f>
        <v>73518378.339843795</v>
      </c>
      <c r="Y34" s="3">
        <f>'County Scale Output 2017-2040'!I15</f>
        <v>101526604.041683</v>
      </c>
      <c r="Z34" s="3">
        <f>'County Scale Output 2017-2040'!J15</f>
        <v>46053521.774709702</v>
      </c>
      <c r="AA34" s="3">
        <f t="shared" ref="AA34:AA36" si="102">X34+Y34+Z34</f>
        <v>221098504.1562365</v>
      </c>
      <c r="AB34" s="3">
        <f>'County Scale Output 2017-2040'!K15</f>
        <v>3258845989.15625</v>
      </c>
      <c r="AC34" s="3">
        <f>'County Scale Output 2017-2040'!L15</f>
        <v>230500312.66992199</v>
      </c>
      <c r="AD34" s="3">
        <f>'County Scale Output 2017-2040'!M15</f>
        <v>774882398.796875</v>
      </c>
      <c r="AE34" s="3">
        <f>'County Scale Output 2017-2040'!N15</f>
        <v>3140305.3999218415</v>
      </c>
      <c r="AF34" s="34">
        <f>'County Scale Output 2017-2040'!O15</f>
        <v>36047507865.072304</v>
      </c>
      <c r="AG34">
        <f>AE33/(AE33+AE34)</f>
        <v>0.51586648671852842</v>
      </c>
      <c r="AH34">
        <v>25</v>
      </c>
      <c r="AI34">
        <v>298</v>
      </c>
      <c r="AJ34">
        <f>U34+(S34*AH34)+(T34*AI34)</f>
        <v>11480239381464.871</v>
      </c>
    </row>
    <row r="35" spans="1:36">
      <c r="A35" s="6"/>
      <c r="J35" s="3"/>
      <c r="P35" s="18">
        <f>'County Scale Output 2017-2040'!A16</f>
        <v>2040</v>
      </c>
      <c r="Q35">
        <f>'County Scale Output 2017-2040'!B16</f>
        <v>41</v>
      </c>
      <c r="R35" s="3">
        <f>'County Scale Output 2017-2040'!C16</f>
        <v>899183692</v>
      </c>
      <c r="S35" s="3">
        <f>'County Scale Output 2017-2040'!D16</f>
        <v>82828056.3125</v>
      </c>
      <c r="T35" s="3">
        <f>'County Scale Output 2017-2040'!E16</f>
        <v>19758207.09375</v>
      </c>
      <c r="U35" s="3">
        <f>'County Scale Output 2017-2040'!F16</f>
        <v>1858534901760</v>
      </c>
      <c r="V35" s="3">
        <f t="shared" si="101"/>
        <v>1866493548881.75</v>
      </c>
      <c r="W35" s="3">
        <f>'County Scale Output 2017-2040'!G16</f>
        <v>24126864.65625</v>
      </c>
      <c r="X35" s="3">
        <f>'County Scale Output 2017-2040'!H16</f>
        <v>12869067.21875</v>
      </c>
      <c r="Y35" s="3">
        <f>'County Scale Output 2017-2040'!I16</f>
        <v>10439291.3867188</v>
      </c>
      <c r="Z35" s="3">
        <f>'County Scale Output 2017-2040'!J16</f>
        <v>6061092.4453125</v>
      </c>
      <c r="AA35" s="3">
        <f t="shared" si="102"/>
        <v>29369451.050781302</v>
      </c>
      <c r="AB35" s="3">
        <f>'County Scale Output 2017-2040'!K16</f>
        <v>288447637</v>
      </c>
      <c r="AC35" s="3">
        <f>'County Scale Output 2017-2040'!L16</f>
        <v>17659481.859375</v>
      </c>
      <c r="AD35" s="3">
        <f>'County Scale Output 2017-2040'!M16</f>
        <v>108257547.625</v>
      </c>
      <c r="AE35" s="3">
        <f>'County Scale Output 2017-2040'!N16</f>
        <v>257233.62083785326</v>
      </c>
      <c r="AF35" s="34">
        <f>'County Scale Output 2017-2040'!O16</f>
        <v>3422553660</v>
      </c>
      <c r="AH35">
        <v>25</v>
      </c>
      <c r="AI35">
        <v>298</v>
      </c>
      <c r="AJ35">
        <f>U35+(S35*AH35)+(T35*AI35)</f>
        <v>1866493548881.75</v>
      </c>
    </row>
    <row r="36" spans="1:36">
      <c r="J36" s="269"/>
      <c r="K36" s="269"/>
      <c r="L36" s="167"/>
      <c r="P36" s="19">
        <v>2040</v>
      </c>
      <c r="Q36" s="66" t="s">
        <v>109</v>
      </c>
      <c r="R36" s="31">
        <f t="shared" ref="R36:Z36" si="103">SUM(R33:R35)</f>
        <v>2805174312.8398438</v>
      </c>
      <c r="S36" s="31">
        <f t="shared" si="103"/>
        <v>766750568.90429699</v>
      </c>
      <c r="T36" s="31">
        <f t="shared" si="103"/>
        <v>351791725.45019495</v>
      </c>
      <c r="U36" s="31">
        <f t="shared" si="103"/>
        <v>23705562291008</v>
      </c>
      <c r="V36" s="31">
        <f t="shared" si="101"/>
        <v>23829564989414.766</v>
      </c>
      <c r="W36" s="31">
        <f t="shared" si="103"/>
        <v>312107800.94217598</v>
      </c>
      <c r="X36" s="31">
        <f t="shared" si="103"/>
        <v>161876829.00573739</v>
      </c>
      <c r="Y36" s="31">
        <f t="shared" si="103"/>
        <v>226681404.68119782</v>
      </c>
      <c r="Z36" s="31">
        <f t="shared" si="103"/>
        <v>109005688.1399288</v>
      </c>
      <c r="AA36" s="31">
        <f t="shared" si="102"/>
        <v>497563921.826864</v>
      </c>
      <c r="AB36" s="31">
        <f>SUM(AB33:AB35)</f>
        <v>7498338992.7031298</v>
      </c>
      <c r="AC36" s="31">
        <f t="shared" ref="AC36:AD36" si="104">SUM(AC33:AC35)</f>
        <v>459584267.843018</v>
      </c>
      <c r="AD36" s="31">
        <f t="shared" si="104"/>
        <v>1799525599.394531</v>
      </c>
      <c r="AE36" s="31">
        <f>SUM(AE33:AE35)</f>
        <v>6743678.6071325559</v>
      </c>
      <c r="AF36" s="35">
        <f>SUM(AF33:AF35)</f>
        <v>83608530117.674301</v>
      </c>
      <c r="AJ36">
        <f>SUM(AJ33:AJ35)</f>
        <v>23829564989414.766</v>
      </c>
    </row>
    <row r="37" spans="1:36">
      <c r="AE37" s="3">
        <f>AE33+AE34</f>
        <v>6486444.9862947026</v>
      </c>
    </row>
    <row r="38" spans="1:36">
      <c r="A38" t="s">
        <v>203</v>
      </c>
      <c r="AG38">
        <f>(AG19+AG24+AG29+AG34)/4</f>
        <v>0.51514008993955507</v>
      </c>
    </row>
    <row r="40" spans="1:36">
      <c r="A40" t="s">
        <v>0</v>
      </c>
      <c r="B40" t="s">
        <v>1</v>
      </c>
      <c r="C40" t="s">
        <v>24</v>
      </c>
      <c r="D40" t="s">
        <v>204</v>
      </c>
      <c r="E40" t="s">
        <v>205</v>
      </c>
    </row>
    <row r="41" spans="1:36">
      <c r="A41">
        <v>2020</v>
      </c>
      <c r="B41" t="s">
        <v>109</v>
      </c>
      <c r="C41" s="3">
        <f t="shared" ref="C41:C57" si="105">F8</f>
        <v>692674293.9936769</v>
      </c>
      <c r="D41" s="3">
        <f>X16</f>
        <v>396189547.32287407</v>
      </c>
      <c r="E41" s="41">
        <f>D41/C41</f>
        <v>0.57197091152121016</v>
      </c>
      <c r="AD41" s="8"/>
      <c r="AE41" s="6"/>
    </row>
    <row r="42" spans="1:36">
      <c r="A42">
        <v>2025</v>
      </c>
      <c r="B42" t="s">
        <v>109</v>
      </c>
      <c r="C42" s="3">
        <f t="shared" si="105"/>
        <v>616112120.65316606</v>
      </c>
      <c r="D42" s="3">
        <f>X21</f>
        <v>309474794.08302724</v>
      </c>
      <c r="E42" s="41">
        <f t="shared" ref="E42:E57" si="106">D42/C42</f>
        <v>0.50230272008760379</v>
      </c>
      <c r="AD42" s="8"/>
    </row>
    <row r="43" spans="1:36">
      <c r="A43">
        <v>2026</v>
      </c>
      <c r="B43" t="s">
        <v>109</v>
      </c>
      <c r="C43" s="3">
        <f t="shared" si="105"/>
        <v>607209100.93354201</v>
      </c>
      <c r="D43" s="3">
        <f>D42+(D47-D42)/5</f>
        <v>298541258.38353598</v>
      </c>
      <c r="E43" s="41">
        <f t="shared" si="106"/>
        <v>0.49166136990461679</v>
      </c>
      <c r="AD43" s="8"/>
    </row>
    <row r="44" spans="1:36">
      <c r="A44">
        <v>2027</v>
      </c>
      <c r="B44" t="s">
        <v>109</v>
      </c>
      <c r="C44" s="3">
        <f t="shared" si="105"/>
        <v>598306081.21391797</v>
      </c>
      <c r="D44" s="3">
        <f>D42+(D47-D42)/5*2</f>
        <v>287607722.68404472</v>
      </c>
      <c r="E44" s="41">
        <f t="shared" si="106"/>
        <v>0.4807033251283529</v>
      </c>
      <c r="AD44" s="8"/>
    </row>
    <row r="45" spans="1:36">
      <c r="A45">
        <v>2028</v>
      </c>
      <c r="B45" t="s">
        <v>109</v>
      </c>
      <c r="C45" s="3">
        <f t="shared" si="105"/>
        <v>589403061.49429393</v>
      </c>
      <c r="D45" s="3">
        <f>D42+(D47-D42)/5*3</f>
        <v>276674186.98455352</v>
      </c>
      <c r="E45" s="41">
        <f t="shared" si="106"/>
        <v>0.46941423460392395</v>
      </c>
      <c r="AD45" s="8"/>
    </row>
    <row r="46" spans="1:36">
      <c r="A46">
        <v>2029</v>
      </c>
      <c r="B46" t="s">
        <v>109</v>
      </c>
      <c r="C46" s="3">
        <f t="shared" si="105"/>
        <v>580500041.77466989</v>
      </c>
      <c r="D46" s="3">
        <f>D42+(D47-D42)/5*4</f>
        <v>265740651.28506225</v>
      </c>
      <c r="E46" s="41">
        <f t="shared" si="106"/>
        <v>0.45777886677261193</v>
      </c>
    </row>
    <row r="47" spans="1:36">
      <c r="A47">
        <v>2030</v>
      </c>
      <c r="B47" t="s">
        <v>109</v>
      </c>
      <c r="C47" s="3">
        <f t="shared" si="105"/>
        <v>571597022.05504584</v>
      </c>
      <c r="D47" s="3">
        <f>X26</f>
        <v>254807115.58557099</v>
      </c>
      <c r="E47" s="41">
        <f t="shared" si="106"/>
        <v>0.44578104110737055</v>
      </c>
    </row>
    <row r="48" spans="1:36">
      <c r="A48">
        <v>2031</v>
      </c>
      <c r="B48" t="s">
        <v>109</v>
      </c>
      <c r="C48" s="3">
        <f t="shared" si="105"/>
        <v>562192479.81933379</v>
      </c>
      <c r="D48" s="3">
        <f>D47+(D52-D47)/5</f>
        <v>243868605.60005522</v>
      </c>
      <c r="E48" s="41">
        <f t="shared" si="106"/>
        <v>0.43378133709370292</v>
      </c>
    </row>
    <row r="49" spans="1:5">
      <c r="A49">
        <v>2032</v>
      </c>
      <c r="B49" t="s">
        <v>109</v>
      </c>
      <c r="C49" s="3">
        <f t="shared" si="105"/>
        <v>552787937.58362174</v>
      </c>
      <c r="D49" s="3">
        <f>D47+(D52-D47)/5*2</f>
        <v>232930095.61453944</v>
      </c>
      <c r="E49" s="41">
        <f t="shared" si="106"/>
        <v>0.42137333284213258</v>
      </c>
    </row>
    <row r="50" spans="1:5">
      <c r="A50">
        <v>2033</v>
      </c>
      <c r="B50" t="s">
        <v>109</v>
      </c>
      <c r="C50" s="3">
        <f t="shared" si="105"/>
        <v>543383395.34790969</v>
      </c>
      <c r="D50" s="3">
        <f>D47+(D52-D47)/5*3</f>
        <v>221991585.62902367</v>
      </c>
      <c r="E50" s="41">
        <f t="shared" si="106"/>
        <v>0.40853582853206272</v>
      </c>
    </row>
    <row r="51" spans="1:5">
      <c r="A51">
        <v>2034</v>
      </c>
      <c r="B51" t="s">
        <v>109</v>
      </c>
      <c r="C51" s="3">
        <f t="shared" si="105"/>
        <v>533978853.11219764</v>
      </c>
      <c r="D51" s="3">
        <f>D47+(D52-D47)/5*4</f>
        <v>211053075.64350787</v>
      </c>
      <c r="E51" s="41">
        <f t="shared" si="106"/>
        <v>0.39524613084099453</v>
      </c>
    </row>
    <row r="52" spans="1:5">
      <c r="A52">
        <v>2035</v>
      </c>
      <c r="B52" t="s">
        <v>109</v>
      </c>
      <c r="C52" s="3">
        <f t="shared" si="105"/>
        <v>524574310.87648559</v>
      </c>
      <c r="D52" s="3">
        <f>X31</f>
        <v>200114565.65799209</v>
      </c>
      <c r="E52" s="41">
        <f t="shared" si="106"/>
        <v>0.38147991906738715</v>
      </c>
    </row>
    <row r="53" spans="1:5">
      <c r="A53">
        <v>2036</v>
      </c>
      <c r="B53" t="s">
        <v>109</v>
      </c>
      <c r="C53" s="3">
        <f t="shared" si="105"/>
        <v>519172233.06656128</v>
      </c>
      <c r="D53" s="3">
        <f>D52+(D57-D52)/5</f>
        <v>192467018.32754114</v>
      </c>
      <c r="E53" s="41">
        <f t="shared" si="106"/>
        <v>0.37071901397867246</v>
      </c>
    </row>
    <row r="54" spans="1:5">
      <c r="A54">
        <v>2037</v>
      </c>
      <c r="B54" t="s">
        <v>109</v>
      </c>
      <c r="C54" s="3">
        <f t="shared" si="105"/>
        <v>513770155.25663698</v>
      </c>
      <c r="D54" s="3">
        <f>D52+(D57-D52)/5*2</f>
        <v>184819470.99709022</v>
      </c>
      <c r="E54" s="41">
        <f t="shared" si="106"/>
        <v>0.35973181607789134</v>
      </c>
    </row>
    <row r="55" spans="1:5">
      <c r="A55">
        <v>2038</v>
      </c>
      <c r="B55" t="s">
        <v>109</v>
      </c>
      <c r="C55" s="3">
        <f t="shared" si="105"/>
        <v>508368077.44671261</v>
      </c>
      <c r="D55" s="3">
        <f>D52+(D57-D52)/5*3</f>
        <v>177171923.66663927</v>
      </c>
      <c r="E55" s="41">
        <f t="shared" si="106"/>
        <v>0.34851111139095964</v>
      </c>
    </row>
    <row r="56" spans="1:5">
      <c r="A56">
        <v>2039</v>
      </c>
      <c r="B56" t="s">
        <v>109</v>
      </c>
      <c r="C56" s="3">
        <f t="shared" si="105"/>
        <v>502965999.63678831</v>
      </c>
      <c r="D56" s="3">
        <f>D52+(D57-D52)/5*4</f>
        <v>169524376.33618835</v>
      </c>
      <c r="E56" s="41">
        <f t="shared" si="106"/>
        <v>0.33704937601867446</v>
      </c>
    </row>
    <row r="57" spans="1:5">
      <c r="A57">
        <v>2040</v>
      </c>
      <c r="B57" t="s">
        <v>109</v>
      </c>
      <c r="C57" s="3">
        <f t="shared" si="105"/>
        <v>497563921.826864</v>
      </c>
      <c r="D57" s="3">
        <f>X36</f>
        <v>161876829.00573739</v>
      </c>
      <c r="E57" s="41">
        <f t="shared" si="106"/>
        <v>0.32533875931234668</v>
      </c>
    </row>
  </sheetData>
  <sheetProtection algorithmName="SHA-512" hashValue="VrkIVl9ejTjzpbNiWRa0BAiaTFWmO5SHSt+rXEuqAf2LSJsK/JQJ4UlyUY4s7oEtdn9TL8FCgK+V2Spo8cHSWQ==" saltValue="vp1OeIM7RK+4/iRmASeK9Q==" spinCount="100000" sheet="1" objects="1" scenarios="1"/>
  <mergeCells count="2">
    <mergeCell ref="AH11:AI11"/>
    <mergeCell ref="AH5:AI5"/>
  </mergeCells>
  <pageMargins left="0.7" right="0.7" top="0.75" bottom="0.75" header="0.3" footer="0.3"/>
  <pageSetup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E3FDBB-DE9E-4377-AC20-A19E8D14C9C2}">
  <sheetPr codeName="Sheet17"/>
  <dimension ref="A1:V56"/>
  <sheetViews>
    <sheetView workbookViewId="0">
      <selection activeCell="L32" sqref="L32"/>
    </sheetView>
  </sheetViews>
  <sheetFormatPr baseColWidth="10" defaultColWidth="8.83203125" defaultRowHeight="15"/>
  <cols>
    <col min="3" max="3" width="11" bestFit="1" customWidth="1"/>
    <col min="4" max="5" width="12" bestFit="1" customWidth="1"/>
    <col min="6" max="6" width="11" bestFit="1" customWidth="1"/>
    <col min="11" max="14" width="11.1640625" customWidth="1"/>
    <col min="15" max="15" width="8.5" customWidth="1"/>
    <col min="16" max="16" width="11.1640625" customWidth="1"/>
    <col min="22" max="22" width="12" bestFit="1" customWidth="1"/>
  </cols>
  <sheetData>
    <row r="1" spans="1:22">
      <c r="A1" s="2" t="s">
        <v>602</v>
      </c>
    </row>
    <row r="2" spans="1:22">
      <c r="A2" t="s">
        <v>5</v>
      </c>
    </row>
    <row r="3" spans="1:22">
      <c r="A3" s="68" t="s">
        <v>603</v>
      </c>
    </row>
    <row r="5" spans="1:22">
      <c r="A5" t="s">
        <v>0</v>
      </c>
      <c r="B5" t="s">
        <v>1</v>
      </c>
      <c r="C5" t="s">
        <v>2</v>
      </c>
      <c r="D5" s="28" t="s">
        <v>26</v>
      </c>
      <c r="E5" s="28" t="s">
        <v>21</v>
      </c>
      <c r="F5" s="28" t="s">
        <v>3</v>
      </c>
      <c r="G5" t="s">
        <v>22</v>
      </c>
      <c r="H5" t="s">
        <v>43</v>
      </c>
      <c r="I5" t="s">
        <v>44</v>
      </c>
      <c r="J5" t="s">
        <v>45</v>
      </c>
      <c r="K5" t="s">
        <v>601</v>
      </c>
      <c r="L5" s="28" t="s">
        <v>115</v>
      </c>
      <c r="M5" s="28" t="s">
        <v>116</v>
      </c>
      <c r="N5" s="28" t="s">
        <v>117</v>
      </c>
      <c r="O5" s="28"/>
      <c r="P5" s="28"/>
      <c r="Q5" t="s">
        <v>74</v>
      </c>
      <c r="R5" t="s">
        <v>75</v>
      </c>
      <c r="T5" t="s">
        <v>46</v>
      </c>
    </row>
    <row r="6" spans="1:22">
      <c r="D6" s="28"/>
      <c r="E6" s="28"/>
      <c r="F6" s="28"/>
      <c r="T6" t="s">
        <v>26</v>
      </c>
      <c r="U6" t="s">
        <v>21</v>
      </c>
      <c r="V6" t="s">
        <v>47</v>
      </c>
    </row>
    <row r="7" spans="1:22">
      <c r="D7" s="28"/>
      <c r="E7" s="28"/>
      <c r="F7" s="28"/>
    </row>
    <row r="8" spans="1:22">
      <c r="A8">
        <v>2040</v>
      </c>
      <c r="B8">
        <v>20</v>
      </c>
      <c r="C8">
        <v>1098085202</v>
      </c>
      <c r="D8" s="28">
        <v>292322118.5</v>
      </c>
      <c r="E8" s="28">
        <v>150036423.5</v>
      </c>
      <c r="F8" s="28">
        <v>11460360241152</v>
      </c>
      <c r="G8">
        <v>151122506.5</v>
      </c>
      <c r="H8">
        <v>123007284.5</v>
      </c>
      <c r="I8">
        <v>116977978.25</v>
      </c>
      <c r="J8">
        <v>60219039</v>
      </c>
      <c r="Q8">
        <v>3236669</v>
      </c>
      <c r="R8">
        <v>47389037184</v>
      </c>
      <c r="T8">
        <v>25</v>
      </c>
      <c r="U8">
        <v>298</v>
      </c>
      <c r="V8">
        <v>11512379148317.5</v>
      </c>
    </row>
    <row r="9" spans="1:22">
      <c r="A9">
        <v>2040</v>
      </c>
      <c r="B9">
        <v>30</v>
      </c>
      <c r="C9">
        <v>1017139746</v>
      </c>
      <c r="D9" s="28">
        <v>235736391.5</v>
      </c>
      <c r="E9" s="28">
        <v>160542412.75</v>
      </c>
      <c r="F9" s="28">
        <v>11653201952768</v>
      </c>
      <c r="G9">
        <v>153614123.5</v>
      </c>
      <c r="H9">
        <v>113543185.25</v>
      </c>
      <c r="I9">
        <v>98890036.1875</v>
      </c>
      <c r="J9">
        <v>45813783.25</v>
      </c>
      <c r="Q9">
        <v>2530855.1523449998</v>
      </c>
      <c r="R9">
        <v>36053684864</v>
      </c>
      <c r="T9">
        <v>25</v>
      </c>
      <c r="U9">
        <v>298</v>
      </c>
      <c r="V9">
        <v>11706937001555</v>
      </c>
    </row>
    <row r="10" spans="1:22">
      <c r="A10">
        <v>2040</v>
      </c>
      <c r="B10">
        <v>41</v>
      </c>
      <c r="C10">
        <v>991471214</v>
      </c>
      <c r="D10" s="28">
        <v>82338218.25</v>
      </c>
      <c r="E10" s="28">
        <v>21176778.59375</v>
      </c>
      <c r="F10" s="28">
        <v>1954007212032</v>
      </c>
      <c r="G10">
        <v>25365509.4375</v>
      </c>
      <c r="H10">
        <v>16677573.90625</v>
      </c>
      <c r="I10">
        <v>10148162.9140625</v>
      </c>
      <c r="J10">
        <v>6094434.5390625</v>
      </c>
      <c r="Q10">
        <v>214827.34912900001</v>
      </c>
      <c r="R10">
        <v>3458051968</v>
      </c>
      <c r="T10">
        <v>25</v>
      </c>
      <c r="U10">
        <v>298</v>
      </c>
      <c r="V10">
        <v>1962376347509.1875</v>
      </c>
    </row>
    <row r="11" spans="1:22">
      <c r="A11">
        <v>2040</v>
      </c>
      <c r="B11" s="8" t="s">
        <v>109</v>
      </c>
      <c r="C11">
        <f>SUM(C8:C10)</f>
        <v>3106696162</v>
      </c>
      <c r="D11" s="28">
        <f t="shared" ref="D11:R11" si="0">SUM(D8:D10)</f>
        <v>610396728.25</v>
      </c>
      <c r="E11" s="28">
        <f t="shared" si="0"/>
        <v>331755614.84375</v>
      </c>
      <c r="F11" s="28">
        <f t="shared" si="0"/>
        <v>25067569405952</v>
      </c>
      <c r="G11">
        <f t="shared" si="0"/>
        <v>330102139.4375</v>
      </c>
      <c r="H11">
        <f t="shared" si="0"/>
        <v>253228043.65625</v>
      </c>
      <c r="I11">
        <f t="shared" si="0"/>
        <v>226016177.3515625</v>
      </c>
      <c r="J11">
        <f t="shared" si="0"/>
        <v>112127256.7890625</v>
      </c>
      <c r="K11">
        <f>H11+I11+J11</f>
        <v>591371477.796875</v>
      </c>
      <c r="L11">
        <f>F38</f>
        <v>9601058000</v>
      </c>
      <c r="M11">
        <f>F35</f>
        <v>150077970</v>
      </c>
      <c r="N11">
        <f>F32</f>
        <v>1755557000</v>
      </c>
      <c r="Q11">
        <f t="shared" si="0"/>
        <v>5982351.5014739996</v>
      </c>
      <c r="R11">
        <f t="shared" si="0"/>
        <v>86900774016</v>
      </c>
      <c r="V11">
        <f>SUM(V8:V10)</f>
        <v>25181692497381.688</v>
      </c>
    </row>
    <row r="12" spans="1:22">
      <c r="D12" s="28"/>
      <c r="E12" s="28"/>
      <c r="F12" s="28"/>
    </row>
    <row r="13" spans="1:22">
      <c r="A13">
        <v>2045</v>
      </c>
      <c r="B13">
        <v>20</v>
      </c>
      <c r="C13">
        <v>974920331</v>
      </c>
      <c r="D13" s="28">
        <v>285386960.75</v>
      </c>
      <c r="E13" s="28">
        <v>157262337.5</v>
      </c>
      <c r="F13" s="28">
        <v>11933942136832</v>
      </c>
      <c r="G13">
        <v>157337186.5</v>
      </c>
      <c r="H13">
        <v>128003628.5</v>
      </c>
      <c r="I13">
        <v>124721742.125</v>
      </c>
      <c r="J13">
        <v>64188590</v>
      </c>
      <c r="Q13">
        <v>3389745.5</v>
      </c>
      <c r="R13">
        <v>50507891456</v>
      </c>
      <c r="T13">
        <v>25</v>
      </c>
      <c r="U13">
        <v>298</v>
      </c>
      <c r="V13">
        <v>11987940987425.75</v>
      </c>
    </row>
    <row r="14" spans="1:22">
      <c r="A14">
        <v>2045</v>
      </c>
      <c r="B14">
        <v>30</v>
      </c>
      <c r="C14">
        <v>827250895</v>
      </c>
      <c r="D14" s="28">
        <v>215271955.25</v>
      </c>
      <c r="E14" s="28">
        <v>158166716.875</v>
      </c>
      <c r="F14" s="28">
        <v>11385336659968</v>
      </c>
      <c r="G14">
        <v>150076461.5</v>
      </c>
      <c r="H14">
        <v>107633483.375</v>
      </c>
      <c r="I14">
        <v>98521739.46875</v>
      </c>
      <c r="J14">
        <v>45624172.375</v>
      </c>
      <c r="Q14">
        <v>2499542.1777375001</v>
      </c>
      <c r="R14">
        <v>35899083712</v>
      </c>
      <c r="T14">
        <v>25</v>
      </c>
      <c r="U14">
        <v>298</v>
      </c>
      <c r="V14">
        <v>11437852140478</v>
      </c>
    </row>
    <row r="15" spans="1:22">
      <c r="A15">
        <v>2045</v>
      </c>
      <c r="B15">
        <v>41</v>
      </c>
      <c r="C15">
        <v>946396283</v>
      </c>
      <c r="D15" s="28">
        <v>84114736.5</v>
      </c>
      <c r="E15" s="28">
        <v>21753763.171875</v>
      </c>
      <c r="F15" s="28">
        <v>2019505999872</v>
      </c>
      <c r="G15">
        <v>26210076.65625</v>
      </c>
      <c r="H15">
        <v>15272006.453125</v>
      </c>
      <c r="I15">
        <v>10584945.91015625</v>
      </c>
      <c r="J15">
        <v>6412675.09765625</v>
      </c>
      <c r="Q15">
        <v>222464.872324</v>
      </c>
      <c r="R15">
        <v>3638530696</v>
      </c>
      <c r="T15">
        <v>25</v>
      </c>
      <c r="U15">
        <v>298</v>
      </c>
      <c r="V15">
        <v>2028091489709.7188</v>
      </c>
    </row>
    <row r="16" spans="1:22">
      <c r="A16">
        <v>2045</v>
      </c>
      <c r="B16" s="8" t="s">
        <v>109</v>
      </c>
      <c r="C16">
        <f>SUM(C13:C15)</f>
        <v>2748567509</v>
      </c>
      <c r="D16" s="28">
        <f t="shared" ref="D16" si="1">SUM(D13:D15)</f>
        <v>584773652.5</v>
      </c>
      <c r="E16" s="28">
        <f t="shared" ref="E16" si="2">SUM(E13:E15)</f>
        <v>337182817.546875</v>
      </c>
      <c r="F16" s="28">
        <f t="shared" ref="F16" si="3">SUM(F13:F15)</f>
        <v>25338784796672</v>
      </c>
      <c r="G16">
        <f t="shared" ref="G16" si="4">SUM(G13:G15)</f>
        <v>333623724.65625</v>
      </c>
      <c r="H16">
        <f t="shared" ref="H16" si="5">SUM(H13:H15)</f>
        <v>250909118.328125</v>
      </c>
      <c r="I16">
        <f t="shared" ref="I16" si="6">SUM(I13:I15)</f>
        <v>233828427.50390625</v>
      </c>
      <c r="J16">
        <f t="shared" ref="J16" si="7">SUM(J13:J15)</f>
        <v>116225437.47265625</v>
      </c>
      <c r="K16">
        <f>H16+I16+J16</f>
        <v>600962983.3046875</v>
      </c>
      <c r="L16">
        <f>F47</f>
        <v>9276252000</v>
      </c>
      <c r="M16">
        <f>F44</f>
        <v>152229810</v>
      </c>
      <c r="N16">
        <f>F41</f>
        <v>1819686000</v>
      </c>
      <c r="Q16">
        <f t="shared" ref="Q16" si="8">SUM(Q13:Q15)</f>
        <v>6111752.5500615006</v>
      </c>
      <c r="R16">
        <f t="shared" ref="R16" si="9">SUM(R13:R15)</f>
        <v>90045505864</v>
      </c>
      <c r="V16">
        <f>SUM(V13:V15)</f>
        <v>25453884617613.469</v>
      </c>
    </row>
    <row r="17" spans="1:22">
      <c r="D17" s="28"/>
      <c r="E17" s="28"/>
      <c r="F17" s="28"/>
    </row>
    <row r="18" spans="1:22">
      <c r="A18">
        <v>2050</v>
      </c>
      <c r="B18">
        <v>20</v>
      </c>
      <c r="C18">
        <v>851755460</v>
      </c>
      <c r="D18" s="28">
        <v>278451803</v>
      </c>
      <c r="E18" s="28">
        <v>164488251.5</v>
      </c>
      <c r="F18" s="28">
        <v>12407524032512</v>
      </c>
      <c r="G18">
        <v>163551866.5</v>
      </c>
      <c r="H18">
        <v>132999972.5</v>
      </c>
      <c r="I18">
        <v>132465506</v>
      </c>
      <c r="J18">
        <v>68158141</v>
      </c>
      <c r="Q18">
        <v>3542822</v>
      </c>
      <c r="R18">
        <v>53626745728</v>
      </c>
      <c r="T18">
        <v>25</v>
      </c>
      <c r="U18">
        <v>298</v>
      </c>
      <c r="V18">
        <v>12463502826534</v>
      </c>
    </row>
    <row r="19" spans="1:22">
      <c r="A19">
        <v>2050</v>
      </c>
      <c r="B19">
        <v>30</v>
      </c>
      <c r="C19">
        <v>637362044</v>
      </c>
      <c r="D19" s="28">
        <v>194807519</v>
      </c>
      <c r="E19" s="28">
        <v>155791021</v>
      </c>
      <c r="F19" s="28">
        <v>11117471367168</v>
      </c>
      <c r="G19">
        <v>146538799.5</v>
      </c>
      <c r="H19">
        <v>101723781.5</v>
      </c>
      <c r="I19">
        <v>98153442.75</v>
      </c>
      <c r="J19">
        <v>45434561.5</v>
      </c>
      <c r="Q19">
        <v>2468229.2031300003</v>
      </c>
      <c r="R19">
        <v>35744482560</v>
      </c>
      <c r="T19">
        <v>25</v>
      </c>
      <c r="U19">
        <v>298</v>
      </c>
      <c r="V19">
        <v>11168767279401</v>
      </c>
    </row>
    <row r="20" spans="1:22">
      <c r="A20">
        <v>2050</v>
      </c>
      <c r="B20">
        <v>41</v>
      </c>
      <c r="C20">
        <v>901321352</v>
      </c>
      <c r="D20" s="28">
        <v>85891254.75</v>
      </c>
      <c r="E20" s="28">
        <v>22330747.75</v>
      </c>
      <c r="F20" s="28">
        <v>2085004787712</v>
      </c>
      <c r="G20">
        <v>27054643.875</v>
      </c>
      <c r="H20">
        <v>13866439</v>
      </c>
      <c r="I20">
        <v>11021728.90625</v>
      </c>
      <c r="J20">
        <v>6730915.65625</v>
      </c>
      <c r="Q20">
        <v>230102.39551900001</v>
      </c>
      <c r="R20">
        <v>3819009424</v>
      </c>
      <c r="T20">
        <v>25</v>
      </c>
      <c r="U20">
        <v>298</v>
      </c>
      <c r="V20">
        <v>2093806631910.25</v>
      </c>
    </row>
    <row r="21" spans="1:22">
      <c r="A21">
        <v>2050</v>
      </c>
      <c r="B21" s="8" t="s">
        <v>109</v>
      </c>
      <c r="C21">
        <f>SUM(C18:C20)</f>
        <v>2390438856</v>
      </c>
      <c r="D21" s="28">
        <f t="shared" ref="D21" si="10">SUM(D18:D20)</f>
        <v>559150576.75</v>
      </c>
      <c r="E21" s="28">
        <f t="shared" ref="E21" si="11">SUM(E18:E20)</f>
        <v>342610020.25</v>
      </c>
      <c r="F21" s="28">
        <f t="shared" ref="F21" si="12">SUM(F18:F20)</f>
        <v>25610000187392</v>
      </c>
      <c r="G21">
        <f t="shared" ref="G21" si="13">SUM(G18:G20)</f>
        <v>337145309.875</v>
      </c>
      <c r="H21">
        <f t="shared" ref="H21" si="14">SUM(H18:H20)</f>
        <v>248590193</v>
      </c>
      <c r="I21">
        <f t="shared" ref="I21" si="15">SUM(I18:I20)</f>
        <v>241640677.65625</v>
      </c>
      <c r="J21">
        <f t="shared" ref="J21" si="16">SUM(J18:J20)</f>
        <v>120323618.15625</v>
      </c>
      <c r="K21">
        <f>H21+I21+J21</f>
        <v>610554488.8125</v>
      </c>
      <c r="L21">
        <f>F56</f>
        <v>9069978000</v>
      </c>
      <c r="M21">
        <f>F53</f>
        <v>155795450</v>
      </c>
      <c r="N21">
        <f>F50</f>
        <v>1883301000</v>
      </c>
      <c r="P21" s="298"/>
      <c r="Q21">
        <f t="shared" ref="Q21" si="17">SUM(Q18:Q20)</f>
        <v>6241153.5986490007</v>
      </c>
      <c r="R21">
        <f t="shared" ref="R21" si="18">SUM(R18:R20)</f>
        <v>93190237712</v>
      </c>
      <c r="V21">
        <f>SUM(V18:V20)</f>
        <v>25726076737845.25</v>
      </c>
    </row>
    <row r="23" spans="1:22">
      <c r="A23" s="2" t="s">
        <v>600</v>
      </c>
    </row>
    <row r="24" spans="1:22">
      <c r="A24">
        <v>2045</v>
      </c>
      <c r="B24" s="8" t="s">
        <v>109</v>
      </c>
      <c r="C24">
        <f>C16/C11</f>
        <v>0.88472363104557761</v>
      </c>
      <c r="D24">
        <f t="shared" ref="D24:F24" si="19">D16/D11</f>
        <v>0.95802225902576343</v>
      </c>
      <c r="E24">
        <f t="shared" si="19"/>
        <v>1.0163590379794509</v>
      </c>
      <c r="F24">
        <f t="shared" si="19"/>
        <v>1.0108193732837776</v>
      </c>
      <c r="G24">
        <f t="shared" ref="G24" si="20">G16/G11</f>
        <v>1.0106681684182686</v>
      </c>
      <c r="K24">
        <f t="shared" ref="K24:N24" si="21">K16/K11</f>
        <v>1.016219087101639</v>
      </c>
      <c r="L24">
        <f t="shared" si="21"/>
        <v>0.96616977003992688</v>
      </c>
      <c r="M24">
        <f t="shared" si="21"/>
        <v>1.0143381470311732</v>
      </c>
      <c r="N24">
        <f t="shared" si="21"/>
        <v>1.0365291471595626</v>
      </c>
      <c r="O24">
        <v>2045</v>
      </c>
      <c r="P24" s="8">
        <v>20</v>
      </c>
      <c r="Q24">
        <f>1.002^5</f>
        <v>1.010040080080032</v>
      </c>
      <c r="R24">
        <f>R13/R8</f>
        <v>1.065813834957023</v>
      </c>
      <c r="T24">
        <v>25</v>
      </c>
      <c r="U24">
        <v>298</v>
      </c>
      <c r="V24">
        <f t="shared" ref="V24" si="22">V16/V11</f>
        <v>1.0108091273158102</v>
      </c>
    </row>
    <row r="25" spans="1:22">
      <c r="A25">
        <v>2050</v>
      </c>
      <c r="B25" s="8" t="s">
        <v>109</v>
      </c>
      <c r="C25">
        <f>C21/C11</f>
        <v>0.76944726209115522</v>
      </c>
      <c r="D25">
        <f t="shared" ref="D25:F25" si="23">D21/D11</f>
        <v>0.91604451805152676</v>
      </c>
      <c r="E25">
        <f t="shared" si="23"/>
        <v>1.0327180759589019</v>
      </c>
      <c r="F25">
        <f t="shared" si="23"/>
        <v>1.0216387465675554</v>
      </c>
      <c r="G25">
        <f t="shared" ref="G25" si="24">G21/G11</f>
        <v>1.0213363368365369</v>
      </c>
      <c r="K25">
        <f t="shared" ref="K25:N25" si="25">K21/K11</f>
        <v>1.032438174203278</v>
      </c>
      <c r="L25">
        <f t="shared" si="25"/>
        <v>0.94468526281166099</v>
      </c>
      <c r="M25">
        <f t="shared" si="25"/>
        <v>1.03809673065274</v>
      </c>
      <c r="N25">
        <f t="shared" si="25"/>
        <v>1.0727655097498972</v>
      </c>
      <c r="P25" s="8">
        <v>30</v>
      </c>
      <c r="Q25">
        <f t="shared" ref="Q25:Q27" si="26">1.002^5</f>
        <v>1.010040080080032</v>
      </c>
      <c r="R25">
        <f t="shared" ref="R25:R27" si="27">R14/R9</f>
        <v>0.99571191814142768</v>
      </c>
      <c r="T25">
        <v>25</v>
      </c>
      <c r="U25">
        <v>298</v>
      </c>
      <c r="V25">
        <f t="shared" ref="V25" si="28">V21/V11</f>
        <v>1.0216182546316204</v>
      </c>
    </row>
    <row r="26" spans="1:22">
      <c r="P26" s="8">
        <v>41</v>
      </c>
      <c r="Q26">
        <f t="shared" si="26"/>
        <v>1.010040080080032</v>
      </c>
      <c r="R26">
        <f t="shared" si="27"/>
        <v>1.0521908663230362</v>
      </c>
    </row>
    <row r="27" spans="1:22">
      <c r="A27" s="69" t="s">
        <v>609</v>
      </c>
      <c r="P27" s="8" t="s">
        <v>109</v>
      </c>
      <c r="Q27">
        <f t="shared" si="26"/>
        <v>1.010040080080032</v>
      </c>
      <c r="R27">
        <f t="shared" si="27"/>
        <v>1.0361876160898291</v>
      </c>
    </row>
    <row r="28" spans="1:22">
      <c r="O28">
        <v>2050</v>
      </c>
      <c r="P28" s="8">
        <v>20</v>
      </c>
      <c r="Q28" s="232">
        <f>1.002^10</f>
        <v>1.0201809633680772</v>
      </c>
      <c r="R28">
        <f>R18/R8</f>
        <v>1.131627669914046</v>
      </c>
    </row>
    <row r="29" spans="1:22">
      <c r="A29" t="s">
        <v>0</v>
      </c>
      <c r="B29" t="s">
        <v>504</v>
      </c>
      <c r="C29" t="s">
        <v>610</v>
      </c>
      <c r="D29" t="s">
        <v>31</v>
      </c>
      <c r="E29" t="s">
        <v>611</v>
      </c>
      <c r="P29" s="8">
        <v>30</v>
      </c>
      <c r="Q29" s="232">
        <f t="shared" ref="Q29:Q31" si="29">1.002^10</f>
        <v>1.0201809633680772</v>
      </c>
      <c r="R29">
        <f t="shared" ref="R29:R31" si="30">R19/R9</f>
        <v>0.99142383628285546</v>
      </c>
    </row>
    <row r="30" spans="1:22">
      <c r="A30">
        <v>2040</v>
      </c>
      <c r="B30">
        <v>34</v>
      </c>
      <c r="C30">
        <v>30</v>
      </c>
      <c r="D30">
        <v>20</v>
      </c>
      <c r="E30">
        <v>818124000</v>
      </c>
      <c r="P30" s="8">
        <v>41</v>
      </c>
      <c r="Q30" s="232">
        <f t="shared" si="29"/>
        <v>1.0201809633680772</v>
      </c>
      <c r="R30">
        <f t="shared" si="30"/>
        <v>1.1043817326460723</v>
      </c>
    </row>
    <row r="31" spans="1:22">
      <c r="A31">
        <v>2040</v>
      </c>
      <c r="B31">
        <v>34</v>
      </c>
      <c r="C31">
        <v>30</v>
      </c>
      <c r="D31">
        <v>30</v>
      </c>
      <c r="E31">
        <v>823732000</v>
      </c>
      <c r="P31" s="8" t="s">
        <v>109</v>
      </c>
      <c r="Q31" s="232">
        <f t="shared" si="29"/>
        <v>1.0201809633680772</v>
      </c>
      <c r="R31">
        <f t="shared" si="30"/>
        <v>1.072375232179658</v>
      </c>
    </row>
    <row r="32" spans="1:22">
      <c r="A32">
        <v>2040</v>
      </c>
      <c r="B32">
        <v>34</v>
      </c>
      <c r="C32">
        <v>30</v>
      </c>
      <c r="D32">
        <v>41</v>
      </c>
      <c r="E32">
        <v>113701000</v>
      </c>
      <c r="F32">
        <f>SUM(E30:E32)</f>
        <v>1755557000</v>
      </c>
    </row>
    <row r="33" spans="1:18">
      <c r="A33">
        <v>2040</v>
      </c>
      <c r="B33">
        <v>34</v>
      </c>
      <c r="C33">
        <v>31</v>
      </c>
      <c r="D33">
        <v>20</v>
      </c>
      <c r="E33">
        <v>62342900</v>
      </c>
      <c r="P33" s="8" t="s">
        <v>618</v>
      </c>
      <c r="Q33">
        <v>2040</v>
      </c>
      <c r="R33">
        <f>(Q8+Q9)/Q11</f>
        <v>0.96408981500400504</v>
      </c>
    </row>
    <row r="34" spans="1:18">
      <c r="A34">
        <v>2040</v>
      </c>
      <c r="B34">
        <v>34</v>
      </c>
      <c r="C34">
        <v>31</v>
      </c>
      <c r="D34">
        <v>30</v>
      </c>
      <c r="E34">
        <v>78808900</v>
      </c>
      <c r="Q34">
        <v>2041</v>
      </c>
      <c r="R34" s="232">
        <f>R33+1/5*(R38-R33)</f>
        <v>0.96399194757311513</v>
      </c>
    </row>
    <row r="35" spans="1:18">
      <c r="A35">
        <v>2040</v>
      </c>
      <c r="B35">
        <v>34</v>
      </c>
      <c r="C35">
        <v>31</v>
      </c>
      <c r="D35">
        <v>41</v>
      </c>
      <c r="E35">
        <v>8926170</v>
      </c>
      <c r="F35">
        <f>SUM(E33:E35)</f>
        <v>150077970</v>
      </c>
      <c r="Q35">
        <v>2042</v>
      </c>
      <c r="R35" s="232">
        <f>R33+2/5*(R38-R33)</f>
        <v>0.96389408014222522</v>
      </c>
    </row>
    <row r="36" spans="1:18">
      <c r="A36">
        <v>2040</v>
      </c>
      <c r="B36">
        <v>34</v>
      </c>
      <c r="C36">
        <v>87</v>
      </c>
      <c r="D36">
        <v>20</v>
      </c>
      <c r="E36">
        <v>4222680000</v>
      </c>
      <c r="Q36">
        <v>2043</v>
      </c>
      <c r="R36" s="232">
        <f>R33+3/5*(R38-R33)</f>
        <v>0.9637962127113352</v>
      </c>
    </row>
    <row r="37" spans="1:18">
      <c r="A37">
        <v>2040</v>
      </c>
      <c r="B37">
        <v>34</v>
      </c>
      <c r="C37">
        <v>87</v>
      </c>
      <c r="D37">
        <v>30</v>
      </c>
      <c r="E37">
        <v>4907050000</v>
      </c>
      <c r="Q37">
        <v>2044</v>
      </c>
      <c r="R37" s="232">
        <f>R33+4/5*(R38-R33)</f>
        <v>0.96369834528044529</v>
      </c>
    </row>
    <row r="38" spans="1:18">
      <c r="A38">
        <v>2040</v>
      </c>
      <c r="B38">
        <v>34</v>
      </c>
      <c r="C38">
        <v>87</v>
      </c>
      <c r="D38">
        <v>41</v>
      </c>
      <c r="E38">
        <v>471328000</v>
      </c>
      <c r="F38">
        <f>SUM(E36:E38)</f>
        <v>9601058000</v>
      </c>
      <c r="Q38">
        <v>2045</v>
      </c>
      <c r="R38" s="232">
        <f>(Q13+Q14)/Q16</f>
        <v>0.96360047784955538</v>
      </c>
    </row>
    <row r="39" spans="1:18">
      <c r="A39">
        <v>2045</v>
      </c>
      <c r="B39">
        <v>34</v>
      </c>
      <c r="C39">
        <v>30</v>
      </c>
      <c r="D39">
        <v>20</v>
      </c>
      <c r="E39">
        <v>879061000</v>
      </c>
      <c r="Q39">
        <v>2046</v>
      </c>
      <c r="R39" s="232">
        <f>R38+1/5*(R43-R38)</f>
        <v>0.96350666869025881</v>
      </c>
    </row>
    <row r="40" spans="1:18">
      <c r="A40">
        <v>2045</v>
      </c>
      <c r="B40">
        <v>34</v>
      </c>
      <c r="C40">
        <v>30</v>
      </c>
      <c r="D40">
        <v>30</v>
      </c>
      <c r="E40">
        <v>820777000</v>
      </c>
      <c r="Q40">
        <v>2047</v>
      </c>
      <c r="R40" s="232">
        <f>R38+2/5*(R43-R38)</f>
        <v>0.96341285953096234</v>
      </c>
    </row>
    <row r="41" spans="1:18">
      <c r="A41">
        <v>2045</v>
      </c>
      <c r="B41">
        <v>34</v>
      </c>
      <c r="C41">
        <v>30</v>
      </c>
      <c r="D41">
        <v>41</v>
      </c>
      <c r="E41">
        <v>119848000</v>
      </c>
      <c r="F41">
        <f>SUM(E39:E41)</f>
        <v>1819686000</v>
      </c>
      <c r="Q41">
        <v>2048</v>
      </c>
      <c r="R41" s="232">
        <f>R38+3/5*(R43-R38)</f>
        <v>0.96331905037166576</v>
      </c>
    </row>
    <row r="42" spans="1:18">
      <c r="A42">
        <v>2045</v>
      </c>
      <c r="B42">
        <v>34</v>
      </c>
      <c r="C42">
        <v>31</v>
      </c>
      <c r="D42">
        <v>20</v>
      </c>
      <c r="E42">
        <v>65863500</v>
      </c>
      <c r="Q42">
        <v>2049</v>
      </c>
      <c r="R42" s="232">
        <f>R38+4/5*(R43-R38)</f>
        <v>0.9632252412123693</v>
      </c>
    </row>
    <row r="43" spans="1:18">
      <c r="A43">
        <v>2045</v>
      </c>
      <c r="B43">
        <v>34</v>
      </c>
      <c r="C43">
        <v>31</v>
      </c>
      <c r="D43">
        <v>30</v>
      </c>
      <c r="E43">
        <v>77121200</v>
      </c>
      <c r="Q43">
        <v>2050</v>
      </c>
      <c r="R43" s="232">
        <f>(Q18+Q19)/Q21</f>
        <v>0.96313143205307272</v>
      </c>
    </row>
    <row r="44" spans="1:18">
      <c r="A44">
        <v>2045</v>
      </c>
      <c r="B44">
        <v>34</v>
      </c>
      <c r="C44">
        <v>31</v>
      </c>
      <c r="D44">
        <v>41</v>
      </c>
      <c r="E44">
        <v>9245110</v>
      </c>
      <c r="F44">
        <f>SUM(E42:E44)</f>
        <v>152229810</v>
      </c>
    </row>
    <row r="45" spans="1:18">
      <c r="A45">
        <v>2045</v>
      </c>
      <c r="B45">
        <v>34</v>
      </c>
      <c r="C45">
        <v>87</v>
      </c>
      <c r="D45">
        <v>20</v>
      </c>
      <c r="E45">
        <v>4256030000</v>
      </c>
    </row>
    <row r="46" spans="1:18">
      <c r="A46">
        <v>2045</v>
      </c>
      <c r="B46">
        <v>34</v>
      </c>
      <c r="C46">
        <v>87</v>
      </c>
      <c r="D46">
        <v>30</v>
      </c>
      <c r="E46">
        <v>4539950000</v>
      </c>
    </row>
    <row r="47" spans="1:18">
      <c r="A47">
        <v>2045</v>
      </c>
      <c r="B47">
        <v>34</v>
      </c>
      <c r="C47">
        <v>87</v>
      </c>
      <c r="D47">
        <v>41</v>
      </c>
      <c r="E47">
        <v>480272000</v>
      </c>
      <c r="F47">
        <f>SUM(E45:E47)</f>
        <v>9276252000</v>
      </c>
    </row>
    <row r="48" spans="1:18">
      <c r="A48">
        <v>2050</v>
      </c>
      <c r="B48">
        <v>34</v>
      </c>
      <c r="C48">
        <v>30</v>
      </c>
      <c r="D48">
        <v>20</v>
      </c>
      <c r="E48">
        <v>928847000</v>
      </c>
    </row>
    <row r="49" spans="1:6">
      <c r="A49">
        <v>2050</v>
      </c>
      <c r="B49">
        <v>34</v>
      </c>
      <c r="C49">
        <v>30</v>
      </c>
      <c r="D49">
        <v>30</v>
      </c>
      <c r="E49">
        <v>826648000</v>
      </c>
    </row>
    <row r="50" spans="1:6">
      <c r="A50">
        <v>2050</v>
      </c>
      <c r="B50">
        <v>34</v>
      </c>
      <c r="C50">
        <v>30</v>
      </c>
      <c r="D50">
        <v>41</v>
      </c>
      <c r="E50">
        <v>127806000</v>
      </c>
      <c r="F50">
        <f>SUM(E48:E50)</f>
        <v>1883301000</v>
      </c>
    </row>
    <row r="51" spans="1:6">
      <c r="A51">
        <v>2050</v>
      </c>
      <c r="B51">
        <v>34</v>
      </c>
      <c r="C51">
        <v>31</v>
      </c>
      <c r="D51">
        <v>20</v>
      </c>
      <c r="E51">
        <v>68877600</v>
      </c>
    </row>
    <row r="52" spans="1:6">
      <c r="A52">
        <v>2050</v>
      </c>
      <c r="B52">
        <v>34</v>
      </c>
      <c r="C52">
        <v>31</v>
      </c>
      <c r="D52">
        <v>30</v>
      </c>
      <c r="E52">
        <v>77121600</v>
      </c>
    </row>
    <row r="53" spans="1:6">
      <c r="A53">
        <v>2050</v>
      </c>
      <c r="B53">
        <v>34</v>
      </c>
      <c r="C53">
        <v>31</v>
      </c>
      <c r="D53">
        <v>41</v>
      </c>
      <c r="E53">
        <v>9796250</v>
      </c>
      <c r="F53">
        <f>SUM(E51:E53)</f>
        <v>155795450</v>
      </c>
    </row>
    <row r="54" spans="1:6">
      <c r="A54">
        <v>2050</v>
      </c>
      <c r="B54">
        <v>34</v>
      </c>
      <c r="C54">
        <v>87</v>
      </c>
      <c r="D54">
        <v>20</v>
      </c>
      <c r="E54">
        <v>4309230000</v>
      </c>
    </row>
    <row r="55" spans="1:6">
      <c r="A55">
        <v>2050</v>
      </c>
      <c r="B55">
        <v>34</v>
      </c>
      <c r="C55">
        <v>87</v>
      </c>
      <c r="D55">
        <v>30</v>
      </c>
      <c r="E55">
        <v>4255320000</v>
      </c>
    </row>
    <row r="56" spans="1:6">
      <c r="A56">
        <v>2050</v>
      </c>
      <c r="B56">
        <v>34</v>
      </c>
      <c r="C56">
        <v>87</v>
      </c>
      <c r="D56">
        <v>41</v>
      </c>
      <c r="E56">
        <v>505428000</v>
      </c>
      <c r="F56">
        <f>SUM(E54:E56)</f>
        <v>9069978000</v>
      </c>
    </row>
  </sheetData>
  <sheetProtection algorithmName="SHA-512" hashValue="dqTxjgKiZiToOqLPZ4e1S93hE/NEcCIVDNFZjRyQqNfS+fq2uJ7lQTg4lESOJi9VHjyMjqk2gVvMPBXjQ02/6g==" saltValue="wN26oRasNMIAV0w7HD5AbQ==" spinCount="100000" sheet="1" objects="1" scenarios="1"/>
  <pageMargins left="0.7" right="0.7" top="0.75" bottom="0.75" header="0.3" footer="0.3"/>
  <pageSetup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8"/>
  <dimension ref="A1:V32"/>
  <sheetViews>
    <sheetView workbookViewId="0">
      <selection activeCell="N9" sqref="N9:N16"/>
    </sheetView>
  </sheetViews>
  <sheetFormatPr baseColWidth="10" defaultColWidth="8.83203125" defaultRowHeight="15"/>
  <cols>
    <col min="3" max="3" width="12.1640625" bestFit="1" customWidth="1"/>
    <col min="4" max="4" width="9.5" bestFit="1" customWidth="1"/>
    <col min="5" max="5" width="11.1640625" bestFit="1" customWidth="1"/>
    <col min="6" max="6" width="13.6640625" bestFit="1" customWidth="1"/>
    <col min="7" max="7" width="10.1640625" bestFit="1" customWidth="1"/>
    <col min="8" max="8" width="9.33203125" bestFit="1" customWidth="1"/>
    <col min="9" max="9" width="10.1640625" bestFit="1" customWidth="1"/>
    <col min="10" max="10" width="9.33203125" bestFit="1" customWidth="1"/>
    <col min="11" max="11" width="10.6640625" customWidth="1"/>
    <col min="12" max="12" width="9.33203125" customWidth="1"/>
    <col min="13" max="13" width="10.5" customWidth="1"/>
    <col min="14" max="14" width="9.33203125" bestFit="1" customWidth="1"/>
    <col min="15" max="15" width="12.83203125" customWidth="1"/>
  </cols>
  <sheetData>
    <row r="1" spans="1:22">
      <c r="A1" s="2" t="s">
        <v>76</v>
      </c>
      <c r="C1" s="6"/>
      <c r="E1" t="s">
        <v>531</v>
      </c>
      <c r="H1" s="6"/>
      <c r="I1" s="6"/>
      <c r="Q1" s="29" t="s">
        <v>503</v>
      </c>
    </row>
    <row r="2" spans="1:22">
      <c r="Q2" t="s">
        <v>504</v>
      </c>
      <c r="R2" t="s">
        <v>0</v>
      </c>
      <c r="S2" t="s">
        <v>31</v>
      </c>
      <c r="T2" t="s">
        <v>505</v>
      </c>
      <c r="U2" t="s">
        <v>75</v>
      </c>
      <c r="V2" t="s">
        <v>533</v>
      </c>
    </row>
    <row r="3" spans="1:22">
      <c r="A3" t="s">
        <v>0</v>
      </c>
      <c r="B3" t="s">
        <v>31</v>
      </c>
      <c r="C3" s="3" t="s">
        <v>2</v>
      </c>
      <c r="D3" s="3" t="s">
        <v>26</v>
      </c>
      <c r="E3" s="3" t="s">
        <v>21</v>
      </c>
      <c r="F3" s="3" t="s">
        <v>3</v>
      </c>
      <c r="G3" s="3" t="s">
        <v>22</v>
      </c>
      <c r="H3" s="3" t="s">
        <v>43</v>
      </c>
      <c r="I3" s="3" t="s">
        <v>44</v>
      </c>
      <c r="J3" s="3" t="s">
        <v>45</v>
      </c>
      <c r="K3" s="3" t="s">
        <v>115</v>
      </c>
      <c r="L3" s="3" t="s">
        <v>116</v>
      </c>
      <c r="M3" s="3" t="s">
        <v>117</v>
      </c>
      <c r="N3" s="3" t="s">
        <v>74</v>
      </c>
      <c r="O3" s="3" t="s">
        <v>75</v>
      </c>
      <c r="Q3">
        <v>34</v>
      </c>
      <c r="R3">
        <v>2017</v>
      </c>
      <c r="S3">
        <v>20</v>
      </c>
      <c r="T3">
        <v>1</v>
      </c>
      <c r="U3">
        <v>35685895808</v>
      </c>
      <c r="V3">
        <v>3176478.2969999998</v>
      </c>
    </row>
    <row r="4" spans="1:22">
      <c r="A4">
        <v>2017</v>
      </c>
      <c r="B4">
        <v>20</v>
      </c>
      <c r="C4" s="3">
        <v>7779037745.0898399</v>
      </c>
      <c r="D4" s="3">
        <v>767548802.09375</v>
      </c>
      <c r="E4" s="3">
        <v>206416823.251221</v>
      </c>
      <c r="F4" s="3">
        <v>12775029117936</v>
      </c>
      <c r="G4" s="3">
        <v>168708388.27539101</v>
      </c>
      <c r="H4" s="3">
        <v>130307399.730408</v>
      </c>
      <c r="I4" s="3">
        <v>91532720.153808594</v>
      </c>
      <c r="J4" s="3">
        <v>45952014.090820298</v>
      </c>
      <c r="K4" s="3">
        <v>8123669704.9921904</v>
      </c>
      <c r="L4" s="3">
        <v>262763927.55822799</v>
      </c>
      <c r="M4" s="3">
        <v>945719075.69140601</v>
      </c>
      <c r="N4" s="3">
        <v>3195850.5263669998</v>
      </c>
      <c r="O4">
        <v>35920696423.509995</v>
      </c>
      <c r="Q4">
        <v>34</v>
      </c>
      <c r="R4">
        <v>2017</v>
      </c>
      <c r="S4">
        <v>20</v>
      </c>
      <c r="T4">
        <v>2</v>
      </c>
      <c r="U4">
        <v>162104302</v>
      </c>
      <c r="V4">
        <v>13782.484990000001</v>
      </c>
    </row>
    <row r="5" spans="1:22">
      <c r="A5">
        <v>2017</v>
      </c>
      <c r="B5">
        <v>30</v>
      </c>
      <c r="C5" s="3">
        <v>9723638575.5</v>
      </c>
      <c r="D5" s="3">
        <v>776887909.046875</v>
      </c>
      <c r="E5" s="3">
        <v>283081075.790039</v>
      </c>
      <c r="F5" s="3">
        <v>15680442718976</v>
      </c>
      <c r="G5" s="3">
        <v>206842041.80767801</v>
      </c>
      <c r="H5" s="3">
        <v>149743584.98632801</v>
      </c>
      <c r="I5" s="3">
        <v>96355834.733444199</v>
      </c>
      <c r="J5" s="3">
        <v>43686729.046096802</v>
      </c>
      <c r="K5" s="3">
        <v>7072889655.875</v>
      </c>
      <c r="L5" s="3">
        <v>322724224.227539</v>
      </c>
      <c r="M5" s="3">
        <v>873602069.94921899</v>
      </c>
      <c r="N5" s="3">
        <v>2999261.2101912</v>
      </c>
      <c r="O5">
        <v>34188060852.5</v>
      </c>
      <c r="Q5">
        <v>34</v>
      </c>
      <c r="R5">
        <v>2017</v>
      </c>
      <c r="S5">
        <v>20</v>
      </c>
      <c r="T5">
        <v>5</v>
      </c>
      <c r="U5">
        <v>15321731.130000001</v>
      </c>
      <c r="V5">
        <v>1239.9893950000001</v>
      </c>
    </row>
    <row r="6" spans="1:22">
      <c r="A6">
        <v>2017</v>
      </c>
      <c r="B6">
        <v>41</v>
      </c>
      <c r="C6" s="3">
        <v>6687283648</v>
      </c>
      <c r="D6" s="3">
        <v>215851443.75</v>
      </c>
      <c r="E6" s="3">
        <v>63931580.65625</v>
      </c>
      <c r="F6" s="3">
        <v>2140951228416</v>
      </c>
      <c r="G6" s="3">
        <v>27923376.4375</v>
      </c>
      <c r="H6" s="3">
        <v>206165963.125</v>
      </c>
      <c r="I6" s="3">
        <v>8044585.47265625</v>
      </c>
      <c r="J6" s="3">
        <v>4821315.234375</v>
      </c>
      <c r="K6" s="3">
        <v>1792334748</v>
      </c>
      <c r="L6" s="3">
        <v>27459611.484375</v>
      </c>
      <c r="M6" s="3">
        <v>120211974.25</v>
      </c>
      <c r="N6" s="3">
        <v>245680.18797</v>
      </c>
      <c r="O6">
        <v>2729701400</v>
      </c>
      <c r="Q6">
        <v>34</v>
      </c>
      <c r="R6">
        <v>2017</v>
      </c>
      <c r="S6">
        <v>20</v>
      </c>
      <c r="T6">
        <v>9</v>
      </c>
      <c r="U6">
        <v>57374582.380000003</v>
      </c>
      <c r="V6">
        <v>4349.7549820000004</v>
      </c>
    </row>
    <row r="7" spans="1:22">
      <c r="C7" s="3"/>
      <c r="D7" s="3"/>
      <c r="E7" s="3"/>
      <c r="F7" s="3"/>
      <c r="G7" s="3"/>
      <c r="H7" s="3"/>
      <c r="I7" s="3"/>
      <c r="J7" s="3"/>
      <c r="K7" s="3"/>
      <c r="L7" s="3"/>
      <c r="M7" s="3"/>
      <c r="N7" s="3"/>
      <c r="Q7">
        <v>34</v>
      </c>
      <c r="R7">
        <v>2017</v>
      </c>
      <c r="S7">
        <v>30</v>
      </c>
      <c r="T7">
        <v>1</v>
      </c>
      <c r="U7">
        <v>34012842368</v>
      </c>
      <c r="V7">
        <v>2984198</v>
      </c>
    </row>
    <row r="8" spans="1:22">
      <c r="A8" t="s">
        <v>0</v>
      </c>
      <c r="B8" t="s">
        <v>31</v>
      </c>
      <c r="C8" s="3" t="s">
        <v>2</v>
      </c>
      <c r="D8" s="3" t="s">
        <v>26</v>
      </c>
      <c r="E8" s="3" t="s">
        <v>21</v>
      </c>
      <c r="F8" s="3" t="s">
        <v>3</v>
      </c>
      <c r="G8" s="3" t="s">
        <v>22</v>
      </c>
      <c r="H8" s="3" t="s">
        <v>43</v>
      </c>
      <c r="I8" s="3" t="s">
        <v>44</v>
      </c>
      <c r="J8" s="3" t="s">
        <v>45</v>
      </c>
      <c r="K8" s="3" t="s">
        <v>115</v>
      </c>
      <c r="L8" s="3" t="s">
        <v>116</v>
      </c>
      <c r="M8" s="3" t="s">
        <v>117</v>
      </c>
      <c r="N8" s="3" t="s">
        <v>74</v>
      </c>
      <c r="O8" t="s">
        <v>75</v>
      </c>
      <c r="Q8">
        <v>34</v>
      </c>
      <c r="R8">
        <v>2017</v>
      </c>
      <c r="S8">
        <v>30</v>
      </c>
      <c r="T8">
        <v>2</v>
      </c>
      <c r="U8">
        <v>95697251</v>
      </c>
      <c r="V8">
        <v>8713.4029539999992</v>
      </c>
    </row>
    <row r="9" spans="1:22">
      <c r="A9">
        <v>2030</v>
      </c>
      <c r="B9">
        <v>20</v>
      </c>
      <c r="C9" s="3">
        <v>1689487218.73242</v>
      </c>
      <c r="D9" s="3">
        <v>428273729.76074201</v>
      </c>
      <c r="E9" s="3">
        <v>150058810.286621</v>
      </c>
      <c r="F9" s="3">
        <v>10191803087296</v>
      </c>
      <c r="G9" s="3">
        <v>134454286.858643</v>
      </c>
      <c r="H9" s="3">
        <v>109838847.258423</v>
      </c>
      <c r="I9" s="3">
        <v>101302963.882416</v>
      </c>
      <c r="J9" s="3">
        <v>50517324.990387</v>
      </c>
      <c r="K9" s="3">
        <v>4782757534.4843798</v>
      </c>
      <c r="L9" s="3">
        <v>199954297.99475101</v>
      </c>
      <c r="M9" s="3">
        <v>829090044.73828101</v>
      </c>
      <c r="N9" s="3">
        <f>N4*1.002^13</f>
        <v>3279947.094215272</v>
      </c>
      <c r="O9">
        <v>39320234966.909996</v>
      </c>
      <c r="Q9">
        <v>34</v>
      </c>
      <c r="R9">
        <v>2017</v>
      </c>
      <c r="S9">
        <v>30</v>
      </c>
      <c r="T9">
        <v>5</v>
      </c>
      <c r="U9">
        <v>69621150.25</v>
      </c>
      <c r="V9">
        <v>5613.883041</v>
      </c>
    </row>
    <row r="10" spans="1:22">
      <c r="A10">
        <v>2030</v>
      </c>
      <c r="B10">
        <v>30</v>
      </c>
      <c r="C10" s="3">
        <v>1879162818.70312</v>
      </c>
      <c r="D10" s="3">
        <v>412075679.14843798</v>
      </c>
      <c r="E10" s="3">
        <v>187742578.79296899</v>
      </c>
      <c r="F10" s="3">
        <v>12345575550464</v>
      </c>
      <c r="G10" s="3">
        <v>162755595.62237501</v>
      </c>
      <c r="H10" s="3">
        <v>124247938.35839801</v>
      </c>
      <c r="I10" s="3">
        <v>103135433.810829</v>
      </c>
      <c r="J10" s="3">
        <v>46684992.449905403</v>
      </c>
      <c r="K10" s="3">
        <v>3973501021.34375</v>
      </c>
      <c r="L10" s="3">
        <v>237496143.86425799</v>
      </c>
      <c r="M10" s="3">
        <v>791607493.96875</v>
      </c>
      <c r="N10" s="3">
        <f t="shared" ref="N10:N11" si="0">N5*1.002^13</f>
        <v>3078184.6678987993</v>
      </c>
      <c r="O10">
        <v>36498264684.258003</v>
      </c>
      <c r="Q10">
        <v>34</v>
      </c>
      <c r="R10">
        <v>2017</v>
      </c>
      <c r="S10">
        <v>30</v>
      </c>
      <c r="T10">
        <v>9</v>
      </c>
      <c r="U10">
        <v>9900083.25</v>
      </c>
      <c r="V10">
        <v>735.92419619999998</v>
      </c>
    </row>
    <row r="11" spans="1:22">
      <c r="A11">
        <v>2030</v>
      </c>
      <c r="B11">
        <v>41</v>
      </c>
      <c r="C11" s="3">
        <v>1235616394</v>
      </c>
      <c r="D11" s="3">
        <v>98045674.25</v>
      </c>
      <c r="E11" s="3">
        <v>22894444.21875</v>
      </c>
      <c r="F11" s="3">
        <v>1849532448768</v>
      </c>
      <c r="G11" s="3">
        <v>24031891.4375</v>
      </c>
      <c r="H11" s="3">
        <v>20720329.96875</v>
      </c>
      <c r="I11" s="3">
        <v>9616170.27734375</v>
      </c>
      <c r="J11" s="3">
        <v>5533021.05859375</v>
      </c>
      <c r="K11" s="3">
        <v>416050288</v>
      </c>
      <c r="L11" s="3">
        <v>18211745.75</v>
      </c>
      <c r="M11" s="3">
        <v>101327277.75</v>
      </c>
      <c r="N11" s="3">
        <f t="shared" si="0"/>
        <v>252145.09001286316</v>
      </c>
      <c r="O11">
        <v>3127419676</v>
      </c>
      <c r="Q11">
        <v>34</v>
      </c>
      <c r="R11">
        <v>2017</v>
      </c>
      <c r="S11">
        <v>41</v>
      </c>
      <c r="T11">
        <v>1</v>
      </c>
      <c r="U11">
        <v>1559084752</v>
      </c>
      <c r="V11">
        <v>148039.3076</v>
      </c>
    </row>
    <row r="12" spans="1:22">
      <c r="C12" s="3"/>
      <c r="D12" s="3"/>
      <c r="E12" s="3"/>
      <c r="F12" s="3"/>
      <c r="G12" s="3"/>
      <c r="H12" s="3"/>
      <c r="I12" s="3"/>
      <c r="J12" s="3"/>
      <c r="K12" s="3"/>
      <c r="L12" s="3"/>
      <c r="M12" s="3"/>
      <c r="N12" s="3"/>
      <c r="Q12">
        <v>34</v>
      </c>
      <c r="R12">
        <v>2017</v>
      </c>
      <c r="S12">
        <v>41</v>
      </c>
      <c r="T12">
        <v>2</v>
      </c>
      <c r="U12">
        <v>1170616648</v>
      </c>
      <c r="V12">
        <v>97640.880369999999</v>
      </c>
    </row>
    <row r="13" spans="1:22">
      <c r="A13" t="s">
        <v>0</v>
      </c>
      <c r="B13" t="s">
        <v>31</v>
      </c>
      <c r="C13" s="3" t="s">
        <v>2</v>
      </c>
      <c r="D13" s="3" t="s">
        <v>26</v>
      </c>
      <c r="E13" s="3" t="s">
        <v>21</v>
      </c>
      <c r="F13" s="3" t="s">
        <v>3</v>
      </c>
      <c r="G13" s="3" t="s">
        <v>22</v>
      </c>
      <c r="H13" s="3" t="s">
        <v>43</v>
      </c>
      <c r="I13" s="3" t="s">
        <v>44</v>
      </c>
      <c r="J13" s="3" t="s">
        <v>45</v>
      </c>
      <c r="K13" s="3" t="s">
        <v>115</v>
      </c>
      <c r="L13" s="3" t="s">
        <v>116</v>
      </c>
      <c r="M13" s="3" t="s">
        <v>117</v>
      </c>
      <c r="N13" s="3" t="s">
        <v>74</v>
      </c>
      <c r="O13" t="s">
        <v>75</v>
      </c>
      <c r="Q13">
        <v>34</v>
      </c>
      <c r="R13">
        <v>2030</v>
      </c>
      <c r="S13">
        <v>20</v>
      </c>
      <c r="T13">
        <v>1</v>
      </c>
      <c r="U13">
        <v>38788023680</v>
      </c>
      <c r="V13">
        <v>3726083.6532281106</v>
      </c>
    </row>
    <row r="14" spans="1:22">
      <c r="A14">
        <v>2040</v>
      </c>
      <c r="B14">
        <v>20</v>
      </c>
      <c r="C14" s="3">
        <v>963460024.53515601</v>
      </c>
      <c r="D14" s="3">
        <v>362002543.45117199</v>
      </c>
      <c r="E14" s="3">
        <v>150148655.76464799</v>
      </c>
      <c r="F14" s="3">
        <v>10429037696064</v>
      </c>
      <c r="G14" s="3">
        <v>137478769.264465</v>
      </c>
      <c r="H14" s="3">
        <v>75489383.447143599</v>
      </c>
      <c r="I14" s="3">
        <v>114715509.25279599</v>
      </c>
      <c r="J14" s="3">
        <v>56891073.919906601</v>
      </c>
      <c r="K14" s="3">
        <v>3951045366.5468798</v>
      </c>
      <c r="L14" s="3">
        <v>211424473.313721</v>
      </c>
      <c r="M14" s="3">
        <v>916385652.97265601</v>
      </c>
      <c r="N14" s="3">
        <f>N4*1.002^23</f>
        <v>3346139.5863728612</v>
      </c>
      <c r="O14">
        <v>44138468592.601997</v>
      </c>
      <c r="Q14">
        <v>34</v>
      </c>
      <c r="R14">
        <v>2030</v>
      </c>
      <c r="S14">
        <v>20</v>
      </c>
      <c r="T14">
        <v>2</v>
      </c>
      <c r="U14">
        <v>491928186</v>
      </c>
      <c r="V14">
        <v>42601.696360146096</v>
      </c>
    </row>
    <row r="15" spans="1:22">
      <c r="A15">
        <v>2040</v>
      </c>
      <c r="B15">
        <v>30</v>
      </c>
      <c r="C15" s="3">
        <v>942530596.30468798</v>
      </c>
      <c r="D15" s="3">
        <v>321919969.140625</v>
      </c>
      <c r="E15" s="3">
        <v>181884862.59179699</v>
      </c>
      <c r="F15" s="3">
        <v>11417989693184</v>
      </c>
      <c r="G15" s="3">
        <v>150502167.02146101</v>
      </c>
      <c r="H15" s="3">
        <v>73518378.339843795</v>
      </c>
      <c r="I15" s="3">
        <v>101526604.041683</v>
      </c>
      <c r="J15" s="3">
        <v>46053521.774709702</v>
      </c>
      <c r="K15" s="3">
        <v>3258845989.15625</v>
      </c>
      <c r="L15" s="3">
        <v>230500312.66992199</v>
      </c>
      <c r="M15" s="3">
        <v>774882398.796875</v>
      </c>
      <c r="N15" s="3">
        <f t="shared" ref="N15:N16" si="1">N5*1.002^23</f>
        <v>3140305.3999218415</v>
      </c>
      <c r="O15">
        <v>36047507865.072304</v>
      </c>
      <c r="Q15">
        <v>34</v>
      </c>
      <c r="R15">
        <v>2030</v>
      </c>
      <c r="S15">
        <v>20</v>
      </c>
      <c r="T15">
        <v>5</v>
      </c>
      <c r="U15">
        <v>21754885.629999999</v>
      </c>
      <c r="V15">
        <v>2055.6219020178928</v>
      </c>
    </row>
    <row r="16" spans="1:22">
      <c r="A16">
        <v>2040</v>
      </c>
      <c r="B16">
        <v>41</v>
      </c>
      <c r="C16" s="3">
        <v>899183692</v>
      </c>
      <c r="D16" s="3">
        <v>82828056.3125</v>
      </c>
      <c r="E16" s="3">
        <v>19758207.09375</v>
      </c>
      <c r="F16" s="3">
        <v>1858534901760</v>
      </c>
      <c r="G16" s="3">
        <v>24126864.65625</v>
      </c>
      <c r="H16" s="3">
        <v>12869067.21875</v>
      </c>
      <c r="I16" s="3">
        <v>10439291.3867188</v>
      </c>
      <c r="J16" s="3">
        <v>6061092.4453125</v>
      </c>
      <c r="K16" s="3">
        <v>288447637</v>
      </c>
      <c r="L16" s="3">
        <v>17659481.859375</v>
      </c>
      <c r="M16" s="3">
        <v>108257547.625</v>
      </c>
      <c r="N16" s="3">
        <f t="shared" si="1"/>
        <v>257233.62083785326</v>
      </c>
      <c r="O16">
        <v>3422553660</v>
      </c>
      <c r="Q16">
        <v>34</v>
      </c>
      <c r="R16">
        <v>2030</v>
      </c>
      <c r="S16">
        <v>20</v>
      </c>
      <c r="T16">
        <v>9</v>
      </c>
      <c r="U16">
        <v>18528215.280000001</v>
      </c>
      <c r="V16">
        <v>2331.543034282905</v>
      </c>
    </row>
    <row r="17" spans="1:22">
      <c r="F17" s="36"/>
      <c r="Q17">
        <v>34</v>
      </c>
      <c r="R17">
        <v>2030</v>
      </c>
      <c r="S17">
        <v>30</v>
      </c>
      <c r="T17">
        <v>1</v>
      </c>
      <c r="U17">
        <v>35610591616</v>
      </c>
      <c r="V17">
        <v>3255348.2996820305</v>
      </c>
    </row>
    <row r="18" spans="1:22">
      <c r="K18" s="3"/>
      <c r="L18" s="159"/>
      <c r="Q18">
        <v>34</v>
      </c>
      <c r="R18">
        <v>2030</v>
      </c>
      <c r="S18">
        <v>30</v>
      </c>
      <c r="T18">
        <v>2</v>
      </c>
      <c r="U18">
        <v>799021108</v>
      </c>
      <c r="V18">
        <v>68419.395522422943</v>
      </c>
    </row>
    <row r="19" spans="1:22">
      <c r="A19" t="s">
        <v>77</v>
      </c>
      <c r="Q19">
        <v>34</v>
      </c>
      <c r="R19">
        <v>2030</v>
      </c>
      <c r="S19">
        <v>30</v>
      </c>
      <c r="T19">
        <v>5</v>
      </c>
      <c r="U19">
        <v>85787686.5</v>
      </c>
      <c r="V19">
        <v>7769.2370060550747</v>
      </c>
    </row>
    <row r="20" spans="1:22">
      <c r="F20" s="36"/>
      <c r="Q20">
        <v>34</v>
      </c>
      <c r="R20">
        <v>2030</v>
      </c>
      <c r="S20">
        <v>30</v>
      </c>
      <c r="T20">
        <v>9</v>
      </c>
      <c r="U20">
        <v>2864273.7579999999</v>
      </c>
      <c r="V20">
        <v>343.6345788317301</v>
      </c>
    </row>
    <row r="21" spans="1:22">
      <c r="F21" s="36"/>
      <c r="N21" s="3"/>
      <c r="Q21">
        <v>34</v>
      </c>
      <c r="R21">
        <v>2030</v>
      </c>
      <c r="S21">
        <v>41</v>
      </c>
      <c r="T21">
        <v>1</v>
      </c>
      <c r="U21">
        <v>924951684</v>
      </c>
      <c r="V21">
        <v>78617.771457632422</v>
      </c>
    </row>
    <row r="22" spans="1:22">
      <c r="F22" s="36"/>
      <c r="Q22">
        <v>34</v>
      </c>
      <c r="R22">
        <v>2030</v>
      </c>
      <c r="S22">
        <v>41</v>
      </c>
      <c r="T22">
        <v>2</v>
      </c>
      <c r="U22">
        <v>2202467992</v>
      </c>
      <c r="V22">
        <v>186009.38349421156</v>
      </c>
    </row>
    <row r="23" spans="1:22">
      <c r="F23" s="36"/>
      <c r="Q23">
        <v>34</v>
      </c>
      <c r="R23">
        <v>2040</v>
      </c>
      <c r="S23">
        <v>20</v>
      </c>
      <c r="T23">
        <v>1</v>
      </c>
      <c r="U23">
        <v>43135057664</v>
      </c>
      <c r="V23">
        <v>3778433.2907776451</v>
      </c>
    </row>
    <row r="24" spans="1:22">
      <c r="F24" s="36"/>
      <c r="Q24">
        <v>34</v>
      </c>
      <c r="R24">
        <v>2040</v>
      </c>
      <c r="S24">
        <v>20</v>
      </c>
      <c r="T24">
        <v>2</v>
      </c>
      <c r="U24">
        <v>972302792</v>
      </c>
      <c r="V24">
        <v>81412.761241076558</v>
      </c>
    </row>
    <row r="25" spans="1:22">
      <c r="F25" s="36"/>
      <c r="Q25">
        <v>34</v>
      </c>
      <c r="R25">
        <v>2040</v>
      </c>
      <c r="S25">
        <v>20</v>
      </c>
      <c r="T25">
        <v>5</v>
      </c>
      <c r="U25">
        <v>29466878.25</v>
      </c>
      <c r="V25">
        <v>2526.7059214893552</v>
      </c>
    </row>
    <row r="26" spans="1:22">
      <c r="F26" s="36"/>
      <c r="N26" s="3"/>
      <c r="Q26">
        <v>34</v>
      </c>
      <c r="R26">
        <v>2040</v>
      </c>
      <c r="S26">
        <v>20</v>
      </c>
      <c r="T26">
        <v>9</v>
      </c>
      <c r="U26">
        <v>1641258.352</v>
      </c>
      <c r="V26">
        <v>236.43913955997638</v>
      </c>
    </row>
    <row r="27" spans="1:22">
      <c r="F27" s="36"/>
      <c r="Q27">
        <v>34</v>
      </c>
      <c r="R27">
        <v>2040</v>
      </c>
      <c r="S27">
        <v>30</v>
      </c>
      <c r="T27">
        <v>1</v>
      </c>
      <c r="U27">
        <v>35033904896</v>
      </c>
      <c r="V27">
        <v>3364587.6484082113</v>
      </c>
    </row>
    <row r="28" spans="1:22">
      <c r="C28" s="3"/>
      <c r="D28" s="3"/>
      <c r="E28" s="3"/>
      <c r="F28" s="3"/>
      <c r="G28" s="3"/>
      <c r="H28" s="3"/>
      <c r="I28" s="3"/>
      <c r="J28" s="3"/>
      <c r="K28" s="3"/>
      <c r="L28" s="3"/>
      <c r="N28" s="3"/>
      <c r="O28" s="3"/>
      <c r="Q28">
        <v>34</v>
      </c>
      <c r="R28">
        <v>2040</v>
      </c>
      <c r="S28">
        <v>30</v>
      </c>
      <c r="T28">
        <v>2</v>
      </c>
      <c r="U28">
        <v>909755176</v>
      </c>
      <c r="V28">
        <v>88561.730070762569</v>
      </c>
    </row>
    <row r="29" spans="1:22">
      <c r="Q29">
        <v>34</v>
      </c>
      <c r="R29">
        <v>2040</v>
      </c>
      <c r="S29">
        <v>30</v>
      </c>
      <c r="T29">
        <v>5</v>
      </c>
      <c r="U29">
        <v>103324083</v>
      </c>
      <c r="V29">
        <v>9649.0567264351339</v>
      </c>
    </row>
    <row r="30" spans="1:22">
      <c r="Q30">
        <v>34</v>
      </c>
      <c r="R30">
        <v>2040</v>
      </c>
      <c r="S30">
        <v>30</v>
      </c>
      <c r="T30">
        <v>9</v>
      </c>
      <c r="U30">
        <v>523710.0723</v>
      </c>
      <c r="V30">
        <v>63.132257676630282</v>
      </c>
    </row>
    <row r="31" spans="1:22">
      <c r="N31" s="3"/>
      <c r="Q31">
        <v>34</v>
      </c>
      <c r="R31">
        <v>2040</v>
      </c>
      <c r="S31">
        <v>41</v>
      </c>
      <c r="T31">
        <v>1</v>
      </c>
      <c r="U31">
        <v>894074332</v>
      </c>
      <c r="V31">
        <v>65509.801102660414</v>
      </c>
    </row>
    <row r="32" spans="1:22">
      <c r="Q32">
        <v>34</v>
      </c>
      <c r="R32">
        <v>2040</v>
      </c>
      <c r="S32">
        <v>41</v>
      </c>
      <c r="T32">
        <v>2</v>
      </c>
      <c r="U32">
        <v>2528479328</v>
      </c>
      <c r="V32">
        <v>204598.98504315878</v>
      </c>
    </row>
  </sheetData>
  <sheetProtection algorithmName="SHA-512" hashValue="zQ41HESU5GIClvIzfYDYmwQooDuAMZ0SIAlhpjYcKkunQItyFS6jVL9N1y66ybwHWQmIFAJUYfp5i6x6UkRSdg==" saltValue="ADmLwPrRW/qt/DYO3Wbh5w==" spinCount="100000" sheet="1" objects="1" scenarios="1"/>
  <pageMargins left="0.7" right="0.7" top="0.75" bottom="0.75" header="0.3" footer="0.3"/>
  <pageSetup orientation="portrait" horizontalDpi="360" verticalDpi="36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9"/>
  <dimension ref="A1:O54"/>
  <sheetViews>
    <sheetView zoomScale="85" zoomScaleNormal="85" workbookViewId="0">
      <selection activeCell="F13" sqref="F13"/>
    </sheetView>
  </sheetViews>
  <sheetFormatPr baseColWidth="10" defaultColWidth="8.83203125" defaultRowHeight="15"/>
  <cols>
    <col min="3" max="3" width="16" style="3" customWidth="1"/>
    <col min="4" max="4" width="12" customWidth="1"/>
    <col min="5" max="5" width="13" customWidth="1"/>
    <col min="6" max="6" width="17.6640625" style="3" customWidth="1"/>
    <col min="7" max="7" width="14.1640625" customWidth="1"/>
    <col min="8" max="8" width="12.33203125" customWidth="1"/>
    <col min="9" max="9" width="13.5" customWidth="1"/>
    <col min="10" max="13" width="13.33203125" customWidth="1"/>
    <col min="15" max="15" width="13.5" customWidth="1"/>
  </cols>
  <sheetData>
    <row r="1" spans="1:15">
      <c r="A1" s="2" t="s">
        <v>73</v>
      </c>
      <c r="C1" s="6"/>
      <c r="E1" t="s">
        <v>531</v>
      </c>
      <c r="G1" s="6"/>
      <c r="K1" s="6"/>
    </row>
    <row r="3" spans="1:15">
      <c r="A3" t="s">
        <v>0</v>
      </c>
      <c r="B3" t="s">
        <v>31</v>
      </c>
      <c r="C3" s="3" t="s">
        <v>2</v>
      </c>
      <c r="D3" s="3" t="s">
        <v>26</v>
      </c>
      <c r="E3" s="3" t="s">
        <v>21</v>
      </c>
      <c r="F3" s="3" t="s">
        <v>3</v>
      </c>
      <c r="G3" s="3" t="s">
        <v>22</v>
      </c>
      <c r="H3" s="3" t="s">
        <v>43</v>
      </c>
      <c r="I3" s="3" t="s">
        <v>44</v>
      </c>
      <c r="J3" s="3" t="s">
        <v>45</v>
      </c>
      <c r="K3" s="3" t="s">
        <v>115</v>
      </c>
      <c r="L3" s="3" t="s">
        <v>116</v>
      </c>
      <c r="M3" s="3" t="s">
        <v>117</v>
      </c>
      <c r="N3" s="3" t="s">
        <v>74</v>
      </c>
      <c r="O3" s="3" t="s">
        <v>75</v>
      </c>
    </row>
    <row r="4" spans="1:15">
      <c r="A4">
        <v>2017</v>
      </c>
      <c r="B4">
        <v>20</v>
      </c>
      <c r="C4" s="3">
        <v>8417830000</v>
      </c>
      <c r="D4">
        <v>805135000</v>
      </c>
      <c r="E4">
        <v>196799000</v>
      </c>
      <c r="F4" s="3">
        <v>10679800000000</v>
      </c>
      <c r="G4">
        <v>137844000</v>
      </c>
      <c r="H4">
        <v>140150000</v>
      </c>
      <c r="I4">
        <v>89984000</v>
      </c>
      <c r="J4">
        <v>38108400</v>
      </c>
      <c r="K4">
        <v>8991540000</v>
      </c>
      <c r="L4">
        <v>218963000</v>
      </c>
      <c r="M4">
        <v>817312000</v>
      </c>
      <c r="N4">
        <v>2638450</v>
      </c>
      <c r="O4">
        <v>28790000000</v>
      </c>
    </row>
    <row r="5" spans="1:15">
      <c r="A5">
        <v>2017</v>
      </c>
      <c r="B5">
        <v>30</v>
      </c>
      <c r="C5" s="3">
        <v>17931200000</v>
      </c>
      <c r="D5">
        <v>1284950000</v>
      </c>
      <c r="E5">
        <v>424828000</v>
      </c>
      <c r="F5" s="3">
        <v>16451300000000</v>
      </c>
      <c r="G5">
        <v>212569000</v>
      </c>
      <c r="H5">
        <v>218111000</v>
      </c>
      <c r="I5">
        <v>115868000</v>
      </c>
      <c r="J5">
        <v>44912200</v>
      </c>
      <c r="K5">
        <v>13410900000</v>
      </c>
      <c r="L5">
        <v>337345000</v>
      </c>
      <c r="M5">
        <v>1050630000</v>
      </c>
      <c r="N5">
        <v>2831370</v>
      </c>
      <c r="O5">
        <v>34057600000</v>
      </c>
    </row>
    <row r="6" spans="1:15">
      <c r="A6">
        <v>2017</v>
      </c>
      <c r="B6">
        <v>41</v>
      </c>
      <c r="C6" s="3">
        <v>9145380000</v>
      </c>
      <c r="D6">
        <v>305803000</v>
      </c>
      <c r="E6">
        <v>86605400</v>
      </c>
      <c r="F6" s="3">
        <v>2550250000000</v>
      </c>
      <c r="G6">
        <v>32711700</v>
      </c>
      <c r="H6">
        <v>303063000</v>
      </c>
      <c r="I6">
        <v>11455500</v>
      </c>
      <c r="J6">
        <v>5936230</v>
      </c>
      <c r="K6">
        <v>2871220000</v>
      </c>
      <c r="L6">
        <v>29205600</v>
      </c>
      <c r="M6">
        <v>141299000</v>
      </c>
      <c r="N6">
        <v>288681</v>
      </c>
      <c r="O6">
        <v>3283270000</v>
      </c>
    </row>
    <row r="8" spans="1:15">
      <c r="A8" t="s">
        <v>0</v>
      </c>
      <c r="B8" t="s">
        <v>31</v>
      </c>
      <c r="C8" t="s">
        <v>2</v>
      </c>
      <c r="D8" t="s">
        <v>26</v>
      </c>
      <c r="E8" t="s">
        <v>21</v>
      </c>
      <c r="F8" t="s">
        <v>3</v>
      </c>
      <c r="G8" t="s">
        <v>22</v>
      </c>
      <c r="H8" t="s">
        <v>43</v>
      </c>
      <c r="I8" t="s">
        <v>44</v>
      </c>
      <c r="J8" t="s">
        <v>45</v>
      </c>
      <c r="K8" s="3" t="s">
        <v>115</v>
      </c>
      <c r="L8" s="3" t="s">
        <v>116</v>
      </c>
      <c r="M8" s="3" t="s">
        <v>117</v>
      </c>
      <c r="N8" t="s">
        <v>74</v>
      </c>
      <c r="O8" t="s">
        <v>75</v>
      </c>
    </row>
    <row r="9" spans="1:15">
      <c r="A9">
        <v>2020</v>
      </c>
      <c r="B9">
        <v>20</v>
      </c>
      <c r="C9" s="3">
        <v>5564900000</v>
      </c>
      <c r="D9">
        <v>565988000</v>
      </c>
      <c r="E9">
        <v>172476000</v>
      </c>
      <c r="F9" s="3">
        <v>10470000000000</v>
      </c>
      <c r="G9">
        <v>135129000</v>
      </c>
      <c r="H9">
        <v>122622000</v>
      </c>
      <c r="I9">
        <v>94338200</v>
      </c>
      <c r="J9">
        <v>39952400</v>
      </c>
      <c r="K9">
        <v>7470010000</v>
      </c>
      <c r="L9">
        <v>69304200</v>
      </c>
      <c r="M9">
        <v>762497000</v>
      </c>
      <c r="N9">
        <v>2709810</v>
      </c>
      <c r="O9">
        <v>30183000000</v>
      </c>
    </row>
    <row r="10" spans="1:15">
      <c r="A10">
        <v>2020</v>
      </c>
      <c r="B10">
        <v>30</v>
      </c>
      <c r="C10" s="3">
        <v>11334500000</v>
      </c>
      <c r="D10">
        <v>850780000</v>
      </c>
      <c r="E10">
        <v>346377000</v>
      </c>
      <c r="F10" s="3">
        <v>15905700000000</v>
      </c>
      <c r="G10">
        <v>205478000</v>
      </c>
      <c r="H10">
        <v>206772000</v>
      </c>
      <c r="I10">
        <v>120941000</v>
      </c>
      <c r="J10">
        <v>46879000</v>
      </c>
      <c r="K10">
        <v>10392900000</v>
      </c>
      <c r="L10">
        <v>105198000</v>
      </c>
      <c r="M10">
        <v>973729000</v>
      </c>
      <c r="N10">
        <v>2891010</v>
      </c>
      <c r="O10">
        <v>35549300000</v>
      </c>
    </row>
    <row r="11" spans="1:15">
      <c r="A11">
        <v>2020</v>
      </c>
      <c r="B11">
        <v>41</v>
      </c>
      <c r="C11" s="3">
        <v>5748890000</v>
      </c>
      <c r="D11">
        <v>213076000</v>
      </c>
      <c r="E11">
        <v>64357700</v>
      </c>
      <c r="F11" s="3">
        <v>2362190000000</v>
      </c>
      <c r="G11">
        <v>30286500</v>
      </c>
      <c r="H11">
        <v>200077000</v>
      </c>
      <c r="I11">
        <v>11013100</v>
      </c>
      <c r="J11">
        <v>5695480</v>
      </c>
      <c r="K11">
        <v>1967500000</v>
      </c>
      <c r="L11">
        <v>11462000</v>
      </c>
      <c r="M11">
        <v>125995000</v>
      </c>
      <c r="N11">
        <v>273399</v>
      </c>
      <c r="O11">
        <v>3151530000</v>
      </c>
    </row>
    <row r="13" spans="1:15">
      <c r="A13" t="s">
        <v>0</v>
      </c>
      <c r="B13" t="s">
        <v>31</v>
      </c>
      <c r="C13" t="s">
        <v>2</v>
      </c>
      <c r="D13" t="s">
        <v>26</v>
      </c>
      <c r="E13" t="s">
        <v>21</v>
      </c>
      <c r="F13" t="s">
        <v>3</v>
      </c>
      <c r="G13" t="s">
        <v>22</v>
      </c>
      <c r="H13" t="s">
        <v>43</v>
      </c>
      <c r="I13" t="s">
        <v>44</v>
      </c>
      <c r="J13" t="s">
        <v>45</v>
      </c>
      <c r="K13" s="3" t="s">
        <v>115</v>
      </c>
      <c r="L13" s="3" t="s">
        <v>116</v>
      </c>
      <c r="M13" s="3" t="s">
        <v>117</v>
      </c>
      <c r="N13" t="s">
        <v>74</v>
      </c>
      <c r="O13" t="s">
        <v>75</v>
      </c>
    </row>
    <row r="14" spans="1:15">
      <c r="A14">
        <v>2025</v>
      </c>
      <c r="B14">
        <v>20</v>
      </c>
      <c r="C14" s="3">
        <v>3033680000</v>
      </c>
      <c r="D14">
        <v>417789000</v>
      </c>
      <c r="E14">
        <v>145112000</v>
      </c>
      <c r="F14" s="3">
        <v>9574390000000</v>
      </c>
      <c r="G14">
        <v>123550000</v>
      </c>
      <c r="H14">
        <v>113263000</v>
      </c>
      <c r="I14">
        <v>97432500</v>
      </c>
      <c r="J14">
        <v>41262800</v>
      </c>
      <c r="K14">
        <v>6131970000</v>
      </c>
      <c r="L14">
        <v>63348800</v>
      </c>
      <c r="M14">
        <v>750339000</v>
      </c>
      <c r="N14">
        <v>2813860</v>
      </c>
      <c r="O14">
        <v>31173100000</v>
      </c>
    </row>
    <row r="15" spans="1:15">
      <c r="A15">
        <v>2025</v>
      </c>
      <c r="B15">
        <v>30</v>
      </c>
      <c r="C15" s="3">
        <v>6087500000</v>
      </c>
      <c r="D15">
        <v>596285000</v>
      </c>
      <c r="E15">
        <v>264290000</v>
      </c>
      <c r="F15" s="3">
        <v>14524700000000</v>
      </c>
      <c r="G15">
        <v>187577000</v>
      </c>
      <c r="H15">
        <v>188469000</v>
      </c>
      <c r="I15">
        <v>123418000</v>
      </c>
      <c r="J15">
        <v>47839500</v>
      </c>
      <c r="K15">
        <v>7901350000</v>
      </c>
      <c r="L15">
        <v>95791100</v>
      </c>
      <c r="M15">
        <v>922029000</v>
      </c>
      <c r="N15">
        <v>2980080</v>
      </c>
      <c r="O15">
        <v>36277600000</v>
      </c>
    </row>
    <row r="16" spans="1:15">
      <c r="A16">
        <v>2025</v>
      </c>
      <c r="B16">
        <v>41</v>
      </c>
      <c r="C16" s="3">
        <v>3329940000</v>
      </c>
      <c r="D16">
        <v>157447000</v>
      </c>
      <c r="E16">
        <v>42292000</v>
      </c>
      <c r="F16" s="3">
        <v>2145360000000</v>
      </c>
      <c r="G16">
        <v>27478300</v>
      </c>
      <c r="H16">
        <v>106214000</v>
      </c>
      <c r="I16">
        <v>10958500</v>
      </c>
      <c r="J16">
        <v>5642560</v>
      </c>
      <c r="K16">
        <v>1254180000</v>
      </c>
      <c r="L16">
        <v>10083200</v>
      </c>
      <c r="M16">
        <v>112457000</v>
      </c>
      <c r="N16">
        <v>263570</v>
      </c>
      <c r="O16">
        <v>3123550000</v>
      </c>
    </row>
    <row r="18" spans="1:15">
      <c r="A18" t="s">
        <v>0</v>
      </c>
      <c r="B18" t="s">
        <v>31</v>
      </c>
      <c r="C18" t="s">
        <v>2</v>
      </c>
      <c r="D18" t="s">
        <v>26</v>
      </c>
      <c r="E18" t="s">
        <v>21</v>
      </c>
      <c r="F18" t="s">
        <v>3</v>
      </c>
      <c r="G18" t="s">
        <v>22</v>
      </c>
      <c r="H18" t="s">
        <v>43</v>
      </c>
      <c r="I18" t="s">
        <v>44</v>
      </c>
      <c r="J18" t="s">
        <v>45</v>
      </c>
      <c r="K18" s="3" t="s">
        <v>115</v>
      </c>
      <c r="L18" s="3" t="s">
        <v>116</v>
      </c>
      <c r="M18" s="3" t="s">
        <v>117</v>
      </c>
      <c r="N18" t="s">
        <v>74</v>
      </c>
      <c r="O18" t="s">
        <v>75</v>
      </c>
    </row>
    <row r="19" spans="1:15">
      <c r="A19">
        <v>2030</v>
      </c>
      <c r="B19">
        <v>20</v>
      </c>
      <c r="C19" s="3">
        <v>1631750000</v>
      </c>
      <c r="D19">
        <v>322270000</v>
      </c>
      <c r="E19">
        <v>136176000</v>
      </c>
      <c r="F19" s="3">
        <v>9082420000000</v>
      </c>
      <c r="G19">
        <v>117175000</v>
      </c>
      <c r="H19">
        <v>113671000</v>
      </c>
      <c r="I19">
        <v>103086000</v>
      </c>
      <c r="J19">
        <v>43657200</v>
      </c>
      <c r="K19">
        <v>4809020000</v>
      </c>
      <c r="L19">
        <v>59976200</v>
      </c>
      <c r="M19">
        <v>749079000</v>
      </c>
      <c r="N19">
        <v>2929090</v>
      </c>
      <c r="O19">
        <v>32982000000</v>
      </c>
    </row>
    <row r="20" spans="1:15">
      <c r="A20">
        <v>2030</v>
      </c>
      <c r="B20">
        <v>30</v>
      </c>
      <c r="C20" s="3">
        <v>2630880000</v>
      </c>
      <c r="D20">
        <v>414595000</v>
      </c>
      <c r="E20">
        <v>220203000</v>
      </c>
      <c r="F20" s="3">
        <v>13447400000000</v>
      </c>
      <c r="G20">
        <v>173626000</v>
      </c>
      <c r="H20">
        <v>172616000</v>
      </c>
      <c r="I20">
        <v>124773000</v>
      </c>
      <c r="J20">
        <v>48364600</v>
      </c>
      <c r="K20">
        <v>5913210000</v>
      </c>
      <c r="L20">
        <v>88493300</v>
      </c>
      <c r="M20">
        <v>874269000</v>
      </c>
      <c r="N20">
        <v>3005500</v>
      </c>
      <c r="O20">
        <v>36675800000</v>
      </c>
    </row>
    <row r="21" spans="1:15">
      <c r="A21">
        <v>2030</v>
      </c>
      <c r="B21">
        <v>41</v>
      </c>
      <c r="C21" s="3">
        <v>2080950000</v>
      </c>
      <c r="D21">
        <v>127768000</v>
      </c>
      <c r="E21">
        <v>32367700</v>
      </c>
      <c r="F21" s="3">
        <v>2034360000000</v>
      </c>
      <c r="G21">
        <v>26040300</v>
      </c>
      <c r="H21">
        <v>50482600</v>
      </c>
      <c r="I21">
        <v>11397900</v>
      </c>
      <c r="J21">
        <v>5873020</v>
      </c>
      <c r="K21">
        <v>785948000</v>
      </c>
      <c r="L21">
        <v>9338260</v>
      </c>
      <c r="M21">
        <v>110540000</v>
      </c>
      <c r="N21">
        <v>260742</v>
      </c>
      <c r="O21">
        <v>3252300000</v>
      </c>
    </row>
    <row r="23" spans="1:15">
      <c r="A23" t="s">
        <v>0</v>
      </c>
      <c r="B23" t="s">
        <v>31</v>
      </c>
      <c r="C23" t="s">
        <v>2</v>
      </c>
      <c r="D23" t="s">
        <v>26</v>
      </c>
      <c r="E23" t="s">
        <v>21</v>
      </c>
      <c r="F23" t="s">
        <v>3</v>
      </c>
      <c r="G23" t="s">
        <v>22</v>
      </c>
      <c r="H23" t="s">
        <v>43</v>
      </c>
      <c r="I23" t="s">
        <v>44</v>
      </c>
      <c r="J23" t="s">
        <v>45</v>
      </c>
      <c r="K23" s="3" t="s">
        <v>115</v>
      </c>
      <c r="L23" s="3" t="s">
        <v>116</v>
      </c>
      <c r="M23" s="3" t="s">
        <v>117</v>
      </c>
      <c r="N23" t="s">
        <v>74</v>
      </c>
      <c r="O23" t="s">
        <v>75</v>
      </c>
    </row>
    <row r="24" spans="1:15">
      <c r="A24">
        <v>2035</v>
      </c>
      <c r="B24">
        <v>20</v>
      </c>
      <c r="C24" s="3">
        <v>988911000</v>
      </c>
      <c r="D24">
        <v>278584000</v>
      </c>
      <c r="E24">
        <v>136556000</v>
      </c>
      <c r="F24" s="3">
        <v>9037280000000</v>
      </c>
      <c r="G24">
        <v>116566000</v>
      </c>
      <c r="H24">
        <v>112051000</v>
      </c>
      <c r="I24">
        <v>109913000</v>
      </c>
      <c r="J24">
        <v>46548300</v>
      </c>
      <c r="K24">
        <v>4388360000</v>
      </c>
      <c r="L24">
        <v>59512900</v>
      </c>
      <c r="M24">
        <v>759009000</v>
      </c>
      <c r="N24">
        <v>3073870</v>
      </c>
      <c r="O24">
        <v>35166100000</v>
      </c>
    </row>
    <row r="25" spans="1:15">
      <c r="A25">
        <v>2035</v>
      </c>
      <c r="B25">
        <v>30</v>
      </c>
      <c r="C25" s="3">
        <v>1380690000</v>
      </c>
      <c r="D25">
        <v>332414000</v>
      </c>
      <c r="E25">
        <v>199967000</v>
      </c>
      <c r="F25" s="3">
        <v>12537600000000</v>
      </c>
      <c r="G25">
        <v>161852000</v>
      </c>
      <c r="H25">
        <v>158358000</v>
      </c>
      <c r="I25">
        <v>123331000</v>
      </c>
      <c r="J25">
        <v>47805700</v>
      </c>
      <c r="K25">
        <v>5195900000</v>
      </c>
      <c r="L25">
        <v>82377500</v>
      </c>
      <c r="M25">
        <v>832704000</v>
      </c>
      <c r="N25">
        <v>2980710</v>
      </c>
      <c r="O25">
        <v>36252000000</v>
      </c>
    </row>
    <row r="26" spans="1:15">
      <c r="A26">
        <v>2035</v>
      </c>
      <c r="B26">
        <v>41</v>
      </c>
      <c r="C26" s="3">
        <v>1367800000</v>
      </c>
      <c r="D26">
        <v>114064000</v>
      </c>
      <c r="E26">
        <v>27131300</v>
      </c>
      <c r="F26" s="3">
        <v>1985390000000</v>
      </c>
      <c r="G26">
        <v>25410900</v>
      </c>
      <c r="H26">
        <v>25850600</v>
      </c>
      <c r="I26">
        <v>11701400</v>
      </c>
      <c r="J26">
        <v>6079170</v>
      </c>
      <c r="K26">
        <v>545788000</v>
      </c>
      <c r="L26">
        <v>8952490</v>
      </c>
      <c r="M26">
        <v>111168000</v>
      </c>
      <c r="N26">
        <v>261386</v>
      </c>
      <c r="O26">
        <v>3368610000</v>
      </c>
    </row>
    <row r="28" spans="1:15">
      <c r="A28" t="s">
        <v>0</v>
      </c>
      <c r="B28" t="s">
        <v>31</v>
      </c>
      <c r="C28" t="s">
        <v>2</v>
      </c>
      <c r="D28" t="s">
        <v>26</v>
      </c>
      <c r="E28" t="s">
        <v>21</v>
      </c>
      <c r="F28" t="s">
        <v>3</v>
      </c>
      <c r="G28" t="s">
        <v>22</v>
      </c>
      <c r="H28" t="s">
        <v>43</v>
      </c>
      <c r="I28" t="s">
        <v>44</v>
      </c>
      <c r="J28" t="s">
        <v>45</v>
      </c>
      <c r="K28" s="3" t="s">
        <v>115</v>
      </c>
      <c r="L28" s="3" t="s">
        <v>116</v>
      </c>
      <c r="M28" s="3" t="s">
        <v>117</v>
      </c>
      <c r="N28" t="s">
        <v>74</v>
      </c>
      <c r="O28" t="s">
        <v>75</v>
      </c>
    </row>
    <row r="29" spans="1:15">
      <c r="A29">
        <v>2040</v>
      </c>
      <c r="B29">
        <v>20</v>
      </c>
      <c r="C29" s="3">
        <v>852927000</v>
      </c>
      <c r="D29">
        <v>271201000</v>
      </c>
      <c r="E29">
        <v>144822000</v>
      </c>
      <c r="F29" s="3">
        <v>9483680000000</v>
      </c>
      <c r="G29">
        <v>122311000</v>
      </c>
      <c r="H29">
        <v>117352000</v>
      </c>
      <c r="I29">
        <v>119027000</v>
      </c>
      <c r="J29">
        <v>50408200</v>
      </c>
      <c r="K29">
        <v>4213090000</v>
      </c>
      <c r="L29">
        <v>62342900</v>
      </c>
      <c r="M29">
        <v>818124000</v>
      </c>
      <c r="N29">
        <v>3256660</v>
      </c>
      <c r="O29">
        <v>38082100000</v>
      </c>
    </row>
    <row r="30" spans="1:15">
      <c r="A30">
        <v>2040</v>
      </c>
      <c r="B30">
        <v>30</v>
      </c>
      <c r="C30" s="3">
        <v>1052980000</v>
      </c>
      <c r="D30">
        <v>292958000</v>
      </c>
      <c r="E30">
        <v>194518000</v>
      </c>
      <c r="F30" s="3">
        <v>12002800000000</v>
      </c>
      <c r="G30">
        <v>154936000</v>
      </c>
      <c r="H30">
        <v>150692000</v>
      </c>
      <c r="I30">
        <v>122102000</v>
      </c>
      <c r="J30">
        <v>47329600</v>
      </c>
      <c r="K30">
        <v>4901430000</v>
      </c>
      <c r="L30">
        <v>78808900</v>
      </c>
      <c r="M30">
        <v>823732000</v>
      </c>
      <c r="N30">
        <v>2923410</v>
      </c>
      <c r="O30">
        <v>35891100000</v>
      </c>
    </row>
    <row r="31" spans="1:15">
      <c r="A31">
        <v>2040</v>
      </c>
      <c r="B31">
        <v>41</v>
      </c>
      <c r="C31" s="3">
        <v>1079510000</v>
      </c>
      <c r="D31">
        <v>112102000</v>
      </c>
      <c r="E31">
        <v>26383300</v>
      </c>
      <c r="F31" s="3">
        <v>1995120000000</v>
      </c>
      <c r="G31">
        <v>25544100</v>
      </c>
      <c r="H31">
        <v>14512900</v>
      </c>
      <c r="I31">
        <v>11968900</v>
      </c>
      <c r="J31">
        <v>6286490</v>
      </c>
      <c r="K31">
        <v>470571000</v>
      </c>
      <c r="L31">
        <v>8926170</v>
      </c>
      <c r="M31">
        <v>113701000</v>
      </c>
      <c r="N31">
        <v>261720</v>
      </c>
      <c r="O31">
        <v>3485980000</v>
      </c>
    </row>
    <row r="33" spans="3:6">
      <c r="C33"/>
      <c r="F33"/>
    </row>
    <row r="44" spans="3:6">
      <c r="C44"/>
      <c r="F44"/>
    </row>
    <row r="54" spans="1:1">
      <c r="A54" s="6"/>
    </row>
  </sheetData>
  <sheetProtection algorithmName="SHA-512" hashValue="pOlg3wsnNT2NcnYojRFbgncMI4ZOLDMiWaLkP5ClxCRk3+c5NhVUc15PAojNicPsEWhIbPEtEGruayAiC+Il8Q==" saltValue="nWTOqGaK0OlmVh6SaAhSTA==" spinCount="100000"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D37"/>
  <sheetViews>
    <sheetView tabSelected="1" topLeftCell="A19" workbookViewId="0">
      <selection activeCell="F31" sqref="F31"/>
    </sheetView>
  </sheetViews>
  <sheetFormatPr baseColWidth="10" defaultColWidth="8.83203125" defaultRowHeight="15"/>
  <cols>
    <col min="1" max="1" width="10.33203125" customWidth="1"/>
    <col min="2" max="2" width="10.5" customWidth="1"/>
    <col min="3" max="3" width="20.5" customWidth="1"/>
    <col min="4" max="4" width="12.33203125" customWidth="1"/>
    <col min="5" max="5" width="9.1640625" customWidth="1"/>
  </cols>
  <sheetData>
    <row r="1" spans="1:2">
      <c r="A1" s="2" t="s">
        <v>27</v>
      </c>
    </row>
    <row r="3" spans="1:2">
      <c r="A3" t="s">
        <v>298</v>
      </c>
    </row>
    <row r="4" spans="1:2">
      <c r="A4" t="s">
        <v>171</v>
      </c>
    </row>
    <row r="5" spans="1:2">
      <c r="A5" t="s">
        <v>170</v>
      </c>
    </row>
    <row r="6" spans="1:2">
      <c r="A6" t="s">
        <v>172</v>
      </c>
    </row>
    <row r="7" spans="1:2">
      <c r="A7" t="s">
        <v>626</v>
      </c>
    </row>
    <row r="9" spans="1:2">
      <c r="A9" s="2" t="s">
        <v>28</v>
      </c>
      <c r="B9" t="s">
        <v>430</v>
      </c>
    </row>
    <row r="10" spans="1:2">
      <c r="A10" s="2"/>
    </row>
    <row r="11" spans="1:2">
      <c r="A11" s="5" t="s">
        <v>18</v>
      </c>
    </row>
    <row r="12" spans="1:2">
      <c r="A12" s="5"/>
      <c r="B12" t="s">
        <v>431</v>
      </c>
    </row>
    <row r="13" spans="1:2">
      <c r="A13" s="5"/>
      <c r="B13" t="s">
        <v>83</v>
      </c>
    </row>
    <row r="14" spans="1:2">
      <c r="A14" s="5"/>
      <c r="B14" t="s">
        <v>434</v>
      </c>
    </row>
    <row r="15" spans="1:2">
      <c r="A15" s="5" t="s">
        <v>48</v>
      </c>
    </row>
    <row r="16" spans="1:2">
      <c r="A16" s="5"/>
      <c r="B16" t="s">
        <v>432</v>
      </c>
    </row>
    <row r="17" spans="1:4">
      <c r="A17" s="5"/>
      <c r="B17" t="s">
        <v>433</v>
      </c>
    </row>
    <row r="18" spans="1:4">
      <c r="A18" s="5" t="s">
        <v>173</v>
      </c>
    </row>
    <row r="19" spans="1:4">
      <c r="A19" s="5"/>
      <c r="B19" t="s">
        <v>178</v>
      </c>
    </row>
    <row r="20" spans="1:4">
      <c r="A20" s="5"/>
      <c r="B20" t="s">
        <v>179</v>
      </c>
    </row>
    <row r="21" spans="1:4" s="28" customFormat="1">
      <c r="A21" s="171"/>
      <c r="B21" s="28" t="s">
        <v>368</v>
      </c>
    </row>
    <row r="22" spans="1:4">
      <c r="A22" s="5"/>
      <c r="B22" t="s">
        <v>180</v>
      </c>
    </row>
    <row r="23" spans="1:4">
      <c r="A23" s="5"/>
      <c r="B23" t="s">
        <v>625</v>
      </c>
    </row>
    <row r="24" spans="1:4">
      <c r="A24" s="5" t="s">
        <v>174</v>
      </c>
    </row>
    <row r="25" spans="1:4">
      <c r="A25" s="5"/>
      <c r="B25" t="s">
        <v>181</v>
      </c>
    </row>
    <row r="27" spans="1:4">
      <c r="A27" t="s">
        <v>176</v>
      </c>
    </row>
    <row r="28" spans="1:4">
      <c r="A28" t="s">
        <v>177</v>
      </c>
    </row>
    <row r="29" spans="1:4">
      <c r="A29" s="6"/>
    </row>
    <row r="30" spans="1:4">
      <c r="A30" s="2" t="s">
        <v>30</v>
      </c>
    </row>
    <row r="32" spans="1:4">
      <c r="B32" s="2" t="s">
        <v>31</v>
      </c>
      <c r="C32" s="2" t="s">
        <v>32</v>
      </c>
      <c r="D32" s="2" t="s">
        <v>29</v>
      </c>
    </row>
    <row r="33" spans="1:4">
      <c r="B33">
        <v>20</v>
      </c>
      <c r="C33" t="s">
        <v>33</v>
      </c>
      <c r="D33" t="s">
        <v>34</v>
      </c>
    </row>
    <row r="34" spans="1:4">
      <c r="B34">
        <v>30</v>
      </c>
      <c r="C34" t="s">
        <v>35</v>
      </c>
      <c r="D34" t="s">
        <v>36</v>
      </c>
    </row>
    <row r="35" spans="1:4">
      <c r="B35">
        <v>41</v>
      </c>
      <c r="C35" t="s">
        <v>37</v>
      </c>
      <c r="D35" t="s">
        <v>435</v>
      </c>
    </row>
    <row r="37" spans="1:4">
      <c r="A37" t="s">
        <v>38</v>
      </c>
    </row>
  </sheetData>
  <sheetProtection algorithmName="SHA-512" hashValue="tFON4Hi36/bostg/uiNW79yIKyrxRWQ6GGdLD6BrIbCkc90X5OgqAcLPYUKVaDBRM8FV4qe+uCfAWFwkHC8TAA==" saltValue="BGEPZsz/QH1W9+u5Q/m8vA==" spinCount="100000" sheet="1" objects="1" scenarios="1"/>
  <pageMargins left="0.7" right="0.7" top="0.75" bottom="0.75" header="0.3" footer="0.3"/>
  <pageSetup orientation="portrait" horizontalDpi="360" verticalDpi="360"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20"/>
  <dimension ref="A1:AT32"/>
  <sheetViews>
    <sheetView workbookViewId="0">
      <selection activeCell="R28" sqref="R28"/>
    </sheetView>
  </sheetViews>
  <sheetFormatPr baseColWidth="10" defaultColWidth="8.83203125" defaultRowHeight="15"/>
  <cols>
    <col min="3" max="3" width="15.5" customWidth="1"/>
    <col min="4" max="4" width="13.33203125" customWidth="1"/>
    <col min="5" max="5" width="9.1640625" customWidth="1"/>
    <col min="6" max="6" width="14.1640625" customWidth="1"/>
    <col min="7" max="13" width="9.1640625" customWidth="1"/>
    <col min="32" max="39" width="9.1640625" customWidth="1"/>
  </cols>
  <sheetData>
    <row r="1" spans="1:46">
      <c r="A1" s="2" t="s">
        <v>73</v>
      </c>
      <c r="D1" s="6"/>
      <c r="AC1" t="s">
        <v>78</v>
      </c>
      <c r="AG1">
        <v>2020</v>
      </c>
    </row>
    <row r="2" spans="1:46">
      <c r="A2" s="2"/>
      <c r="Q2" t="s">
        <v>81</v>
      </c>
      <c r="AG2">
        <v>2025</v>
      </c>
    </row>
    <row r="3" spans="1:46">
      <c r="A3" t="str">
        <f>'Default Output 2017-2040'!A3</f>
        <v>yearID</v>
      </c>
      <c r="B3" t="str">
        <f>'Default Output 2017-2040'!B3</f>
        <v>regClassID</v>
      </c>
      <c r="C3" t="str">
        <f>'Default Output 2017-2040'!C3</f>
        <v>NOx</v>
      </c>
      <c r="D3" t="str">
        <f>'Default Output 2017-2040'!D3</f>
        <v>CH4</v>
      </c>
      <c r="E3" t="str">
        <f>'Default Output 2017-2040'!E3</f>
        <v>N2O</v>
      </c>
      <c r="F3" t="str">
        <f>'Default Output 2017-2040'!F3</f>
        <v>CO2</v>
      </c>
      <c r="G3" t="str">
        <f>'Default Output 2017-2040'!G3</f>
        <v>Energy</v>
      </c>
      <c r="H3" t="str">
        <f>'Default Output 2017-2040'!H3</f>
        <v>PM25 Exh</v>
      </c>
      <c r="I3" t="str">
        <f>'Default Output 2017-2040'!I3</f>
        <v>PM25 BW</v>
      </c>
      <c r="J3" t="str">
        <f>'Default Output 2017-2040'!J3</f>
        <v>PM25 TW</v>
      </c>
      <c r="K3" s="28" t="s">
        <v>115</v>
      </c>
      <c r="L3" s="28" t="s">
        <v>116</v>
      </c>
      <c r="M3" s="28" t="s">
        <v>117</v>
      </c>
      <c r="N3" t="str">
        <f>'Default Output 2017-2040'!N3</f>
        <v>POP</v>
      </c>
      <c r="O3" t="str">
        <f>'Default Output 2017-2040'!O3</f>
        <v>VMT</v>
      </c>
      <c r="Q3" t="s">
        <v>0</v>
      </c>
      <c r="R3" t="s">
        <v>1</v>
      </c>
      <c r="S3" t="s">
        <v>2</v>
      </c>
      <c r="T3" t="s">
        <v>26</v>
      </c>
      <c r="U3" t="s">
        <v>21</v>
      </c>
      <c r="V3" t="s">
        <v>3</v>
      </c>
      <c r="W3" t="s">
        <v>22</v>
      </c>
      <c r="X3" t="s">
        <v>43</v>
      </c>
      <c r="Y3" s="28" t="s">
        <v>115</v>
      </c>
      <c r="Z3" s="28" t="s">
        <v>116</v>
      </c>
      <c r="AA3" s="28" t="s">
        <v>117</v>
      </c>
      <c r="AG3">
        <v>2035</v>
      </c>
    </row>
    <row r="4" spans="1:46">
      <c r="A4">
        <f>'Default Output 2017-2040'!A4</f>
        <v>2017</v>
      </c>
      <c r="B4">
        <f>'Default Output 2017-2040'!B4</f>
        <v>20</v>
      </c>
      <c r="C4">
        <f>'Default Output 2017-2040'!C4</f>
        <v>8417830000</v>
      </c>
      <c r="D4">
        <f>'Default Output 2017-2040'!D4</f>
        <v>805135000</v>
      </c>
      <c r="E4">
        <f>'Default Output 2017-2040'!E4</f>
        <v>196799000</v>
      </c>
      <c r="F4">
        <f>'Default Output 2017-2040'!F4</f>
        <v>10679800000000</v>
      </c>
      <c r="G4">
        <v>231746646.53983399</v>
      </c>
      <c r="H4">
        <f>'Default Output 2017-2040'!H4</f>
        <v>140150000</v>
      </c>
      <c r="I4">
        <f>'Default Output 2017-2040'!I4</f>
        <v>89984000</v>
      </c>
      <c r="J4">
        <f>'Default Output 2017-2040'!J4</f>
        <v>38108400</v>
      </c>
      <c r="K4">
        <f>'Default Output 2017-2040'!K4</f>
        <v>8991540000</v>
      </c>
      <c r="L4">
        <f>'Default Output 2017-2040'!L4</f>
        <v>218963000</v>
      </c>
      <c r="M4">
        <f>'Default Output 2017-2040'!M4</f>
        <v>817312000</v>
      </c>
      <c r="N4">
        <f>'Default Output 2017-2040'!N4</f>
        <v>2638450</v>
      </c>
      <c r="O4">
        <f>'Default Output 2017-2040'!O4</f>
        <v>28790000000</v>
      </c>
      <c r="Q4">
        <v>2017</v>
      </c>
      <c r="R4">
        <v>20</v>
      </c>
      <c r="S4">
        <f t="shared" ref="S4:S6" si="0">C4/$O4</f>
        <v>0.29238728725251822</v>
      </c>
      <c r="T4">
        <f t="shared" ref="T4:T6" si="1">D4/$O4</f>
        <v>2.7965786731503996E-2</v>
      </c>
      <c r="U4">
        <f t="shared" ref="U4:U6" si="2">E4/$O4</f>
        <v>6.8356721083709625E-3</v>
      </c>
      <c r="V4">
        <f t="shared" ref="V4:V6" si="3">F4/$O4</f>
        <v>370.95519277526921</v>
      </c>
      <c r="W4">
        <f t="shared" ref="W4:W6" si="4">G4/$O4</f>
        <v>8.0495535442804446E-3</v>
      </c>
      <c r="X4">
        <f t="shared" ref="X4" si="5">H4/$O4</f>
        <v>4.8680097255991662E-3</v>
      </c>
      <c r="Y4">
        <f>K4/$O4</f>
        <v>0.31231469260159778</v>
      </c>
      <c r="Z4">
        <f t="shared" ref="Z4:AA4" si="6">L4/$O4</f>
        <v>7.605522750955193E-3</v>
      </c>
      <c r="AA4">
        <f t="shared" si="6"/>
        <v>2.8388746092393193E-2</v>
      </c>
    </row>
    <row r="5" spans="1:46">
      <c r="A5">
        <f>'Default Output 2017-2040'!A5</f>
        <v>2017</v>
      </c>
      <c r="B5">
        <f>'Default Output 2017-2040'!B5</f>
        <v>30</v>
      </c>
      <c r="C5">
        <f>'Default Output 2017-2040'!C5</f>
        <v>17931200000</v>
      </c>
      <c r="D5">
        <f>'Default Output 2017-2040'!D5</f>
        <v>1284950000</v>
      </c>
      <c r="E5">
        <f>'Default Output 2017-2040'!E5</f>
        <v>424828000</v>
      </c>
      <c r="F5">
        <f>'Default Output 2017-2040'!F5</f>
        <v>16451300000000</v>
      </c>
      <c r="G5">
        <v>396248401.95337898</v>
      </c>
      <c r="H5">
        <f>'Default Output 2017-2040'!H5</f>
        <v>218111000</v>
      </c>
      <c r="I5">
        <f>'Default Output 2017-2040'!I5</f>
        <v>115868000</v>
      </c>
      <c r="J5">
        <f>'Default Output 2017-2040'!J5</f>
        <v>44912200</v>
      </c>
      <c r="K5">
        <f>'Default Output 2017-2040'!K5</f>
        <v>13410900000</v>
      </c>
      <c r="L5">
        <f>'Default Output 2017-2040'!L5</f>
        <v>337345000</v>
      </c>
      <c r="M5">
        <f>'Default Output 2017-2040'!M5</f>
        <v>1050630000</v>
      </c>
      <c r="N5">
        <f>'Default Output 2017-2040'!N5</f>
        <v>2831370</v>
      </c>
      <c r="O5">
        <f>'Default Output 2017-2040'!O5</f>
        <v>34057600000</v>
      </c>
      <c r="Q5">
        <v>2017</v>
      </c>
      <c r="R5">
        <v>30</v>
      </c>
      <c r="S5">
        <f t="shared" si="0"/>
        <v>0.52649628864042097</v>
      </c>
      <c r="T5">
        <f t="shared" si="1"/>
        <v>3.7728730151273135E-2</v>
      </c>
      <c r="U5">
        <f t="shared" si="2"/>
        <v>1.2473809076388237E-2</v>
      </c>
      <c r="V5">
        <f t="shared" si="3"/>
        <v>483.0434323029221</v>
      </c>
      <c r="W5">
        <f t="shared" si="4"/>
        <v>1.1634654290184246E-2</v>
      </c>
      <c r="X5">
        <f t="shared" ref="X5:X6" si="7">H5/$O5</f>
        <v>6.4041799774499667E-3</v>
      </c>
      <c r="Y5">
        <f t="shared" ref="Y5:Y6" si="8">K5/$O5</f>
        <v>0.39377114065583013</v>
      </c>
      <c r="Z5">
        <f t="shared" ref="Z5:Z6" si="9">L5/$O5</f>
        <v>9.9051313069623229E-3</v>
      </c>
      <c r="AA5">
        <f t="shared" ref="AA5:AA6" si="10">M5/$O5</f>
        <v>3.0848621159447524E-2</v>
      </c>
    </row>
    <row r="6" spans="1:46">
      <c r="A6">
        <f>'Default Output 2017-2040'!A6</f>
        <v>2017</v>
      </c>
      <c r="B6">
        <f>'Default Output 2017-2040'!B6</f>
        <v>41</v>
      </c>
      <c r="C6">
        <f>'Default Output 2017-2040'!C6</f>
        <v>9145380000</v>
      </c>
      <c r="D6">
        <f>'Default Output 2017-2040'!D6</f>
        <v>305803000</v>
      </c>
      <c r="E6">
        <f>'Default Output 2017-2040'!E6</f>
        <v>86605400</v>
      </c>
      <c r="F6">
        <f>'Default Output 2017-2040'!F6</f>
        <v>2550250000000</v>
      </c>
      <c r="G6">
        <v>67348825.71875</v>
      </c>
      <c r="H6">
        <f>'Default Output 2017-2040'!H6</f>
        <v>303063000</v>
      </c>
      <c r="I6">
        <f>'Default Output 2017-2040'!I6</f>
        <v>11455500</v>
      </c>
      <c r="J6">
        <f>'Default Output 2017-2040'!J6</f>
        <v>5936230</v>
      </c>
      <c r="K6">
        <f>'Default Output 2017-2040'!K6</f>
        <v>2871220000</v>
      </c>
      <c r="L6">
        <f>'Default Output 2017-2040'!L6</f>
        <v>29205600</v>
      </c>
      <c r="M6">
        <f>'Default Output 2017-2040'!M6</f>
        <v>141299000</v>
      </c>
      <c r="N6">
        <f>'Default Output 2017-2040'!N6</f>
        <v>288681</v>
      </c>
      <c r="O6">
        <f>'Default Output 2017-2040'!O6</f>
        <v>3283270000</v>
      </c>
      <c r="Q6">
        <v>2017</v>
      </c>
      <c r="R6">
        <v>41</v>
      </c>
      <c r="S6">
        <f t="shared" si="0"/>
        <v>2.7854486533242775</v>
      </c>
      <c r="T6">
        <f t="shared" si="1"/>
        <v>9.3139766147773403E-2</v>
      </c>
      <c r="U6">
        <f t="shared" si="2"/>
        <v>2.6377787997941077E-2</v>
      </c>
      <c r="V6">
        <f t="shared" si="3"/>
        <v>776.7408711437073</v>
      </c>
      <c r="W6">
        <f t="shared" si="4"/>
        <v>2.051272838321247E-2</v>
      </c>
      <c r="X6">
        <f t="shared" si="7"/>
        <v>9.2305232283668409E-2</v>
      </c>
      <c r="Y6">
        <f t="shared" si="8"/>
        <v>0.87450011726114518</v>
      </c>
      <c r="Z6">
        <f t="shared" si="9"/>
        <v>8.8952781830309424E-3</v>
      </c>
      <c r="AA6">
        <f t="shared" si="10"/>
        <v>4.3036058563566203E-2</v>
      </c>
    </row>
    <row r="7" spans="1:46">
      <c r="AE7" s="313" t="s">
        <v>82</v>
      </c>
      <c r="AF7" s="313"/>
      <c r="AG7" s="313"/>
      <c r="AH7" s="313"/>
      <c r="AI7" s="313"/>
      <c r="AJ7" s="313"/>
      <c r="AK7" s="313"/>
      <c r="AL7" s="313"/>
      <c r="AM7" s="313"/>
      <c r="AN7" s="313" t="s">
        <v>80</v>
      </c>
      <c r="AO7" s="313"/>
      <c r="AP7" s="313"/>
      <c r="AQ7" s="313"/>
    </row>
    <row r="8" spans="1:46">
      <c r="A8" t="str">
        <f>'Default Output 2017-2040'!A8</f>
        <v>yearID</v>
      </c>
      <c r="B8" t="str">
        <f>'Default Output 2017-2040'!B8</f>
        <v>regClassID</v>
      </c>
      <c r="C8" t="str">
        <f>'Default Output 2017-2040'!C8</f>
        <v>NOx</v>
      </c>
      <c r="D8" t="str">
        <f>'Default Output 2017-2040'!D8</f>
        <v>CH4</v>
      </c>
      <c r="E8" t="str">
        <f>'Default Output 2017-2040'!E8</f>
        <v>N2O</v>
      </c>
      <c r="F8" t="str">
        <f>'Default Output 2017-2040'!F8</f>
        <v>CO2</v>
      </c>
      <c r="G8" t="str">
        <f>'Default Output 2017-2040'!G8</f>
        <v>Energy</v>
      </c>
      <c r="H8" t="str">
        <f>'Default Output 2017-2040'!H8</f>
        <v>PM25 Exh</v>
      </c>
      <c r="I8" t="str">
        <f>'Default Output 2017-2040'!I8</f>
        <v>PM25 BW</v>
      </c>
      <c r="J8" t="str">
        <f>'Default Output 2017-2040'!J8</f>
        <v>PM25 TW</v>
      </c>
      <c r="K8" s="28" t="s">
        <v>115</v>
      </c>
      <c r="L8" s="28" t="s">
        <v>116</v>
      </c>
      <c r="M8" s="28" t="s">
        <v>117</v>
      </c>
      <c r="N8" t="str">
        <f>'Default Output 2017-2040'!N8</f>
        <v>POP</v>
      </c>
      <c r="O8" t="str">
        <f>'Default Output 2017-2040'!O8</f>
        <v>VMT</v>
      </c>
      <c r="Q8" t="s">
        <v>0</v>
      </c>
      <c r="R8" t="s">
        <v>1</v>
      </c>
      <c r="S8" t="s">
        <v>2</v>
      </c>
      <c r="T8" t="s">
        <v>26</v>
      </c>
      <c r="U8" t="s">
        <v>21</v>
      </c>
      <c r="V8" t="s">
        <v>3</v>
      </c>
      <c r="W8" t="s">
        <v>22</v>
      </c>
      <c r="X8" t="s">
        <v>43</v>
      </c>
      <c r="Y8" s="28" t="s">
        <v>115</v>
      </c>
      <c r="Z8" s="28" t="s">
        <v>116</v>
      </c>
      <c r="AA8" s="28" t="s">
        <v>117</v>
      </c>
      <c r="AC8" t="str">
        <f t="shared" ref="AC8:AJ8" si="11">A8</f>
        <v>yearID</v>
      </c>
      <c r="AD8" t="str">
        <f t="shared" si="11"/>
        <v>regClassID</v>
      </c>
      <c r="AE8" t="str">
        <f t="shared" si="11"/>
        <v>NOx</v>
      </c>
      <c r="AF8" t="str">
        <f t="shared" si="11"/>
        <v>CH4</v>
      </c>
      <c r="AG8" t="str">
        <f t="shared" si="11"/>
        <v>N2O</v>
      </c>
      <c r="AH8" t="str">
        <f t="shared" si="11"/>
        <v>CO2</v>
      </c>
      <c r="AI8" t="str">
        <f t="shared" si="11"/>
        <v>Energy</v>
      </c>
      <c r="AJ8" t="str">
        <f t="shared" si="11"/>
        <v>PM25 Exh</v>
      </c>
      <c r="AK8" s="28" t="s">
        <v>115</v>
      </c>
      <c r="AL8" s="28" t="s">
        <v>116</v>
      </c>
      <c r="AM8" s="28" t="s">
        <v>117</v>
      </c>
      <c r="AN8" t="str">
        <f>I8</f>
        <v>PM25 BW</v>
      </c>
      <c r="AO8" t="str">
        <f>J8</f>
        <v>PM25 TW</v>
      </c>
      <c r="AP8" t="str">
        <f t="shared" ref="AP8:AQ8" si="12">N8</f>
        <v>POP</v>
      </c>
      <c r="AQ8" t="str">
        <f t="shared" si="12"/>
        <v>VMT</v>
      </c>
      <c r="AR8" s="6"/>
      <c r="AS8" s="6"/>
      <c r="AT8" s="6"/>
    </row>
    <row r="9" spans="1:46">
      <c r="A9">
        <f>'Default Output 2017-2040'!A9</f>
        <v>2020</v>
      </c>
      <c r="B9">
        <f>'Default Output 2017-2040'!B9</f>
        <v>20</v>
      </c>
      <c r="C9">
        <f>'Default Output 2017-2040'!C9</f>
        <v>5564900000</v>
      </c>
      <c r="D9">
        <f>'Default Output 2017-2040'!D9</f>
        <v>565988000</v>
      </c>
      <c r="E9">
        <f>'Default Output 2017-2040'!E9</f>
        <v>172476000</v>
      </c>
      <c r="F9">
        <f>'Default Output 2017-2040'!F9</f>
        <v>10470000000000</v>
      </c>
      <c r="G9">
        <f>'Default Output 2017-2040'!G9</f>
        <v>135129000</v>
      </c>
      <c r="H9">
        <f>'Default Output 2017-2040'!H9</f>
        <v>122622000</v>
      </c>
      <c r="I9">
        <f>'Default Output 2017-2040'!I9</f>
        <v>94338200</v>
      </c>
      <c r="J9">
        <f>'Default Output 2017-2040'!J9</f>
        <v>39952400</v>
      </c>
      <c r="K9">
        <f>'Default Output 2017-2040'!K9</f>
        <v>7470010000</v>
      </c>
      <c r="L9">
        <f>'Default Output 2017-2040'!L9</f>
        <v>69304200</v>
      </c>
      <c r="M9">
        <f>'Default Output 2017-2040'!M9</f>
        <v>762497000</v>
      </c>
      <c r="N9">
        <f>'Default Output 2017-2040'!N9</f>
        <v>2709810</v>
      </c>
      <c r="O9">
        <f>'Default Output 2017-2040'!O9</f>
        <v>30183000000</v>
      </c>
      <c r="Q9">
        <v>2020</v>
      </c>
      <c r="R9">
        <v>20</v>
      </c>
      <c r="S9">
        <f t="shared" ref="S9:S11" si="13">C9/$O9</f>
        <v>0.18437199748202632</v>
      </c>
      <c r="T9">
        <f t="shared" ref="T9:X11" si="14">D9/$O9</f>
        <v>1.8751880197462146E-2</v>
      </c>
      <c r="U9">
        <f t="shared" si="14"/>
        <v>5.7143425106848224E-3</v>
      </c>
      <c r="V9">
        <f t="shared" si="14"/>
        <v>346.88400755392109</v>
      </c>
      <c r="W9">
        <f t="shared" si="14"/>
        <v>4.4769903588112517E-3</v>
      </c>
      <c r="X9">
        <f t="shared" si="14"/>
        <v>4.0626180300168966E-3</v>
      </c>
      <c r="Y9">
        <f>K9/$O9</f>
        <v>0.24749064042673027</v>
      </c>
      <c r="Z9">
        <f t="shared" ref="Z9:Z11" si="15">L9/$O9</f>
        <v>2.2961335851307027E-3</v>
      </c>
      <c r="AA9">
        <f t="shared" ref="AA9:AA11" si="16">M9/$O9</f>
        <v>2.5262465626345956E-2</v>
      </c>
      <c r="AC9">
        <f t="shared" ref="AC9:AC11" si="17">A9</f>
        <v>2020</v>
      </c>
      <c r="AD9">
        <f t="shared" ref="AD9:AD11" si="18">B9</f>
        <v>20</v>
      </c>
      <c r="AE9">
        <f t="shared" ref="AE9:AJ11" si="19">(S4-S9)/(S4-S19)</f>
        <v>0.44466595961262645</v>
      </c>
      <c r="AF9">
        <f t="shared" si="19"/>
        <v>0.5064060853727923</v>
      </c>
      <c r="AG9">
        <f t="shared" si="19"/>
        <v>0.41425251282686371</v>
      </c>
      <c r="AH9">
        <f t="shared" si="19"/>
        <v>0.25184295914261356</v>
      </c>
      <c r="AI9">
        <f t="shared" si="19"/>
        <v>0.79445761429093065</v>
      </c>
      <c r="AJ9">
        <f t="shared" si="19"/>
        <v>0.56655719619921419</v>
      </c>
      <c r="AK9">
        <f t="shared" ref="AK9" si="20">(Y4-Y9)/(Y4-Y19)</f>
        <v>0.38931661848010174</v>
      </c>
      <c r="AL9">
        <f t="shared" ref="AL9" si="21">(Z4-Z9)/(Z4-Z19)</f>
        <v>0.91745718052638814</v>
      </c>
      <c r="AM9">
        <f t="shared" ref="AM9" si="22">(AA4-AA9)/(AA4-AA19)</f>
        <v>0.55069290906993651</v>
      </c>
      <c r="AN9">
        <f>(3/13)*('County Scale Output 2017-2040'!I9-'County Scale Output 2017-2040'!I4)/('County Scale Output 2017-2040'!I9-'County Scale Output 2017-2040'!I4)</f>
        <v>0.23076923076923078</v>
      </c>
      <c r="AO9">
        <f>(3/13)*('County Scale Output 2017-2040'!J9-'County Scale Output 2017-2040'!J4)/('County Scale Output 2017-2040'!J9-'County Scale Output 2017-2040'!J4)</f>
        <v>0.23076923076923078</v>
      </c>
      <c r="AP9">
        <f>(3/13)*('County Scale Output 2017-2040'!N9-'County Scale Output 2017-2040'!N4)/('County Scale Output 2017-2040'!N9-'County Scale Output 2017-2040'!N4)</f>
        <v>0.23076923076923078</v>
      </c>
      <c r="AQ9">
        <f>(3/13)*('County Scale Output 2017-2040'!O9-'County Scale Output 2017-2040'!O4)/('County Scale Output 2017-2040'!O9-'County Scale Output 2017-2040'!O4)</f>
        <v>0.23076923076923078</v>
      </c>
    </row>
    <row r="10" spans="1:46">
      <c r="A10">
        <f>'Default Output 2017-2040'!A10</f>
        <v>2020</v>
      </c>
      <c r="B10">
        <f>'Default Output 2017-2040'!B10</f>
        <v>30</v>
      </c>
      <c r="C10">
        <f>'Default Output 2017-2040'!C10</f>
        <v>11334500000</v>
      </c>
      <c r="D10">
        <f>'Default Output 2017-2040'!D10</f>
        <v>850780000</v>
      </c>
      <c r="E10">
        <f>'Default Output 2017-2040'!E10</f>
        <v>346377000</v>
      </c>
      <c r="F10">
        <f>'Default Output 2017-2040'!F10</f>
        <v>15905700000000</v>
      </c>
      <c r="G10">
        <f>'Default Output 2017-2040'!G10</f>
        <v>205478000</v>
      </c>
      <c r="H10">
        <f>'Default Output 2017-2040'!H10</f>
        <v>206772000</v>
      </c>
      <c r="I10">
        <f>'Default Output 2017-2040'!I10</f>
        <v>120941000</v>
      </c>
      <c r="J10">
        <f>'Default Output 2017-2040'!J10</f>
        <v>46879000</v>
      </c>
      <c r="K10">
        <f>'Default Output 2017-2040'!K10</f>
        <v>10392900000</v>
      </c>
      <c r="L10">
        <f>'Default Output 2017-2040'!L10</f>
        <v>105198000</v>
      </c>
      <c r="M10">
        <f>'Default Output 2017-2040'!M10</f>
        <v>973729000</v>
      </c>
      <c r="N10">
        <f>'Default Output 2017-2040'!N10</f>
        <v>2891010</v>
      </c>
      <c r="O10">
        <f>'Default Output 2017-2040'!O10</f>
        <v>35549300000</v>
      </c>
      <c r="Q10">
        <v>2020</v>
      </c>
      <c r="R10">
        <v>30</v>
      </c>
      <c r="S10">
        <f t="shared" si="13"/>
        <v>0.31883890822041505</v>
      </c>
      <c r="T10">
        <f t="shared" si="14"/>
        <v>2.3932398106291827E-2</v>
      </c>
      <c r="U10">
        <f t="shared" si="14"/>
        <v>9.7435673838866029E-3</v>
      </c>
      <c r="V10">
        <f t="shared" si="14"/>
        <v>447.42653160540431</v>
      </c>
      <c r="W10">
        <f t="shared" si="14"/>
        <v>5.7800856838249983E-3</v>
      </c>
      <c r="X10">
        <f t="shared" si="14"/>
        <v>5.8164858379771188E-3</v>
      </c>
      <c r="Y10">
        <f t="shared" ref="Y10:Y11" si="23">K10/$O10</f>
        <v>0.29235174813568765</v>
      </c>
      <c r="Z10">
        <f t="shared" si="15"/>
        <v>2.9592143867811743E-3</v>
      </c>
      <c r="AA10">
        <f t="shared" si="16"/>
        <v>2.7390947219776481E-2</v>
      </c>
      <c r="AC10">
        <f t="shared" si="17"/>
        <v>2020</v>
      </c>
      <c r="AD10">
        <f t="shared" si="18"/>
        <v>30</v>
      </c>
      <c r="AE10">
        <f t="shared" si="19"/>
        <v>0.45662781133257863</v>
      </c>
      <c r="AF10">
        <f t="shared" si="19"/>
        <v>0.52210559321698868</v>
      </c>
      <c r="AG10">
        <f t="shared" si="19"/>
        <v>0.42199992036547818</v>
      </c>
      <c r="AH10">
        <f t="shared" si="19"/>
        <v>0.30602000803362062</v>
      </c>
      <c r="AI10">
        <f t="shared" si="19"/>
        <v>0.8484170155021602</v>
      </c>
      <c r="AJ10">
        <f t="shared" si="19"/>
        <v>0.3461823573493894</v>
      </c>
      <c r="AK10">
        <f t="shared" ref="AK10:AK11" si="24">(Y5-Y10)/(Y5-Y20)</f>
        <v>0.43613377226590844</v>
      </c>
      <c r="AL10">
        <f t="shared" ref="AL10:AL11" si="25">(Z5-Z10)/(Z5-Z20)</f>
        <v>0.92707668886098638</v>
      </c>
      <c r="AM10">
        <f t="shared" ref="AM10:AM11" si="26">(AA5-AA10)/(AA5-AA20)</f>
        <v>0.49318834889326424</v>
      </c>
      <c r="AN10">
        <f>(3/13)*('County Scale Output 2017-2040'!I10-'County Scale Output 2017-2040'!I5)/('County Scale Output 2017-2040'!I10-'County Scale Output 2017-2040'!I5)</f>
        <v>0.23076923076923078</v>
      </c>
      <c r="AO10">
        <f>(3/13)*('County Scale Output 2017-2040'!J10-'County Scale Output 2017-2040'!J5)/('County Scale Output 2017-2040'!J10-'County Scale Output 2017-2040'!J5)</f>
        <v>0.23076923076923078</v>
      </c>
      <c r="AP10">
        <f>(3/13)*('County Scale Output 2017-2040'!N10-'County Scale Output 2017-2040'!N5)/('County Scale Output 2017-2040'!N10-'County Scale Output 2017-2040'!N5)</f>
        <v>0.23076923076923078</v>
      </c>
      <c r="AQ10">
        <f>(3/13)*('County Scale Output 2017-2040'!O10-'County Scale Output 2017-2040'!O5)/('County Scale Output 2017-2040'!O10-'County Scale Output 2017-2040'!O5)</f>
        <v>0.23076923076923078</v>
      </c>
    </row>
    <row r="11" spans="1:46">
      <c r="A11">
        <f>'Default Output 2017-2040'!A11</f>
        <v>2020</v>
      </c>
      <c r="B11">
        <f>'Default Output 2017-2040'!B11</f>
        <v>41</v>
      </c>
      <c r="C11">
        <f>'Default Output 2017-2040'!C11</f>
        <v>5748890000</v>
      </c>
      <c r="D11">
        <f>'Default Output 2017-2040'!D11</f>
        <v>213076000</v>
      </c>
      <c r="E11">
        <f>'Default Output 2017-2040'!E11</f>
        <v>64357700</v>
      </c>
      <c r="F11">
        <f>'Default Output 2017-2040'!F11</f>
        <v>2362190000000</v>
      </c>
      <c r="G11">
        <f>'Default Output 2017-2040'!G11</f>
        <v>30286500</v>
      </c>
      <c r="H11">
        <f>'Default Output 2017-2040'!H11</f>
        <v>200077000</v>
      </c>
      <c r="I11">
        <f>'Default Output 2017-2040'!I11</f>
        <v>11013100</v>
      </c>
      <c r="J11">
        <f>'Default Output 2017-2040'!J11</f>
        <v>5695480</v>
      </c>
      <c r="K11">
        <f>'Default Output 2017-2040'!K11</f>
        <v>1967500000</v>
      </c>
      <c r="L11">
        <f>'Default Output 2017-2040'!L11</f>
        <v>11462000</v>
      </c>
      <c r="M11">
        <f>'Default Output 2017-2040'!M11</f>
        <v>125995000</v>
      </c>
      <c r="N11">
        <f>'Default Output 2017-2040'!N11</f>
        <v>273399</v>
      </c>
      <c r="O11">
        <f>'Default Output 2017-2040'!O11</f>
        <v>3151530000</v>
      </c>
      <c r="Q11">
        <v>2020</v>
      </c>
      <c r="R11">
        <v>41</v>
      </c>
      <c r="S11">
        <f t="shared" si="13"/>
        <v>1.8241584246381917</v>
      </c>
      <c r="T11">
        <f t="shared" si="14"/>
        <v>6.761033529745869E-2</v>
      </c>
      <c r="U11">
        <f t="shared" si="14"/>
        <v>2.0421097054446571E-2</v>
      </c>
      <c r="V11">
        <f t="shared" si="14"/>
        <v>749.53752621742456</v>
      </c>
      <c r="W11">
        <f t="shared" si="14"/>
        <v>9.6100941447487404E-3</v>
      </c>
      <c r="X11">
        <f t="shared" si="14"/>
        <v>6.3485672038660582E-2</v>
      </c>
      <c r="Y11">
        <f t="shared" si="23"/>
        <v>0.62429994320219073</v>
      </c>
      <c r="Z11">
        <f t="shared" si="15"/>
        <v>3.6369636335367266E-3</v>
      </c>
      <c r="AA11">
        <f t="shared" si="16"/>
        <v>3.9978994329738254E-2</v>
      </c>
      <c r="AC11">
        <f t="shared" si="17"/>
        <v>2020</v>
      </c>
      <c r="AD11">
        <f t="shared" si="18"/>
        <v>41</v>
      </c>
      <c r="AE11">
        <f t="shared" si="19"/>
        <v>0.44802671837545199</v>
      </c>
      <c r="AF11">
        <f t="shared" si="19"/>
        <v>0.47404595609233924</v>
      </c>
      <c r="AG11">
        <f t="shared" si="19"/>
        <v>0.36264813036656401</v>
      </c>
      <c r="AH11">
        <f t="shared" si="19"/>
        <v>0.17988463262543994</v>
      </c>
      <c r="AI11">
        <f t="shared" si="19"/>
        <v>0.87179264914814147</v>
      </c>
      <c r="AJ11">
        <f t="shared" si="19"/>
        <v>0.3753372381091733</v>
      </c>
      <c r="AK11">
        <f t="shared" si="24"/>
        <v>0.39536025714751521</v>
      </c>
      <c r="AL11">
        <f t="shared" si="25"/>
        <v>0.87289426908606349</v>
      </c>
      <c r="AM11">
        <f t="shared" si="26"/>
        <v>0.33787913629495853</v>
      </c>
      <c r="AN11">
        <f>(3/13)*('County Scale Output 2017-2040'!I11-'County Scale Output 2017-2040'!I6)/('County Scale Output 2017-2040'!I11-'County Scale Output 2017-2040'!I6)</f>
        <v>0.23076923076923078</v>
      </c>
      <c r="AO11">
        <f>(3/13)*('County Scale Output 2017-2040'!J11-'County Scale Output 2017-2040'!J6)/('County Scale Output 2017-2040'!J11-'County Scale Output 2017-2040'!J6)</f>
        <v>0.23076923076923078</v>
      </c>
      <c r="AP11">
        <f>(3/13)*('County Scale Output 2017-2040'!N11-'County Scale Output 2017-2040'!N6)/('County Scale Output 2017-2040'!N11-'County Scale Output 2017-2040'!N6)</f>
        <v>0.23076923076923078</v>
      </c>
      <c r="AQ11">
        <f>(3/13)*('County Scale Output 2017-2040'!O11-'County Scale Output 2017-2040'!O6)/('County Scale Output 2017-2040'!O11-'County Scale Output 2017-2040'!O6)</f>
        <v>0.23076923076923078</v>
      </c>
    </row>
    <row r="13" spans="1:46">
      <c r="A13" t="str">
        <f>'Default Output 2017-2040'!A13</f>
        <v>yearID</v>
      </c>
      <c r="B13" t="str">
        <f>'Default Output 2017-2040'!B13</f>
        <v>regClassID</v>
      </c>
      <c r="C13" t="str">
        <f>'Default Output 2017-2040'!C13</f>
        <v>NOx</v>
      </c>
      <c r="D13" t="str">
        <f>'Default Output 2017-2040'!D13</f>
        <v>CH4</v>
      </c>
      <c r="E13" t="str">
        <f>'Default Output 2017-2040'!E13</f>
        <v>N2O</v>
      </c>
      <c r="F13" t="str">
        <f>'Default Output 2017-2040'!F13</f>
        <v>CO2</v>
      </c>
      <c r="G13" t="str">
        <f>'Default Output 2017-2040'!G13</f>
        <v>Energy</v>
      </c>
      <c r="H13" t="str">
        <f>'Default Output 2017-2040'!H13</f>
        <v>PM25 Exh</v>
      </c>
      <c r="I13" t="str">
        <f>'Default Output 2017-2040'!I13</f>
        <v>PM25 BW</v>
      </c>
      <c r="J13" t="str">
        <f>'Default Output 2017-2040'!J13</f>
        <v>PM25 TW</v>
      </c>
      <c r="K13" s="28" t="s">
        <v>115</v>
      </c>
      <c r="L13" s="28" t="s">
        <v>116</v>
      </c>
      <c r="M13" s="28" t="s">
        <v>117</v>
      </c>
      <c r="N13" t="str">
        <f>'Default Output 2017-2040'!N13</f>
        <v>POP</v>
      </c>
      <c r="O13" t="str">
        <f>'Default Output 2017-2040'!O13</f>
        <v>VMT</v>
      </c>
      <c r="Q13" t="s">
        <v>0</v>
      </c>
      <c r="R13" t="s">
        <v>1</v>
      </c>
      <c r="S13" t="s">
        <v>2</v>
      </c>
      <c r="T13" t="s">
        <v>26</v>
      </c>
      <c r="U13" t="s">
        <v>21</v>
      </c>
      <c r="V13" t="s">
        <v>3</v>
      </c>
      <c r="W13" t="s">
        <v>22</v>
      </c>
      <c r="X13" t="s">
        <v>43</v>
      </c>
      <c r="Y13" s="28" t="s">
        <v>115</v>
      </c>
      <c r="Z13" s="28" t="s">
        <v>116</v>
      </c>
      <c r="AA13" s="28" t="s">
        <v>117</v>
      </c>
      <c r="AC13" t="str">
        <f t="shared" ref="AC13:AJ13" si="27">A13</f>
        <v>yearID</v>
      </c>
      <c r="AD13" t="str">
        <f t="shared" si="27"/>
        <v>regClassID</v>
      </c>
      <c r="AE13" t="str">
        <f t="shared" si="27"/>
        <v>NOx</v>
      </c>
      <c r="AF13" t="str">
        <f t="shared" si="27"/>
        <v>CH4</v>
      </c>
      <c r="AG13" t="str">
        <f t="shared" si="27"/>
        <v>N2O</v>
      </c>
      <c r="AH13" t="str">
        <f t="shared" si="27"/>
        <v>CO2</v>
      </c>
      <c r="AI13" t="str">
        <f t="shared" si="27"/>
        <v>Energy</v>
      </c>
      <c r="AJ13" t="str">
        <f t="shared" si="27"/>
        <v>PM25 Exh</v>
      </c>
      <c r="AK13" s="28" t="s">
        <v>115</v>
      </c>
      <c r="AL13" s="28" t="s">
        <v>116</v>
      </c>
      <c r="AM13" s="28" t="s">
        <v>117</v>
      </c>
      <c r="AN13" t="str">
        <f>I13</f>
        <v>PM25 BW</v>
      </c>
      <c r="AO13" t="str">
        <f>J13</f>
        <v>PM25 TW</v>
      </c>
      <c r="AP13" t="str">
        <f t="shared" ref="AP13:AQ13" si="28">N13</f>
        <v>POP</v>
      </c>
      <c r="AQ13" t="str">
        <f t="shared" si="28"/>
        <v>VMT</v>
      </c>
    </row>
    <row r="14" spans="1:46">
      <c r="A14">
        <f>'Default Output 2017-2040'!A14</f>
        <v>2025</v>
      </c>
      <c r="B14">
        <f>'Default Output 2017-2040'!B14</f>
        <v>20</v>
      </c>
      <c r="C14">
        <f>'Default Output 2017-2040'!C14</f>
        <v>3033680000</v>
      </c>
      <c r="D14">
        <f>'Default Output 2017-2040'!D14</f>
        <v>417789000</v>
      </c>
      <c r="E14">
        <f>'Default Output 2017-2040'!E14</f>
        <v>145112000</v>
      </c>
      <c r="F14">
        <f>'Default Output 2017-2040'!F14</f>
        <v>9574390000000</v>
      </c>
      <c r="G14">
        <f>'Default Output 2017-2040'!G14</f>
        <v>123550000</v>
      </c>
      <c r="H14">
        <f>'Default Output 2017-2040'!H14</f>
        <v>113263000</v>
      </c>
      <c r="I14">
        <f>'Default Output 2017-2040'!I14</f>
        <v>97432500</v>
      </c>
      <c r="J14">
        <f>'Default Output 2017-2040'!J14</f>
        <v>41262800</v>
      </c>
      <c r="K14">
        <f>'Default Output 2017-2040'!K14</f>
        <v>6131970000</v>
      </c>
      <c r="L14">
        <f>'Default Output 2017-2040'!L14</f>
        <v>63348800</v>
      </c>
      <c r="M14">
        <f>'Default Output 2017-2040'!M14</f>
        <v>750339000</v>
      </c>
      <c r="N14">
        <f>'Default Output 2017-2040'!N14</f>
        <v>2813860</v>
      </c>
      <c r="O14">
        <f>'Default Output 2017-2040'!O14</f>
        <v>31173100000</v>
      </c>
      <c r="Q14">
        <v>2025</v>
      </c>
      <c r="R14">
        <v>20</v>
      </c>
      <c r="S14">
        <f t="shared" ref="S14:S16" si="29">C14/$O14</f>
        <v>9.7317238259909983E-2</v>
      </c>
      <c r="T14">
        <f t="shared" ref="T14:X16" si="30">D14/$O14</f>
        <v>1.3402228203162342E-2</v>
      </c>
      <c r="U14">
        <f t="shared" si="30"/>
        <v>4.6550391202671536E-3</v>
      </c>
      <c r="V14">
        <f t="shared" si="30"/>
        <v>307.13628096018681</v>
      </c>
      <c r="W14">
        <f t="shared" si="30"/>
        <v>3.9633530191094243E-3</v>
      </c>
      <c r="X14">
        <f t="shared" si="30"/>
        <v>3.6333569648190267E-3</v>
      </c>
      <c r="Y14">
        <f>K14/$O14</f>
        <v>0.19670709682386417</v>
      </c>
      <c r="Z14">
        <f t="shared" ref="Z14:Z16" si="31">L14/$O14</f>
        <v>2.032162345098819E-3</v>
      </c>
      <c r="AA14">
        <f t="shared" ref="AA14:AA16" si="32">M14/$O14</f>
        <v>2.4070079652007661E-2</v>
      </c>
      <c r="AC14">
        <f t="shared" ref="AC14:AD16" si="33">A14</f>
        <v>2025</v>
      </c>
      <c r="AD14">
        <f t="shared" si="33"/>
        <v>20</v>
      </c>
      <c r="AE14">
        <f t="shared" ref="AE14:AJ16" si="34">(S9-S14)/(S4-S19)</f>
        <v>0.35837785678860018</v>
      </c>
      <c r="AF14">
        <f t="shared" si="34"/>
        <v>0.29402255324937837</v>
      </c>
      <c r="AG14">
        <f t="shared" si="34"/>
        <v>0.39133818658852604</v>
      </c>
      <c r="AH14">
        <f t="shared" si="34"/>
        <v>0.41585759041394532</v>
      </c>
      <c r="AI14">
        <f t="shared" si="34"/>
        <v>0.11422137953220336</v>
      </c>
      <c r="AJ14">
        <f t="shared" si="34"/>
        <v>0.30196604567690211</v>
      </c>
      <c r="AK14">
        <f t="shared" ref="AK14" si="35">(Y9-Y14)/(Y4-Y19)</f>
        <v>0.30499292788070825</v>
      </c>
      <c r="AL14">
        <f t="shared" ref="AL14" si="36">(Z9-Z14)/(Z4-Z19)</f>
        <v>4.5613968397454657E-2</v>
      </c>
      <c r="AM14">
        <f t="shared" ref="AM14" si="37">(AA9-AA14)/(AA4-AA19)</f>
        <v>0.2100382573073418</v>
      </c>
      <c r="AN14">
        <f>(8/13)*('County Scale Output 2017-2040'!I14-'County Scale Output 2017-2040'!I9)/('County Scale Output 2017-2040'!I14-'County Scale Output 2017-2040'!I9)</f>
        <v>0.61538461538461542</v>
      </c>
      <c r="AO14">
        <f>(8/13)*('County Scale Output 2017-2040'!J14-'County Scale Output 2017-2040'!J9)/('County Scale Output 2017-2040'!J14-'County Scale Output 2017-2040'!J9)</f>
        <v>0.61538461538461542</v>
      </c>
      <c r="AP14">
        <f>(8/13)*('County Scale Output 2017-2040'!N14-'County Scale Output 2017-2040'!N9)/('County Scale Output 2017-2040'!N14-'County Scale Output 2017-2040'!N9)</f>
        <v>0.61538461538461542</v>
      </c>
      <c r="AQ14">
        <f>(8/13)*('County Scale Output 2017-2040'!O14-'County Scale Output 2017-2040'!O9)/('County Scale Output 2017-2040'!O14-'County Scale Output 2017-2040'!O9)</f>
        <v>0.61538461538461542</v>
      </c>
    </row>
    <row r="15" spans="1:46">
      <c r="A15">
        <f>'Default Output 2017-2040'!A15</f>
        <v>2025</v>
      </c>
      <c r="B15">
        <f>'Default Output 2017-2040'!B15</f>
        <v>30</v>
      </c>
      <c r="C15">
        <f>'Default Output 2017-2040'!C15</f>
        <v>6087500000</v>
      </c>
      <c r="D15">
        <f>'Default Output 2017-2040'!D15</f>
        <v>596285000</v>
      </c>
      <c r="E15">
        <f>'Default Output 2017-2040'!E15</f>
        <v>264290000</v>
      </c>
      <c r="F15">
        <f>'Default Output 2017-2040'!F15</f>
        <v>14524700000000</v>
      </c>
      <c r="G15">
        <f>'Default Output 2017-2040'!G15</f>
        <v>187577000</v>
      </c>
      <c r="H15">
        <f>'Default Output 2017-2040'!H15</f>
        <v>188469000</v>
      </c>
      <c r="I15">
        <f>'Default Output 2017-2040'!I15</f>
        <v>123418000</v>
      </c>
      <c r="J15">
        <f>'Default Output 2017-2040'!J15</f>
        <v>47839500</v>
      </c>
      <c r="K15">
        <f>'Default Output 2017-2040'!K15</f>
        <v>7901350000</v>
      </c>
      <c r="L15">
        <f>'Default Output 2017-2040'!L15</f>
        <v>95791100</v>
      </c>
      <c r="M15">
        <f>'Default Output 2017-2040'!M15</f>
        <v>922029000</v>
      </c>
      <c r="N15">
        <f>'Default Output 2017-2040'!N15</f>
        <v>2980080</v>
      </c>
      <c r="O15">
        <f>'Default Output 2017-2040'!O15</f>
        <v>36277600000</v>
      </c>
      <c r="Q15">
        <v>2025</v>
      </c>
      <c r="R15">
        <v>30</v>
      </c>
      <c r="S15">
        <f t="shared" si="29"/>
        <v>0.16780327254283636</v>
      </c>
      <c r="T15">
        <f t="shared" si="30"/>
        <v>1.6436726795598385E-2</v>
      </c>
      <c r="U15">
        <f t="shared" si="30"/>
        <v>7.2852118111451699E-3</v>
      </c>
      <c r="V15">
        <f t="shared" si="30"/>
        <v>400.37654089575938</v>
      </c>
      <c r="W15">
        <f t="shared" si="30"/>
        <v>5.1706011423026882E-3</v>
      </c>
      <c r="X15">
        <f t="shared" si="30"/>
        <v>5.1951893179262134E-3</v>
      </c>
      <c r="Y15">
        <f t="shared" ref="Y15:Y16" si="38">K15/$O15</f>
        <v>0.21780244558625708</v>
      </c>
      <c r="Z15">
        <f t="shared" si="31"/>
        <v>2.6405026793393169E-3</v>
      </c>
      <c r="AA15">
        <f t="shared" si="32"/>
        <v>2.5415931594151762E-2</v>
      </c>
      <c r="AC15">
        <f t="shared" si="33"/>
        <v>2025</v>
      </c>
      <c r="AD15">
        <f t="shared" si="33"/>
        <v>30</v>
      </c>
      <c r="AE15">
        <f t="shared" si="34"/>
        <v>0.33211953080206114</v>
      </c>
      <c r="AF15">
        <f t="shared" si="34"/>
        <v>0.28366466561326259</v>
      </c>
      <c r="AG15">
        <f t="shared" si="34"/>
        <v>0.37997583099551668</v>
      </c>
      <c r="AH15">
        <f t="shared" si="34"/>
        <v>0.40425298813129906</v>
      </c>
      <c r="AI15">
        <f t="shared" si="34"/>
        <v>8.8323681979127988E-2</v>
      </c>
      <c r="AJ15">
        <f t="shared" si="34"/>
        <v>0.36597590392362872</v>
      </c>
      <c r="AK15">
        <f t="shared" ref="AK15:AK16" si="39">(Y10-Y15)/(Y5-Y20)</f>
        <v>0.32058433533032937</v>
      </c>
      <c r="AL15">
        <f t="shared" ref="AL15:AL16" si="40">(Z10-Z15)/(Z5-Z20)</f>
        <v>4.2538688244016999E-2</v>
      </c>
      <c r="AM15">
        <f t="shared" ref="AM15:AM16" si="41">(AA10-AA15)/(AA5-AA20)</f>
        <v>0.28170808249574913</v>
      </c>
      <c r="AN15">
        <f>(8/13)*('County Scale Output 2017-2040'!I15-'County Scale Output 2017-2040'!I10)/('County Scale Output 2017-2040'!I15-'County Scale Output 2017-2040'!I10)</f>
        <v>0.61538461538461542</v>
      </c>
      <c r="AO15">
        <f>(8/13)*('County Scale Output 2017-2040'!J15-'County Scale Output 2017-2040'!J10)/('County Scale Output 2017-2040'!J15-'County Scale Output 2017-2040'!J10)</f>
        <v>0.61538461538461542</v>
      </c>
      <c r="AP15">
        <f>(8/13)*('County Scale Output 2017-2040'!N15-'County Scale Output 2017-2040'!N10)/('County Scale Output 2017-2040'!N15-'County Scale Output 2017-2040'!N10)</f>
        <v>0.61538461538461542</v>
      </c>
      <c r="AQ15">
        <f>(8/13)*('County Scale Output 2017-2040'!O15-'County Scale Output 2017-2040'!O10)/('County Scale Output 2017-2040'!O15-'County Scale Output 2017-2040'!O10)</f>
        <v>0.61538461538461542</v>
      </c>
    </row>
    <row r="16" spans="1:46">
      <c r="A16">
        <f>'Default Output 2017-2040'!A16</f>
        <v>2025</v>
      </c>
      <c r="B16">
        <f>'Default Output 2017-2040'!B16</f>
        <v>41</v>
      </c>
      <c r="C16">
        <f>'Default Output 2017-2040'!C16</f>
        <v>3329940000</v>
      </c>
      <c r="D16">
        <f>'Default Output 2017-2040'!D16</f>
        <v>157447000</v>
      </c>
      <c r="E16">
        <f>'Default Output 2017-2040'!E16</f>
        <v>42292000</v>
      </c>
      <c r="F16">
        <f>'Default Output 2017-2040'!F16</f>
        <v>2145360000000</v>
      </c>
      <c r="G16">
        <f>'Default Output 2017-2040'!G16</f>
        <v>27478300</v>
      </c>
      <c r="H16">
        <f>'Default Output 2017-2040'!H16</f>
        <v>106214000</v>
      </c>
      <c r="I16">
        <f>'Default Output 2017-2040'!I16</f>
        <v>10958500</v>
      </c>
      <c r="J16">
        <f>'Default Output 2017-2040'!J16</f>
        <v>5642560</v>
      </c>
      <c r="K16">
        <f>'Default Output 2017-2040'!K16</f>
        <v>1254180000</v>
      </c>
      <c r="L16">
        <f>'Default Output 2017-2040'!L16</f>
        <v>10083200</v>
      </c>
      <c r="M16">
        <f>'Default Output 2017-2040'!M16</f>
        <v>112457000</v>
      </c>
      <c r="N16">
        <f>'Default Output 2017-2040'!N16</f>
        <v>263570</v>
      </c>
      <c r="O16">
        <f>'Default Output 2017-2040'!O16</f>
        <v>3123550000</v>
      </c>
      <c r="Q16">
        <v>2025</v>
      </c>
      <c r="R16">
        <v>41</v>
      </c>
      <c r="S16">
        <f t="shared" si="29"/>
        <v>1.066075459012982</v>
      </c>
      <c r="T16">
        <f t="shared" si="30"/>
        <v>5.0406428582862449E-2</v>
      </c>
      <c r="U16">
        <f t="shared" si="30"/>
        <v>1.353972243120808E-2</v>
      </c>
      <c r="V16">
        <f t="shared" si="30"/>
        <v>686.83389092538937</v>
      </c>
      <c r="W16">
        <f t="shared" si="30"/>
        <v>8.7971378719725948E-3</v>
      </c>
      <c r="X16">
        <f t="shared" si="30"/>
        <v>3.4004257975700725E-2</v>
      </c>
      <c r="Y16">
        <f t="shared" si="38"/>
        <v>0.4015239070928911</v>
      </c>
      <c r="Z16">
        <f t="shared" si="31"/>
        <v>3.2281218485377215E-3</v>
      </c>
      <c r="AA16">
        <f t="shared" si="32"/>
        <v>3.6002945366650128E-2</v>
      </c>
      <c r="AC16">
        <f t="shared" si="33"/>
        <v>2025</v>
      </c>
      <c r="AD16">
        <f t="shared" si="33"/>
        <v>41</v>
      </c>
      <c r="AE16">
        <f t="shared" si="34"/>
        <v>0.35331829369536316</v>
      </c>
      <c r="AF16">
        <f t="shared" si="34"/>
        <v>0.3194525743586506</v>
      </c>
      <c r="AG16">
        <f t="shared" si="34"/>
        <v>0.41894361569904737</v>
      </c>
      <c r="AH16">
        <f t="shared" si="34"/>
        <v>0.41463358382408388</v>
      </c>
      <c r="AI16">
        <f t="shared" si="34"/>
        <v>6.500532689473959E-2</v>
      </c>
      <c r="AJ16">
        <f t="shared" si="34"/>
        <v>0.38395702210137206</v>
      </c>
      <c r="AK16">
        <f t="shared" si="39"/>
        <v>0.35202529835859897</v>
      </c>
      <c r="AL16">
        <f t="shared" si="40"/>
        <v>6.7868829019153115E-2</v>
      </c>
      <c r="AM16">
        <f t="shared" si="41"/>
        <v>0.43944905528939221</v>
      </c>
      <c r="AN16">
        <f>(8/13)*('County Scale Output 2017-2040'!I16-'County Scale Output 2017-2040'!I11)/('County Scale Output 2017-2040'!I16-'County Scale Output 2017-2040'!I11)</f>
        <v>0.61538461538461542</v>
      </c>
      <c r="AO16">
        <f>(8/13)*('County Scale Output 2017-2040'!J16-'County Scale Output 2017-2040'!J11)/('County Scale Output 2017-2040'!J16-'County Scale Output 2017-2040'!J11)</f>
        <v>0.61538461538461542</v>
      </c>
      <c r="AP16">
        <f>(8/13)*('County Scale Output 2017-2040'!N16-'County Scale Output 2017-2040'!N11)/('County Scale Output 2017-2040'!N16-'County Scale Output 2017-2040'!N11)</f>
        <v>0.61538461538461542</v>
      </c>
      <c r="AQ16">
        <f>(8/13)*('County Scale Output 2017-2040'!O16-'County Scale Output 2017-2040'!O11)/('County Scale Output 2017-2040'!O16-'County Scale Output 2017-2040'!O11)</f>
        <v>0.61538461538461542</v>
      </c>
    </row>
    <row r="18" spans="1:43">
      <c r="A18" t="str">
        <f>'Default Output 2017-2040'!A18</f>
        <v>yearID</v>
      </c>
      <c r="B18" t="str">
        <f>'Default Output 2017-2040'!B18</f>
        <v>regClassID</v>
      </c>
      <c r="C18" t="str">
        <f>'Default Output 2017-2040'!C18</f>
        <v>NOx</v>
      </c>
      <c r="D18" t="str">
        <f>'Default Output 2017-2040'!D18</f>
        <v>CH4</v>
      </c>
      <c r="E18" t="str">
        <f>'Default Output 2017-2040'!E18</f>
        <v>N2O</v>
      </c>
      <c r="F18" t="str">
        <f>'Default Output 2017-2040'!F18</f>
        <v>CO2</v>
      </c>
      <c r="G18" t="str">
        <f>'Default Output 2017-2040'!G18</f>
        <v>Energy</v>
      </c>
      <c r="H18" t="str">
        <f>'Default Output 2017-2040'!H18</f>
        <v>PM25 Exh</v>
      </c>
      <c r="I18" t="str">
        <f>'Default Output 2017-2040'!I18</f>
        <v>PM25 BW</v>
      </c>
      <c r="J18" t="str">
        <f>'Default Output 2017-2040'!J18</f>
        <v>PM25 TW</v>
      </c>
      <c r="K18" s="28" t="s">
        <v>115</v>
      </c>
      <c r="L18" s="28" t="s">
        <v>116</v>
      </c>
      <c r="M18" s="28" t="s">
        <v>117</v>
      </c>
      <c r="N18" t="str">
        <f>'Default Output 2017-2040'!N18</f>
        <v>POP</v>
      </c>
      <c r="O18" t="str">
        <f>'Default Output 2017-2040'!O18</f>
        <v>VMT</v>
      </c>
      <c r="Q18" t="s">
        <v>0</v>
      </c>
      <c r="R18" t="s">
        <v>1</v>
      </c>
      <c r="S18" t="s">
        <v>2</v>
      </c>
      <c r="T18" t="s">
        <v>26</v>
      </c>
      <c r="U18" t="s">
        <v>21</v>
      </c>
      <c r="V18" t="s">
        <v>3</v>
      </c>
      <c r="W18" t="s">
        <v>22</v>
      </c>
      <c r="X18" t="s">
        <v>43</v>
      </c>
      <c r="Y18" s="28" t="s">
        <v>115</v>
      </c>
      <c r="Z18" s="28" t="s">
        <v>116</v>
      </c>
      <c r="AA18" s="28" t="s">
        <v>117</v>
      </c>
    </row>
    <row r="19" spans="1:43">
      <c r="A19">
        <f>'Default Output 2017-2040'!A19</f>
        <v>2030</v>
      </c>
      <c r="B19">
        <f>'Default Output 2017-2040'!B19</f>
        <v>20</v>
      </c>
      <c r="C19">
        <f>'Default Output 2017-2040'!C19</f>
        <v>1631750000</v>
      </c>
      <c r="D19">
        <f>'Default Output 2017-2040'!D19</f>
        <v>322270000</v>
      </c>
      <c r="E19">
        <f>'Default Output 2017-2040'!E19</f>
        <v>136176000</v>
      </c>
      <c r="F19">
        <f>'Default Output 2017-2040'!F19</f>
        <v>9082420000000</v>
      </c>
      <c r="G19">
        <f>'Default Output 2017-2040'!G19</f>
        <v>117175000</v>
      </c>
      <c r="H19">
        <f>'Default Output 2017-2040'!H19</f>
        <v>113671000</v>
      </c>
      <c r="I19">
        <f>'Default Output 2017-2040'!I19</f>
        <v>103086000</v>
      </c>
      <c r="J19">
        <f>'Default Output 2017-2040'!J19</f>
        <v>43657200</v>
      </c>
      <c r="K19">
        <f>'Default Output 2017-2040'!K19</f>
        <v>4809020000</v>
      </c>
      <c r="L19">
        <f>'Default Output 2017-2040'!L19</f>
        <v>59976200</v>
      </c>
      <c r="M19">
        <f>'Default Output 2017-2040'!M19</f>
        <v>749079000</v>
      </c>
      <c r="N19">
        <f>'Default Output 2017-2040'!N19</f>
        <v>2929090</v>
      </c>
      <c r="O19">
        <f>'Default Output 2017-2040'!O19</f>
        <v>32982000000</v>
      </c>
      <c r="Q19">
        <v>2030</v>
      </c>
      <c r="R19">
        <v>20</v>
      </c>
      <c r="S19">
        <f t="shared" ref="S19:S21" si="42">C19/$O19</f>
        <v>4.9473955490873807E-2</v>
      </c>
      <c r="T19">
        <f t="shared" ref="T19:X21" si="43">D19/$O19</f>
        <v>9.7710872597174224E-3</v>
      </c>
      <c r="U19">
        <f t="shared" si="43"/>
        <v>4.1287975259232312E-3</v>
      </c>
      <c r="V19">
        <f t="shared" si="43"/>
        <v>275.37505305924446</v>
      </c>
      <c r="W19">
        <f t="shared" si="43"/>
        <v>3.5526954096173672E-3</v>
      </c>
      <c r="X19">
        <f t="shared" si="43"/>
        <v>3.4464556424716511E-3</v>
      </c>
      <c r="Y19">
        <f>K19/$O19</f>
        <v>0.14580741010248013</v>
      </c>
      <c r="Z19">
        <f t="shared" ref="Z19:Z21" si="44">L19/$O19</f>
        <v>1.8184524892365533E-3</v>
      </c>
      <c r="AA19">
        <f t="shared" ref="AA19:AA21" si="45">M19/$O19</f>
        <v>2.2711751864653448E-2</v>
      </c>
    </row>
    <row r="20" spans="1:43">
      <c r="A20">
        <f>'Default Output 2017-2040'!A20</f>
        <v>2030</v>
      </c>
      <c r="B20">
        <f>'Default Output 2017-2040'!B20</f>
        <v>30</v>
      </c>
      <c r="C20">
        <f>'Default Output 2017-2040'!C20</f>
        <v>2630880000</v>
      </c>
      <c r="D20">
        <f>'Default Output 2017-2040'!D20</f>
        <v>414595000</v>
      </c>
      <c r="E20">
        <f>'Default Output 2017-2040'!E20</f>
        <v>220203000</v>
      </c>
      <c r="F20">
        <f>'Default Output 2017-2040'!F20</f>
        <v>13447400000000</v>
      </c>
      <c r="G20">
        <f>'Default Output 2017-2040'!G20</f>
        <v>173626000</v>
      </c>
      <c r="H20">
        <f>'Default Output 2017-2040'!H20</f>
        <v>172616000</v>
      </c>
      <c r="I20">
        <f>'Default Output 2017-2040'!I20</f>
        <v>124773000</v>
      </c>
      <c r="J20">
        <f>'Default Output 2017-2040'!J20</f>
        <v>48364600</v>
      </c>
      <c r="K20">
        <f>'Default Output 2017-2040'!K20</f>
        <v>5913210000</v>
      </c>
      <c r="L20">
        <f>'Default Output 2017-2040'!L20</f>
        <v>88493300</v>
      </c>
      <c r="M20">
        <f>'Default Output 2017-2040'!M20</f>
        <v>874269000</v>
      </c>
      <c r="N20">
        <f>'Default Output 2017-2040'!N20</f>
        <v>3005500</v>
      </c>
      <c r="O20">
        <f>'Default Output 2017-2040'!O20</f>
        <v>36675800000</v>
      </c>
      <c r="Q20">
        <v>2030</v>
      </c>
      <c r="R20">
        <v>30</v>
      </c>
      <c r="S20">
        <f t="shared" si="42"/>
        <v>7.1733404588311636E-2</v>
      </c>
      <c r="T20">
        <f t="shared" si="43"/>
        <v>1.130432056015138E-2</v>
      </c>
      <c r="U20">
        <f t="shared" si="43"/>
        <v>6.0040408116523699E-3</v>
      </c>
      <c r="V20">
        <f t="shared" si="43"/>
        <v>366.65594206534007</v>
      </c>
      <c r="W20">
        <f t="shared" si="43"/>
        <v>4.7340753303268092E-3</v>
      </c>
      <c r="X20">
        <f t="shared" si="43"/>
        <v>4.7065367353950017E-3</v>
      </c>
      <c r="Y20">
        <f t="shared" ref="Y20:Y21" si="46">K20/$O20</f>
        <v>0.16122920290763937</v>
      </c>
      <c r="Z20">
        <f t="shared" si="44"/>
        <v>2.412852616711837E-3</v>
      </c>
      <c r="AA20">
        <f t="shared" si="45"/>
        <v>2.3837762230135402E-2</v>
      </c>
    </row>
    <row r="21" spans="1:43">
      <c r="A21">
        <f>'Default Output 2017-2040'!A21</f>
        <v>2030</v>
      </c>
      <c r="B21">
        <f>'Default Output 2017-2040'!B21</f>
        <v>41</v>
      </c>
      <c r="C21">
        <f>'Default Output 2017-2040'!C21</f>
        <v>2080950000</v>
      </c>
      <c r="D21">
        <f>'Default Output 2017-2040'!D21</f>
        <v>127768000</v>
      </c>
      <c r="E21">
        <f>'Default Output 2017-2040'!E21</f>
        <v>32367700</v>
      </c>
      <c r="F21">
        <f>'Default Output 2017-2040'!F21</f>
        <v>2034360000000</v>
      </c>
      <c r="G21">
        <f>'Default Output 2017-2040'!G21</f>
        <v>26040300</v>
      </c>
      <c r="H21">
        <f>'Default Output 2017-2040'!H21</f>
        <v>50482600</v>
      </c>
      <c r="I21">
        <f>'Default Output 2017-2040'!I21</f>
        <v>11397900</v>
      </c>
      <c r="J21">
        <f>'Default Output 2017-2040'!J21</f>
        <v>5873020</v>
      </c>
      <c r="K21">
        <f>'Default Output 2017-2040'!K21</f>
        <v>785948000</v>
      </c>
      <c r="L21">
        <f>'Default Output 2017-2040'!L21</f>
        <v>9338260</v>
      </c>
      <c r="M21">
        <f>'Default Output 2017-2040'!M21</f>
        <v>110540000</v>
      </c>
      <c r="N21">
        <f>'Default Output 2017-2040'!N21</f>
        <v>260742</v>
      </c>
      <c r="O21">
        <f>'Default Output 2017-2040'!O21</f>
        <v>3252300000</v>
      </c>
      <c r="Q21">
        <v>2030</v>
      </c>
      <c r="R21">
        <v>41</v>
      </c>
      <c r="S21">
        <f t="shared" si="42"/>
        <v>0.63983949820127295</v>
      </c>
      <c r="T21">
        <f t="shared" si="43"/>
        <v>3.9285428773483379E-2</v>
      </c>
      <c r="U21">
        <f t="shared" si="43"/>
        <v>9.952249177505151E-3</v>
      </c>
      <c r="V21">
        <f t="shared" si="43"/>
        <v>625.51425145281803</v>
      </c>
      <c r="W21">
        <f t="shared" si="43"/>
        <v>8.006733696153491E-3</v>
      </c>
      <c r="X21">
        <f t="shared" si="43"/>
        <v>1.5522122805399255E-2</v>
      </c>
      <c r="Y21">
        <f t="shared" si="46"/>
        <v>0.24165913353626664</v>
      </c>
      <c r="Z21">
        <f t="shared" si="44"/>
        <v>2.8712787873197429E-3</v>
      </c>
      <c r="AA21">
        <f t="shared" si="45"/>
        <v>3.3988254466070164E-2</v>
      </c>
    </row>
    <row r="22" spans="1:43">
      <c r="AE22" s="313" t="s">
        <v>80</v>
      </c>
      <c r="AF22" s="313"/>
      <c r="AG22" s="313"/>
      <c r="AH22" s="313"/>
      <c r="AI22" s="313"/>
      <c r="AJ22" s="313"/>
      <c r="AK22" s="313"/>
      <c r="AL22" s="313"/>
      <c r="AM22" s="313"/>
      <c r="AN22" s="313"/>
      <c r="AO22" s="313"/>
      <c r="AP22" s="313"/>
      <c r="AQ22" s="313"/>
    </row>
    <row r="23" spans="1:43">
      <c r="A23" t="str">
        <f>'Default Output 2017-2040'!A23</f>
        <v>yearID</v>
      </c>
      <c r="B23" t="str">
        <f>'Default Output 2017-2040'!B23</f>
        <v>regClassID</v>
      </c>
      <c r="C23" t="str">
        <f>'Default Output 2017-2040'!C23</f>
        <v>NOx</v>
      </c>
      <c r="D23" t="str">
        <f>'Default Output 2017-2040'!D23</f>
        <v>CH4</v>
      </c>
      <c r="E23" t="str">
        <f>'Default Output 2017-2040'!E23</f>
        <v>N2O</v>
      </c>
      <c r="F23" t="str">
        <f>'Default Output 2017-2040'!F23</f>
        <v>CO2</v>
      </c>
      <c r="G23" t="str">
        <f>'Default Output 2017-2040'!G23</f>
        <v>Energy</v>
      </c>
      <c r="H23" t="str">
        <f>'Default Output 2017-2040'!H23</f>
        <v>PM25 Exh</v>
      </c>
      <c r="I23" t="str">
        <f>'Default Output 2017-2040'!I23</f>
        <v>PM25 BW</v>
      </c>
      <c r="J23" t="str">
        <f>'Default Output 2017-2040'!J23</f>
        <v>PM25 TW</v>
      </c>
      <c r="K23" s="28" t="s">
        <v>115</v>
      </c>
      <c r="L23" s="28" t="s">
        <v>116</v>
      </c>
      <c r="M23" s="28" t="s">
        <v>117</v>
      </c>
      <c r="N23" t="str">
        <f>'Default Output 2017-2040'!N23</f>
        <v>POP</v>
      </c>
      <c r="O23" t="str">
        <f>'Default Output 2017-2040'!O23</f>
        <v>VMT</v>
      </c>
      <c r="AC23" t="str">
        <f t="shared" ref="AC23:AJ23" si="47">A23</f>
        <v>yearID</v>
      </c>
      <c r="AD23" t="str">
        <f t="shared" si="47"/>
        <v>regClassID</v>
      </c>
      <c r="AE23" t="str">
        <f t="shared" si="47"/>
        <v>NOx</v>
      </c>
      <c r="AF23" t="str">
        <f t="shared" si="47"/>
        <v>CH4</v>
      </c>
      <c r="AG23" t="str">
        <f t="shared" si="47"/>
        <v>N2O</v>
      </c>
      <c r="AH23" t="str">
        <f t="shared" si="47"/>
        <v>CO2</v>
      </c>
      <c r="AI23" t="str">
        <f t="shared" si="47"/>
        <v>Energy</v>
      </c>
      <c r="AJ23" t="str">
        <f t="shared" si="47"/>
        <v>PM25 Exh</v>
      </c>
      <c r="AK23" s="28" t="s">
        <v>115</v>
      </c>
      <c r="AL23" s="28" t="s">
        <v>116</v>
      </c>
      <c r="AM23" s="28" t="s">
        <v>117</v>
      </c>
      <c r="AN23" t="str">
        <f>I23</f>
        <v>PM25 BW</v>
      </c>
      <c r="AO23" t="str">
        <f>J23</f>
        <v>PM25 TW</v>
      </c>
      <c r="AP23" t="str">
        <f t="shared" ref="AP23:AQ23" si="48">N23</f>
        <v>POP</v>
      </c>
      <c r="AQ23" t="str">
        <f t="shared" si="48"/>
        <v>VMT</v>
      </c>
    </row>
    <row r="24" spans="1:43">
      <c r="A24">
        <f>'Default Output 2017-2040'!A24</f>
        <v>2035</v>
      </c>
      <c r="B24">
        <f>'Default Output 2017-2040'!B24</f>
        <v>20</v>
      </c>
      <c r="C24">
        <f>'Default Output 2017-2040'!C24</f>
        <v>988911000</v>
      </c>
      <c r="D24">
        <f>'Default Output 2017-2040'!D24</f>
        <v>278584000</v>
      </c>
      <c r="E24">
        <f>'Default Output 2017-2040'!E24</f>
        <v>136556000</v>
      </c>
      <c r="F24">
        <f>'Default Output 2017-2040'!F24</f>
        <v>9037280000000</v>
      </c>
      <c r="G24">
        <f>'Default Output 2017-2040'!G24</f>
        <v>116566000</v>
      </c>
      <c r="H24">
        <f>'Default Output 2017-2040'!H24</f>
        <v>112051000</v>
      </c>
      <c r="I24">
        <f>'Default Output 2017-2040'!I24</f>
        <v>109913000</v>
      </c>
      <c r="J24">
        <f>'Default Output 2017-2040'!J24</f>
        <v>46548300</v>
      </c>
      <c r="K24">
        <f>'Default Output 2017-2040'!K24</f>
        <v>4388360000</v>
      </c>
      <c r="L24">
        <f>'Default Output 2017-2040'!L24</f>
        <v>59512900</v>
      </c>
      <c r="M24">
        <f>'Default Output 2017-2040'!M24</f>
        <v>759009000</v>
      </c>
      <c r="N24">
        <f>'Default Output 2017-2040'!N24</f>
        <v>3073870</v>
      </c>
      <c r="O24">
        <f>'Default Output 2017-2040'!O24</f>
        <v>35166100000</v>
      </c>
      <c r="AC24">
        <f t="shared" ref="AC24:AD26" si="49">A24</f>
        <v>2035</v>
      </c>
      <c r="AD24">
        <f t="shared" si="49"/>
        <v>20</v>
      </c>
      <c r="AE24">
        <f t="shared" ref="AE24:AJ26" si="50">C24/(C19+C29)</f>
        <v>0.39800384516780252</v>
      </c>
      <c r="AF24">
        <f t="shared" si="50"/>
        <v>0.4694146807510392</v>
      </c>
      <c r="AG24">
        <f t="shared" si="50"/>
        <v>0.48596787165744953</v>
      </c>
      <c r="AH24">
        <f t="shared" si="50"/>
        <v>0.48676243260566299</v>
      </c>
      <c r="AI24">
        <f t="shared" si="50"/>
        <v>0.48673408884026625</v>
      </c>
      <c r="AJ24">
        <f t="shared" si="50"/>
        <v>0.48502097193785898</v>
      </c>
      <c r="AK24">
        <f t="shared" ref="AK24" si="51">I24/(I19+I29)</f>
        <v>0.49485171962019331</v>
      </c>
      <c r="AL24">
        <f t="shared" ref="AL24" si="52">J24/(J19+J29)</f>
        <v>0.49485039132348346</v>
      </c>
      <c r="AM24">
        <f t="shared" ref="AM24" si="53">K24/(K19+K29)</f>
        <v>0.48640063133790212</v>
      </c>
      <c r="AN24">
        <f t="shared" ref="AN24:AO26" si="54">I24/(I19+I29)</f>
        <v>0.49485171962019331</v>
      </c>
      <c r="AO24">
        <f t="shared" si="54"/>
        <v>0.49485039132348346</v>
      </c>
      <c r="AP24">
        <f t="shared" ref="AP24:AQ26" si="55">N24/(N19+N29)</f>
        <v>0.49692761589136319</v>
      </c>
      <c r="AQ24">
        <f t="shared" si="55"/>
        <v>0.49485042377234073</v>
      </c>
    </row>
    <row r="25" spans="1:43">
      <c r="A25">
        <f>'Default Output 2017-2040'!A25</f>
        <v>2035</v>
      </c>
      <c r="B25">
        <f>'Default Output 2017-2040'!B25</f>
        <v>30</v>
      </c>
      <c r="C25">
        <f>'Default Output 2017-2040'!C25</f>
        <v>1380690000</v>
      </c>
      <c r="D25">
        <f>'Default Output 2017-2040'!D25</f>
        <v>332414000</v>
      </c>
      <c r="E25">
        <f>'Default Output 2017-2040'!E25</f>
        <v>199967000</v>
      </c>
      <c r="F25">
        <f>'Default Output 2017-2040'!F25</f>
        <v>12537600000000</v>
      </c>
      <c r="G25">
        <f>'Default Output 2017-2040'!G25</f>
        <v>161852000</v>
      </c>
      <c r="H25">
        <f>'Default Output 2017-2040'!H25</f>
        <v>158358000</v>
      </c>
      <c r="I25">
        <f>'Default Output 2017-2040'!I25</f>
        <v>123331000</v>
      </c>
      <c r="J25">
        <f>'Default Output 2017-2040'!J25</f>
        <v>47805700</v>
      </c>
      <c r="K25">
        <f>'Default Output 2017-2040'!K25</f>
        <v>5195900000</v>
      </c>
      <c r="L25">
        <f>'Default Output 2017-2040'!L25</f>
        <v>82377500</v>
      </c>
      <c r="M25">
        <f>'Default Output 2017-2040'!M25</f>
        <v>832704000</v>
      </c>
      <c r="N25">
        <f>'Default Output 2017-2040'!N25</f>
        <v>2980710</v>
      </c>
      <c r="O25">
        <f>'Default Output 2017-2040'!O25</f>
        <v>36252000000</v>
      </c>
      <c r="AC25">
        <f t="shared" si="49"/>
        <v>2035</v>
      </c>
      <c r="AD25">
        <f t="shared" si="49"/>
        <v>30</v>
      </c>
      <c r="AE25">
        <f t="shared" si="50"/>
        <v>0.37479437329323045</v>
      </c>
      <c r="AF25">
        <f t="shared" si="50"/>
        <v>0.46980791544944334</v>
      </c>
      <c r="AG25">
        <f t="shared" si="50"/>
        <v>0.48217235201496911</v>
      </c>
      <c r="AH25">
        <f t="shared" si="50"/>
        <v>0.49263267086309737</v>
      </c>
      <c r="AI25">
        <f t="shared" si="50"/>
        <v>0.49260717916253249</v>
      </c>
      <c r="AJ25">
        <f t="shared" ref="AJ25:AJ26" si="56">H25/(H20+H30)</f>
        <v>0.48980538681381219</v>
      </c>
      <c r="AK25">
        <f t="shared" ref="AK25:AK26" si="57">I25/(I20+I30)</f>
        <v>0.49956860759493671</v>
      </c>
      <c r="AL25">
        <f t="shared" ref="AL25:AL26" si="58">J25/(J20+J30)</f>
        <v>0.49956737189923739</v>
      </c>
      <c r="AM25">
        <f t="shared" ref="AM25:AM26" si="59">K25/(K20+K30)</f>
        <v>0.48045057440654521</v>
      </c>
      <c r="AN25">
        <f t="shared" si="54"/>
        <v>0.49956860759493671</v>
      </c>
      <c r="AO25">
        <f t="shared" si="54"/>
        <v>0.49956737189923739</v>
      </c>
      <c r="AP25">
        <f t="shared" si="55"/>
        <v>0.50274165065754073</v>
      </c>
      <c r="AQ25">
        <f t="shared" si="55"/>
        <v>0.4995666068138504</v>
      </c>
    </row>
    <row r="26" spans="1:43">
      <c r="A26">
        <f>'Default Output 2017-2040'!A26</f>
        <v>2035</v>
      </c>
      <c r="B26">
        <f>'Default Output 2017-2040'!B26</f>
        <v>41</v>
      </c>
      <c r="C26">
        <f>'Default Output 2017-2040'!C26</f>
        <v>1367800000</v>
      </c>
      <c r="D26">
        <f>'Default Output 2017-2040'!D26</f>
        <v>114064000</v>
      </c>
      <c r="E26">
        <f>'Default Output 2017-2040'!E26</f>
        <v>27131300</v>
      </c>
      <c r="F26">
        <f>'Default Output 2017-2040'!F26</f>
        <v>1985390000000</v>
      </c>
      <c r="G26">
        <f>'Default Output 2017-2040'!G26</f>
        <v>25410900</v>
      </c>
      <c r="H26">
        <f>'Default Output 2017-2040'!H26</f>
        <v>25850600</v>
      </c>
      <c r="I26">
        <f>'Default Output 2017-2040'!I26</f>
        <v>11701400</v>
      </c>
      <c r="J26">
        <f>'Default Output 2017-2040'!J26</f>
        <v>6079170</v>
      </c>
      <c r="K26">
        <f>'Default Output 2017-2040'!K26</f>
        <v>545788000</v>
      </c>
      <c r="L26">
        <f>'Default Output 2017-2040'!L26</f>
        <v>8952490</v>
      </c>
      <c r="M26">
        <f>'Default Output 2017-2040'!M26</f>
        <v>111168000</v>
      </c>
      <c r="N26">
        <f>'Default Output 2017-2040'!N26</f>
        <v>261386</v>
      </c>
      <c r="O26">
        <f>'Default Output 2017-2040'!O26</f>
        <v>3368610000</v>
      </c>
      <c r="AC26">
        <f t="shared" si="49"/>
        <v>2035</v>
      </c>
      <c r="AD26">
        <f t="shared" si="49"/>
        <v>41</v>
      </c>
      <c r="AE26">
        <f t="shared" si="50"/>
        <v>0.43278510090303313</v>
      </c>
      <c r="AF26">
        <f t="shared" si="50"/>
        <v>0.47552424229791135</v>
      </c>
      <c r="AG26">
        <f t="shared" si="50"/>
        <v>0.46180150125104252</v>
      </c>
      <c r="AH26">
        <f t="shared" si="50"/>
        <v>0.49271618174057197</v>
      </c>
      <c r="AI26">
        <f t="shared" si="50"/>
        <v>0.49260823039523577</v>
      </c>
      <c r="AJ26">
        <f t="shared" si="56"/>
        <v>0.39772907355124587</v>
      </c>
      <c r="AK26">
        <f t="shared" si="57"/>
        <v>0.50077032370714003</v>
      </c>
      <c r="AL26">
        <f t="shared" si="58"/>
        <v>0.4999518895087055</v>
      </c>
      <c r="AM26">
        <f t="shared" si="59"/>
        <v>0.43436509913499122</v>
      </c>
      <c r="AN26">
        <f t="shared" si="54"/>
        <v>0.50077032370714003</v>
      </c>
      <c r="AO26">
        <f t="shared" si="54"/>
        <v>0.4999518895087055</v>
      </c>
      <c r="AP26">
        <f t="shared" si="55"/>
        <v>0.5002966722938702</v>
      </c>
      <c r="AQ26">
        <f t="shared" si="55"/>
        <v>0.49992134491294515</v>
      </c>
    </row>
    <row r="28" spans="1:43">
      <c r="A28" t="str">
        <f>'Default Output 2017-2040'!A28</f>
        <v>yearID</v>
      </c>
      <c r="B28" t="str">
        <f>'Default Output 2017-2040'!B28</f>
        <v>regClassID</v>
      </c>
      <c r="C28" t="str">
        <f>'Default Output 2017-2040'!C28</f>
        <v>NOx</v>
      </c>
      <c r="D28" t="str">
        <f>'Default Output 2017-2040'!D28</f>
        <v>CH4</v>
      </c>
      <c r="E28" t="str">
        <f>'Default Output 2017-2040'!E28</f>
        <v>N2O</v>
      </c>
      <c r="F28" t="str">
        <f>'Default Output 2017-2040'!F28</f>
        <v>CO2</v>
      </c>
      <c r="G28" t="str">
        <f>'Default Output 2017-2040'!G28</f>
        <v>Energy</v>
      </c>
      <c r="H28" t="str">
        <f>'Default Output 2017-2040'!H28</f>
        <v>PM25 Exh</v>
      </c>
      <c r="I28" t="str">
        <f>'Default Output 2017-2040'!I28</f>
        <v>PM25 BW</v>
      </c>
      <c r="J28" t="str">
        <f>'Default Output 2017-2040'!J28</f>
        <v>PM25 TW</v>
      </c>
      <c r="K28" s="28" t="s">
        <v>115</v>
      </c>
      <c r="L28" s="28" t="s">
        <v>116</v>
      </c>
      <c r="M28" s="28" t="s">
        <v>117</v>
      </c>
      <c r="N28" t="str">
        <f>'Default Output 2017-2040'!N28</f>
        <v>POP</v>
      </c>
      <c r="O28" t="str">
        <f>'Default Output 2017-2040'!O28</f>
        <v>VMT</v>
      </c>
    </row>
    <row r="29" spans="1:43">
      <c r="A29">
        <f>'Default Output 2017-2040'!A29</f>
        <v>2040</v>
      </c>
      <c r="B29">
        <f>'Default Output 2017-2040'!B29</f>
        <v>20</v>
      </c>
      <c r="C29">
        <f>'Default Output 2017-2040'!C29</f>
        <v>852927000</v>
      </c>
      <c r="D29">
        <f>'Default Output 2017-2040'!D29</f>
        <v>271201000</v>
      </c>
      <c r="E29">
        <f>'Default Output 2017-2040'!E29</f>
        <v>144822000</v>
      </c>
      <c r="F29">
        <f>'Default Output 2017-2040'!F29</f>
        <v>9483680000000</v>
      </c>
      <c r="G29">
        <f>'Default Output 2017-2040'!G29</f>
        <v>122311000</v>
      </c>
      <c r="H29">
        <f>'Default Output 2017-2040'!H29</f>
        <v>117352000</v>
      </c>
      <c r="I29">
        <f>'Default Output 2017-2040'!I29</f>
        <v>119027000</v>
      </c>
      <c r="J29">
        <f>'Default Output 2017-2040'!J29</f>
        <v>50408200</v>
      </c>
      <c r="K29">
        <f>'Default Output 2017-2040'!K29</f>
        <v>4213090000</v>
      </c>
      <c r="L29">
        <f>'Default Output 2017-2040'!L29</f>
        <v>62342900</v>
      </c>
      <c r="M29">
        <f>'Default Output 2017-2040'!M29</f>
        <v>818124000</v>
      </c>
      <c r="N29">
        <f>'Default Output 2017-2040'!N29</f>
        <v>3256660</v>
      </c>
      <c r="O29">
        <f>'Default Output 2017-2040'!O29</f>
        <v>38082100000</v>
      </c>
    </row>
    <row r="30" spans="1:43">
      <c r="A30">
        <f>'Default Output 2017-2040'!A30</f>
        <v>2040</v>
      </c>
      <c r="B30">
        <f>'Default Output 2017-2040'!B30</f>
        <v>30</v>
      </c>
      <c r="C30">
        <f>'Default Output 2017-2040'!C30</f>
        <v>1052980000</v>
      </c>
      <c r="D30">
        <f>'Default Output 2017-2040'!D30</f>
        <v>292958000</v>
      </c>
      <c r="E30">
        <f>'Default Output 2017-2040'!E30</f>
        <v>194518000</v>
      </c>
      <c r="F30">
        <f>'Default Output 2017-2040'!F30</f>
        <v>12002800000000</v>
      </c>
      <c r="G30">
        <f>'Default Output 2017-2040'!G30</f>
        <v>154936000</v>
      </c>
      <c r="H30">
        <f>'Default Output 2017-2040'!H30</f>
        <v>150692000</v>
      </c>
      <c r="I30">
        <f>'Default Output 2017-2040'!I30</f>
        <v>122102000</v>
      </c>
      <c r="J30">
        <f>'Default Output 2017-2040'!J30</f>
        <v>47329600</v>
      </c>
      <c r="K30">
        <f>'Default Output 2017-2040'!K30</f>
        <v>4901430000</v>
      </c>
      <c r="L30">
        <f>'Default Output 2017-2040'!L30</f>
        <v>78808900</v>
      </c>
      <c r="M30">
        <f>'Default Output 2017-2040'!M30</f>
        <v>823732000</v>
      </c>
      <c r="N30">
        <f>'Default Output 2017-2040'!N30</f>
        <v>2923410</v>
      </c>
      <c r="O30">
        <f>'Default Output 2017-2040'!O30</f>
        <v>35891100000</v>
      </c>
    </row>
    <row r="31" spans="1:43">
      <c r="A31">
        <f>'Default Output 2017-2040'!A31</f>
        <v>2040</v>
      </c>
      <c r="B31">
        <f>'Default Output 2017-2040'!B31</f>
        <v>41</v>
      </c>
      <c r="C31">
        <f>'Default Output 2017-2040'!C31</f>
        <v>1079510000</v>
      </c>
      <c r="D31">
        <f>'Default Output 2017-2040'!D31</f>
        <v>112102000</v>
      </c>
      <c r="E31">
        <f>'Default Output 2017-2040'!E31</f>
        <v>26383300</v>
      </c>
      <c r="F31">
        <f>'Default Output 2017-2040'!F31</f>
        <v>1995120000000</v>
      </c>
      <c r="G31">
        <f>'Default Output 2017-2040'!G31</f>
        <v>25544100</v>
      </c>
      <c r="H31">
        <f>'Default Output 2017-2040'!H31</f>
        <v>14512900</v>
      </c>
      <c r="I31">
        <f>'Default Output 2017-2040'!I31</f>
        <v>11968900</v>
      </c>
      <c r="J31">
        <f>'Default Output 2017-2040'!J31</f>
        <v>6286490</v>
      </c>
      <c r="K31">
        <f>'Default Output 2017-2040'!K31</f>
        <v>470571000</v>
      </c>
      <c r="L31">
        <f>'Default Output 2017-2040'!L31</f>
        <v>8926170</v>
      </c>
      <c r="M31">
        <f>'Default Output 2017-2040'!M31</f>
        <v>113701000</v>
      </c>
      <c r="N31">
        <f>'Default Output 2017-2040'!N31</f>
        <v>261720</v>
      </c>
      <c r="O31">
        <f>'Default Output 2017-2040'!O31</f>
        <v>3485980000</v>
      </c>
    </row>
    <row r="32" spans="1:43">
      <c r="AE32" s="32"/>
      <c r="AF32" s="32"/>
      <c r="AG32" s="32"/>
      <c r="AH32" s="32"/>
      <c r="AI32" s="32"/>
      <c r="AJ32" s="32"/>
      <c r="AK32" s="32"/>
      <c r="AL32" s="32"/>
      <c r="AM32" s="32"/>
      <c r="AN32" s="32"/>
      <c r="AO32" s="32"/>
      <c r="AP32" s="32"/>
      <c r="AQ32" s="32"/>
    </row>
  </sheetData>
  <sheetProtection algorithmName="SHA-512" hashValue="6L8/geR9MyUUCSFYJfJyyw8DYoDYlcUqbn938LK+G5uyEUU+doIvqaIzy7Y/iZJm2xU9G1pjh3mGxBKmhHTPXg==" saltValue="mpPEaonc+U2i3EnVRp9DZA==" spinCount="100000" sheet="1" objects="1" scenarios="1"/>
  <mergeCells count="3">
    <mergeCell ref="AN7:AQ7"/>
    <mergeCell ref="AE22:AQ22"/>
    <mergeCell ref="AE7:AM7"/>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1">
    <pageSetUpPr fitToPage="1"/>
  </sheetPr>
  <dimension ref="A1:V137"/>
  <sheetViews>
    <sheetView workbookViewId="0">
      <selection activeCell="I123" sqref="I123"/>
    </sheetView>
  </sheetViews>
  <sheetFormatPr baseColWidth="10" defaultColWidth="8.83203125" defaultRowHeight="15"/>
  <cols>
    <col min="2" max="5" width="9" bestFit="1" customWidth="1"/>
    <col min="6" max="6" width="11.5" bestFit="1" customWidth="1"/>
    <col min="7" max="8" width="9" bestFit="1" customWidth="1"/>
    <col min="9" max="9" width="11.5" bestFit="1" customWidth="1"/>
    <col min="11" max="12" width="9" bestFit="1" customWidth="1"/>
    <col min="13" max="13" width="9.83203125" customWidth="1"/>
    <col min="14" max="14" width="9" bestFit="1" customWidth="1"/>
    <col min="15" max="15" width="9.5" bestFit="1" customWidth="1"/>
    <col min="19" max="19" width="13" customWidth="1"/>
  </cols>
  <sheetData>
    <row r="1" spans="1:22">
      <c r="A1" s="2" t="s">
        <v>444</v>
      </c>
      <c r="B1" s="69"/>
      <c r="C1" s="28"/>
      <c r="D1" s="28"/>
      <c r="E1" s="28"/>
      <c r="F1" s="28"/>
      <c r="G1" s="28"/>
      <c r="H1" s="28"/>
      <c r="I1" s="28"/>
      <c r="J1" s="2" t="s">
        <v>467</v>
      </c>
      <c r="K1" s="61"/>
      <c r="M1" s="29"/>
      <c r="N1" t="s">
        <v>464</v>
      </c>
      <c r="P1" s="28" t="s">
        <v>473</v>
      </c>
      <c r="V1" s="1">
        <v>0.28760000000000002</v>
      </c>
    </row>
    <row r="2" spans="1:22">
      <c r="A2" s="28" t="s">
        <v>446</v>
      </c>
      <c r="C2" s="28"/>
      <c r="D2" s="28"/>
      <c r="E2" s="28"/>
      <c r="F2" s="28"/>
      <c r="G2" s="28"/>
      <c r="H2" s="28"/>
      <c r="I2" s="28"/>
      <c r="J2" s="28" t="s">
        <v>2</v>
      </c>
      <c r="K2" s="28" t="s">
        <v>209</v>
      </c>
      <c r="L2" t="s">
        <v>115</v>
      </c>
      <c r="M2" s="28" t="s">
        <v>116</v>
      </c>
      <c r="N2" s="28"/>
      <c r="O2" s="28"/>
      <c r="P2" s="28"/>
      <c r="V2" s="2" t="s">
        <v>39</v>
      </c>
    </row>
    <row r="3" spans="1:22">
      <c r="A3" s="28" t="s">
        <v>445</v>
      </c>
      <c r="B3" s="28"/>
      <c r="C3" s="28"/>
      <c r="D3" s="28"/>
      <c r="E3" s="28"/>
      <c r="F3" s="28"/>
      <c r="G3" s="28"/>
      <c r="H3" s="28"/>
      <c r="I3" s="234" t="s">
        <v>489</v>
      </c>
      <c r="J3" s="219">
        <f>D128</f>
        <v>9.0219143240665005</v>
      </c>
      <c r="K3" s="219">
        <f>D129</f>
        <v>0.94182418965856729</v>
      </c>
      <c r="L3" s="59">
        <f>D127</f>
        <v>2.2408995221443595</v>
      </c>
      <c r="M3" s="59">
        <f>D130</f>
        <v>2.9254521568730887</v>
      </c>
      <c r="V3" t="s">
        <v>41</v>
      </c>
    </row>
    <row r="4" spans="1:22">
      <c r="C4" s="28"/>
      <c r="D4" s="28"/>
      <c r="E4" s="28"/>
      <c r="F4" s="101"/>
      <c r="G4" s="101"/>
      <c r="H4" s="101"/>
      <c r="I4" s="234" t="s">
        <v>490</v>
      </c>
      <c r="J4" s="59">
        <f>E128</f>
        <v>0.39707327111225321</v>
      </c>
      <c r="K4" s="219">
        <f>E129</f>
        <v>0.18735969036007524</v>
      </c>
      <c r="L4" s="59">
        <f>E127</f>
        <v>1.936075648492201</v>
      </c>
      <c r="M4" s="59">
        <f>E130</f>
        <v>0.31434940557875063</v>
      </c>
      <c r="V4" t="s">
        <v>40</v>
      </c>
    </row>
    <row r="5" spans="1:22">
      <c r="B5" s="28"/>
      <c r="C5" s="28"/>
      <c r="D5" s="28"/>
      <c r="E5" s="28"/>
      <c r="F5" s="28"/>
      <c r="G5" s="28"/>
      <c r="H5" s="28"/>
      <c r="I5" s="234" t="s">
        <v>491</v>
      </c>
      <c r="J5" s="219">
        <f>I128</f>
        <v>0.14084814286092234</v>
      </c>
      <c r="K5" s="59">
        <f>J129</f>
        <v>6.9711265056816685E-2</v>
      </c>
      <c r="L5" s="59">
        <f>J127</f>
        <v>8.7483491732512159E-2</v>
      </c>
      <c r="M5" s="59">
        <f>J130</f>
        <v>0.34408997681304587</v>
      </c>
      <c r="V5" t="s">
        <v>304</v>
      </c>
    </row>
    <row r="6" spans="1:22">
      <c r="B6" s="28"/>
      <c r="C6" s="28"/>
      <c r="D6" s="28"/>
      <c r="E6" s="28"/>
      <c r="F6" s="28"/>
      <c r="G6" s="28"/>
      <c r="H6" s="28"/>
      <c r="I6" s="234" t="s">
        <v>492</v>
      </c>
      <c r="J6" s="219"/>
      <c r="K6" s="59"/>
      <c r="L6" s="59">
        <f>K134</f>
        <v>19.749000000000002</v>
      </c>
      <c r="M6" s="59"/>
    </row>
    <row r="7" spans="1:22">
      <c r="B7" s="28"/>
      <c r="C7" s="28"/>
      <c r="D7" s="28"/>
      <c r="E7" s="28"/>
      <c r="F7" s="28"/>
      <c r="G7" s="28"/>
      <c r="H7" s="28"/>
      <c r="I7" s="234" t="s">
        <v>218</v>
      </c>
      <c r="J7" s="219">
        <f>SUM(J3:J6)</f>
        <v>9.559835738039677</v>
      </c>
      <c r="K7" s="219">
        <f t="shared" ref="K7:M7" si="0">SUM(K3:K6)</f>
        <v>1.198895145075459</v>
      </c>
      <c r="L7" s="219">
        <f t="shared" si="0"/>
        <v>24.013458662369075</v>
      </c>
      <c r="M7" s="219">
        <f t="shared" si="0"/>
        <v>3.5838915392648851</v>
      </c>
    </row>
    <row r="8" spans="1:22">
      <c r="B8" s="28"/>
      <c r="C8" s="28"/>
      <c r="D8" s="28"/>
      <c r="E8" s="28"/>
      <c r="F8" s="28"/>
      <c r="G8" s="28"/>
      <c r="H8" s="28"/>
      <c r="I8" s="234"/>
      <c r="J8" s="219"/>
      <c r="K8" s="219"/>
      <c r="L8" s="219"/>
      <c r="M8" s="219"/>
    </row>
    <row r="9" spans="1:22" hidden="1">
      <c r="B9" s="2" t="s">
        <v>67</v>
      </c>
      <c r="K9" t="s">
        <v>25</v>
      </c>
    </row>
    <row r="10" spans="1:22" hidden="1">
      <c r="B10">
        <v>2020</v>
      </c>
    </row>
    <row r="11" spans="1:22" hidden="1">
      <c r="B11" t="s">
        <v>8</v>
      </c>
      <c r="C11" t="s">
        <v>10</v>
      </c>
      <c r="D11" t="s">
        <v>14</v>
      </c>
      <c r="E11" t="s">
        <v>15</v>
      </c>
      <c r="F11" t="s">
        <v>16</v>
      </c>
      <c r="G11" t="s">
        <v>115</v>
      </c>
      <c r="H11" t="s">
        <v>116</v>
      </c>
      <c r="I11" t="s">
        <v>47</v>
      </c>
      <c r="K11" s="2" t="s">
        <v>280</v>
      </c>
      <c r="S11" s="334" t="s">
        <v>127</v>
      </c>
    </row>
    <row r="12" spans="1:22" hidden="1">
      <c r="A12">
        <v>2020</v>
      </c>
      <c r="B12" s="3">
        <f>K13*$K17</f>
        <v>30.809334362154654</v>
      </c>
      <c r="C12" s="3">
        <f t="shared" ref="C12" si="1">L13*$K17</f>
        <v>3.5032156435954551</v>
      </c>
      <c r="D12" s="3">
        <f t="shared" ref="D12" si="2">M13*$K17</f>
        <v>6.1966808666361866</v>
      </c>
      <c r="E12" s="3">
        <f t="shared" ref="E12" si="3">N13*$K17</f>
        <v>0.51552026841730891</v>
      </c>
      <c r="F12" s="3">
        <f t="shared" ref="F12" si="4">O13*$K17</f>
        <v>77068.943671986723</v>
      </c>
      <c r="G12" s="3">
        <f t="shared" ref="G12" si="5">P13*$K17</f>
        <v>2.7326055249633159</v>
      </c>
      <c r="H12" s="3">
        <f t="shared" ref="H12" si="6">Q13*$K17</f>
        <v>7.7674999803954279</v>
      </c>
      <c r="I12" s="3">
        <f>F12+D12*K$21+E12*L$21</f>
        <v>77377.485733640991</v>
      </c>
      <c r="K12" t="s">
        <v>8</v>
      </c>
      <c r="L12" t="s">
        <v>10</v>
      </c>
      <c r="M12" t="s">
        <v>14</v>
      </c>
      <c r="N12" t="s">
        <v>15</v>
      </c>
      <c r="O12" t="s">
        <v>16</v>
      </c>
      <c r="P12" t="s">
        <v>115</v>
      </c>
      <c r="Q12" t="s">
        <v>116</v>
      </c>
      <c r="S12" s="334"/>
    </row>
    <row r="13" spans="1:22" hidden="1">
      <c r="A13">
        <v>2025</v>
      </c>
      <c r="B13" s="3">
        <f t="shared" ref="B13:H13" si="7">B12</f>
        <v>30.809334362154654</v>
      </c>
      <c r="C13" s="3">
        <f t="shared" si="7"/>
        <v>3.5032156435954551</v>
      </c>
      <c r="D13" s="3">
        <f t="shared" si="7"/>
        <v>6.1966808666361866</v>
      </c>
      <c r="E13" s="3">
        <f t="shared" si="7"/>
        <v>0.51552026841730891</v>
      </c>
      <c r="F13" s="3">
        <f t="shared" si="7"/>
        <v>77068.943671986723</v>
      </c>
      <c r="G13" s="3">
        <f t="shared" si="7"/>
        <v>2.7326055249633159</v>
      </c>
      <c r="H13" s="3">
        <f t="shared" si="7"/>
        <v>7.7674999803954279</v>
      </c>
      <c r="I13" s="3">
        <f t="shared" ref="I13:I28" si="8">F13+D13*K$21+E13*L$21</f>
        <v>77377.485733640991</v>
      </c>
      <c r="K13" s="3">
        <f>'Regional GREET factors'!A79</f>
        <v>52.225578979749955</v>
      </c>
      <c r="L13" s="3">
        <f>'Regional GREET factors'!B79</f>
        <v>5.9383777373142461</v>
      </c>
      <c r="M13" s="3">
        <f>'Regional GREET factors'!C79</f>
        <v>10.504129761736948</v>
      </c>
      <c r="N13" s="3">
        <f>'Regional GREET factors'!D79</f>
        <v>0.87386972329275525</v>
      </c>
      <c r="O13" s="3">
        <f>'Regional GREET factors'!E79</f>
        <v>130641.25817568479</v>
      </c>
      <c r="P13" s="3">
        <f>'Regional GREET factors'!F79</f>
        <v>4.6320996093890345</v>
      </c>
      <c r="Q13" s="3">
        <f>'Regional GREET factors'!G79</f>
        <v>13.166859722865418</v>
      </c>
      <c r="S13" s="334"/>
    </row>
    <row r="14" spans="1:22" hidden="1">
      <c r="A14">
        <v>2026</v>
      </c>
      <c r="B14" s="3">
        <f>B13+(B18-B13)/5</f>
        <v>27.767180714222963</v>
      </c>
      <c r="C14" s="3">
        <f t="shared" ref="C14:H14" si="9">C13+(C18-C13)/5</f>
        <v>3.1573035857631888</v>
      </c>
      <c r="D14" s="3">
        <f t="shared" si="9"/>
        <v>5.584812558093236</v>
      </c>
      <c r="E14" s="3">
        <f t="shared" si="9"/>
        <v>0.46461712826135387</v>
      </c>
      <c r="F14" s="3">
        <f t="shared" si="9"/>
        <v>69459.056182110435</v>
      </c>
      <c r="G14" s="3">
        <f t="shared" si="9"/>
        <v>2.4627845100589201</v>
      </c>
      <c r="H14" s="3">
        <f t="shared" si="9"/>
        <v>7.0005269545290965</v>
      </c>
      <c r="I14" s="3">
        <f t="shared" si="8"/>
        <v>69737.132400284652</v>
      </c>
    </row>
    <row r="15" spans="1:22" hidden="1">
      <c r="A15">
        <v>2027</v>
      </c>
      <c r="B15" s="3">
        <f>B13+(B18-B13)/5*2</f>
        <v>24.725027066291275</v>
      </c>
      <c r="C15" s="3">
        <f t="shared" ref="C15:H15" si="10">C13+(C18-C13)/5*2</f>
        <v>2.8113915279309221</v>
      </c>
      <c r="D15" s="3">
        <f t="shared" si="10"/>
        <v>4.9729442495502845</v>
      </c>
      <c r="E15" s="3">
        <f t="shared" si="10"/>
        <v>0.41371398810539883</v>
      </c>
      <c r="F15" s="3">
        <f t="shared" si="10"/>
        <v>61849.168692234147</v>
      </c>
      <c r="G15" s="3">
        <f t="shared" si="10"/>
        <v>2.1929634951545243</v>
      </c>
      <c r="H15" s="3">
        <f t="shared" si="10"/>
        <v>6.2335539286627659</v>
      </c>
      <c r="I15" s="3">
        <f t="shared" si="8"/>
        <v>62096.779066928313</v>
      </c>
      <c r="K15" s="2" t="s">
        <v>290</v>
      </c>
    </row>
    <row r="16" spans="1:22" hidden="1">
      <c r="A16">
        <v>2028</v>
      </c>
      <c r="B16" s="3">
        <f>B13+(B18-B13)/5*3</f>
        <v>21.682873418359584</v>
      </c>
      <c r="C16" s="3">
        <f t="shared" ref="C16:H16" si="11">C13+(C18-C13)/5*3</f>
        <v>2.4654794700986553</v>
      </c>
      <c r="D16" s="3">
        <f t="shared" si="11"/>
        <v>4.3610759410073339</v>
      </c>
      <c r="E16" s="3">
        <f t="shared" si="11"/>
        <v>0.36281084794944374</v>
      </c>
      <c r="F16" s="3">
        <f t="shared" si="11"/>
        <v>54239.281202357859</v>
      </c>
      <c r="G16" s="3">
        <f t="shared" si="11"/>
        <v>1.9231424802501289</v>
      </c>
      <c r="H16" s="3">
        <f t="shared" si="11"/>
        <v>5.4665809027964345</v>
      </c>
      <c r="I16" s="3">
        <f t="shared" si="8"/>
        <v>54456.425733571974</v>
      </c>
      <c r="K16">
        <v>2020</v>
      </c>
      <c r="L16">
        <v>2025</v>
      </c>
      <c r="M16">
        <v>2030</v>
      </c>
      <c r="N16">
        <v>2035</v>
      </c>
      <c r="O16">
        <v>2040</v>
      </c>
    </row>
    <row r="17" spans="1:19" hidden="1">
      <c r="A17">
        <v>2029</v>
      </c>
      <c r="B17" s="3">
        <f>B13+(B18-B13)/5*4</f>
        <v>18.640719770427893</v>
      </c>
      <c r="C17" s="3">
        <f t="shared" ref="C17:H17" si="12">C13+(C18-C13)/5*4</f>
        <v>2.119567412266389</v>
      </c>
      <c r="D17" s="3">
        <f t="shared" si="12"/>
        <v>3.7492076324643833</v>
      </c>
      <c r="E17" s="3">
        <f t="shared" si="12"/>
        <v>0.3119077077934887</v>
      </c>
      <c r="F17" s="3">
        <f t="shared" si="12"/>
        <v>46629.393712481571</v>
      </c>
      <c r="G17" s="3">
        <f t="shared" si="12"/>
        <v>1.6533214653457331</v>
      </c>
      <c r="H17" s="3">
        <f t="shared" si="12"/>
        <v>4.699607876930104</v>
      </c>
      <c r="I17" s="3">
        <f t="shared" si="8"/>
        <v>46816.072400215635</v>
      </c>
      <c r="K17" s="9">
        <f>1-'State grid data'!C9</f>
        <v>0.58992805755395694</v>
      </c>
      <c r="L17" s="9">
        <f>1-'State grid data'!D9</f>
        <v>0.46170678336980309</v>
      </c>
      <c r="M17" s="9">
        <f>1-'State grid data'!E9</f>
        <v>0.29867674858223059</v>
      </c>
      <c r="N17" s="9">
        <f>1-'State grid data'!F9</f>
        <v>0.19500346981263017</v>
      </c>
      <c r="O17" s="9">
        <f>1-'State grid data'!G9</f>
        <v>0.15744400527009217</v>
      </c>
      <c r="P17" s="9"/>
      <c r="Q17" s="9"/>
    </row>
    <row r="18" spans="1:19" hidden="1">
      <c r="A18">
        <v>2030</v>
      </c>
      <c r="B18" s="3">
        <f t="shared" ref="B18" si="13">K13*$M17</f>
        <v>15.598566122496203</v>
      </c>
      <c r="C18" s="3">
        <f t="shared" ref="C18" si="14">L13*$M17</f>
        <v>1.7736553544341225</v>
      </c>
      <c r="D18" s="3">
        <f t="shared" ref="D18" si="15">M13*$M17</f>
        <v>3.1373393239214322</v>
      </c>
      <c r="E18" s="3">
        <f t="shared" ref="E18" si="16">N13*$M17</f>
        <v>0.26100456763753366</v>
      </c>
      <c r="F18" s="3">
        <f t="shared" ref="F18" si="17">O13*$M17</f>
        <v>39019.506222605283</v>
      </c>
      <c r="G18" s="3">
        <f t="shared" ref="G18" si="18">P13*$M17</f>
        <v>1.3835004504413373</v>
      </c>
      <c r="H18" s="3">
        <f t="shared" ref="H18" si="19">Q13*$M17</f>
        <v>3.9326348510637725</v>
      </c>
      <c r="I18" s="3">
        <f t="shared" si="8"/>
        <v>39175.719066859303</v>
      </c>
    </row>
    <row r="19" spans="1:19" hidden="1">
      <c r="A19">
        <v>2031</v>
      </c>
      <c r="B19" s="3">
        <f>B18+(B23-B18)/5</f>
        <v>14.515686720801924</v>
      </c>
      <c r="C19" s="3">
        <f t="shared" ref="C19:H19" si="20">C18+(C23-C18)/5</f>
        <v>1.6505251363141686</v>
      </c>
      <c r="D19" s="3">
        <f t="shared" si="20"/>
        <v>2.9195398093173099</v>
      </c>
      <c r="E19" s="3">
        <f t="shared" si="20"/>
        <v>0.24288517975128499</v>
      </c>
      <c r="F19" s="3">
        <f t="shared" si="20"/>
        <v>36310.704707073462</v>
      </c>
      <c r="G19" s="3">
        <f t="shared" si="20"/>
        <v>1.2874554596227878</v>
      </c>
      <c r="H19" s="3">
        <f t="shared" si="20"/>
        <v>3.6596245473500026</v>
      </c>
      <c r="I19" s="3">
        <f t="shared" si="8"/>
        <v>36456.072985872277</v>
      </c>
      <c r="K19" s="337" t="s">
        <v>163</v>
      </c>
      <c r="L19" s="338"/>
    </row>
    <row r="20" spans="1:19" hidden="1">
      <c r="A20">
        <v>2032</v>
      </c>
      <c r="B20" s="3">
        <f>B18+(B23-B18)/5*2</f>
        <v>13.432807319107642</v>
      </c>
      <c r="C20" s="3">
        <f t="shared" ref="C20:H20" si="21">C18+(C23-C18)/5*2</f>
        <v>1.527394918194215</v>
      </c>
      <c r="D20" s="3">
        <f t="shared" si="21"/>
        <v>2.7017402947131877</v>
      </c>
      <c r="E20" s="3">
        <f t="shared" si="21"/>
        <v>0.22476579186503631</v>
      </c>
      <c r="F20" s="3">
        <f t="shared" si="21"/>
        <v>33601.903191541642</v>
      </c>
      <c r="G20" s="3">
        <f t="shared" si="21"/>
        <v>1.1914104688042386</v>
      </c>
      <c r="H20" s="3">
        <f t="shared" si="21"/>
        <v>3.3866142436362328</v>
      </c>
      <c r="I20" s="3">
        <f t="shared" si="8"/>
        <v>33736.426904885251</v>
      </c>
      <c r="K20" s="18" t="s">
        <v>14</v>
      </c>
      <c r="L20" s="81" t="s">
        <v>15</v>
      </c>
    </row>
    <row r="21" spans="1:19" hidden="1">
      <c r="A21">
        <v>2033</v>
      </c>
      <c r="B21" s="3">
        <f>B18+(B23-B18)/5*3</f>
        <v>12.349927917413362</v>
      </c>
      <c r="C21" s="3">
        <f t="shared" ref="C21:H21" si="22">C18+(C23-C18)/5*3</f>
        <v>1.4042647000742612</v>
      </c>
      <c r="D21" s="3">
        <f t="shared" si="22"/>
        <v>2.4839407801090658</v>
      </c>
      <c r="E21" s="3">
        <f t="shared" si="22"/>
        <v>0.20664640397878761</v>
      </c>
      <c r="F21" s="3">
        <f t="shared" si="22"/>
        <v>30893.101676009817</v>
      </c>
      <c r="G21" s="3">
        <f t="shared" si="22"/>
        <v>1.0953654779856894</v>
      </c>
      <c r="H21" s="3">
        <f t="shared" si="22"/>
        <v>3.1136039399224624</v>
      </c>
      <c r="I21" s="3">
        <f t="shared" si="8"/>
        <v>31016.780823898225</v>
      </c>
      <c r="K21" s="127">
        <v>25</v>
      </c>
      <c r="L21" s="128">
        <v>298</v>
      </c>
    </row>
    <row r="22" spans="1:19" hidden="1">
      <c r="A22">
        <v>2034</v>
      </c>
      <c r="B22" s="3">
        <f>B18+(B23-B18)/5*4</f>
        <v>11.267048515719083</v>
      </c>
      <c r="C22" s="3">
        <f t="shared" ref="C22:H22" si="23">C18+(C23-C18)/5*4</f>
        <v>1.2811344819543073</v>
      </c>
      <c r="D22" s="3">
        <f t="shared" si="23"/>
        <v>2.2661412655049435</v>
      </c>
      <c r="E22" s="3">
        <f t="shared" si="23"/>
        <v>0.18852701609253894</v>
      </c>
      <c r="F22" s="3">
        <f t="shared" si="23"/>
        <v>28184.300160477997</v>
      </c>
      <c r="G22" s="3">
        <f t="shared" si="23"/>
        <v>0.99932048716713995</v>
      </c>
      <c r="H22" s="3">
        <f t="shared" si="23"/>
        <v>2.8405936362086925</v>
      </c>
      <c r="I22" s="3">
        <f t="shared" si="8"/>
        <v>28297.134742911199</v>
      </c>
    </row>
    <row r="23" spans="1:19" hidden="1">
      <c r="A23">
        <v>2035</v>
      </c>
      <c r="B23" s="3">
        <f t="shared" ref="B23" si="24">K13*$N17</f>
        <v>10.184169114024803</v>
      </c>
      <c r="C23" s="3">
        <f t="shared" ref="C23" si="25">L13*$N17</f>
        <v>1.1580042638343537</v>
      </c>
      <c r="D23" s="3">
        <f t="shared" ref="D23" si="26">M13*$N17</f>
        <v>2.0483417509008213</v>
      </c>
      <c r="E23" s="3">
        <f t="shared" ref="E23" si="27">N13*$N17</f>
        <v>0.17040762820629027</v>
      </c>
      <c r="F23" s="3">
        <f t="shared" ref="F23" si="28">O13*$N17</f>
        <v>25475.498644946176</v>
      </c>
      <c r="G23" s="3">
        <f t="shared" ref="G23" si="29">P13*$N17</f>
        <v>0.90327549634859061</v>
      </c>
      <c r="H23" s="3">
        <f t="shared" ref="H23" si="30">Q13*$N17</f>
        <v>2.5675833324949227</v>
      </c>
      <c r="I23" s="3">
        <f t="shared" si="8"/>
        <v>25577.488661924173</v>
      </c>
    </row>
    <row r="24" spans="1:19" hidden="1">
      <c r="A24">
        <v>2036</v>
      </c>
      <c r="B24" s="3">
        <f>B23+(B28-B23)/5</f>
        <v>9.7918561576441157</v>
      </c>
      <c r="C24" s="3">
        <f t="shared" ref="C24:H24" si="31">C23+(C28-C23)/5</f>
        <v>1.1133958062213833</v>
      </c>
      <c r="D24" s="3">
        <f t="shared" si="31"/>
        <v>1.9694358530335858</v>
      </c>
      <c r="E24" s="3">
        <f t="shared" si="31"/>
        <v>0.16384321242892794</v>
      </c>
      <c r="F24" s="3">
        <f t="shared" si="31"/>
        <v>24494.13550409774</v>
      </c>
      <c r="G24" s="3">
        <f t="shared" si="31"/>
        <v>0.86847966014132028</v>
      </c>
      <c r="H24" s="3">
        <f t="shared" si="31"/>
        <v>2.4686752923154156</v>
      </c>
      <c r="I24" s="3">
        <f t="shared" si="8"/>
        <v>24592.196677727403</v>
      </c>
    </row>
    <row r="25" spans="1:19" hidden="1">
      <c r="A25">
        <v>2037</v>
      </c>
      <c r="B25" s="3">
        <f>B23+(B28-B23)/5*2</f>
        <v>9.3995432012634286</v>
      </c>
      <c r="C25" s="3">
        <f t="shared" ref="C25:H25" si="32">C23+(C28-C23)/5*2</f>
        <v>1.0687873486084132</v>
      </c>
      <c r="D25" s="3">
        <f t="shared" si="32"/>
        <v>1.8905299551663504</v>
      </c>
      <c r="E25" s="3">
        <f t="shared" si="32"/>
        <v>0.15727879665156558</v>
      </c>
      <c r="F25" s="3">
        <f t="shared" si="32"/>
        <v>23512.7723632493</v>
      </c>
      <c r="G25" s="3">
        <f t="shared" si="32"/>
        <v>0.83368382393404994</v>
      </c>
      <c r="H25" s="3">
        <f t="shared" si="32"/>
        <v>2.3697672521359086</v>
      </c>
      <c r="I25" s="3">
        <f t="shared" si="8"/>
        <v>23606.904693530625</v>
      </c>
    </row>
    <row r="26" spans="1:19" hidden="1">
      <c r="A26">
        <v>2038</v>
      </c>
      <c r="B26" s="3">
        <f>B23+(B28-B23)/5*3</f>
        <v>9.0072302448827415</v>
      </c>
      <c r="C26" s="3">
        <f t="shared" ref="C26:H26" si="33">C23+(C28-C23)/5*3</f>
        <v>1.0241788909954428</v>
      </c>
      <c r="D26" s="3">
        <f t="shared" si="33"/>
        <v>1.8116240572991149</v>
      </c>
      <c r="E26" s="3">
        <f t="shared" si="33"/>
        <v>0.15071438087420325</v>
      </c>
      <c r="F26" s="3">
        <f t="shared" si="33"/>
        <v>22531.409222400864</v>
      </c>
      <c r="G26" s="3">
        <f t="shared" si="33"/>
        <v>0.7988879877267796</v>
      </c>
      <c r="H26" s="3">
        <f t="shared" si="33"/>
        <v>2.2708592119564015</v>
      </c>
      <c r="I26" s="3">
        <f t="shared" si="8"/>
        <v>22621.612709333851</v>
      </c>
    </row>
    <row r="27" spans="1:19" hidden="1">
      <c r="A27">
        <v>2039</v>
      </c>
      <c r="B27" s="3">
        <f>B23+(B28-B23)/5*4</f>
        <v>8.6149172885020544</v>
      </c>
      <c r="C27" s="3">
        <f t="shared" ref="C27:H27" si="34">C23+(C28-C23)/5*4</f>
        <v>0.97957043338247241</v>
      </c>
      <c r="D27" s="3">
        <f t="shared" si="34"/>
        <v>1.7327181594318795</v>
      </c>
      <c r="E27" s="3">
        <f t="shared" si="34"/>
        <v>0.14414996509684089</v>
      </c>
      <c r="F27" s="3">
        <f t="shared" si="34"/>
        <v>21550.046081552424</v>
      </c>
      <c r="G27" s="3">
        <f t="shared" si="34"/>
        <v>0.76409215151950938</v>
      </c>
      <c r="H27" s="3">
        <f t="shared" si="34"/>
        <v>2.171951171776894</v>
      </c>
      <c r="I27" s="3">
        <f t="shared" si="8"/>
        <v>21636.320725137077</v>
      </c>
    </row>
    <row r="28" spans="1:19" hidden="1">
      <c r="A28">
        <v>2040</v>
      </c>
      <c r="B28" s="3">
        <f t="shared" ref="B28" si="35">K13*$O17</f>
        <v>8.2226043321213673</v>
      </c>
      <c r="C28" s="3">
        <f t="shared" ref="C28" si="36">L13*$O17</f>
        <v>0.93496197576950213</v>
      </c>
      <c r="D28" s="3">
        <f t="shared" ref="D28" si="37">M13*$O17</f>
        <v>1.653812261564644</v>
      </c>
      <c r="E28" s="3">
        <f t="shared" ref="E28" si="38">N13*$O17</f>
        <v>0.13758554931947856</v>
      </c>
      <c r="F28" s="3">
        <f t="shared" ref="F28" si="39">O13*$O17</f>
        <v>20568.682940703988</v>
      </c>
      <c r="G28" s="3">
        <f t="shared" ref="G28" si="40">P13*$O17</f>
        <v>0.72929631531223904</v>
      </c>
      <c r="H28" s="3">
        <f t="shared" ref="H28" si="41">Q13*$O17</f>
        <v>2.073043131597387</v>
      </c>
      <c r="I28" s="3">
        <f t="shared" si="8"/>
        <v>20651.028740940306</v>
      </c>
    </row>
    <row r="29" spans="1:19" hidden="1"/>
    <row r="30" spans="1:19" hidden="1">
      <c r="B30" s="2" t="s">
        <v>69</v>
      </c>
      <c r="K30" t="s">
        <v>25</v>
      </c>
    </row>
    <row r="31" spans="1:19" hidden="1">
      <c r="B31">
        <v>2020</v>
      </c>
    </row>
    <row r="32" spans="1:19" hidden="1">
      <c r="B32" t="s">
        <v>8</v>
      </c>
      <c r="C32" t="s">
        <v>10</v>
      </c>
      <c r="D32" t="s">
        <v>14</v>
      </c>
      <c r="E32" t="s">
        <v>15</v>
      </c>
      <c r="F32" t="s">
        <v>16</v>
      </c>
      <c r="G32" t="s">
        <v>115</v>
      </c>
      <c r="H32" t="s">
        <v>116</v>
      </c>
      <c r="I32" t="s">
        <v>47</v>
      </c>
      <c r="K32" s="2" t="s">
        <v>286</v>
      </c>
      <c r="S32" s="334" t="s">
        <v>127</v>
      </c>
    </row>
    <row r="33" spans="1:19" hidden="1">
      <c r="A33">
        <v>2020</v>
      </c>
      <c r="B33" s="3">
        <f>K34*$K38</f>
        <v>55.974015395044297</v>
      </c>
      <c r="C33" s="3">
        <f t="shared" ref="C33" si="42">L34*$K38</f>
        <v>5.6413648704306736</v>
      </c>
      <c r="D33" s="3">
        <f t="shared" ref="D33" si="43">M34*$K38</f>
        <v>9.8604791544107204</v>
      </c>
      <c r="E33" s="3">
        <f t="shared" ref="E33" si="44">N34*$K38</f>
        <v>1.5359983465542666</v>
      </c>
      <c r="F33" s="3">
        <f t="shared" ref="F33" si="45">O34*$K38</f>
        <v>105869.72055052481</v>
      </c>
      <c r="G33" s="3">
        <f t="shared" ref="G33" si="46">P34*$K38</f>
        <v>1.9850340029525813</v>
      </c>
      <c r="H33" s="3">
        <f t="shared" ref="H33" si="47">Q34*$K38</f>
        <v>50.174237867834471</v>
      </c>
      <c r="I33" s="3">
        <f t="shared" ref="I33:I49" si="48">F33+D33*K$105+E33*L$105</f>
        <v>106573.96003665826</v>
      </c>
      <c r="K33" t="s">
        <v>8</v>
      </c>
      <c r="L33" t="s">
        <v>10</v>
      </c>
      <c r="M33" t="s">
        <v>14</v>
      </c>
      <c r="N33" t="s">
        <v>15</v>
      </c>
      <c r="O33" t="s">
        <v>16</v>
      </c>
      <c r="P33" t="s">
        <v>115</v>
      </c>
      <c r="Q33" t="s">
        <v>116</v>
      </c>
      <c r="S33" s="334"/>
    </row>
    <row r="34" spans="1:19" hidden="1">
      <c r="A34">
        <v>2025</v>
      </c>
      <c r="B34" s="3">
        <f t="shared" ref="B34:H34" si="49">B33</f>
        <v>55.974015395044297</v>
      </c>
      <c r="C34" s="3">
        <f t="shared" si="49"/>
        <v>5.6413648704306736</v>
      </c>
      <c r="D34" s="3">
        <f t="shared" si="49"/>
        <v>9.8604791544107204</v>
      </c>
      <c r="E34" s="3">
        <f t="shared" si="49"/>
        <v>1.5359983465542666</v>
      </c>
      <c r="F34" s="3">
        <f t="shared" si="49"/>
        <v>105869.72055052481</v>
      </c>
      <c r="G34" s="3">
        <f t="shared" si="49"/>
        <v>1.9850340029525813</v>
      </c>
      <c r="H34" s="3">
        <f t="shared" si="49"/>
        <v>50.174237867834471</v>
      </c>
      <c r="I34" s="3">
        <f t="shared" si="48"/>
        <v>106573.96003665826</v>
      </c>
      <c r="K34" s="3">
        <f>'Regional GREET factors'!A99</f>
        <v>94.882782194038484</v>
      </c>
      <c r="L34" s="3">
        <f>'Regional GREET factors'!B99</f>
        <v>9.5628014267056525</v>
      </c>
      <c r="M34" s="3">
        <f>'Regional GREET factors'!C99</f>
        <v>16.714714664184022</v>
      </c>
      <c r="N34" s="3">
        <f>'Regional GREET factors'!D99</f>
        <v>2.6037045142810125</v>
      </c>
      <c r="O34" s="3">
        <f>'Regional GREET factors'!E99</f>
        <v>179462.08727467008</v>
      </c>
      <c r="P34" s="3">
        <f>'Regional GREET factors'!F99</f>
        <v>3.3648747123220577</v>
      </c>
      <c r="Q34" s="3">
        <f>'Regional GREET factors'!G99</f>
        <v>85.051451995475489</v>
      </c>
      <c r="S34" s="334"/>
    </row>
    <row r="35" spans="1:19" hidden="1">
      <c r="A35">
        <v>2026</v>
      </c>
      <c r="B35" s="3">
        <f>B34+(B39-B34)/5</f>
        <v>50.447068492465711</v>
      </c>
      <c r="C35" s="3">
        <f t="shared" ref="C35:H35" si="50">C34+(C39-C34)/5</f>
        <v>5.0843291838377311</v>
      </c>
      <c r="D35" s="3">
        <f t="shared" si="50"/>
        <v>8.886842649404219</v>
      </c>
      <c r="E35" s="3">
        <f t="shared" si="50"/>
        <v>1.384331876962279</v>
      </c>
      <c r="F35" s="3">
        <f t="shared" si="50"/>
        <v>95416.00698461564</v>
      </c>
      <c r="G35" s="3">
        <f t="shared" si="50"/>
        <v>1.7890291700546492</v>
      </c>
      <c r="H35" s="3">
        <f t="shared" si="50"/>
        <v>45.219968523108832</v>
      </c>
      <c r="I35" s="3">
        <f t="shared" si="48"/>
        <v>96050.708950185508</v>
      </c>
    </row>
    <row r="36" spans="1:19" hidden="1">
      <c r="A36">
        <v>2027</v>
      </c>
      <c r="B36" s="3">
        <f>B34+(B39-B34)/5*2</f>
        <v>44.920121589887131</v>
      </c>
      <c r="C36" s="3">
        <f t="shared" ref="C36:H36" si="51">C34+(C39-C34)/5*2</f>
        <v>4.5272934972447878</v>
      </c>
      <c r="D36" s="3">
        <f t="shared" si="51"/>
        <v>7.9132061443977175</v>
      </c>
      <c r="E36" s="3">
        <f t="shared" si="51"/>
        <v>1.2326654073702914</v>
      </c>
      <c r="F36" s="3">
        <f t="shared" si="51"/>
        <v>84962.293418706467</v>
      </c>
      <c r="G36" s="3">
        <f t="shared" si="51"/>
        <v>1.593024337156717</v>
      </c>
      <c r="H36" s="3">
        <f t="shared" si="51"/>
        <v>40.265699178383201</v>
      </c>
      <c r="I36" s="3">
        <f t="shared" si="48"/>
        <v>85527.457863712756</v>
      </c>
      <c r="K36" s="2" t="s">
        <v>290</v>
      </c>
    </row>
    <row r="37" spans="1:19" hidden="1">
      <c r="A37">
        <v>2028</v>
      </c>
      <c r="B37" s="3">
        <f>B34+(B39-B34)/5*3</f>
        <v>39.393174687308544</v>
      </c>
      <c r="C37" s="3">
        <f t="shared" ref="C37:H37" si="52">C34+(C39-C34)/5*3</f>
        <v>3.9702578106518454</v>
      </c>
      <c r="D37" s="3">
        <f t="shared" si="52"/>
        <v>6.939569639391217</v>
      </c>
      <c r="E37" s="3">
        <f t="shared" si="52"/>
        <v>1.080998937778304</v>
      </c>
      <c r="F37" s="3">
        <f t="shared" si="52"/>
        <v>74508.579852797295</v>
      </c>
      <c r="G37" s="3">
        <f t="shared" si="52"/>
        <v>1.397019504258785</v>
      </c>
      <c r="H37" s="3">
        <f t="shared" si="52"/>
        <v>35.311429833657563</v>
      </c>
      <c r="I37" s="3">
        <f t="shared" si="48"/>
        <v>75004.206777240004</v>
      </c>
      <c r="K37">
        <v>2020</v>
      </c>
      <c r="L37">
        <v>2025</v>
      </c>
      <c r="M37">
        <v>2030</v>
      </c>
      <c r="N37">
        <v>2035</v>
      </c>
      <c r="O37">
        <v>2040</v>
      </c>
    </row>
    <row r="38" spans="1:19" hidden="1">
      <c r="A38">
        <v>2029</v>
      </c>
      <c r="B38" s="3">
        <f>B34+(B39-B34)/5*4</f>
        <v>33.866227784729958</v>
      </c>
      <c r="C38" s="3">
        <f t="shared" ref="C38:H38" si="53">C34+(C39-C34)/5*4</f>
        <v>3.4132221240589029</v>
      </c>
      <c r="D38" s="3">
        <f t="shared" si="53"/>
        <v>5.9659331343847155</v>
      </c>
      <c r="E38" s="3">
        <f t="shared" si="53"/>
        <v>0.92933246818631632</v>
      </c>
      <c r="F38" s="3">
        <f t="shared" si="53"/>
        <v>64054.866286888129</v>
      </c>
      <c r="G38" s="3">
        <f t="shared" si="53"/>
        <v>1.2010146713608529</v>
      </c>
      <c r="H38" s="3">
        <f t="shared" si="53"/>
        <v>30.357160488931925</v>
      </c>
      <c r="I38" s="3">
        <f t="shared" si="48"/>
        <v>64480.955690767267</v>
      </c>
      <c r="K38" s="9">
        <f>1-'State grid data'!C9</f>
        <v>0.58992805755395694</v>
      </c>
      <c r="L38" s="9">
        <f>1-'State grid data'!D9</f>
        <v>0.46170678336980309</v>
      </c>
      <c r="M38" s="9">
        <f>1-'State grid data'!E9</f>
        <v>0.29867674858223059</v>
      </c>
      <c r="N38" s="9">
        <f>1-'State grid data'!F9</f>
        <v>0.19500346981263017</v>
      </c>
      <c r="O38" s="9">
        <f>1-'State grid data'!G9</f>
        <v>0.15744400527009217</v>
      </c>
      <c r="P38" s="9"/>
      <c r="Q38" s="9"/>
    </row>
    <row r="39" spans="1:19" hidden="1">
      <c r="A39">
        <v>2030</v>
      </c>
      <c r="B39" s="3">
        <f t="shared" ref="B39" si="54">K34*$M38</f>
        <v>28.339280882151378</v>
      </c>
      <c r="C39" s="3">
        <f t="shared" ref="C39" si="55">L34*$M38</f>
        <v>2.85618643746596</v>
      </c>
      <c r="D39" s="3">
        <f t="shared" ref="D39" si="56">M34*$M38</f>
        <v>4.9922966293782141</v>
      </c>
      <c r="E39" s="3">
        <f t="shared" ref="E39" si="57">N34*$M38</f>
        <v>0.77766599859432872</v>
      </c>
      <c r="F39" s="3">
        <f t="shared" ref="F39" si="58">O34*$M38</f>
        <v>53601.152720978956</v>
      </c>
      <c r="G39" s="3">
        <f t="shared" ref="G39" si="59">P34*$M38</f>
        <v>1.0050098384629207</v>
      </c>
      <c r="H39" s="3">
        <f t="shared" ref="H39" si="60">Q34*$M38</f>
        <v>25.402891144206286</v>
      </c>
      <c r="I39" s="3">
        <f t="shared" si="48"/>
        <v>53957.704604294522</v>
      </c>
    </row>
    <row r="40" spans="1:19" hidden="1">
      <c r="A40">
        <v>2031</v>
      </c>
      <c r="B40" s="3">
        <f>B39+(B44-B39)/5</f>
        <v>26.371919056383813</v>
      </c>
      <c r="C40" s="3">
        <f t="shared" ref="C40:H40" si="61">C39+(C44-C39)/5</f>
        <v>2.6579050418401224</v>
      </c>
      <c r="D40" s="3">
        <f t="shared" si="61"/>
        <v>4.6457227747913583</v>
      </c>
      <c r="E40" s="3">
        <f t="shared" si="61"/>
        <v>0.72367908180578422</v>
      </c>
      <c r="F40" s="3">
        <f t="shared" si="61"/>
        <v>49880.068120458709</v>
      </c>
      <c r="G40" s="3">
        <f t="shared" si="61"/>
        <v>0.93524031964785193</v>
      </c>
      <c r="H40" s="3">
        <f t="shared" si="61"/>
        <v>23.639378565709041</v>
      </c>
      <c r="I40" s="3">
        <f t="shared" si="48"/>
        <v>50211.86755620662</v>
      </c>
      <c r="K40" s="337" t="s">
        <v>163</v>
      </c>
      <c r="L40" s="338"/>
    </row>
    <row r="41" spans="1:19" hidden="1">
      <c r="A41">
        <v>2032</v>
      </c>
      <c r="B41" s="3">
        <f>B39+(B44-B39)/5*2</f>
        <v>24.404557230616245</v>
      </c>
      <c r="C41" s="3">
        <f t="shared" ref="C41:H41" si="62">C39+(C44-C39)/5*2</f>
        <v>2.4596236462142849</v>
      </c>
      <c r="D41" s="3">
        <f t="shared" si="62"/>
        <v>4.2991489202045026</v>
      </c>
      <c r="E41" s="3">
        <f t="shared" si="62"/>
        <v>0.66969216501723972</v>
      </c>
      <c r="F41" s="3">
        <f t="shared" si="62"/>
        <v>46158.983519938462</v>
      </c>
      <c r="G41" s="3">
        <f t="shared" si="62"/>
        <v>0.86547080083278316</v>
      </c>
      <c r="H41" s="3">
        <f t="shared" si="62"/>
        <v>21.8758659872118</v>
      </c>
      <c r="I41" s="3">
        <f t="shared" si="48"/>
        <v>46466.030508118711</v>
      </c>
      <c r="K41" s="18" t="s">
        <v>14</v>
      </c>
      <c r="L41" s="81" t="s">
        <v>15</v>
      </c>
    </row>
    <row r="42" spans="1:19" hidden="1">
      <c r="A42">
        <v>2033</v>
      </c>
      <c r="B42" s="3">
        <f>B39+(B44-B39)/5*3</f>
        <v>22.43719540484868</v>
      </c>
      <c r="C42" s="3">
        <f t="shared" ref="C42:H42" si="63">C39+(C44-C39)/5*3</f>
        <v>2.2613422505884477</v>
      </c>
      <c r="D42" s="3">
        <f t="shared" si="63"/>
        <v>3.9525750656176473</v>
      </c>
      <c r="E42" s="3">
        <f t="shared" si="63"/>
        <v>0.61570524822869532</v>
      </c>
      <c r="F42" s="3">
        <f t="shared" si="63"/>
        <v>42437.898919418221</v>
      </c>
      <c r="G42" s="3">
        <f t="shared" si="63"/>
        <v>0.79570128201771451</v>
      </c>
      <c r="H42" s="3">
        <f t="shared" si="63"/>
        <v>20.112353408714554</v>
      </c>
      <c r="I42" s="3">
        <f t="shared" si="48"/>
        <v>42720.193460030809</v>
      </c>
      <c r="K42" s="127">
        <v>25</v>
      </c>
      <c r="L42" s="128">
        <v>298</v>
      </c>
    </row>
    <row r="43" spans="1:19" hidden="1">
      <c r="A43">
        <v>2034</v>
      </c>
      <c r="B43" s="3">
        <f>B39+(B44-B39)/5*4</f>
        <v>20.469833579081111</v>
      </c>
      <c r="C43" s="3">
        <f t="shared" ref="C43:H43" si="64">C39+(C44-C39)/5*4</f>
        <v>2.0630608549626102</v>
      </c>
      <c r="D43" s="3">
        <f t="shared" si="64"/>
        <v>3.6060012110307915</v>
      </c>
      <c r="E43" s="3">
        <f t="shared" si="64"/>
        <v>0.56171833144015082</v>
      </c>
      <c r="F43" s="3">
        <f t="shared" si="64"/>
        <v>38716.814318897974</v>
      </c>
      <c r="G43" s="3">
        <f t="shared" si="64"/>
        <v>0.72593176320264574</v>
      </c>
      <c r="H43" s="3">
        <f t="shared" si="64"/>
        <v>18.348840830217313</v>
      </c>
      <c r="I43" s="3">
        <f t="shared" si="48"/>
        <v>38974.356411942907</v>
      </c>
    </row>
    <row r="44" spans="1:19" hidden="1">
      <c r="A44">
        <v>2035</v>
      </c>
      <c r="B44" s="3">
        <f t="shared" ref="B44" si="65">K34*$N38</f>
        <v>18.502471753313547</v>
      </c>
      <c r="C44" s="3">
        <f t="shared" ref="C44" si="66">L34*$N38</f>
        <v>1.8647794593367724</v>
      </c>
      <c r="D44" s="3">
        <f t="shared" ref="D44" si="67">M34*$N38</f>
        <v>3.2594273564439358</v>
      </c>
      <c r="E44" s="3">
        <f t="shared" ref="E44" si="68">N34*$N38</f>
        <v>0.50773141465160632</v>
      </c>
      <c r="F44" s="3">
        <f t="shared" ref="F44" si="69">O34*$N38</f>
        <v>34995.729718377726</v>
      </c>
      <c r="G44" s="3">
        <f t="shared" ref="G44" si="70">P34*$N38</f>
        <v>0.65616224438757698</v>
      </c>
      <c r="H44" s="3">
        <f t="shared" ref="H44" si="71">Q34*$N38</f>
        <v>16.585328251720068</v>
      </c>
      <c r="I44" s="3">
        <f t="shared" si="48"/>
        <v>35228.519363855004</v>
      </c>
    </row>
    <row r="45" spans="1:19" hidden="1">
      <c r="A45">
        <v>2036</v>
      </c>
      <c r="B45" s="3">
        <f>B44+(B49-B44)/5</f>
        <v>17.789722454610679</v>
      </c>
      <c r="C45" s="3">
        <f t="shared" ref="C45:H45" si="72">C44+(C49-C44)/5</f>
        <v>1.7929447191140357</v>
      </c>
      <c r="D45" s="3">
        <f t="shared" si="72"/>
        <v>3.1338682098903239</v>
      </c>
      <c r="E45" s="3">
        <f t="shared" si="72"/>
        <v>0.48817266517492958</v>
      </c>
      <c r="F45" s="3">
        <f t="shared" si="72"/>
        <v>33647.629737633164</v>
      </c>
      <c r="G45" s="3">
        <f t="shared" si="72"/>
        <v>0.63088566589806838</v>
      </c>
      <c r="H45" s="3">
        <f t="shared" si="72"/>
        <v>15.946430852616981</v>
      </c>
      <c r="I45" s="3">
        <f t="shared" si="48"/>
        <v>33871.451897102546</v>
      </c>
    </row>
    <row r="46" spans="1:19" hidden="1">
      <c r="A46">
        <v>2037</v>
      </c>
      <c r="B46" s="3">
        <f>B44+(B49-B44)/5*2</f>
        <v>17.076973155907808</v>
      </c>
      <c r="C46" s="3">
        <f t="shared" ref="C46:H46" si="73">C44+(C49-C44)/5*2</f>
        <v>1.7211099788912994</v>
      </c>
      <c r="D46" s="3">
        <f t="shared" si="73"/>
        <v>3.008309063336712</v>
      </c>
      <c r="E46" s="3">
        <f t="shared" si="73"/>
        <v>0.46861391569825278</v>
      </c>
      <c r="F46" s="3">
        <f t="shared" si="73"/>
        <v>32299.529756888594</v>
      </c>
      <c r="G46" s="3">
        <f t="shared" si="73"/>
        <v>0.60560908740855979</v>
      </c>
      <c r="H46" s="3">
        <f t="shared" si="73"/>
        <v>15.307533453513894</v>
      </c>
      <c r="I46" s="3">
        <f t="shared" si="48"/>
        <v>32514.384430350092</v>
      </c>
    </row>
    <row r="47" spans="1:19" hidden="1">
      <c r="A47">
        <v>2038</v>
      </c>
      <c r="B47" s="3">
        <f>B44+(B49-B44)/5*3</f>
        <v>16.364223857204941</v>
      </c>
      <c r="C47" s="3">
        <f t="shared" ref="C47:H47" si="74">C44+(C49-C44)/5*3</f>
        <v>1.6492752386685627</v>
      </c>
      <c r="D47" s="3">
        <f t="shared" si="74"/>
        <v>2.8827499167830997</v>
      </c>
      <c r="E47" s="3">
        <f t="shared" si="74"/>
        <v>0.44905516622157604</v>
      </c>
      <c r="F47" s="3">
        <f t="shared" si="74"/>
        <v>30951.429776144028</v>
      </c>
      <c r="G47" s="3">
        <f t="shared" si="74"/>
        <v>0.58033250891905119</v>
      </c>
      <c r="H47" s="3">
        <f t="shared" si="74"/>
        <v>14.668636054410808</v>
      </c>
      <c r="I47" s="3">
        <f t="shared" si="48"/>
        <v>31157.316963597634</v>
      </c>
    </row>
    <row r="48" spans="1:19" hidden="1">
      <c r="A48">
        <v>2039</v>
      </c>
      <c r="B48" s="3">
        <f>B44+(B49-B44)/5*4</f>
        <v>15.651474558502072</v>
      </c>
      <c r="C48" s="3">
        <f t="shared" ref="C48:H48" si="75">C44+(C49-C44)/5*4</f>
        <v>1.5774404984458261</v>
      </c>
      <c r="D48" s="3">
        <f t="shared" si="75"/>
        <v>2.7571907702294878</v>
      </c>
      <c r="E48" s="3">
        <f t="shared" si="75"/>
        <v>0.42949641674489925</v>
      </c>
      <c r="F48" s="3">
        <f t="shared" si="75"/>
        <v>29603.329795399462</v>
      </c>
      <c r="G48" s="3">
        <f t="shared" si="75"/>
        <v>0.55505593042954249</v>
      </c>
      <c r="H48" s="3">
        <f t="shared" si="75"/>
        <v>14.029738655307721</v>
      </c>
      <c r="I48" s="3">
        <f t="shared" si="48"/>
        <v>29800.249496845179</v>
      </c>
    </row>
    <row r="49" spans="1:19" hidden="1">
      <c r="A49">
        <v>2040</v>
      </c>
      <c r="B49" s="3">
        <f t="shared" ref="B49" si="76">K34*$O38</f>
        <v>14.938725259799202</v>
      </c>
      <c r="C49" s="3">
        <f t="shared" ref="C49" si="77">L34*$O38</f>
        <v>1.5056057582230897</v>
      </c>
      <c r="D49" s="3">
        <f t="shared" ref="D49" si="78">M34*$O38</f>
        <v>2.6316316236758759</v>
      </c>
      <c r="E49" s="3">
        <f t="shared" ref="E49" si="79">N34*$O38</f>
        <v>0.40993766726822251</v>
      </c>
      <c r="F49" s="3">
        <f t="shared" ref="F49" si="80">O34*$O38</f>
        <v>28255.229814654896</v>
      </c>
      <c r="G49" s="3">
        <f t="shared" ref="G49" si="81">P34*$O38</f>
        <v>0.52977935194003389</v>
      </c>
      <c r="H49" s="3">
        <f t="shared" ref="H49" si="82">Q34*$O38</f>
        <v>13.390841256204634</v>
      </c>
      <c r="I49" s="3">
        <f t="shared" si="48"/>
        <v>28443.182030092725</v>
      </c>
    </row>
    <row r="50" spans="1:19" hidden="1"/>
    <row r="51" spans="1:19">
      <c r="B51" s="2" t="s">
        <v>68</v>
      </c>
      <c r="K51" t="s">
        <v>25</v>
      </c>
    </row>
    <row r="52" spans="1:19">
      <c r="B52">
        <v>2020</v>
      </c>
    </row>
    <row r="53" spans="1:19">
      <c r="B53" t="s">
        <v>8</v>
      </c>
      <c r="C53" t="s">
        <v>10</v>
      </c>
      <c r="D53" t="s">
        <v>14</v>
      </c>
      <c r="E53" t="s">
        <v>15</v>
      </c>
      <c r="F53" t="s">
        <v>16</v>
      </c>
      <c r="G53" t="s">
        <v>115</v>
      </c>
      <c r="H53" t="s">
        <v>116</v>
      </c>
      <c r="I53" t="s">
        <v>47</v>
      </c>
      <c r="K53" s="2" t="s">
        <v>283</v>
      </c>
      <c r="S53" s="334" t="s">
        <v>127</v>
      </c>
    </row>
    <row r="54" spans="1:19">
      <c r="A54">
        <v>2020</v>
      </c>
      <c r="B54" s="3">
        <f>K55*$K59</f>
        <v>38.921040075758498</v>
      </c>
      <c r="C54" s="3">
        <f t="shared" ref="C54" si="83">L55*$K59</f>
        <v>6.163202152104593</v>
      </c>
      <c r="D54" s="3">
        <f t="shared" ref="D54" si="84">M55*$K59</f>
        <v>5.3212359478576072</v>
      </c>
      <c r="E54" s="3">
        <f t="shared" ref="E54" si="85">N55*$K59</f>
        <v>0.60814125118372653</v>
      </c>
      <c r="F54" s="3">
        <f t="shared" ref="F54" si="86">O55*$K59</f>
        <v>74510.834412845332</v>
      </c>
      <c r="G54" s="3">
        <f t="shared" ref="G54" si="87">P55*$K59</f>
        <v>1.3424914601264111</v>
      </c>
      <c r="H54" s="3">
        <f t="shared" ref="H54" si="88">Q55*$K59</f>
        <v>9.2741540805518294</v>
      </c>
      <c r="I54" s="3">
        <f t="shared" ref="I54:I70" si="89">F54+D54*K$105+E54*L$105</f>
        <v>74825.091404394523</v>
      </c>
      <c r="K54" t="s">
        <v>8</v>
      </c>
      <c r="L54" t="s">
        <v>10</v>
      </c>
      <c r="M54" t="s">
        <v>14</v>
      </c>
      <c r="N54" t="s">
        <v>15</v>
      </c>
      <c r="O54" t="s">
        <v>16</v>
      </c>
      <c r="P54" t="s">
        <v>115</v>
      </c>
      <c r="Q54" t="s">
        <v>116</v>
      </c>
      <c r="S54" s="334"/>
    </row>
    <row r="55" spans="1:19">
      <c r="A55">
        <v>2025</v>
      </c>
      <c r="B55" s="3">
        <f t="shared" ref="B55:H55" si="90">B54</f>
        <v>38.921040075758498</v>
      </c>
      <c r="C55" s="3">
        <f t="shared" si="90"/>
        <v>6.163202152104593</v>
      </c>
      <c r="D55" s="3">
        <f t="shared" si="90"/>
        <v>5.3212359478576072</v>
      </c>
      <c r="E55" s="3">
        <f t="shared" si="90"/>
        <v>0.60814125118372653</v>
      </c>
      <c r="F55" s="3">
        <f t="shared" si="90"/>
        <v>74510.834412845332</v>
      </c>
      <c r="G55" s="3">
        <f t="shared" si="90"/>
        <v>1.3424914601264111</v>
      </c>
      <c r="H55" s="3">
        <f t="shared" si="90"/>
        <v>9.2741540805518294</v>
      </c>
      <c r="I55" s="3">
        <f t="shared" si="89"/>
        <v>74825.091404394523</v>
      </c>
      <c r="K55" s="3">
        <f>'Regional GREET factors'!A119</f>
        <v>65.975909396712566</v>
      </c>
      <c r="L55" s="3">
        <f>'Regional GREET factors'!B119</f>
        <v>10.447379257835832</v>
      </c>
      <c r="M55" s="3">
        <f>'Regional GREET factors'!C119</f>
        <v>9.0201438628317963</v>
      </c>
      <c r="N55" s="3">
        <f>'Regional GREET factors'!D119</f>
        <v>1.0308735843236339</v>
      </c>
      <c r="O55" s="3">
        <f>'Regional GREET factors'!E119</f>
        <v>126304.95101689633</v>
      </c>
      <c r="P55" s="3">
        <f>'Regional GREET factors'!F119</f>
        <v>2.2756867433850134</v>
      </c>
      <c r="Q55" s="3">
        <f>'Regional GREET factors'!G119</f>
        <v>15.720822160935414</v>
      </c>
      <c r="S55" s="334"/>
    </row>
    <row r="56" spans="1:19">
      <c r="A56">
        <v>2026</v>
      </c>
      <c r="B56" s="3">
        <f>B55+(B60-B55)/5</f>
        <v>35.077926081279983</v>
      </c>
      <c r="C56" s="3">
        <f t="shared" ref="C56:H56" si="91">C55+(C60-C55)/5</f>
        <v>5.5546395752708433</v>
      </c>
      <c r="D56" s="3">
        <f t="shared" si="91"/>
        <v>4.7958102064249983</v>
      </c>
      <c r="E56" s="3">
        <f t="shared" si="91"/>
        <v>0.54809259501999974</v>
      </c>
      <c r="F56" s="3">
        <f t="shared" si="91"/>
        <v>67153.537950189158</v>
      </c>
      <c r="G56" s="3">
        <f t="shared" si="91"/>
        <v>1.209932111562313</v>
      </c>
      <c r="H56" s="3">
        <f t="shared" si="91"/>
        <v>8.3584120740549963</v>
      </c>
      <c r="I56" s="3">
        <f t="shared" si="89"/>
        <v>67436.764798665739</v>
      </c>
    </row>
    <row r="57" spans="1:19">
      <c r="A57">
        <v>2027</v>
      </c>
      <c r="B57" s="3">
        <f>B55+(B60-B55)/5*2</f>
        <v>31.234812086801476</v>
      </c>
      <c r="C57" s="3">
        <f t="shared" ref="C57:H57" si="92">C55+(C60-C55)/5*2</f>
        <v>4.9460769984370927</v>
      </c>
      <c r="D57" s="3">
        <f t="shared" si="92"/>
        <v>4.2703844649923894</v>
      </c>
      <c r="E57" s="3">
        <f t="shared" si="92"/>
        <v>0.48804393885627306</v>
      </c>
      <c r="F57" s="3">
        <f t="shared" si="92"/>
        <v>59796.241487533</v>
      </c>
      <c r="G57" s="3">
        <f t="shared" si="92"/>
        <v>1.0773727629982148</v>
      </c>
      <c r="H57" s="3">
        <f t="shared" si="92"/>
        <v>7.4426700675581641</v>
      </c>
      <c r="I57" s="3">
        <f t="shared" si="89"/>
        <v>60048.438192936977</v>
      </c>
      <c r="K57" s="2" t="s">
        <v>290</v>
      </c>
    </row>
    <row r="58" spans="1:19">
      <c r="A58">
        <v>2028</v>
      </c>
      <c r="B58" s="3">
        <f>B55+(B60-B55)/5*3</f>
        <v>27.391698092322965</v>
      </c>
      <c r="C58" s="3">
        <f t="shared" ref="C58:H58" si="93">C55+(C60-C55)/5*3</f>
        <v>4.337514421603343</v>
      </c>
      <c r="D58" s="3">
        <f t="shared" si="93"/>
        <v>3.7449587235597805</v>
      </c>
      <c r="E58" s="3">
        <f t="shared" si="93"/>
        <v>0.42799528269254633</v>
      </c>
      <c r="F58" s="3">
        <f t="shared" si="93"/>
        <v>52438.945024876826</v>
      </c>
      <c r="G58" s="3">
        <f t="shared" si="93"/>
        <v>0.94481341443411693</v>
      </c>
      <c r="H58" s="3">
        <f t="shared" si="93"/>
        <v>6.5269280610613309</v>
      </c>
      <c r="I58" s="3">
        <f t="shared" si="89"/>
        <v>52660.111587208194</v>
      </c>
      <c r="K58">
        <v>2020</v>
      </c>
      <c r="L58">
        <v>2025</v>
      </c>
      <c r="M58">
        <v>2030</v>
      </c>
      <c r="N58">
        <v>2035</v>
      </c>
      <c r="O58">
        <v>2040</v>
      </c>
      <c r="P58">
        <v>2045</v>
      </c>
      <c r="Q58">
        <v>2050</v>
      </c>
    </row>
    <row r="59" spans="1:19">
      <c r="A59">
        <v>2029</v>
      </c>
      <c r="B59" s="3">
        <f>B55+(B60-B55)/5*4</f>
        <v>23.548584097844454</v>
      </c>
      <c r="C59" s="3">
        <f t="shared" ref="C59:H59" si="94">C55+(C60-C55)/5*4</f>
        <v>3.7289518447695933</v>
      </c>
      <c r="D59" s="3">
        <f t="shared" si="94"/>
        <v>3.2195329821271716</v>
      </c>
      <c r="E59" s="3">
        <f t="shared" si="94"/>
        <v>0.3679466265288196</v>
      </c>
      <c r="F59" s="3">
        <f t="shared" si="94"/>
        <v>45081.64856222066</v>
      </c>
      <c r="G59" s="3">
        <f t="shared" si="94"/>
        <v>0.8122540658700188</v>
      </c>
      <c r="H59" s="3">
        <f t="shared" si="94"/>
        <v>5.6111860545644987</v>
      </c>
      <c r="I59" s="3">
        <f t="shared" si="89"/>
        <v>45271.784981479432</v>
      </c>
      <c r="K59" s="9">
        <f>1-'State grid data'!C9</f>
        <v>0.58992805755395694</v>
      </c>
      <c r="L59" s="9">
        <f>1-'State grid data'!D9</f>
        <v>0.46170678336980309</v>
      </c>
      <c r="M59" s="9">
        <f>1-'State grid data'!E9</f>
        <v>0.29867674858223059</v>
      </c>
      <c r="N59" s="9">
        <f>1-'State grid data'!F9</f>
        <v>0.19500346981263017</v>
      </c>
      <c r="O59" s="9">
        <f>1-'State grid data'!G9</f>
        <v>0.15744400527009217</v>
      </c>
      <c r="P59" s="9">
        <f>1-'State grid data'!H9</f>
        <v>7.9470198675496651E-2</v>
      </c>
      <c r="Q59" s="9">
        <f>1-'State grid data'!I9</f>
        <v>0</v>
      </c>
    </row>
    <row r="60" spans="1:19">
      <c r="A60">
        <v>2030</v>
      </c>
      <c r="B60" s="3">
        <f t="shared" ref="B60" si="95">K55*$M59</f>
        <v>19.705470103365943</v>
      </c>
      <c r="C60" s="3">
        <f t="shared" ref="C60" si="96">L55*$M59</f>
        <v>3.1203892679358436</v>
      </c>
      <c r="D60" s="3">
        <f t="shared" ref="D60" si="97">M55*$M59</f>
        <v>2.6941072406945628</v>
      </c>
      <c r="E60" s="3">
        <f t="shared" ref="E60" si="98">N55*$M59</f>
        <v>0.30789797036509287</v>
      </c>
      <c r="F60" s="3">
        <f t="shared" ref="F60" si="99">O55*$M59</f>
        <v>37724.352099564494</v>
      </c>
      <c r="G60" s="3">
        <f t="shared" ref="G60" si="100">P55*$M59</f>
        <v>0.67969471730592079</v>
      </c>
      <c r="H60" s="3">
        <f t="shared" ref="H60" si="101">Q55*$M59</f>
        <v>4.6954440480676656</v>
      </c>
      <c r="I60" s="3">
        <f t="shared" si="89"/>
        <v>37883.458375750655</v>
      </c>
    </row>
    <row r="61" spans="1:19">
      <c r="A61">
        <v>2031</v>
      </c>
      <c r="B61" s="3">
        <f>B60+(B65-B60)/5</f>
        <v>18.337482333973288</v>
      </c>
      <c r="C61" s="3">
        <f t="shared" ref="C61:H61" si="102">C60+(C65-C60)/5</f>
        <v>2.9037664554939724</v>
      </c>
      <c r="D61" s="3">
        <f t="shared" si="102"/>
        <v>2.5070776628479106</v>
      </c>
      <c r="E61" s="3">
        <f t="shared" si="102"/>
        <v>0.28652316146833262</v>
      </c>
      <c r="F61" s="3">
        <f t="shared" si="102"/>
        <v>35105.462420213407</v>
      </c>
      <c r="G61" s="3">
        <f t="shared" si="102"/>
        <v>0.63250913607807302</v>
      </c>
      <c r="H61" s="3">
        <f t="shared" si="102"/>
        <v>4.3694782123920719</v>
      </c>
      <c r="I61" s="3">
        <f t="shared" si="89"/>
        <v>35253.523263902171</v>
      </c>
      <c r="K61" s="337" t="s">
        <v>163</v>
      </c>
      <c r="L61" s="338"/>
    </row>
    <row r="62" spans="1:19">
      <c r="A62">
        <v>2032</v>
      </c>
      <c r="B62" s="3">
        <f>B60+(B65-B60)/5*2</f>
        <v>16.969494564580632</v>
      </c>
      <c r="C62" s="3">
        <f t="shared" ref="C62:H62" si="103">C60+(C65-C60)/5*2</f>
        <v>2.6871436430521016</v>
      </c>
      <c r="D62" s="3">
        <f t="shared" si="103"/>
        <v>2.3200480850012584</v>
      </c>
      <c r="E62" s="3">
        <f t="shared" si="103"/>
        <v>0.26514835257157238</v>
      </c>
      <c r="F62" s="3">
        <f t="shared" si="103"/>
        <v>32486.572740862328</v>
      </c>
      <c r="G62" s="3">
        <f t="shared" si="103"/>
        <v>0.58532355485022536</v>
      </c>
      <c r="H62" s="3">
        <f t="shared" si="103"/>
        <v>4.0435123767164782</v>
      </c>
      <c r="I62" s="3">
        <f t="shared" si="89"/>
        <v>32623.58815205369</v>
      </c>
      <c r="K62" s="18" t="s">
        <v>14</v>
      </c>
      <c r="L62" s="81" t="s">
        <v>15</v>
      </c>
    </row>
    <row r="63" spans="1:19">
      <c r="A63">
        <v>2033</v>
      </c>
      <c r="B63" s="3">
        <f>B60+(B65-B60)/5*3</f>
        <v>15.601506795187975</v>
      </c>
      <c r="C63" s="3">
        <f t="shared" ref="C63:H63" si="104">C60+(C65-C60)/5*3</f>
        <v>2.4705208306102304</v>
      </c>
      <c r="D63" s="3">
        <f t="shared" si="104"/>
        <v>2.1330185071546062</v>
      </c>
      <c r="E63" s="3">
        <f t="shared" si="104"/>
        <v>0.2437735436748121</v>
      </c>
      <c r="F63" s="3">
        <f t="shared" si="104"/>
        <v>29867.683061511241</v>
      </c>
      <c r="G63" s="3">
        <f t="shared" si="104"/>
        <v>0.53813797362237759</v>
      </c>
      <c r="H63" s="3">
        <f t="shared" si="104"/>
        <v>3.7175465410408841</v>
      </c>
      <c r="I63" s="3">
        <f t="shared" si="89"/>
        <v>29993.653040205201</v>
      </c>
      <c r="K63" s="127">
        <v>25</v>
      </c>
      <c r="L63" s="128">
        <v>298</v>
      </c>
    </row>
    <row r="64" spans="1:19">
      <c r="A64">
        <v>2034</v>
      </c>
      <c r="B64" s="3">
        <f>B60+(B65-B60)/5*4</f>
        <v>14.233519025795317</v>
      </c>
      <c r="C64" s="3">
        <f t="shared" ref="C64:H64" si="105">C60+(C65-C60)/5*4</f>
        <v>2.2538980181683597</v>
      </c>
      <c r="D64" s="3">
        <f t="shared" si="105"/>
        <v>1.9459889293079538</v>
      </c>
      <c r="E64" s="3">
        <f t="shared" si="105"/>
        <v>0.22239873477805183</v>
      </c>
      <c r="F64" s="3">
        <f t="shared" si="105"/>
        <v>27248.793382160158</v>
      </c>
      <c r="G64" s="3">
        <f t="shared" si="105"/>
        <v>0.49095239239452987</v>
      </c>
      <c r="H64" s="3">
        <f t="shared" si="105"/>
        <v>3.39158070536529</v>
      </c>
      <c r="I64" s="3">
        <f t="shared" si="89"/>
        <v>27363.717928356717</v>
      </c>
    </row>
    <row r="65" spans="1:19">
      <c r="A65">
        <v>2035</v>
      </c>
      <c r="B65" s="3">
        <f t="shared" ref="B65" si="106">K55*$N59</f>
        <v>12.865531256402662</v>
      </c>
      <c r="C65" s="3">
        <f t="shared" ref="C65" si="107">L55*$N59</f>
        <v>2.0372752057264885</v>
      </c>
      <c r="D65" s="3">
        <f t="shared" ref="D65" si="108">M55*$N59</f>
        <v>1.7589593514613016</v>
      </c>
      <c r="E65" s="3">
        <f t="shared" ref="E65" si="109">N55*$N59</f>
        <v>0.20102392588129159</v>
      </c>
      <c r="F65" s="3">
        <f t="shared" ref="F65" si="110">O55*$N59</f>
        <v>24629.903702809075</v>
      </c>
      <c r="G65" s="3">
        <f t="shared" ref="G65" si="111">P55*$N59</f>
        <v>0.44376681116668215</v>
      </c>
      <c r="H65" s="3">
        <f t="shared" ref="H65" si="112">Q55*$N59</f>
        <v>3.0656148696896963</v>
      </c>
      <c r="I65" s="3">
        <f t="shared" si="89"/>
        <v>24733.782816508232</v>
      </c>
    </row>
    <row r="66" spans="1:19">
      <c r="A66">
        <v>2036</v>
      </c>
      <c r="B66" s="3">
        <f>B65+(B70-B65)/5</f>
        <v>12.369927290473157</v>
      </c>
      <c r="C66" s="3">
        <f t="shared" ref="C66:H66" si="113">C65+(C70-C65)/5</f>
        <v>1.9587956115670619</v>
      </c>
      <c r="D66" s="3">
        <f t="shared" si="113"/>
        <v>1.6912009967443771</v>
      </c>
      <c r="E66" s="3">
        <f t="shared" si="113"/>
        <v>0.19328011391364308</v>
      </c>
      <c r="F66" s="3">
        <f t="shared" si="113"/>
        <v>23681.114436955853</v>
      </c>
      <c r="G66" s="3">
        <f t="shared" si="113"/>
        <v>0.42667209605706352</v>
      </c>
      <c r="H66" s="3">
        <f t="shared" si="113"/>
        <v>2.9475217371830564</v>
      </c>
      <c r="I66" s="3">
        <f t="shared" si="89"/>
        <v>23780.99193582073</v>
      </c>
    </row>
    <row r="67" spans="1:19">
      <c r="A67">
        <v>2037</v>
      </c>
      <c r="B67" s="3">
        <f>B65+(B70-B65)/5*2</f>
        <v>11.874323324543651</v>
      </c>
      <c r="C67" s="3">
        <f t="shared" ref="C67:H67" si="114">C65+(C70-C65)/5*2</f>
        <v>1.8803160174076357</v>
      </c>
      <c r="D67" s="3">
        <f t="shared" si="114"/>
        <v>1.6234426420274526</v>
      </c>
      <c r="E67" s="3">
        <f t="shared" si="114"/>
        <v>0.18553630194599455</v>
      </c>
      <c r="F67" s="3">
        <f t="shared" si="114"/>
        <v>22732.325171102628</v>
      </c>
      <c r="G67" s="3">
        <f t="shared" si="114"/>
        <v>0.40957738094744489</v>
      </c>
      <c r="H67" s="3">
        <f t="shared" si="114"/>
        <v>2.8294286046764165</v>
      </c>
      <c r="I67" s="3">
        <f t="shared" si="89"/>
        <v>22828.201055133221</v>
      </c>
    </row>
    <row r="68" spans="1:19">
      <c r="A68">
        <v>2038</v>
      </c>
      <c r="B68" s="3">
        <f>B65+(B70-B65)/5*3</f>
        <v>11.378719358614147</v>
      </c>
      <c r="C68" s="3">
        <f t="shared" ref="C68:H68" si="115">C65+(C70-C65)/5*3</f>
        <v>1.8018364232482091</v>
      </c>
      <c r="D68" s="3">
        <f t="shared" si="115"/>
        <v>1.5556842873105281</v>
      </c>
      <c r="E68" s="3">
        <f t="shared" si="115"/>
        <v>0.17779248997834604</v>
      </c>
      <c r="F68" s="3">
        <f t="shared" si="115"/>
        <v>21783.535905249406</v>
      </c>
      <c r="G68" s="3">
        <f t="shared" si="115"/>
        <v>0.39248266583782621</v>
      </c>
      <c r="H68" s="3">
        <f t="shared" si="115"/>
        <v>2.7113354721697771</v>
      </c>
      <c r="I68" s="3">
        <f t="shared" si="89"/>
        <v>21875.410174445718</v>
      </c>
    </row>
    <row r="69" spans="1:19">
      <c r="A69">
        <v>2039</v>
      </c>
      <c r="B69" s="3">
        <f>B65+(B70-B65)/5*4</f>
        <v>10.88311539268464</v>
      </c>
      <c r="C69" s="3">
        <f t="shared" ref="C69:H69" si="116">C65+(C70-C65)/5*4</f>
        <v>1.7233568290887828</v>
      </c>
      <c r="D69" s="3">
        <f t="shared" si="116"/>
        <v>1.4879259325936034</v>
      </c>
      <c r="E69" s="3">
        <f t="shared" si="116"/>
        <v>0.17004867801069751</v>
      </c>
      <c r="F69" s="3">
        <f t="shared" si="116"/>
        <v>20834.74663939618</v>
      </c>
      <c r="G69" s="3">
        <f t="shared" si="116"/>
        <v>0.37538795072820758</v>
      </c>
      <c r="H69" s="3">
        <f t="shared" si="116"/>
        <v>2.5932423396631372</v>
      </c>
      <c r="I69" s="3">
        <f t="shared" si="89"/>
        <v>20922.619293758209</v>
      </c>
    </row>
    <row r="70" spans="1:19">
      <c r="A70">
        <v>2040</v>
      </c>
      <c r="B70" s="3">
        <f t="shared" ref="B70" si="117">K55*$O59</f>
        <v>10.387511426755136</v>
      </c>
      <c r="C70" s="3">
        <f t="shared" ref="C70" si="118">L55*$O59</f>
        <v>1.6448772349293563</v>
      </c>
      <c r="D70" s="3">
        <f t="shared" ref="D70" si="119">M55*$O59</f>
        <v>1.4201675778766789</v>
      </c>
      <c r="E70" s="3">
        <f t="shared" ref="E70" si="120">N55*$O59</f>
        <v>0.162304866043049</v>
      </c>
      <c r="F70" s="3">
        <f t="shared" ref="F70" si="121">O55*$O59</f>
        <v>19885.957373542959</v>
      </c>
      <c r="G70" s="3">
        <f t="shared" ref="G70" si="122">P55*$O59</f>
        <v>0.35829323561858895</v>
      </c>
      <c r="H70" s="3">
        <f t="shared" ref="H70" si="123">Q55*$O59</f>
        <v>2.4751492071564973</v>
      </c>
      <c r="I70" s="3">
        <f t="shared" si="89"/>
        <v>19969.828413070703</v>
      </c>
    </row>
    <row r="72" spans="1:19" hidden="1">
      <c r="B72" s="2" t="s">
        <v>443</v>
      </c>
      <c r="K72" t="s">
        <v>25</v>
      </c>
    </row>
    <row r="73" spans="1:19" hidden="1">
      <c r="B73">
        <v>2020</v>
      </c>
    </row>
    <row r="74" spans="1:19" hidden="1">
      <c r="B74" t="s">
        <v>8</v>
      </c>
      <c r="C74" t="s">
        <v>10</v>
      </c>
      <c r="D74" t="s">
        <v>14</v>
      </c>
      <c r="E74" t="s">
        <v>15</v>
      </c>
      <c r="F74" t="s">
        <v>16</v>
      </c>
      <c r="G74" t="s">
        <v>115</v>
      </c>
      <c r="H74" t="s">
        <v>116</v>
      </c>
      <c r="I74" t="s">
        <v>47</v>
      </c>
      <c r="K74" s="2" t="s">
        <v>108</v>
      </c>
      <c r="S74" s="334" t="s">
        <v>127</v>
      </c>
    </row>
    <row r="75" spans="1:19" hidden="1">
      <c r="A75">
        <v>2020</v>
      </c>
      <c r="B75" s="3">
        <f>K76*$K80</f>
        <v>90.994063770731188</v>
      </c>
      <c r="C75" s="3">
        <f t="shared" ref="C75" si="124">L76*$K80</f>
        <v>8.5881581023858686</v>
      </c>
      <c r="D75" s="3">
        <f t="shared" ref="D75" si="125">M76*$K80</f>
        <v>14.462096444366303</v>
      </c>
      <c r="E75" s="3">
        <f t="shared" ref="E75" si="126">N76*$K80</f>
        <v>2.1357876666733415</v>
      </c>
      <c r="F75" s="3">
        <f t="shared" ref="F75" si="127">O76*$K80</f>
        <v>143827.99131797533</v>
      </c>
      <c r="G75" s="3">
        <f t="shared" ref="G75" si="128">P76*$K80</f>
        <v>2.3902813115493955</v>
      </c>
      <c r="H75" s="3">
        <f t="shared" ref="H75" si="129">Q76*$K80</f>
        <v>47.979050132724488</v>
      </c>
      <c r="I75" s="3">
        <f t="shared" ref="I75:I91" si="130">F75+D75*K$105+E75*L$105</f>
        <v>144826.00845375314</v>
      </c>
      <c r="K75" t="s">
        <v>8</v>
      </c>
      <c r="L75" t="s">
        <v>10</v>
      </c>
      <c r="M75" t="s">
        <v>14</v>
      </c>
      <c r="N75" t="s">
        <v>15</v>
      </c>
      <c r="O75" t="s">
        <v>16</v>
      </c>
      <c r="P75" t="s">
        <v>115</v>
      </c>
      <c r="Q75" t="s">
        <v>116</v>
      </c>
      <c r="S75" s="334"/>
    </row>
    <row r="76" spans="1:19" hidden="1">
      <c r="A76">
        <v>2025</v>
      </c>
      <c r="B76" s="3">
        <f>K76*$L80</f>
        <v>71.216440634353802</v>
      </c>
      <c r="C76" s="3">
        <f t="shared" ref="C76:H76" si="131">L76*$L80</f>
        <v>6.7215159573270826</v>
      </c>
      <c r="D76" s="3">
        <f t="shared" si="131"/>
        <v>11.318749709580489</v>
      </c>
      <c r="E76" s="3">
        <f t="shared" si="131"/>
        <v>1.671572729782314</v>
      </c>
      <c r="F76" s="3">
        <f t="shared" si="131"/>
        <v>112566.87723127764</v>
      </c>
      <c r="G76" s="3">
        <f t="shared" si="131"/>
        <v>1.8707520036940868</v>
      </c>
      <c r="H76" s="3">
        <f t="shared" si="131"/>
        <v>37.550770169789089</v>
      </c>
      <c r="I76" s="3">
        <f t="shared" si="130"/>
        <v>113347.97464749229</v>
      </c>
      <c r="K76" s="3">
        <f>'Regional GREET factors'!A59</f>
        <v>154.24603492843454</v>
      </c>
      <c r="L76" s="3">
        <f>'Regional GREET factors'!B59</f>
        <v>14.557975319897993</v>
      </c>
      <c r="M76" s="3">
        <f>'Regional GREET factors'!C59</f>
        <v>24.515017143498973</v>
      </c>
      <c r="N76" s="3">
        <f>'Regional GREET factors'!D59</f>
        <v>3.6204205569218835</v>
      </c>
      <c r="O76" s="3">
        <f>'Regional GREET factors'!E59</f>
        <v>243805.98528290939</v>
      </c>
      <c r="P76" s="3">
        <f>'Regional GREET factors'!F59</f>
        <v>4.0518183207971452</v>
      </c>
      <c r="Q76" s="3">
        <f>'Regional GREET factors'!G59</f>
        <v>81.330341078642718</v>
      </c>
      <c r="S76" s="334"/>
    </row>
    <row r="77" spans="1:19" hidden="1">
      <c r="A77">
        <v>2026</v>
      </c>
      <c r="B77" s="3">
        <f>B76+(B81-B76)/5</f>
        <v>66.187093346308245</v>
      </c>
      <c r="C77" s="3">
        <f t="shared" ref="C77:H77" si="132">C76+(C81-C76)/5</f>
        <v>6.2468385127591644</v>
      </c>
      <c r="D77" s="3">
        <f t="shared" si="132"/>
        <v>10.519412890035975</v>
      </c>
      <c r="E77" s="3">
        <f t="shared" si="132"/>
        <v>1.5535252719141905</v>
      </c>
      <c r="F77" s="3">
        <f t="shared" si="132"/>
        <v>104617.33757885943</v>
      </c>
      <c r="G77" s="3">
        <f t="shared" si="132"/>
        <v>1.7386383873355904</v>
      </c>
      <c r="H77" s="3">
        <f t="shared" si="132"/>
        <v>34.898912502721835</v>
      </c>
      <c r="I77" s="3">
        <f t="shared" si="130"/>
        <v>105343.27343214075</v>
      </c>
    </row>
    <row r="78" spans="1:19" hidden="1">
      <c r="A78">
        <v>2027</v>
      </c>
      <c r="B78" s="3">
        <f>B76+(B81-B76)/5*2</f>
        <v>61.157746058262681</v>
      </c>
      <c r="C78" s="3">
        <f t="shared" ref="C78:H78" si="133">C76+(C81-C76)/5*2</f>
        <v>5.7721610681912461</v>
      </c>
      <c r="D78" s="3">
        <f t="shared" si="133"/>
        <v>9.7200760704914604</v>
      </c>
      <c r="E78" s="3">
        <f t="shared" si="133"/>
        <v>1.4354778140460671</v>
      </c>
      <c r="F78" s="3">
        <f t="shared" si="133"/>
        <v>96667.797926441199</v>
      </c>
      <c r="G78" s="3">
        <f t="shared" si="133"/>
        <v>1.606524770977094</v>
      </c>
      <c r="H78" s="3">
        <f t="shared" si="133"/>
        <v>32.247054835654588</v>
      </c>
      <c r="I78" s="3">
        <f t="shared" si="130"/>
        <v>97338.572216789209</v>
      </c>
      <c r="K78" s="2" t="s">
        <v>290</v>
      </c>
    </row>
    <row r="79" spans="1:19" hidden="1">
      <c r="A79">
        <v>2028</v>
      </c>
      <c r="B79" s="3">
        <f>B76+(B81-B76)/5*3</f>
        <v>56.128398770217125</v>
      </c>
      <c r="C79" s="3">
        <f t="shared" ref="C79:H79" si="134">C76+(C81-C76)/5*3</f>
        <v>5.2974836236233278</v>
      </c>
      <c r="D79" s="3">
        <f t="shared" si="134"/>
        <v>8.9207392509469443</v>
      </c>
      <c r="E79" s="3">
        <f t="shared" si="134"/>
        <v>1.3174303561779435</v>
      </c>
      <c r="F79" s="3">
        <f t="shared" si="134"/>
        <v>88718.258274022985</v>
      </c>
      <c r="G79" s="3">
        <f t="shared" si="134"/>
        <v>1.4744111546185974</v>
      </c>
      <c r="H79" s="3">
        <f t="shared" si="134"/>
        <v>29.595197168587333</v>
      </c>
      <c r="I79" s="3">
        <f t="shared" si="130"/>
        <v>89333.871001437685</v>
      </c>
      <c r="K79">
        <v>2020</v>
      </c>
      <c r="L79">
        <v>2025</v>
      </c>
      <c r="M79">
        <v>2030</v>
      </c>
      <c r="N79">
        <v>2035</v>
      </c>
      <c r="O79">
        <v>2040</v>
      </c>
    </row>
    <row r="80" spans="1:19" hidden="1">
      <c r="A80">
        <v>2029</v>
      </c>
      <c r="B80" s="3">
        <f>B76+(B81-B76)/5*4</f>
        <v>51.099051482171561</v>
      </c>
      <c r="C80" s="3">
        <f t="shared" ref="C80:H80" si="135">C76+(C81-C76)/5*4</f>
        <v>4.8228061790554095</v>
      </c>
      <c r="D80" s="3">
        <f t="shared" si="135"/>
        <v>8.12140243140243</v>
      </c>
      <c r="E80" s="3">
        <f t="shared" si="135"/>
        <v>1.19938289830982</v>
      </c>
      <c r="F80" s="3">
        <f t="shared" si="135"/>
        <v>80768.718621604756</v>
      </c>
      <c r="G80" s="3">
        <f t="shared" si="135"/>
        <v>1.342297538260101</v>
      </c>
      <c r="H80" s="3">
        <f t="shared" si="135"/>
        <v>26.943339501520082</v>
      </c>
      <c r="I80" s="3">
        <f t="shared" si="130"/>
        <v>81329.169786086131</v>
      </c>
      <c r="K80" s="9">
        <f>1-'State grid data'!C9</f>
        <v>0.58992805755395694</v>
      </c>
      <c r="L80" s="9">
        <f>1-'State grid data'!D9</f>
        <v>0.46170678336980309</v>
      </c>
      <c r="M80" s="9">
        <f>1-'State grid data'!E9</f>
        <v>0.29867674858223059</v>
      </c>
      <c r="N80" s="9">
        <f>1-'State grid data'!F9</f>
        <v>0.19500346981263017</v>
      </c>
      <c r="O80" s="9">
        <f>1-'State grid data'!G9</f>
        <v>0.15744400527009217</v>
      </c>
      <c r="P80" s="9"/>
      <c r="Q80" s="9"/>
    </row>
    <row r="81" spans="1:19" hidden="1">
      <c r="A81">
        <v>2030</v>
      </c>
      <c r="B81" s="3">
        <f t="shared" ref="B81" si="136">K76*$M80</f>
        <v>46.069704194126004</v>
      </c>
      <c r="C81" s="3">
        <f t="shared" ref="C81" si="137">L76*$M80</f>
        <v>4.3481287344874913</v>
      </c>
      <c r="D81" s="3">
        <f t="shared" ref="D81" si="138">M76*$M80</f>
        <v>7.3220656118579157</v>
      </c>
      <c r="E81" s="3">
        <f t="shared" ref="E81" si="139">N76*$M80</f>
        <v>1.0813354404416966</v>
      </c>
      <c r="F81" s="3">
        <f t="shared" ref="F81" si="140">O76*$M80</f>
        <v>72819.178969186542</v>
      </c>
      <c r="G81" s="3">
        <f t="shared" ref="G81" si="141">P76*$M80</f>
        <v>1.2101839219016046</v>
      </c>
      <c r="H81" s="3">
        <f t="shared" ref="H81" si="142">Q76*$M80</f>
        <v>24.291481834452831</v>
      </c>
      <c r="I81" s="3">
        <f t="shared" si="130"/>
        <v>73324.468570734607</v>
      </c>
    </row>
    <row r="82" spans="1:19" hidden="1">
      <c r="A82">
        <v>2031</v>
      </c>
      <c r="B82" s="3">
        <f>B81+(B86-B81)/5</f>
        <v>42.871465758477783</v>
      </c>
      <c r="C82" s="3">
        <f t="shared" ref="C82:H82" si="143">C81+(C86-C81)/5</f>
        <v>4.0462741277553418</v>
      </c>
      <c r="D82" s="3">
        <f t="shared" si="143"/>
        <v>6.8137551705860151</v>
      </c>
      <c r="E82" s="3">
        <f t="shared" si="143"/>
        <v>1.0062672665095058</v>
      </c>
      <c r="F82" s="3">
        <f t="shared" si="143"/>
        <v>67763.945793600113</v>
      </c>
      <c r="G82" s="3">
        <f t="shared" si="143"/>
        <v>1.1261708638424492</v>
      </c>
      <c r="H82" s="3">
        <f t="shared" si="143"/>
        <v>22.60512520983827</v>
      </c>
      <c r="I82" s="3">
        <f t="shared" si="130"/>
        <v>68234.15731828459</v>
      </c>
      <c r="K82" s="337" t="s">
        <v>163</v>
      </c>
      <c r="L82" s="338"/>
    </row>
    <row r="83" spans="1:19" hidden="1">
      <c r="A83">
        <v>2032</v>
      </c>
      <c r="B83" s="3">
        <f>B81+(B86-B81)/5*2</f>
        <v>39.673227322829554</v>
      </c>
      <c r="C83" s="3">
        <f t="shared" ref="C83:H83" si="144">C81+(C86-C81)/5*2</f>
        <v>3.7444195210231923</v>
      </c>
      <c r="D83" s="3">
        <f t="shared" si="144"/>
        <v>6.3054447293141145</v>
      </c>
      <c r="E83" s="3">
        <f t="shared" si="144"/>
        <v>0.93119909257731481</v>
      </c>
      <c r="F83" s="3">
        <f t="shared" si="144"/>
        <v>62708.712618013677</v>
      </c>
      <c r="G83" s="3">
        <f t="shared" si="144"/>
        <v>1.0421578057832939</v>
      </c>
      <c r="H83" s="3">
        <f t="shared" si="144"/>
        <v>20.918768585223706</v>
      </c>
      <c r="I83" s="3">
        <f t="shared" si="130"/>
        <v>63143.846065834572</v>
      </c>
      <c r="K83" s="18" t="s">
        <v>14</v>
      </c>
      <c r="L83" s="81" t="s">
        <v>15</v>
      </c>
    </row>
    <row r="84" spans="1:19" hidden="1">
      <c r="A84">
        <v>2033</v>
      </c>
      <c r="B84" s="3">
        <f>B81+(B86-B81)/5*3</f>
        <v>36.474988887181333</v>
      </c>
      <c r="C84" s="3">
        <f t="shared" ref="C84:H84" si="145">C81+(C86-C81)/5*3</f>
        <v>3.4425649142910424</v>
      </c>
      <c r="D84" s="3">
        <f t="shared" si="145"/>
        <v>5.7971342880422148</v>
      </c>
      <c r="E84" s="3">
        <f t="shared" si="145"/>
        <v>0.85613091864512403</v>
      </c>
      <c r="F84" s="3">
        <f t="shared" si="145"/>
        <v>57653.47944242724</v>
      </c>
      <c r="G84" s="3">
        <f t="shared" si="145"/>
        <v>0.9581447477241386</v>
      </c>
      <c r="H84" s="3">
        <f t="shared" si="145"/>
        <v>19.232411960609145</v>
      </c>
      <c r="I84" s="3">
        <f t="shared" si="130"/>
        <v>58053.53481338454</v>
      </c>
      <c r="K84" s="127">
        <v>25</v>
      </c>
      <c r="L84" s="128">
        <v>298</v>
      </c>
    </row>
    <row r="85" spans="1:19" hidden="1">
      <c r="A85">
        <v>2034</v>
      </c>
      <c r="B85" s="3">
        <f>B81+(B86-B81)/5*4</f>
        <v>33.276750451533104</v>
      </c>
      <c r="C85" s="3">
        <f t="shared" ref="C85:H85" si="146">C81+(C86-C81)/5*4</f>
        <v>3.1407103075588929</v>
      </c>
      <c r="D85" s="3">
        <f t="shared" si="146"/>
        <v>5.2888238467703141</v>
      </c>
      <c r="E85" s="3">
        <f t="shared" si="146"/>
        <v>0.78106274471293313</v>
      </c>
      <c r="F85" s="3">
        <f t="shared" si="146"/>
        <v>52598.246266840812</v>
      </c>
      <c r="G85" s="3">
        <f t="shared" si="146"/>
        <v>0.87413168966498334</v>
      </c>
      <c r="H85" s="3">
        <f t="shared" si="146"/>
        <v>17.546055335994584</v>
      </c>
      <c r="I85" s="3">
        <f t="shared" si="130"/>
        <v>52963.223560934523</v>
      </c>
    </row>
    <row r="86" spans="1:19" hidden="1">
      <c r="A86">
        <v>2035</v>
      </c>
      <c r="B86" s="3">
        <f t="shared" ref="B86" si="147">K76*$N80</f>
        <v>30.078512015884883</v>
      </c>
      <c r="C86" s="3">
        <f t="shared" ref="C86" si="148">L76*$N80</f>
        <v>2.8388557008267434</v>
      </c>
      <c r="D86" s="3">
        <f t="shared" ref="D86" si="149">M76*$N80</f>
        <v>4.7805134054984135</v>
      </c>
      <c r="E86" s="3">
        <f t="shared" ref="E86" si="150">N76*$N80</f>
        <v>0.70599457078074224</v>
      </c>
      <c r="F86" s="3">
        <f t="shared" ref="F86" si="151">O76*$N80</f>
        <v>47543.013091254375</v>
      </c>
      <c r="G86" s="3">
        <f t="shared" ref="G86" si="152">P76*$N80</f>
        <v>0.79011863160582796</v>
      </c>
      <c r="H86" s="3">
        <f t="shared" ref="H86" si="153">Q76*$N80</f>
        <v>15.859698711380021</v>
      </c>
      <c r="I86" s="3">
        <f t="shared" si="130"/>
        <v>47872.912308484498</v>
      </c>
    </row>
    <row r="87" spans="1:19" hidden="1">
      <c r="A87">
        <v>2036</v>
      </c>
      <c r="B87" s="3">
        <f>B86+(B91-B86)/5</f>
        <v>28.919832319940561</v>
      </c>
      <c r="C87" s="3">
        <f t="shared" ref="C87:H87" si="154">C86+(C91-C86)/5</f>
        <v>2.7294977492589729</v>
      </c>
      <c r="D87" s="3">
        <f t="shared" si="154"/>
        <v>4.5963592220662211</v>
      </c>
      <c r="E87" s="3">
        <f t="shared" si="154"/>
        <v>0.67879835927338561</v>
      </c>
      <c r="F87" s="3">
        <f t="shared" si="154"/>
        <v>45711.568639355981</v>
      </c>
      <c r="G87" s="3">
        <f t="shared" si="154"/>
        <v>0.75968180629527071</v>
      </c>
      <c r="H87" s="3">
        <f t="shared" si="154"/>
        <v>15.248753898984861</v>
      </c>
      <c r="I87" s="3">
        <f t="shared" si="130"/>
        <v>46028.759530971103</v>
      </c>
    </row>
    <row r="88" spans="1:19" hidden="1">
      <c r="A88">
        <v>2037</v>
      </c>
      <c r="B88" s="3">
        <f>B86+(B91-B86)/5*2</f>
        <v>27.761152623996239</v>
      </c>
      <c r="C88" s="3">
        <f t="shared" ref="C88:H88" si="155">C86+(C91-C86)/5*2</f>
        <v>2.6201397976912024</v>
      </c>
      <c r="D88" s="3">
        <f t="shared" si="155"/>
        <v>4.4122050386340286</v>
      </c>
      <c r="E88" s="3">
        <f t="shared" si="155"/>
        <v>0.65160214776602898</v>
      </c>
      <c r="F88" s="3">
        <f t="shared" si="155"/>
        <v>43880.124187457586</v>
      </c>
      <c r="G88" s="3">
        <f t="shared" si="155"/>
        <v>0.72924498098471346</v>
      </c>
      <c r="H88" s="3">
        <f t="shared" si="155"/>
        <v>14.6378090865897</v>
      </c>
      <c r="I88" s="3">
        <f t="shared" si="130"/>
        <v>44184.606753457716</v>
      </c>
    </row>
    <row r="89" spans="1:19" hidden="1">
      <c r="A89">
        <v>2038</v>
      </c>
      <c r="B89" s="3">
        <f>B86+(B91-B86)/5*3</f>
        <v>26.602472928051917</v>
      </c>
      <c r="C89" s="3">
        <f t="shared" ref="C89:H89" si="156">C86+(C91-C86)/5*3</f>
        <v>2.5107818461234324</v>
      </c>
      <c r="D89" s="3">
        <f t="shared" si="156"/>
        <v>4.2280508552018361</v>
      </c>
      <c r="E89" s="3">
        <f t="shared" si="156"/>
        <v>0.62440593625867225</v>
      </c>
      <c r="F89" s="3">
        <f t="shared" si="156"/>
        <v>42048.679735559192</v>
      </c>
      <c r="G89" s="3">
        <f t="shared" si="156"/>
        <v>0.69880815567415622</v>
      </c>
      <c r="H89" s="3">
        <f t="shared" si="156"/>
        <v>14.026864274194539</v>
      </c>
      <c r="I89" s="3">
        <f t="shared" si="130"/>
        <v>42340.453975944321</v>
      </c>
    </row>
    <row r="90" spans="1:19" hidden="1">
      <c r="A90">
        <v>2039</v>
      </c>
      <c r="B90" s="3">
        <f>B86+(B91-B86)/5*4</f>
        <v>25.443793232107591</v>
      </c>
      <c r="C90" s="3">
        <f t="shared" ref="C90:H90" si="157">C86+(C91-C86)/5*4</f>
        <v>2.4014238945556619</v>
      </c>
      <c r="D90" s="3">
        <f t="shared" si="157"/>
        <v>4.0438966717696445</v>
      </c>
      <c r="E90" s="3">
        <f t="shared" si="157"/>
        <v>0.59720972475131562</v>
      </c>
      <c r="F90" s="3">
        <f t="shared" si="157"/>
        <v>40217.235283660797</v>
      </c>
      <c r="G90" s="3">
        <f t="shared" si="157"/>
        <v>0.66837133036359897</v>
      </c>
      <c r="H90" s="3">
        <f t="shared" si="157"/>
        <v>13.415919461799378</v>
      </c>
      <c r="I90" s="3">
        <f t="shared" si="130"/>
        <v>40496.301198430927</v>
      </c>
    </row>
    <row r="91" spans="1:19" hidden="1">
      <c r="A91">
        <v>2040</v>
      </c>
      <c r="B91" s="3">
        <f t="shared" ref="B91" si="158">K76*$O80</f>
        <v>24.285113536163269</v>
      </c>
      <c r="C91" s="3">
        <f t="shared" ref="C91" si="159">L76*$O80</f>
        <v>2.2920659429878913</v>
      </c>
      <c r="D91" s="3">
        <f t="shared" ref="D91" si="160">M76*$O80</f>
        <v>3.859742488337452</v>
      </c>
      <c r="E91" s="3">
        <f t="shared" ref="E91" si="161">N76*$O80</f>
        <v>0.57001351324395899</v>
      </c>
      <c r="F91" s="3">
        <f t="shared" ref="F91" si="162">O76*$O80</f>
        <v>38385.790831762402</v>
      </c>
      <c r="G91" s="3">
        <f t="shared" ref="G91" si="163">P76*$O80</f>
        <v>0.63793450505304172</v>
      </c>
      <c r="H91" s="3">
        <f t="shared" ref="H91" si="164">Q76*$O80</f>
        <v>12.804974649404217</v>
      </c>
      <c r="I91" s="3">
        <f t="shared" si="130"/>
        <v>38652.14842091754</v>
      </c>
    </row>
    <row r="92" spans="1:19" hidden="1"/>
    <row r="93" spans="1:19">
      <c r="B93" s="2" t="s">
        <v>442</v>
      </c>
    </row>
    <row r="94" spans="1:19">
      <c r="B94">
        <v>2020</v>
      </c>
    </row>
    <row r="95" spans="1:19">
      <c r="B95" t="s">
        <v>8</v>
      </c>
      <c r="C95" t="s">
        <v>10</v>
      </c>
      <c r="D95" t="s">
        <v>14</v>
      </c>
      <c r="E95" t="s">
        <v>15</v>
      </c>
      <c r="F95" t="s">
        <v>16</v>
      </c>
      <c r="G95" t="s">
        <v>115</v>
      </c>
      <c r="H95" t="s">
        <v>116</v>
      </c>
      <c r="I95" t="s">
        <v>47</v>
      </c>
      <c r="K95" s="194"/>
      <c r="L95" s="195"/>
      <c r="M95" s="195"/>
      <c r="N95" s="195"/>
      <c r="O95" s="195"/>
      <c r="P95" s="195"/>
      <c r="Q95" s="195"/>
      <c r="S95" s="334"/>
    </row>
    <row r="96" spans="1:19">
      <c r="A96">
        <v>2020</v>
      </c>
      <c r="B96" s="3">
        <f>B54</f>
        <v>38.921040075758498</v>
      </c>
      <c r="C96" s="3">
        <f t="shared" ref="C96:I96" si="165">C54</f>
        <v>6.163202152104593</v>
      </c>
      <c r="D96" s="3">
        <f t="shared" si="165"/>
        <v>5.3212359478576072</v>
      </c>
      <c r="E96" s="3">
        <f t="shared" si="165"/>
        <v>0.60814125118372653</v>
      </c>
      <c r="F96" s="3">
        <f t="shared" si="165"/>
        <v>74510.834412845332</v>
      </c>
      <c r="G96" s="3">
        <f t="shared" si="165"/>
        <v>1.3424914601264111</v>
      </c>
      <c r="H96" s="3">
        <f t="shared" si="165"/>
        <v>9.2741540805518294</v>
      </c>
      <c r="I96" s="3">
        <f t="shared" si="165"/>
        <v>74825.091404394523</v>
      </c>
      <c r="K96" s="195"/>
      <c r="L96" s="195"/>
      <c r="M96" s="195"/>
      <c r="N96" s="195"/>
      <c r="O96" s="195"/>
      <c r="P96" s="195"/>
      <c r="Q96" s="195"/>
      <c r="S96" s="334"/>
    </row>
    <row r="97" spans="1:19">
      <c r="A97">
        <v>2025</v>
      </c>
      <c r="B97" s="3">
        <f t="shared" ref="B97:I97" si="166">B55</f>
        <v>38.921040075758498</v>
      </c>
      <c r="C97" s="3">
        <f t="shared" si="166"/>
        <v>6.163202152104593</v>
      </c>
      <c r="D97" s="3">
        <f t="shared" si="166"/>
        <v>5.3212359478576072</v>
      </c>
      <c r="E97" s="3">
        <f t="shared" si="166"/>
        <v>0.60814125118372653</v>
      </c>
      <c r="F97" s="3">
        <f t="shared" si="166"/>
        <v>74510.834412845332</v>
      </c>
      <c r="G97" s="3">
        <f t="shared" si="166"/>
        <v>1.3424914601264111</v>
      </c>
      <c r="H97" s="3">
        <f t="shared" si="166"/>
        <v>9.2741540805518294</v>
      </c>
      <c r="I97" s="3">
        <f t="shared" si="166"/>
        <v>74825.091404394523</v>
      </c>
      <c r="K97" s="196"/>
      <c r="L97" s="196"/>
      <c r="M97" s="196"/>
      <c r="N97" s="196"/>
      <c r="O97" s="196"/>
      <c r="P97" s="196"/>
      <c r="Q97" s="196"/>
      <c r="S97" s="334"/>
    </row>
    <row r="98" spans="1:19">
      <c r="A98">
        <v>2026</v>
      </c>
      <c r="B98" s="3">
        <f t="shared" ref="B98:I98" si="167">B56</f>
        <v>35.077926081279983</v>
      </c>
      <c r="C98" s="3">
        <f t="shared" si="167"/>
        <v>5.5546395752708433</v>
      </c>
      <c r="D98" s="3">
        <f t="shared" si="167"/>
        <v>4.7958102064249983</v>
      </c>
      <c r="E98" s="3">
        <f t="shared" si="167"/>
        <v>0.54809259501999974</v>
      </c>
      <c r="F98" s="3">
        <f t="shared" si="167"/>
        <v>67153.537950189158</v>
      </c>
      <c r="G98" s="3">
        <f t="shared" si="167"/>
        <v>1.209932111562313</v>
      </c>
      <c r="H98" s="3">
        <f t="shared" si="167"/>
        <v>8.3584120740549963</v>
      </c>
      <c r="I98" s="3">
        <f t="shared" si="167"/>
        <v>67436.764798665739</v>
      </c>
      <c r="K98" s="195"/>
      <c r="L98" s="195"/>
      <c r="M98" s="195"/>
      <c r="N98" s="195"/>
      <c r="O98" s="195"/>
      <c r="P98" s="195"/>
      <c r="Q98" s="195"/>
    </row>
    <row r="99" spans="1:19">
      <c r="A99">
        <v>2027</v>
      </c>
      <c r="B99" s="3">
        <f t="shared" ref="B99:I99" si="168">B57</f>
        <v>31.234812086801476</v>
      </c>
      <c r="C99" s="3">
        <f t="shared" si="168"/>
        <v>4.9460769984370927</v>
      </c>
      <c r="D99" s="3">
        <f t="shared" si="168"/>
        <v>4.2703844649923894</v>
      </c>
      <c r="E99" s="3">
        <f t="shared" si="168"/>
        <v>0.48804393885627306</v>
      </c>
      <c r="F99" s="3">
        <f t="shared" si="168"/>
        <v>59796.241487533</v>
      </c>
      <c r="G99" s="3">
        <f t="shared" si="168"/>
        <v>1.0773727629982148</v>
      </c>
      <c r="H99" s="3">
        <f t="shared" si="168"/>
        <v>7.4426700675581641</v>
      </c>
      <c r="I99" s="3">
        <f t="shared" si="168"/>
        <v>60048.438192936977</v>
      </c>
      <c r="K99" s="194"/>
      <c r="L99" s="195"/>
      <c r="M99" s="195"/>
      <c r="N99" s="195"/>
      <c r="O99" s="195"/>
      <c r="P99" s="195"/>
      <c r="Q99" s="195"/>
    </row>
    <row r="100" spans="1:19">
      <c r="A100">
        <v>2028</v>
      </c>
      <c r="B100" s="3">
        <f t="shared" ref="B100:I100" si="169">B58</f>
        <v>27.391698092322965</v>
      </c>
      <c r="C100" s="3">
        <f t="shared" si="169"/>
        <v>4.337514421603343</v>
      </c>
      <c r="D100" s="3">
        <f t="shared" si="169"/>
        <v>3.7449587235597805</v>
      </c>
      <c r="E100" s="3">
        <f t="shared" si="169"/>
        <v>0.42799528269254633</v>
      </c>
      <c r="F100" s="3">
        <f t="shared" si="169"/>
        <v>52438.945024876826</v>
      </c>
      <c r="G100" s="3">
        <f t="shared" si="169"/>
        <v>0.94481341443411693</v>
      </c>
      <c r="H100" s="3">
        <f t="shared" si="169"/>
        <v>6.5269280610613309</v>
      </c>
      <c r="I100" s="3">
        <f t="shared" si="169"/>
        <v>52660.111587208194</v>
      </c>
      <c r="K100" s="195"/>
      <c r="L100" s="195"/>
      <c r="M100" s="195"/>
      <c r="N100" s="195"/>
      <c r="O100" s="195"/>
      <c r="P100" s="195"/>
      <c r="Q100" s="195"/>
    </row>
    <row r="101" spans="1:19">
      <c r="A101">
        <v>2029</v>
      </c>
      <c r="B101" s="3">
        <f t="shared" ref="B101:I101" si="170">B59</f>
        <v>23.548584097844454</v>
      </c>
      <c r="C101" s="3">
        <f t="shared" si="170"/>
        <v>3.7289518447695933</v>
      </c>
      <c r="D101" s="3">
        <f t="shared" si="170"/>
        <v>3.2195329821271716</v>
      </c>
      <c r="E101" s="3">
        <f t="shared" si="170"/>
        <v>0.3679466265288196</v>
      </c>
      <c r="F101" s="3">
        <f t="shared" si="170"/>
        <v>45081.64856222066</v>
      </c>
      <c r="G101" s="3">
        <f t="shared" si="170"/>
        <v>0.8122540658700188</v>
      </c>
      <c r="H101" s="3">
        <f t="shared" si="170"/>
        <v>5.6111860545644987</v>
      </c>
      <c r="I101" s="3">
        <f t="shared" si="170"/>
        <v>45271.784981479432</v>
      </c>
      <c r="K101" s="197"/>
      <c r="L101" s="197"/>
      <c r="M101" s="197"/>
      <c r="N101" s="197"/>
      <c r="O101" s="197"/>
      <c r="P101" s="197"/>
      <c r="Q101" s="197"/>
    </row>
    <row r="102" spans="1:19">
      <c r="A102">
        <v>2030</v>
      </c>
      <c r="B102" s="3">
        <f t="shared" ref="B102:I102" si="171">B60</f>
        <v>19.705470103365943</v>
      </c>
      <c r="C102" s="3">
        <f t="shared" si="171"/>
        <v>3.1203892679358436</v>
      </c>
      <c r="D102" s="3">
        <f t="shared" si="171"/>
        <v>2.6941072406945628</v>
      </c>
      <c r="E102" s="3">
        <f t="shared" si="171"/>
        <v>0.30789797036509287</v>
      </c>
      <c r="F102" s="3">
        <f t="shared" si="171"/>
        <v>37724.352099564494</v>
      </c>
      <c r="G102" s="3">
        <f t="shared" si="171"/>
        <v>0.67969471730592079</v>
      </c>
      <c r="H102" s="3">
        <f t="shared" si="171"/>
        <v>4.6954440480676656</v>
      </c>
      <c r="I102" s="3">
        <f t="shared" si="171"/>
        <v>37883.458375750655</v>
      </c>
      <c r="K102" s="195"/>
      <c r="L102" s="195"/>
      <c r="M102" s="195"/>
      <c r="N102" s="195"/>
      <c r="O102" s="195"/>
      <c r="P102" s="195"/>
      <c r="Q102" s="195"/>
    </row>
    <row r="103" spans="1:19">
      <c r="A103">
        <v>2031</v>
      </c>
      <c r="B103" s="3">
        <f t="shared" ref="B103:I103" si="172">B61</f>
        <v>18.337482333973288</v>
      </c>
      <c r="C103" s="3">
        <f t="shared" si="172"/>
        <v>2.9037664554939724</v>
      </c>
      <c r="D103" s="3">
        <f t="shared" si="172"/>
        <v>2.5070776628479106</v>
      </c>
      <c r="E103" s="3">
        <f t="shared" si="172"/>
        <v>0.28652316146833262</v>
      </c>
      <c r="F103" s="3">
        <f t="shared" si="172"/>
        <v>35105.462420213407</v>
      </c>
      <c r="G103" s="3">
        <f t="shared" si="172"/>
        <v>0.63250913607807302</v>
      </c>
      <c r="H103" s="3">
        <f t="shared" si="172"/>
        <v>4.3694782123920719</v>
      </c>
      <c r="I103" s="3">
        <f t="shared" si="172"/>
        <v>35253.523263902171</v>
      </c>
      <c r="K103" s="335" t="s">
        <v>163</v>
      </c>
      <c r="L103" s="336"/>
      <c r="M103" s="195"/>
      <c r="N103" s="195"/>
      <c r="O103" s="195"/>
      <c r="P103" s="195"/>
      <c r="Q103" s="195"/>
    </row>
    <row r="104" spans="1:19">
      <c r="A104">
        <v>2032</v>
      </c>
      <c r="B104" s="3">
        <f t="shared" ref="B104:I104" si="173">B62</f>
        <v>16.969494564580632</v>
      </c>
      <c r="C104" s="3">
        <f t="shared" si="173"/>
        <v>2.6871436430521016</v>
      </c>
      <c r="D104" s="3">
        <f t="shared" si="173"/>
        <v>2.3200480850012584</v>
      </c>
      <c r="E104" s="3">
        <f t="shared" si="173"/>
        <v>0.26514835257157238</v>
      </c>
      <c r="F104" s="3">
        <f t="shared" si="173"/>
        <v>32486.572740862328</v>
      </c>
      <c r="G104" s="3">
        <f t="shared" si="173"/>
        <v>0.58532355485022536</v>
      </c>
      <c r="H104" s="3">
        <f t="shared" si="173"/>
        <v>4.0435123767164782</v>
      </c>
      <c r="I104" s="3">
        <f t="shared" si="173"/>
        <v>32623.58815205369</v>
      </c>
      <c r="K104" s="198" t="s">
        <v>14</v>
      </c>
      <c r="L104" s="199" t="s">
        <v>15</v>
      </c>
      <c r="M104" s="195"/>
      <c r="N104" s="195"/>
      <c r="O104" s="195"/>
      <c r="P104" s="195"/>
      <c r="Q104" s="195"/>
    </row>
    <row r="105" spans="1:19">
      <c r="A105">
        <v>2033</v>
      </c>
      <c r="B105" s="3">
        <f t="shared" ref="B105:I105" si="174">B63</f>
        <v>15.601506795187975</v>
      </c>
      <c r="C105" s="3">
        <f t="shared" si="174"/>
        <v>2.4705208306102304</v>
      </c>
      <c r="D105" s="3">
        <f t="shared" si="174"/>
        <v>2.1330185071546062</v>
      </c>
      <c r="E105" s="3">
        <f t="shared" si="174"/>
        <v>0.2437735436748121</v>
      </c>
      <c r="F105" s="3">
        <f t="shared" si="174"/>
        <v>29867.683061511241</v>
      </c>
      <c r="G105" s="3">
        <f t="shared" si="174"/>
        <v>0.53813797362237759</v>
      </c>
      <c r="H105" s="3">
        <f t="shared" si="174"/>
        <v>3.7175465410408841</v>
      </c>
      <c r="I105" s="3">
        <f t="shared" si="174"/>
        <v>29993.653040205201</v>
      </c>
      <c r="K105" s="200">
        <v>25</v>
      </c>
      <c r="L105" s="201">
        <v>298</v>
      </c>
      <c r="M105" s="195"/>
      <c r="N105" s="195"/>
      <c r="O105" s="195"/>
      <c r="P105" s="195"/>
      <c r="Q105" s="195"/>
    </row>
    <row r="106" spans="1:19">
      <c r="A106">
        <v>2034</v>
      </c>
      <c r="B106" s="3">
        <f t="shared" ref="B106:I106" si="175">B64</f>
        <v>14.233519025795317</v>
      </c>
      <c r="C106" s="3">
        <f t="shared" si="175"/>
        <v>2.2538980181683597</v>
      </c>
      <c r="D106" s="3">
        <f t="shared" si="175"/>
        <v>1.9459889293079538</v>
      </c>
      <c r="E106" s="3">
        <f t="shared" si="175"/>
        <v>0.22239873477805183</v>
      </c>
      <c r="F106" s="3">
        <f t="shared" si="175"/>
        <v>27248.793382160158</v>
      </c>
      <c r="G106" s="3">
        <f t="shared" si="175"/>
        <v>0.49095239239452987</v>
      </c>
      <c r="H106" s="3">
        <f t="shared" si="175"/>
        <v>3.39158070536529</v>
      </c>
      <c r="I106" s="3">
        <f t="shared" si="175"/>
        <v>27363.717928356717</v>
      </c>
    </row>
    <row r="107" spans="1:19">
      <c r="A107">
        <v>2035</v>
      </c>
      <c r="B107" s="3">
        <f t="shared" ref="B107:I107" si="176">B65</f>
        <v>12.865531256402662</v>
      </c>
      <c r="C107" s="3">
        <f t="shared" si="176"/>
        <v>2.0372752057264885</v>
      </c>
      <c r="D107" s="3">
        <f t="shared" si="176"/>
        <v>1.7589593514613016</v>
      </c>
      <c r="E107" s="3">
        <f t="shared" si="176"/>
        <v>0.20102392588129159</v>
      </c>
      <c r="F107" s="3">
        <f t="shared" si="176"/>
        <v>24629.903702809075</v>
      </c>
      <c r="G107" s="3">
        <f t="shared" si="176"/>
        <v>0.44376681116668215</v>
      </c>
      <c r="H107" s="3">
        <f t="shared" si="176"/>
        <v>3.0656148696896963</v>
      </c>
      <c r="I107" s="3">
        <f t="shared" si="176"/>
        <v>24733.782816508232</v>
      </c>
    </row>
    <row r="108" spans="1:19">
      <c r="A108">
        <v>2036</v>
      </c>
      <c r="B108" s="3">
        <f t="shared" ref="B108:I108" si="177">B66</f>
        <v>12.369927290473157</v>
      </c>
      <c r="C108" s="3">
        <f t="shared" si="177"/>
        <v>1.9587956115670619</v>
      </c>
      <c r="D108" s="3">
        <f t="shared" si="177"/>
        <v>1.6912009967443771</v>
      </c>
      <c r="E108" s="3">
        <f t="shared" si="177"/>
        <v>0.19328011391364308</v>
      </c>
      <c r="F108" s="3">
        <f t="shared" si="177"/>
        <v>23681.114436955853</v>
      </c>
      <c r="G108" s="3">
        <f t="shared" si="177"/>
        <v>0.42667209605706352</v>
      </c>
      <c r="H108" s="3">
        <f t="shared" si="177"/>
        <v>2.9475217371830564</v>
      </c>
      <c r="I108" s="3">
        <f t="shared" si="177"/>
        <v>23780.99193582073</v>
      </c>
    </row>
    <row r="109" spans="1:19">
      <c r="A109">
        <v>2037</v>
      </c>
      <c r="B109" s="3">
        <f t="shared" ref="B109:I109" si="178">B67</f>
        <v>11.874323324543651</v>
      </c>
      <c r="C109" s="3">
        <f t="shared" si="178"/>
        <v>1.8803160174076357</v>
      </c>
      <c r="D109" s="3">
        <f t="shared" si="178"/>
        <v>1.6234426420274526</v>
      </c>
      <c r="E109" s="3">
        <f t="shared" si="178"/>
        <v>0.18553630194599455</v>
      </c>
      <c r="F109" s="3">
        <f t="shared" si="178"/>
        <v>22732.325171102628</v>
      </c>
      <c r="G109" s="3">
        <f t="shared" si="178"/>
        <v>0.40957738094744489</v>
      </c>
      <c r="H109" s="3">
        <f t="shared" si="178"/>
        <v>2.8294286046764165</v>
      </c>
      <c r="I109" s="3">
        <f t="shared" si="178"/>
        <v>22828.201055133221</v>
      </c>
    </row>
    <row r="110" spans="1:19">
      <c r="A110">
        <v>2038</v>
      </c>
      <c r="B110" s="3">
        <f t="shared" ref="B110:I110" si="179">B68</f>
        <v>11.378719358614147</v>
      </c>
      <c r="C110" s="3">
        <f t="shared" si="179"/>
        <v>1.8018364232482091</v>
      </c>
      <c r="D110" s="3">
        <f t="shared" si="179"/>
        <v>1.5556842873105281</v>
      </c>
      <c r="E110" s="3">
        <f t="shared" si="179"/>
        <v>0.17779248997834604</v>
      </c>
      <c r="F110" s="3">
        <f t="shared" si="179"/>
        <v>21783.535905249406</v>
      </c>
      <c r="G110" s="3">
        <f t="shared" si="179"/>
        <v>0.39248266583782621</v>
      </c>
      <c r="H110" s="3">
        <f t="shared" si="179"/>
        <v>2.7113354721697771</v>
      </c>
      <c r="I110" s="3">
        <f t="shared" si="179"/>
        <v>21875.410174445718</v>
      </c>
    </row>
    <row r="111" spans="1:19">
      <c r="A111">
        <v>2039</v>
      </c>
      <c r="B111" s="3">
        <f t="shared" ref="B111:I111" si="180">B69</f>
        <v>10.88311539268464</v>
      </c>
      <c r="C111" s="3">
        <f t="shared" si="180"/>
        <v>1.7233568290887828</v>
      </c>
      <c r="D111" s="3">
        <f t="shared" si="180"/>
        <v>1.4879259325936034</v>
      </c>
      <c r="E111" s="3">
        <f t="shared" si="180"/>
        <v>0.17004867801069751</v>
      </c>
      <c r="F111" s="3">
        <f t="shared" si="180"/>
        <v>20834.74663939618</v>
      </c>
      <c r="G111" s="3">
        <f t="shared" si="180"/>
        <v>0.37538795072820758</v>
      </c>
      <c r="H111" s="3">
        <f t="shared" si="180"/>
        <v>2.5932423396631372</v>
      </c>
      <c r="I111" s="3">
        <f t="shared" si="180"/>
        <v>20922.619293758209</v>
      </c>
    </row>
    <row r="112" spans="1:19">
      <c r="A112">
        <v>2040</v>
      </c>
      <c r="B112" s="3">
        <f t="shared" ref="B112:I112" si="181">B70</f>
        <v>10.387511426755136</v>
      </c>
      <c r="C112" s="3">
        <f t="shared" si="181"/>
        <v>1.6448772349293563</v>
      </c>
      <c r="D112" s="3">
        <f t="shared" si="181"/>
        <v>1.4201675778766789</v>
      </c>
      <c r="E112" s="3">
        <f t="shared" si="181"/>
        <v>0.162304866043049</v>
      </c>
      <c r="F112" s="3">
        <f t="shared" si="181"/>
        <v>19885.957373542959</v>
      </c>
      <c r="G112" s="3">
        <f t="shared" si="181"/>
        <v>0.35829323561858895</v>
      </c>
      <c r="H112" s="3">
        <f t="shared" si="181"/>
        <v>2.4751492071564973</v>
      </c>
      <c r="I112" s="3">
        <f t="shared" si="181"/>
        <v>19969.828413070703</v>
      </c>
    </row>
    <row r="113" spans="1:11">
      <c r="A113">
        <v>2041</v>
      </c>
      <c r="B113" s="3">
        <f>B112+(B117-B112)/5</f>
        <v>9.3586328669147711</v>
      </c>
      <c r="C113" s="3">
        <f t="shared" ref="C113:H113" si="182">C112+(C117-C112)/5</f>
        <v>1.4819528489951803</v>
      </c>
      <c r="D113" s="3">
        <f t="shared" si="182"/>
        <v>1.2795005872735041</v>
      </c>
      <c r="E113" s="3">
        <f t="shared" si="182"/>
        <v>0.1462286385455433</v>
      </c>
      <c r="F113" s="3">
        <f t="shared" si="182"/>
        <v>17916.261809036692</v>
      </c>
      <c r="G113" s="3">
        <f t="shared" si="182"/>
        <v>0.32280444401887137</v>
      </c>
      <c r="H113" s="3">
        <f t="shared" si="182"/>
        <v>2.2299867378195355</v>
      </c>
      <c r="I113" s="3">
        <f t="shared" ref="I113:I116" si="183">F113+D113*K$105+E113*L$105</f>
        <v>17991.825458005103</v>
      </c>
    </row>
    <row r="114" spans="1:11">
      <c r="A114">
        <v>2042</v>
      </c>
      <c r="B114" s="3">
        <f>B112+(B117-B112)/5*2</f>
        <v>8.3297543070744062</v>
      </c>
      <c r="C114" s="3">
        <f t="shared" ref="C114:H114" si="184">C112+(C117-C112)/5*2</f>
        <v>1.3190284630610043</v>
      </c>
      <c r="D114" s="3">
        <f t="shared" si="184"/>
        <v>1.1388335966703291</v>
      </c>
      <c r="E114" s="3">
        <f t="shared" si="184"/>
        <v>0.1301524110480376</v>
      </c>
      <c r="F114" s="3">
        <f t="shared" si="184"/>
        <v>15946.566244530424</v>
      </c>
      <c r="G114" s="3">
        <f t="shared" si="184"/>
        <v>0.28731565241915374</v>
      </c>
      <c r="H114" s="3">
        <f t="shared" si="184"/>
        <v>1.9848242684825737</v>
      </c>
      <c r="I114" s="3">
        <f t="shared" si="183"/>
        <v>16013.822502939496</v>
      </c>
    </row>
    <row r="115" spans="1:11">
      <c r="A115">
        <v>2043</v>
      </c>
      <c r="B115" s="3">
        <f>B112+(B117-B112)/5*3</f>
        <v>7.3008757472340431</v>
      </c>
      <c r="C115" s="3">
        <f t="shared" ref="C115:H115" si="185">C112+(C117-C112)/5*3</f>
        <v>1.1561040771268285</v>
      </c>
      <c r="D115" s="3">
        <f t="shared" si="185"/>
        <v>0.99816660606715435</v>
      </c>
      <c r="E115" s="3">
        <f t="shared" si="185"/>
        <v>0.11407618355053192</v>
      </c>
      <c r="F115" s="3">
        <f t="shared" si="185"/>
        <v>13976.870680024158</v>
      </c>
      <c r="G115" s="3">
        <f t="shared" si="185"/>
        <v>0.25182686081943617</v>
      </c>
      <c r="H115" s="3">
        <f t="shared" si="185"/>
        <v>1.7396617991456116</v>
      </c>
      <c r="I115" s="3">
        <f t="shared" si="183"/>
        <v>14035.819547873896</v>
      </c>
    </row>
    <row r="116" spans="1:11">
      <c r="A116">
        <v>2044</v>
      </c>
      <c r="B116" s="3">
        <f>B112+(B117-B112)/5*4</f>
        <v>6.2719971873936782</v>
      </c>
      <c r="C116" s="3">
        <f t="shared" ref="C116:H116" si="186">C112+(C117-C112)/5*4</f>
        <v>0.99317969119265237</v>
      </c>
      <c r="D116" s="3">
        <f t="shared" si="186"/>
        <v>0.85749961546397957</v>
      </c>
      <c r="E116" s="3">
        <f t="shared" si="186"/>
        <v>9.7999956053026221E-2</v>
      </c>
      <c r="F116" s="3">
        <f t="shared" si="186"/>
        <v>12007.17511551789</v>
      </c>
      <c r="G116" s="3">
        <f t="shared" si="186"/>
        <v>0.21633806921971857</v>
      </c>
      <c r="H116" s="3">
        <f t="shared" si="186"/>
        <v>1.4944993298086497</v>
      </c>
      <c r="I116" s="3">
        <f t="shared" si="183"/>
        <v>12057.816592808291</v>
      </c>
    </row>
    <row r="117" spans="1:11">
      <c r="A117">
        <v>2045</v>
      </c>
      <c r="B117" s="3">
        <f>K55*$P59</f>
        <v>5.2431186275533141</v>
      </c>
      <c r="C117" s="3">
        <f t="shared" ref="C117:H117" si="187">L55*$P59</f>
        <v>0.83025530525847635</v>
      </c>
      <c r="D117" s="3">
        <f t="shared" si="187"/>
        <v>0.71683262486080468</v>
      </c>
      <c r="E117" s="3">
        <f t="shared" si="187"/>
        <v>8.1923728555520534E-2</v>
      </c>
      <c r="F117" s="3">
        <f t="shared" si="187"/>
        <v>10037.479551011624</v>
      </c>
      <c r="G117" s="3">
        <f t="shared" si="187"/>
        <v>0.18084927762000097</v>
      </c>
      <c r="H117" s="3">
        <f t="shared" si="187"/>
        <v>1.2493368604716879</v>
      </c>
      <c r="I117" s="3">
        <f>F117+D117*K105+E117*L105</f>
        <v>10079.813637742689</v>
      </c>
    </row>
    <row r="118" spans="1:11">
      <c r="A118">
        <v>2046</v>
      </c>
      <c r="B118" s="3">
        <f>B117+(B122-B117)/5</f>
        <v>4.194494902042651</v>
      </c>
      <c r="C118" s="3">
        <f t="shared" ref="C118:H118" si="188">C117+(C122-C117)/5</f>
        <v>0.66420424420678104</v>
      </c>
      <c r="D118" s="3">
        <f t="shared" si="188"/>
        <v>0.57346609988864372</v>
      </c>
      <c r="E118" s="3">
        <f t="shared" si="188"/>
        <v>6.5538982844416421E-2</v>
      </c>
      <c r="F118" s="3">
        <f t="shared" si="188"/>
        <v>8029.9836408092988</v>
      </c>
      <c r="G118" s="3">
        <f t="shared" si="188"/>
        <v>0.14467942209600076</v>
      </c>
      <c r="H118" s="3">
        <f t="shared" si="188"/>
        <v>0.99946948837735028</v>
      </c>
      <c r="I118" s="3">
        <f t="shared" ref="I118:I121" si="189">F118+D118*K$105+E118*L$105</f>
        <v>8063.8509101941509</v>
      </c>
    </row>
    <row r="119" spans="1:11">
      <c r="A119">
        <v>2047</v>
      </c>
      <c r="B119" s="3">
        <f>B117+(B122-B117)/5*2</f>
        <v>3.1458711765319887</v>
      </c>
      <c r="C119" s="3">
        <f t="shared" ref="C119:H119" si="190">C117+(C122-C117)/5*2</f>
        <v>0.49815318315508583</v>
      </c>
      <c r="D119" s="3">
        <f t="shared" si="190"/>
        <v>0.43009957491648282</v>
      </c>
      <c r="E119" s="3">
        <f t="shared" si="190"/>
        <v>4.9154237133312323E-2</v>
      </c>
      <c r="F119" s="3">
        <f t="shared" si="190"/>
        <v>6022.4877306069739</v>
      </c>
      <c r="G119" s="3">
        <f t="shared" si="190"/>
        <v>0.10850956657200059</v>
      </c>
      <c r="H119" s="3">
        <f t="shared" si="190"/>
        <v>0.74960211628301276</v>
      </c>
      <c r="I119" s="3">
        <f t="shared" si="189"/>
        <v>6047.8881826456136</v>
      </c>
    </row>
    <row r="120" spans="1:11">
      <c r="A120">
        <v>2048</v>
      </c>
      <c r="B120" s="3">
        <f>B117+(B122-B117)/5*3</f>
        <v>2.0972474510213259</v>
      </c>
      <c r="C120" s="3">
        <f t="shared" ref="C120:H120" si="191">C117+(C122-C117)/5*3</f>
        <v>0.33210212210339057</v>
      </c>
      <c r="D120" s="3">
        <f t="shared" si="191"/>
        <v>0.28673304994432192</v>
      </c>
      <c r="E120" s="3">
        <f t="shared" si="191"/>
        <v>3.2769491422208218E-2</v>
      </c>
      <c r="F120" s="3">
        <f t="shared" si="191"/>
        <v>4014.9918204046498</v>
      </c>
      <c r="G120" s="3">
        <f t="shared" si="191"/>
        <v>7.2339711048000396E-2</v>
      </c>
      <c r="H120" s="3">
        <f t="shared" si="191"/>
        <v>0.49973474418867525</v>
      </c>
      <c r="I120" s="3">
        <f t="shared" si="189"/>
        <v>4031.9254550970759</v>
      </c>
    </row>
    <row r="121" spans="1:11">
      <c r="A121">
        <v>2049</v>
      </c>
      <c r="B121" s="3">
        <f>B117+(B122-B117)/5*4</f>
        <v>1.0486237255106632</v>
      </c>
      <c r="C121" s="3">
        <f t="shared" ref="C121:H121" si="192">C117+(C122-C117)/5*4</f>
        <v>0.16605106105169531</v>
      </c>
      <c r="D121" s="3">
        <f t="shared" si="192"/>
        <v>0.14336652497216096</v>
      </c>
      <c r="E121" s="3">
        <f t="shared" si="192"/>
        <v>1.6384745711104112E-2</v>
      </c>
      <c r="F121" s="3">
        <f t="shared" si="192"/>
        <v>2007.4959102023249</v>
      </c>
      <c r="G121" s="3">
        <f t="shared" si="192"/>
        <v>3.6169855524000205E-2</v>
      </c>
      <c r="H121" s="3">
        <f t="shared" si="192"/>
        <v>0.24986737209433763</v>
      </c>
      <c r="I121" s="3">
        <f t="shared" si="189"/>
        <v>2015.9627275485379</v>
      </c>
    </row>
    <row r="122" spans="1:11">
      <c r="A122">
        <v>2050</v>
      </c>
      <c r="B122">
        <f>K55*$Q59</f>
        <v>0</v>
      </c>
      <c r="C122">
        <f t="shared" ref="C122:H122" si="193">L55*$Q59</f>
        <v>0</v>
      </c>
      <c r="D122">
        <f t="shared" si="193"/>
        <v>0</v>
      </c>
      <c r="E122">
        <f t="shared" si="193"/>
        <v>0</v>
      </c>
      <c r="F122">
        <f t="shared" si="193"/>
        <v>0</v>
      </c>
      <c r="G122">
        <f t="shared" si="193"/>
        <v>0</v>
      </c>
      <c r="H122">
        <f t="shared" si="193"/>
        <v>0</v>
      </c>
      <c r="I122">
        <f>F122</f>
        <v>0</v>
      </c>
    </row>
    <row r="125" spans="1:11">
      <c r="B125" t="s">
        <v>474</v>
      </c>
    </row>
    <row r="126" spans="1:11" ht="144">
      <c r="A126" t="s">
        <v>475</v>
      </c>
      <c r="B126" s="262" t="s">
        <v>476</v>
      </c>
      <c r="C126" s="262" t="s">
        <v>477</v>
      </c>
      <c r="D126" s="262" t="s">
        <v>485</v>
      </c>
      <c r="E126" s="262" t="s">
        <v>486</v>
      </c>
      <c r="F126" s="262"/>
      <c r="G126" s="262" t="s">
        <v>478</v>
      </c>
      <c r="H126" s="262" t="s">
        <v>479</v>
      </c>
      <c r="I126" s="262" t="s">
        <v>480</v>
      </c>
      <c r="J126" s="262" t="s">
        <v>487</v>
      </c>
      <c r="K126" s="262" t="s">
        <v>488</v>
      </c>
    </row>
    <row r="127" spans="1:11">
      <c r="A127" t="s">
        <v>6</v>
      </c>
      <c r="B127">
        <v>1.966355526440261</v>
      </c>
      <c r="C127">
        <v>0.27454399570409854</v>
      </c>
      <c r="D127">
        <f>B127+C127</f>
        <v>2.2408995221443595</v>
      </c>
      <c r="E127">
        <v>1.936075648492201</v>
      </c>
      <c r="G127">
        <v>5.8305443169747208E-2</v>
      </c>
      <c r="H127">
        <v>1.4297293946912044E-2</v>
      </c>
      <c r="I127">
        <v>1.4880754615852903E-2</v>
      </c>
      <c r="J127">
        <f>G127+H127+I127</f>
        <v>8.7483491732512159E-2</v>
      </c>
    </row>
    <row r="128" spans="1:11">
      <c r="A128" t="s">
        <v>8</v>
      </c>
      <c r="B128">
        <v>5.7834557927004164</v>
      </c>
      <c r="C128">
        <v>3.2384585313660845</v>
      </c>
      <c r="D128">
        <f t="shared" ref="D128:D133" si="194">B128+C128</f>
        <v>9.0219143240665005</v>
      </c>
      <c r="E128">
        <v>0.39707327111225321</v>
      </c>
      <c r="G128">
        <v>1.3371825856423363</v>
      </c>
      <c r="H128">
        <v>0.13532561703651533</v>
      </c>
      <c r="I128">
        <v>0.14084814286092234</v>
      </c>
      <c r="J128">
        <f t="shared" ref="J128:J133" si="195">G128+H128+I128</f>
        <v>1.6133563455397739</v>
      </c>
    </row>
    <row r="129" spans="1:11">
      <c r="A129" t="s">
        <v>10</v>
      </c>
      <c r="B129">
        <v>0.287728981896688</v>
      </c>
      <c r="C129">
        <v>0.65409520776187935</v>
      </c>
      <c r="D129">
        <f t="shared" si="194"/>
        <v>0.94182418965856729</v>
      </c>
      <c r="E129">
        <v>0.18735969036007524</v>
      </c>
      <c r="G129">
        <v>6.5201701231150364E-2</v>
      </c>
      <c r="H129">
        <v>2.2096940256035712E-3</v>
      </c>
      <c r="I129">
        <v>2.2998698000627469E-3</v>
      </c>
      <c r="J129">
        <f t="shared" si="195"/>
        <v>6.9711265056816685E-2</v>
      </c>
    </row>
    <row r="130" spans="1:11">
      <c r="A130" t="s">
        <v>11</v>
      </c>
      <c r="B130">
        <v>2.0145232331484935</v>
      </c>
      <c r="C130">
        <v>0.91092892372459533</v>
      </c>
      <c r="D130">
        <f t="shared" si="194"/>
        <v>2.9254521568730887</v>
      </c>
      <c r="E130">
        <v>0.31434940557875063</v>
      </c>
      <c r="G130">
        <v>0.33292719867133003</v>
      </c>
      <c r="H130">
        <v>5.4697804759960425E-3</v>
      </c>
      <c r="I130">
        <v>5.6929976657198074E-3</v>
      </c>
      <c r="J130">
        <f t="shared" si="195"/>
        <v>0.34408997681304587</v>
      </c>
    </row>
    <row r="131" spans="1:11">
      <c r="A131" t="s">
        <v>481</v>
      </c>
      <c r="B131">
        <v>35.627348399181514</v>
      </c>
      <c r="C131">
        <v>0.36746484731323875</v>
      </c>
      <c r="D131">
        <f t="shared" si="194"/>
        <v>35.994813246494751</v>
      </c>
      <c r="G131">
        <v>0.41108381068773114</v>
      </c>
      <c r="H131">
        <v>0.1139677031727117</v>
      </c>
      <c r="I131">
        <v>0.11861863030463693</v>
      </c>
      <c r="J131">
        <f t="shared" si="195"/>
        <v>0.64367014416507973</v>
      </c>
    </row>
    <row r="132" spans="1:11">
      <c r="A132" t="s">
        <v>15</v>
      </c>
      <c r="B132">
        <v>0.13798401974396313</v>
      </c>
      <c r="C132">
        <v>7.142595780932022E-2</v>
      </c>
      <c r="D132">
        <f t="shared" si="194"/>
        <v>0.20940997755328333</v>
      </c>
      <c r="G132">
        <v>5.5127063701488621E-3</v>
      </c>
      <c r="H132">
        <v>3.5235778665835231E-4</v>
      </c>
      <c r="I132">
        <v>3.6673721472869745E-4</v>
      </c>
      <c r="J132">
        <f t="shared" si="195"/>
        <v>6.2318013715359118E-3</v>
      </c>
    </row>
    <row r="133" spans="1:11">
      <c r="A133" t="s">
        <v>482</v>
      </c>
      <c r="B133">
        <v>3560.7607336488581</v>
      </c>
      <c r="C133">
        <v>8042.897545986837</v>
      </c>
      <c r="D133">
        <f t="shared" si="194"/>
        <v>11603.658279635696</v>
      </c>
      <c r="E133">
        <v>461</v>
      </c>
      <c r="G133">
        <v>247.3391824708375</v>
      </c>
      <c r="H133">
        <v>93.782587986220733</v>
      </c>
      <c r="I133">
        <v>97.609777363778676</v>
      </c>
      <c r="J133">
        <f t="shared" si="195"/>
        <v>438.73154782083691</v>
      </c>
    </row>
    <row r="134" spans="1:11">
      <c r="A134" t="s">
        <v>483</v>
      </c>
      <c r="G134">
        <v>6.6669999999999998</v>
      </c>
      <c r="K134">
        <f>G134+G135</f>
        <v>19.749000000000002</v>
      </c>
    </row>
    <row r="135" spans="1:11">
      <c r="A135" t="s">
        <v>484</v>
      </c>
      <c r="G135">
        <v>13.082000000000001</v>
      </c>
    </row>
    <row r="137" spans="1:11">
      <c r="A137" t="s">
        <v>502</v>
      </c>
      <c r="B137">
        <f>B133+C133+E133+G133+H133+I133</f>
        <v>12503.389827456534</v>
      </c>
    </row>
  </sheetData>
  <sheetProtection algorithmName="SHA-512" hashValue="5k/wJqFdbzdHtd2Gqhw1MAZ7eFauBhu1DjwWx3Ljd3SoxaRytyiKsY9ptYqi8zS99myCctaoJANK4LR3tY5HlA==" saltValue="LVSl17nK+2PwocEyjxbGXQ==" spinCount="100000" sheet="1" objects="1" scenarios="1"/>
  <mergeCells count="10">
    <mergeCell ref="S95:S97"/>
    <mergeCell ref="K103:L103"/>
    <mergeCell ref="S11:S13"/>
    <mergeCell ref="K19:L19"/>
    <mergeCell ref="S32:S34"/>
    <mergeCell ref="K40:L40"/>
    <mergeCell ref="S53:S55"/>
    <mergeCell ref="K61:L61"/>
    <mergeCell ref="S74:S76"/>
    <mergeCell ref="K82:L82"/>
  </mergeCells>
  <pageMargins left="0.7" right="0.7" top="0.75" bottom="0.75" header="0.3" footer="0.3"/>
  <pageSetup scale="87" orientation="portrait" horizontalDpi="360" verticalDpi="360" r:id="rId1"/>
  <ignoredErrors>
    <ignoredError sqref="I117" formula="1"/>
  </ignoredError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2"/>
  <dimension ref="A1:J28"/>
  <sheetViews>
    <sheetView topLeftCell="A7" workbookViewId="0">
      <selection activeCell="H9" sqref="H9"/>
    </sheetView>
  </sheetViews>
  <sheetFormatPr baseColWidth="10" defaultColWidth="8.83203125" defaultRowHeight="15"/>
  <cols>
    <col min="2" max="2" width="41.1640625" customWidth="1"/>
    <col min="3" max="3" width="15.6640625" customWidth="1"/>
  </cols>
  <sheetData>
    <row r="1" spans="1:10">
      <c r="A1" t="s">
        <v>530</v>
      </c>
    </row>
    <row r="5" spans="1:10">
      <c r="A5" s="2" t="s">
        <v>440</v>
      </c>
    </row>
    <row r="6" spans="1:10" s="243" customFormat="1">
      <c r="A6" s="242"/>
    </row>
    <row r="8" spans="1:10">
      <c r="B8" s="244" t="s">
        <v>19</v>
      </c>
      <c r="C8" s="245">
        <v>2020</v>
      </c>
      <c r="D8" s="245">
        <v>2025</v>
      </c>
      <c r="E8" s="245">
        <v>2030</v>
      </c>
      <c r="F8" s="245">
        <v>2035</v>
      </c>
      <c r="G8" s="245">
        <v>2040</v>
      </c>
      <c r="H8" s="245">
        <v>2045</v>
      </c>
      <c r="I8" s="245">
        <v>2050</v>
      </c>
    </row>
    <row r="9" spans="1:10">
      <c r="B9" s="246" t="s">
        <v>441</v>
      </c>
      <c r="C9" s="246">
        <f>1-D28</f>
        <v>0.41007194244604306</v>
      </c>
      <c r="D9" s="246">
        <f t="shared" ref="D9:G9" si="0">1-E28</f>
        <v>0.53829321663019691</v>
      </c>
      <c r="E9" s="246">
        <f t="shared" si="0"/>
        <v>0.70132325141776941</v>
      </c>
      <c r="F9" s="246">
        <f t="shared" si="0"/>
        <v>0.80499653018736983</v>
      </c>
      <c r="G9" s="246">
        <f t="shared" si="0"/>
        <v>0.84255599472990783</v>
      </c>
      <c r="H9" s="246">
        <f t="shared" ref="H9" si="1">1-I28</f>
        <v>0.92052980132450335</v>
      </c>
      <c r="I9" s="246">
        <f t="shared" ref="I9" si="2">1-J28</f>
        <v>1</v>
      </c>
    </row>
    <row r="12" spans="1:10">
      <c r="A12" t="s">
        <v>529</v>
      </c>
    </row>
    <row r="13" spans="1:10" ht="16">
      <c r="A13" s="266" t="s">
        <v>516</v>
      </c>
    </row>
    <row r="14" spans="1:10">
      <c r="A14" t="s">
        <v>517</v>
      </c>
    </row>
    <row r="16" spans="1:10" ht="16">
      <c r="A16" s="267" t="s">
        <v>518</v>
      </c>
      <c r="D16">
        <v>2020</v>
      </c>
      <c r="E16">
        <v>2025</v>
      </c>
      <c r="F16">
        <v>2030</v>
      </c>
      <c r="G16">
        <v>2035</v>
      </c>
      <c r="H16">
        <v>2040</v>
      </c>
      <c r="I16">
        <v>2045</v>
      </c>
      <c r="J16">
        <v>2050</v>
      </c>
    </row>
    <row r="17" spans="1:10" ht="16">
      <c r="A17" s="267" t="s">
        <v>519</v>
      </c>
      <c r="D17" s="268">
        <v>5.8</v>
      </c>
      <c r="E17" s="268">
        <v>7.3</v>
      </c>
      <c r="F17" s="268">
        <v>18.600000000000001</v>
      </c>
      <c r="G17" s="268">
        <v>27.5</v>
      </c>
      <c r="H17" s="268">
        <v>38.1</v>
      </c>
      <c r="I17">
        <v>50.7</v>
      </c>
      <c r="J17">
        <v>59.7</v>
      </c>
    </row>
    <row r="18" spans="1:10" ht="16">
      <c r="A18" s="267" t="s">
        <v>520</v>
      </c>
      <c r="D18">
        <v>0</v>
      </c>
      <c r="E18">
        <v>4.4000000000000004</v>
      </c>
      <c r="F18">
        <v>14</v>
      </c>
      <c r="G18">
        <v>29.9</v>
      </c>
      <c r="H18">
        <v>35</v>
      </c>
      <c r="I18">
        <v>40.200000000000003</v>
      </c>
      <c r="J18">
        <v>42.5</v>
      </c>
    </row>
    <row r="19" spans="1:10" ht="16">
      <c r="A19" s="267" t="s">
        <v>521</v>
      </c>
      <c r="D19">
        <v>28.4</v>
      </c>
      <c r="E19">
        <v>28.4</v>
      </c>
      <c r="F19">
        <v>28.4</v>
      </c>
      <c r="G19">
        <v>28.4</v>
      </c>
      <c r="H19">
        <v>28.4</v>
      </c>
      <c r="I19">
        <v>28.4</v>
      </c>
      <c r="J19">
        <v>28.4</v>
      </c>
    </row>
    <row r="20" spans="1:10" ht="16">
      <c r="A20" s="267" t="s">
        <v>522</v>
      </c>
      <c r="D20">
        <v>0</v>
      </c>
      <c r="E20">
        <v>9.1</v>
      </c>
      <c r="F20">
        <v>13.2</v>
      </c>
      <c r="G20">
        <v>30.2</v>
      </c>
      <c r="H20">
        <v>26.4</v>
      </c>
      <c r="I20">
        <v>33.299999999999997</v>
      </c>
      <c r="J20">
        <v>34.9</v>
      </c>
    </row>
    <row r="21" spans="1:10" ht="16">
      <c r="A21" s="267" t="s">
        <v>523</v>
      </c>
      <c r="D21">
        <v>0</v>
      </c>
      <c r="E21">
        <v>0</v>
      </c>
      <c r="F21">
        <v>0</v>
      </c>
      <c r="G21">
        <v>0</v>
      </c>
      <c r="H21">
        <v>0</v>
      </c>
      <c r="I21">
        <v>0.3</v>
      </c>
      <c r="J21">
        <v>10.1</v>
      </c>
    </row>
    <row r="22" spans="1:10" ht="16">
      <c r="A22" s="267" t="s">
        <v>524</v>
      </c>
      <c r="D22">
        <v>48</v>
      </c>
      <c r="E22">
        <v>42.2</v>
      </c>
      <c r="F22">
        <v>31.6</v>
      </c>
      <c r="G22">
        <v>28.1</v>
      </c>
      <c r="H22">
        <v>23.9</v>
      </c>
      <c r="I22">
        <v>13.2</v>
      </c>
      <c r="J22">
        <v>0</v>
      </c>
    </row>
    <row r="23" spans="1:10" ht="16">
      <c r="A23" s="267" t="s">
        <v>525</v>
      </c>
      <c r="D23">
        <v>1.2</v>
      </c>
      <c r="E23">
        <v>0</v>
      </c>
      <c r="F23">
        <v>0</v>
      </c>
      <c r="G23">
        <v>0</v>
      </c>
      <c r="H23">
        <v>0</v>
      </c>
      <c r="I23">
        <v>0</v>
      </c>
      <c r="J23">
        <v>0</v>
      </c>
    </row>
    <row r="24" spans="1:10" ht="16">
      <c r="A24" s="267"/>
      <c r="D24">
        <f>SUM(D17:D23)</f>
        <v>83.399999999999991</v>
      </c>
      <c r="E24">
        <f t="shared" ref="E24:H24" si="3">SUM(E17:E23)</f>
        <v>91.4</v>
      </c>
      <c r="F24">
        <f t="shared" si="3"/>
        <v>105.80000000000001</v>
      </c>
      <c r="G24">
        <f t="shared" si="3"/>
        <v>144.1</v>
      </c>
      <c r="H24">
        <f t="shared" si="3"/>
        <v>151.80000000000001</v>
      </c>
      <c r="I24">
        <v>166.10000000000002</v>
      </c>
      <c r="J24">
        <v>175.6</v>
      </c>
    </row>
    <row r="25" spans="1:10" ht="16">
      <c r="A25" s="267"/>
    </row>
    <row r="26" spans="1:10" ht="16">
      <c r="A26" s="267" t="s">
        <v>526</v>
      </c>
      <c r="D26">
        <f>D22+D23</f>
        <v>49.2</v>
      </c>
      <c r="E26">
        <f t="shared" ref="E26:H26" si="4">E22+E23</f>
        <v>42.2</v>
      </c>
      <c r="F26">
        <f t="shared" si="4"/>
        <v>31.6</v>
      </c>
      <c r="G26">
        <f t="shared" si="4"/>
        <v>28.1</v>
      </c>
      <c r="H26">
        <f t="shared" si="4"/>
        <v>23.9</v>
      </c>
      <c r="I26">
        <v>13.2</v>
      </c>
      <c r="J26">
        <v>0</v>
      </c>
    </row>
    <row r="27" spans="1:10" ht="16">
      <c r="A27" s="267" t="s">
        <v>527</v>
      </c>
      <c r="D27">
        <f>D24-D26</f>
        <v>34.199999999999989</v>
      </c>
      <c r="E27">
        <f t="shared" ref="E27:H27" si="5">E24-E26</f>
        <v>49.2</v>
      </c>
      <c r="F27">
        <f t="shared" si="5"/>
        <v>74.200000000000017</v>
      </c>
      <c r="G27">
        <f t="shared" si="5"/>
        <v>116</v>
      </c>
      <c r="H27">
        <f t="shared" si="5"/>
        <v>127.9</v>
      </c>
      <c r="I27">
        <v>152.90000000000003</v>
      </c>
      <c r="J27">
        <v>175.6</v>
      </c>
    </row>
    <row r="28" spans="1:10" ht="16">
      <c r="A28" s="267" t="s">
        <v>528</v>
      </c>
      <c r="D28">
        <f>D26/D24</f>
        <v>0.58992805755395694</v>
      </c>
      <c r="E28">
        <f t="shared" ref="E28:H28" si="6">E26/E24</f>
        <v>0.46170678336980309</v>
      </c>
      <c r="F28">
        <f t="shared" si="6"/>
        <v>0.29867674858223059</v>
      </c>
      <c r="G28">
        <f t="shared" si="6"/>
        <v>0.19500346981263014</v>
      </c>
      <c r="H28">
        <f t="shared" si="6"/>
        <v>0.1574440052700922</v>
      </c>
      <c r="I28">
        <v>7.9470198675496678E-2</v>
      </c>
      <c r="J28">
        <v>0</v>
      </c>
    </row>
  </sheetData>
  <sheetProtection algorithmName="SHA-512" hashValue="GLZgobtQptrEuFhv2he/b5Lik6fD1h8VJqpZy9oFQvv7Vk1bkSrpvnMXFqRLScuTMqp5FrW8HPYRtlh8ET+V3g==" saltValue="v8iEIbKJk5ER8nWJLRh6SQ==" spinCount="100000" sheet="1" objects="1" scenarios="1"/>
  <pageMargins left="0.7" right="0.7" top="0.75" bottom="0.75" header="0.3" footer="0.3"/>
  <pageSetup orientation="portrait" horizontalDpi="360" verticalDpi="360"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3"/>
  <dimension ref="A1:Y119"/>
  <sheetViews>
    <sheetView topLeftCell="A30" workbookViewId="0">
      <selection activeCell="F12" sqref="F12"/>
    </sheetView>
  </sheetViews>
  <sheetFormatPr baseColWidth="10" defaultColWidth="8.83203125" defaultRowHeight="15"/>
  <cols>
    <col min="1" max="1" width="22" customWidth="1"/>
    <col min="2" max="2" width="21" customWidth="1"/>
    <col min="3" max="3" width="20.83203125" customWidth="1"/>
    <col min="4" max="4" width="21.5" customWidth="1"/>
    <col min="5" max="5" width="20.5" customWidth="1"/>
    <col min="6" max="6" width="14.83203125" customWidth="1"/>
    <col min="7" max="7" width="14.5" customWidth="1"/>
  </cols>
  <sheetData>
    <row r="1" spans="1:5">
      <c r="A1" t="s">
        <v>126</v>
      </c>
    </row>
    <row r="2" spans="1:5">
      <c r="A2" t="s">
        <v>105</v>
      </c>
    </row>
    <row r="3" spans="1:5">
      <c r="A3" t="s">
        <v>59</v>
      </c>
    </row>
    <row r="5" spans="1:5">
      <c r="E5" t="s">
        <v>58</v>
      </c>
    </row>
    <row r="6" spans="1:5">
      <c r="E6" t="s">
        <v>534</v>
      </c>
    </row>
    <row r="7" spans="1:5">
      <c r="E7" t="s">
        <v>438</v>
      </c>
    </row>
    <row r="8" spans="1:5">
      <c r="E8" t="s">
        <v>439</v>
      </c>
    </row>
    <row r="25" spans="1:7">
      <c r="A25" s="16" t="s">
        <v>66</v>
      </c>
    </row>
    <row r="26" spans="1:7" ht="27.75" customHeight="1">
      <c r="A26" s="17"/>
      <c r="B26" s="21" t="s">
        <v>60</v>
      </c>
      <c r="C26" s="22" t="s">
        <v>62</v>
      </c>
      <c r="D26" s="22" t="s">
        <v>63</v>
      </c>
      <c r="E26" s="22" t="s">
        <v>64</v>
      </c>
      <c r="G26" s="334" t="s">
        <v>127</v>
      </c>
    </row>
    <row r="27" spans="1:7" ht="15" customHeight="1">
      <c r="A27" s="20" t="s">
        <v>61</v>
      </c>
      <c r="B27" s="23"/>
      <c r="C27" s="24"/>
      <c r="D27" s="24"/>
      <c r="E27" s="24"/>
      <c r="G27" s="334"/>
    </row>
    <row r="28" spans="1:7" ht="15" customHeight="1">
      <c r="A28" s="18" t="s">
        <v>6</v>
      </c>
      <c r="B28" s="25">
        <v>2.1866754878548966</v>
      </c>
      <c r="C28" s="26">
        <v>1.3843453190325286</v>
      </c>
      <c r="D28" s="26">
        <v>1.9930696207146734</v>
      </c>
      <c r="E28" s="26">
        <v>1.5311545483181301</v>
      </c>
      <c r="G28" s="334"/>
    </row>
    <row r="29" spans="1:7" ht="15" customHeight="1">
      <c r="A29" s="18" t="s">
        <v>7</v>
      </c>
      <c r="B29" s="25">
        <v>21.034901086818003</v>
      </c>
      <c r="C29" s="26">
        <v>14.203449605047195</v>
      </c>
      <c r="D29" s="26">
        <v>18.364111552904628</v>
      </c>
      <c r="E29" s="26">
        <v>21.226645608020657</v>
      </c>
    </row>
    <row r="30" spans="1:7" ht="15" customHeight="1">
      <c r="A30" s="18" t="s">
        <v>8</v>
      </c>
      <c r="B30" s="25">
        <v>24.654131608605883</v>
      </c>
      <c r="C30" s="26">
        <v>48.640785186047147</v>
      </c>
      <c r="D30" s="26">
        <v>56.200603852297426</v>
      </c>
      <c r="E30" s="26">
        <v>58.288526099128077</v>
      </c>
    </row>
    <row r="31" spans="1:7" ht="15" customHeight="1">
      <c r="A31" s="18" t="s">
        <v>9</v>
      </c>
      <c r="B31" s="25">
        <v>2.9107747501684194</v>
      </c>
      <c r="C31" s="26">
        <v>7.1768326048667737</v>
      </c>
      <c r="D31" s="26">
        <v>6.5982328387855436</v>
      </c>
      <c r="E31" s="26">
        <v>6.9379361953170244</v>
      </c>
    </row>
    <row r="32" spans="1:7" ht="15" customHeight="1">
      <c r="A32" s="18" t="s">
        <v>10</v>
      </c>
      <c r="B32" s="25">
        <v>2.803330267226491</v>
      </c>
      <c r="C32" s="26">
        <v>6.35534772691501</v>
      </c>
      <c r="D32" s="26">
        <v>5.6642016841516725</v>
      </c>
      <c r="E32" s="26">
        <v>5.5013597255711888</v>
      </c>
    </row>
    <row r="33" spans="1:25" ht="15" customHeight="1">
      <c r="A33" s="18" t="s">
        <v>11</v>
      </c>
      <c r="B33" s="25">
        <v>6.2156801096536203</v>
      </c>
      <c r="C33" s="26">
        <v>50.440916232668343</v>
      </c>
      <c r="D33" s="26">
        <v>50.377348240961837</v>
      </c>
      <c r="E33" s="26">
        <v>30.734181989267732</v>
      </c>
    </row>
    <row r="34" spans="1:25" ht="15" customHeight="1">
      <c r="A34" s="18" t="s">
        <v>12</v>
      </c>
      <c r="B34" s="25">
        <v>0.20032587098650509</v>
      </c>
      <c r="C34" s="26">
        <v>0.3320061591165549</v>
      </c>
      <c r="D34" s="26">
        <v>0.30753809631714757</v>
      </c>
      <c r="E34" s="26">
        <v>0.25350489611781912</v>
      </c>
    </row>
    <row r="35" spans="1:25" ht="15" customHeight="1">
      <c r="A35" s="18" t="s">
        <v>13</v>
      </c>
      <c r="B35" s="25">
        <v>1.5615704354972839</v>
      </c>
      <c r="C35" s="26">
        <v>1.9641917514564646</v>
      </c>
      <c r="D35" s="26">
        <v>2.2005331127113683</v>
      </c>
      <c r="E35" s="26">
        <v>1.6319693052305919</v>
      </c>
    </row>
    <row r="36" spans="1:25" ht="15" customHeight="1">
      <c r="A36" s="18" t="s">
        <v>14</v>
      </c>
      <c r="B36" s="25">
        <v>4.9586850474199684</v>
      </c>
      <c r="C36" s="26">
        <v>10.382627952963064</v>
      </c>
      <c r="D36" s="26">
        <v>9.9003953680967651</v>
      </c>
      <c r="E36" s="26">
        <v>9.2640580177791847</v>
      </c>
    </row>
    <row r="37" spans="1:25" ht="15" customHeight="1">
      <c r="A37" s="18" t="s">
        <v>15</v>
      </c>
      <c r="B37" s="25">
        <v>0.41252772276951299</v>
      </c>
      <c r="C37" s="26">
        <v>1.6478794436111424</v>
      </c>
      <c r="D37" s="26">
        <v>1.5422162227104217</v>
      </c>
      <c r="E37" s="26">
        <v>1.3681322714056932</v>
      </c>
    </row>
    <row r="38" spans="1:25" ht="15" customHeight="1">
      <c r="A38" s="19" t="s">
        <v>16</v>
      </c>
      <c r="B38" s="27">
        <v>61671.825099843307</v>
      </c>
      <c r="C38" s="27">
        <v>111833.86399449916</v>
      </c>
      <c r="D38" s="27">
        <v>106298.29185240586</v>
      </c>
      <c r="E38" s="27">
        <v>92132.621385567632</v>
      </c>
    </row>
    <row r="39" spans="1:25">
      <c r="A39" s="18" t="s">
        <v>65</v>
      </c>
    </row>
    <row r="41" spans="1:25" hidden="1">
      <c r="A41" t="s">
        <v>107</v>
      </c>
    </row>
    <row r="42" spans="1:25" hidden="1">
      <c r="A42" t="s">
        <v>8</v>
      </c>
      <c r="B42" t="s">
        <v>10</v>
      </c>
      <c r="C42" t="s">
        <v>14</v>
      </c>
      <c r="D42" t="s">
        <v>15</v>
      </c>
      <c r="E42" t="s">
        <v>16</v>
      </c>
      <c r="F42" t="s">
        <v>115</v>
      </c>
      <c r="G42" t="s">
        <v>116</v>
      </c>
    </row>
    <row r="43" spans="1:25" hidden="1">
      <c r="A43" s="59">
        <f>E30</f>
        <v>58.288526099128077</v>
      </c>
      <c r="B43" s="59">
        <f>E32</f>
        <v>5.5013597255711888</v>
      </c>
      <c r="C43" s="59">
        <f>E36</f>
        <v>9.2640580177791847</v>
      </c>
      <c r="D43" s="59">
        <f>E37</f>
        <v>1.3681322714056932</v>
      </c>
      <c r="E43" s="3">
        <f>E38</f>
        <v>92132.621385567632</v>
      </c>
      <c r="F43" s="59">
        <f>E28</f>
        <v>1.5311545483181301</v>
      </c>
      <c r="G43" s="59">
        <f>E33</f>
        <v>30.734181989267732</v>
      </c>
    </row>
    <row r="44" spans="1:25" hidden="1"/>
    <row r="45" spans="1:25" hidden="1">
      <c r="A45" t="s">
        <v>96</v>
      </c>
    </row>
    <row r="46" spans="1:25" hidden="1">
      <c r="A46" s="169" t="s">
        <v>97</v>
      </c>
      <c r="B46" s="50"/>
      <c r="C46" s="51"/>
      <c r="D46" s="51"/>
      <c r="E46" s="51"/>
      <c r="F46" s="51"/>
      <c r="I46" s="51"/>
      <c r="J46" s="51"/>
      <c r="K46" s="51"/>
      <c r="L46" s="51"/>
      <c r="M46" s="51"/>
      <c r="N46" s="51"/>
      <c r="O46" s="51"/>
      <c r="P46" s="51"/>
      <c r="Q46" s="51"/>
      <c r="R46" s="51"/>
      <c r="S46" s="51"/>
      <c r="T46" s="51"/>
      <c r="U46" s="51"/>
      <c r="V46" s="51"/>
      <c r="W46" s="51"/>
      <c r="X46" s="51"/>
      <c r="Y46" s="51"/>
    </row>
    <row r="47" spans="1:25" hidden="1">
      <c r="A47" s="50"/>
      <c r="B47" s="50"/>
      <c r="C47" s="52"/>
      <c r="D47" s="339" t="s">
        <v>98</v>
      </c>
      <c r="E47" s="340"/>
    </row>
    <row r="48" spans="1:25" hidden="1">
      <c r="A48" s="50"/>
      <c r="B48" s="50"/>
      <c r="C48" s="53"/>
      <c r="D48" s="54" t="s">
        <v>99</v>
      </c>
      <c r="E48" s="55" t="s">
        <v>100</v>
      </c>
    </row>
    <row r="49" spans="1:7" hidden="1">
      <c r="A49" s="50"/>
      <c r="B49" s="50"/>
      <c r="C49" s="56" t="s">
        <v>101</v>
      </c>
      <c r="D49" s="57">
        <v>1.05756129080821E-3</v>
      </c>
      <c r="E49" s="58">
        <v>1.05756129080821E-3</v>
      </c>
    </row>
    <row r="50" spans="1:7" hidden="1">
      <c r="A50" s="50"/>
      <c r="B50" s="50"/>
      <c r="C50" s="56" t="s">
        <v>102</v>
      </c>
      <c r="D50" s="57">
        <v>0.27114327614777284</v>
      </c>
      <c r="E50" s="58">
        <v>0.27114327614777284</v>
      </c>
    </row>
    <row r="51" spans="1:7" hidden="1">
      <c r="A51" s="50"/>
      <c r="B51" s="50"/>
      <c r="C51" s="56" t="s">
        <v>94</v>
      </c>
      <c r="D51" s="57">
        <v>0.10134545090354258</v>
      </c>
      <c r="E51" s="58">
        <v>0.10134545090354258</v>
      </c>
    </row>
    <row r="52" spans="1:7" hidden="1">
      <c r="A52" s="50"/>
      <c r="B52" s="50"/>
      <c r="C52" s="56" t="s">
        <v>103</v>
      </c>
      <c r="D52" s="57">
        <v>6.7999855379005616E-2</v>
      </c>
      <c r="E52" s="58">
        <v>6.7999855379005616E-2</v>
      </c>
    </row>
    <row r="53" spans="1:7" hidden="1">
      <c r="A53" s="50"/>
      <c r="B53" s="50"/>
      <c r="C53" s="56" t="s">
        <v>95</v>
      </c>
      <c r="D53" s="57">
        <v>4.3469011079143261E-3</v>
      </c>
      <c r="E53" s="58">
        <v>4.3469011079143261E-3</v>
      </c>
    </row>
    <row r="54" spans="1:7" hidden="1">
      <c r="A54" s="50"/>
      <c r="B54" s="50"/>
      <c r="C54" s="54" t="s">
        <v>104</v>
      </c>
      <c r="D54" s="57">
        <v>0.55410695517095654</v>
      </c>
      <c r="E54" s="58">
        <v>0.55410695517095654</v>
      </c>
    </row>
    <row r="55" spans="1:7" hidden="1">
      <c r="C55" s="2" t="s">
        <v>106</v>
      </c>
      <c r="D55" s="60">
        <f>D49+D50+D51+D53</f>
        <v>0.37789318945003791</v>
      </c>
    </row>
    <row r="56" spans="1:7" hidden="1"/>
    <row r="57" spans="1:7" hidden="1">
      <c r="A57" s="2" t="s">
        <v>108</v>
      </c>
    </row>
    <row r="58" spans="1:7" hidden="1">
      <c r="A58" t="s">
        <v>8</v>
      </c>
      <c r="B58" t="s">
        <v>10</v>
      </c>
      <c r="C58" t="s">
        <v>14</v>
      </c>
      <c r="D58" t="s">
        <v>15</v>
      </c>
      <c r="E58" t="s">
        <v>16</v>
      </c>
      <c r="F58" t="s">
        <v>115</v>
      </c>
      <c r="G58" t="s">
        <v>116</v>
      </c>
    </row>
    <row r="59" spans="1:7" hidden="1">
      <c r="A59" s="59">
        <f>A43/$D$55</f>
        <v>154.24603492843454</v>
      </c>
      <c r="B59" s="59">
        <f t="shared" ref="B59:G59" si="0">B43/$D$55</f>
        <v>14.557975319897993</v>
      </c>
      <c r="C59" s="59">
        <f t="shared" si="0"/>
        <v>24.515017143498973</v>
      </c>
      <c r="D59" s="59">
        <f t="shared" si="0"/>
        <v>3.6204205569218835</v>
      </c>
      <c r="E59" s="59">
        <f t="shared" si="0"/>
        <v>243805.98528290939</v>
      </c>
      <c r="F59" s="59">
        <f t="shared" si="0"/>
        <v>4.0518183207971452</v>
      </c>
      <c r="G59" s="59">
        <f t="shared" si="0"/>
        <v>81.330341078642718</v>
      </c>
    </row>
    <row r="60" spans="1:7" hidden="1"/>
    <row r="61" spans="1:7" hidden="1">
      <c r="A61" t="s">
        <v>278</v>
      </c>
    </row>
    <row r="62" spans="1:7" hidden="1">
      <c r="A62" t="s">
        <v>8</v>
      </c>
      <c r="B62" t="s">
        <v>10</v>
      </c>
      <c r="C62" t="s">
        <v>14</v>
      </c>
      <c r="D62" t="s">
        <v>15</v>
      </c>
      <c r="E62" t="s">
        <v>16</v>
      </c>
      <c r="F62" t="s">
        <v>115</v>
      </c>
      <c r="G62" t="s">
        <v>116</v>
      </c>
    </row>
    <row r="63" spans="1:7" hidden="1">
      <c r="A63" s="59">
        <f>B30</f>
        <v>24.654131608605883</v>
      </c>
      <c r="B63" s="59">
        <f>B32</f>
        <v>2.803330267226491</v>
      </c>
      <c r="C63" s="59">
        <f>B36</f>
        <v>4.9586850474199684</v>
      </c>
      <c r="D63" s="59">
        <f>B37</f>
        <v>0.41252772276951299</v>
      </c>
      <c r="E63" s="3">
        <f>B38</f>
        <v>61671.825099843307</v>
      </c>
      <c r="F63" s="59">
        <f>B28</f>
        <v>2.1866754878548966</v>
      </c>
      <c r="G63" s="59">
        <f>B33</f>
        <v>6.2156801096536203</v>
      </c>
    </row>
    <row r="64" spans="1:7" hidden="1"/>
    <row r="65" spans="1:7" hidden="1">
      <c r="A65" t="s">
        <v>279</v>
      </c>
    </row>
    <row r="66" spans="1:7" hidden="1">
      <c r="A66" s="169" t="s">
        <v>97</v>
      </c>
      <c r="B66" s="50"/>
      <c r="C66" s="51"/>
      <c r="D66" s="51"/>
      <c r="E66" s="51"/>
      <c r="F66" s="51"/>
    </row>
    <row r="67" spans="1:7" hidden="1">
      <c r="A67" s="50"/>
      <c r="B67" s="50"/>
      <c r="C67" s="52"/>
      <c r="D67" s="339" t="s">
        <v>287</v>
      </c>
      <c r="E67" s="340"/>
    </row>
    <row r="68" spans="1:7" hidden="1">
      <c r="A68" s="50"/>
      <c r="B68" s="50"/>
      <c r="C68" s="53"/>
      <c r="D68" s="54" t="s">
        <v>99</v>
      </c>
      <c r="E68" s="55" t="s">
        <v>100</v>
      </c>
    </row>
    <row r="69" spans="1:7" hidden="1">
      <c r="A69" s="50"/>
      <c r="B69" s="50"/>
      <c r="C69" s="56" t="s">
        <v>101</v>
      </c>
      <c r="D69" s="170">
        <f>[3]Fuel_Prod_TS!$CF$875</f>
        <v>1.5976147714583499E-3</v>
      </c>
      <c r="E69" s="170">
        <f>[3]Fuel_Prod_TS!$CN$875</f>
        <v>1.5976147714583499E-3</v>
      </c>
    </row>
    <row r="70" spans="1:7" hidden="1">
      <c r="A70" s="50"/>
      <c r="B70" s="50"/>
      <c r="C70" s="56" t="s">
        <v>102</v>
      </c>
      <c r="D70" s="170">
        <f>[3]Fuel_Prod_TS!$CG$875</f>
        <v>0.4568836038497196</v>
      </c>
      <c r="E70" s="170">
        <f>[3]Fuel_Prod_TS!$CO$875</f>
        <v>0.4568836038497196</v>
      </c>
    </row>
    <row r="71" spans="1:7" hidden="1">
      <c r="A71" s="50"/>
      <c r="B71" s="50"/>
      <c r="C71" s="56" t="s">
        <v>94</v>
      </c>
      <c r="D71" s="170">
        <f>[3]Fuel_Prod_TS!$CH$875</f>
        <v>7.2640851718008294E-4</v>
      </c>
      <c r="E71" s="170">
        <f>[3]Fuel_Prod_TS!$CP$875</f>
        <v>7.2640851718008294E-4</v>
      </c>
    </row>
    <row r="72" spans="1:7" hidden="1">
      <c r="A72" s="50"/>
      <c r="B72" s="50"/>
      <c r="C72" s="56" t="s">
        <v>103</v>
      </c>
      <c r="D72" s="170">
        <f>[3]Fuel_Prod_TS!$CI$875</f>
        <v>0.29721983353590098</v>
      </c>
      <c r="E72" s="170">
        <f>[3]Fuel_Prod_TS!$CQ$875</f>
        <v>0.29721983353590098</v>
      </c>
    </row>
    <row r="73" spans="1:7" hidden="1">
      <c r="A73" s="50"/>
      <c r="B73" s="50"/>
      <c r="C73" s="56" t="s">
        <v>95</v>
      </c>
      <c r="D73" s="170">
        <f>[3]Fuel_Prod_TS!$CJ$875</f>
        <v>1.2862421489830919E-2</v>
      </c>
      <c r="E73" s="170">
        <f>[3]Fuel_Prod_TS!$CR$875</f>
        <v>1.2862421489830919E-2</v>
      </c>
    </row>
    <row r="74" spans="1:7" hidden="1">
      <c r="A74" s="50"/>
      <c r="B74" s="50"/>
      <c r="C74" s="54" t="s">
        <v>104</v>
      </c>
      <c r="D74" s="170">
        <f>[3]Fuel_Prod_TS!$CK$875</f>
        <v>0.23071011783591</v>
      </c>
      <c r="E74" s="170">
        <f>[3]Fuel_Prod_TS!$CS$875</f>
        <v>0.23071011783591</v>
      </c>
    </row>
    <row r="75" spans="1:7" hidden="1">
      <c r="C75" s="2" t="s">
        <v>106</v>
      </c>
      <c r="D75" s="60">
        <f>D69+D70+D71+D73</f>
        <v>0.47207004862818897</v>
      </c>
    </row>
    <row r="76" spans="1:7" hidden="1"/>
    <row r="77" spans="1:7" hidden="1">
      <c r="A77" s="2" t="s">
        <v>280</v>
      </c>
    </row>
    <row r="78" spans="1:7" hidden="1">
      <c r="A78" t="s">
        <v>8</v>
      </c>
      <c r="B78" t="s">
        <v>10</v>
      </c>
      <c r="C78" t="s">
        <v>14</v>
      </c>
      <c r="D78" t="s">
        <v>15</v>
      </c>
      <c r="E78" t="s">
        <v>16</v>
      </c>
      <c r="F78" t="s">
        <v>115</v>
      </c>
      <c r="G78" t="s">
        <v>116</v>
      </c>
    </row>
    <row r="79" spans="1:7" hidden="1">
      <c r="A79" s="59">
        <f>A63/$D$75</f>
        <v>52.225578979749955</v>
      </c>
      <c r="B79" s="59">
        <f t="shared" ref="B79:G79" si="1">B63/$D$75</f>
        <v>5.9383777373142461</v>
      </c>
      <c r="C79" s="59">
        <f t="shared" si="1"/>
        <v>10.504129761736948</v>
      </c>
      <c r="D79" s="59">
        <f t="shared" si="1"/>
        <v>0.87386972329275525</v>
      </c>
      <c r="E79" s="59">
        <f t="shared" si="1"/>
        <v>130641.25817568479</v>
      </c>
      <c r="F79" s="59">
        <f t="shared" si="1"/>
        <v>4.6320996093890345</v>
      </c>
      <c r="G79" s="59">
        <f t="shared" si="1"/>
        <v>13.166859722865418</v>
      </c>
    </row>
    <row r="80" spans="1:7" hidden="1"/>
    <row r="81" spans="1:7" hidden="1">
      <c r="A81" t="s">
        <v>284</v>
      </c>
    </row>
    <row r="82" spans="1:7" hidden="1">
      <c r="A82" t="s">
        <v>8</v>
      </c>
      <c r="B82" t="s">
        <v>10</v>
      </c>
      <c r="C82" t="s">
        <v>14</v>
      </c>
      <c r="D82" t="s">
        <v>15</v>
      </c>
      <c r="E82" t="s">
        <v>16</v>
      </c>
      <c r="F82" t="s">
        <v>115</v>
      </c>
      <c r="G82" t="s">
        <v>116</v>
      </c>
    </row>
    <row r="83" spans="1:7" hidden="1">
      <c r="A83" s="59">
        <f>D30</f>
        <v>56.200603852297426</v>
      </c>
      <c r="B83" s="59">
        <f>D32</f>
        <v>5.6642016841516725</v>
      </c>
      <c r="C83" s="59">
        <f>D36</f>
        <v>9.9003953680967651</v>
      </c>
      <c r="D83" s="59">
        <f>D37</f>
        <v>1.5422162227104217</v>
      </c>
      <c r="E83" s="3">
        <f>D38</f>
        <v>106298.29185240586</v>
      </c>
      <c r="F83" s="59">
        <f>D28</f>
        <v>1.9930696207146734</v>
      </c>
      <c r="G83" s="59">
        <f>D33</f>
        <v>50.377348240961837</v>
      </c>
    </row>
    <row r="84" spans="1:7" hidden="1"/>
    <row r="85" spans="1:7" hidden="1">
      <c r="A85" t="s">
        <v>285</v>
      </c>
    </row>
    <row r="86" spans="1:7" hidden="1">
      <c r="A86" s="169" t="s">
        <v>97</v>
      </c>
      <c r="B86" s="50"/>
      <c r="C86" s="51"/>
      <c r="D86" s="51"/>
      <c r="E86" s="51"/>
      <c r="F86" s="51"/>
    </row>
    <row r="87" spans="1:7" hidden="1">
      <c r="A87" s="50"/>
      <c r="B87" s="50"/>
      <c r="C87" s="52"/>
      <c r="D87" s="339" t="s">
        <v>288</v>
      </c>
      <c r="E87" s="340"/>
    </row>
    <row r="88" spans="1:7" hidden="1">
      <c r="A88" s="50"/>
      <c r="B88" s="50"/>
      <c r="C88" s="53"/>
      <c r="D88" s="54" t="s">
        <v>99</v>
      </c>
      <c r="E88" s="55" t="s">
        <v>100</v>
      </c>
    </row>
    <row r="89" spans="1:7" hidden="1">
      <c r="A89" s="50"/>
      <c r="B89" s="50"/>
      <c r="C89" s="56" t="s">
        <v>101</v>
      </c>
      <c r="D89" s="170">
        <f>[3]Fuel_Prod_TS!$D$900</f>
        <v>1.94096776665011E-3</v>
      </c>
      <c r="E89" s="170">
        <f>[3]Fuel_Prod_TS!$L$900</f>
        <v>1.94096776665011E-3</v>
      </c>
    </row>
    <row r="90" spans="1:7" hidden="1">
      <c r="A90" s="50"/>
      <c r="B90" s="50"/>
      <c r="C90" s="56" t="s">
        <v>102</v>
      </c>
      <c r="D90" s="170">
        <f>[3]Fuel_Prod_TS!$E$900</f>
        <v>0.41502767356791553</v>
      </c>
      <c r="E90" s="170">
        <f>[3]Fuel_Prod_TS!$M$900</f>
        <v>0.41502767356791553</v>
      </c>
    </row>
    <row r="91" spans="1:7" hidden="1">
      <c r="A91" s="50"/>
      <c r="B91" s="50"/>
      <c r="C91" s="56" t="s">
        <v>94</v>
      </c>
      <c r="D91" s="170">
        <f>[3]Fuel_Prod_TS!$F$900</f>
        <v>0.16953420629385921</v>
      </c>
      <c r="E91" s="170">
        <f>[3]Fuel_Prod_TS!$N$900</f>
        <v>0.16953420629385921</v>
      </c>
    </row>
    <row r="92" spans="1:7" hidden="1">
      <c r="A92" s="50"/>
      <c r="B92" s="50"/>
      <c r="C92" s="56" t="s">
        <v>103</v>
      </c>
      <c r="D92" s="170">
        <f>[3]Fuel_Prod_TS!$G$900</f>
        <v>0.33917126787407992</v>
      </c>
      <c r="E92" s="170">
        <f>[3]Fuel_Prod_TS!$O$900</f>
        <v>0.33917126787407992</v>
      </c>
    </row>
    <row r="93" spans="1:7" hidden="1">
      <c r="A93" s="50"/>
      <c r="B93" s="50"/>
      <c r="C93" s="56" t="s">
        <v>95</v>
      </c>
      <c r="D93" s="170">
        <f>[3]Fuel_Prod_TS!$H$900</f>
        <v>5.8132981751973381E-3</v>
      </c>
      <c r="E93" s="170">
        <f>[3]Fuel_Prod_TS!$P$900</f>
        <v>5.8132981751973381E-3</v>
      </c>
    </row>
    <row r="94" spans="1:7" hidden="1">
      <c r="A94" s="50"/>
      <c r="B94" s="50"/>
      <c r="C94" s="54" t="s">
        <v>104</v>
      </c>
      <c r="D94" s="170">
        <f>[3]Fuel_Prod_TS!$I$900</f>
        <v>6.8512586322297842E-2</v>
      </c>
      <c r="E94" s="170">
        <f>[3]Fuel_Prod_TS!$Q$900</f>
        <v>6.8512586322297842E-2</v>
      </c>
    </row>
    <row r="95" spans="1:7" hidden="1">
      <c r="C95" s="2" t="s">
        <v>106</v>
      </c>
      <c r="D95" s="60">
        <f>D89+D90+D91+D93</f>
        <v>0.59231614580362224</v>
      </c>
    </row>
    <row r="96" spans="1:7" hidden="1"/>
    <row r="97" spans="1:13" hidden="1">
      <c r="A97" s="2" t="s">
        <v>286</v>
      </c>
    </row>
    <row r="98" spans="1:13" hidden="1">
      <c r="A98" t="s">
        <v>8</v>
      </c>
      <c r="B98" t="s">
        <v>10</v>
      </c>
      <c r="C98" t="s">
        <v>14</v>
      </c>
      <c r="D98" t="s">
        <v>15</v>
      </c>
      <c r="E98" t="s">
        <v>16</v>
      </c>
      <c r="F98" t="s">
        <v>115</v>
      </c>
      <c r="G98" t="s">
        <v>116</v>
      </c>
    </row>
    <row r="99" spans="1:13" hidden="1">
      <c r="A99" s="59">
        <f>A83/$D$95</f>
        <v>94.882782194038484</v>
      </c>
      <c r="B99" s="59">
        <f t="shared" ref="B99:G99" si="2">B83/$D$95</f>
        <v>9.5628014267056525</v>
      </c>
      <c r="C99" s="59">
        <f t="shared" si="2"/>
        <v>16.714714664184022</v>
      </c>
      <c r="D99" s="59">
        <f t="shared" si="2"/>
        <v>2.6037045142810125</v>
      </c>
      <c r="E99" s="59">
        <f t="shared" si="2"/>
        <v>179462.08727467008</v>
      </c>
      <c r="F99" s="59">
        <f t="shared" si="2"/>
        <v>3.3648747123220577</v>
      </c>
      <c r="G99" s="59">
        <f t="shared" si="2"/>
        <v>85.051451995475489</v>
      </c>
    </row>
    <row r="101" spans="1:13">
      <c r="A101" t="s">
        <v>281</v>
      </c>
      <c r="I101" t="s">
        <v>514</v>
      </c>
    </row>
    <row r="102" spans="1:13">
      <c r="A102" t="s">
        <v>8</v>
      </c>
      <c r="B102" t="s">
        <v>10</v>
      </c>
      <c r="C102" t="s">
        <v>14</v>
      </c>
      <c r="D102" t="s">
        <v>15</v>
      </c>
      <c r="E102" t="s">
        <v>16</v>
      </c>
      <c r="F102" t="s">
        <v>115</v>
      </c>
      <c r="G102" t="s">
        <v>116</v>
      </c>
      <c r="I102" t="s">
        <v>8</v>
      </c>
      <c r="J102" t="s">
        <v>116</v>
      </c>
      <c r="K102" t="s">
        <v>16</v>
      </c>
      <c r="L102" t="s">
        <v>26</v>
      </c>
      <c r="M102" t="s">
        <v>21</v>
      </c>
    </row>
    <row r="103" spans="1:13">
      <c r="A103" s="59">
        <f>C30</f>
        <v>48.640785186047147</v>
      </c>
      <c r="B103" s="59">
        <f>C32</f>
        <v>6.35534772691501</v>
      </c>
      <c r="C103" s="59">
        <f>C36</f>
        <v>10.382627952963064</v>
      </c>
      <c r="D103" s="59">
        <f>C37</f>
        <v>1.6478794436111424</v>
      </c>
      <c r="E103" s="3">
        <f>C38</f>
        <v>111833.86399449916</v>
      </c>
      <c r="F103" s="59">
        <f>C28</f>
        <v>1.3843453190325286</v>
      </c>
      <c r="G103" s="59">
        <f>C33</f>
        <v>50.440916232668343</v>
      </c>
      <c r="I103">
        <v>34.053632</v>
      </c>
      <c r="J103">
        <v>8.1143419999999988</v>
      </c>
      <c r="K103">
        <v>65192.618957999992</v>
      </c>
      <c r="L103">
        <v>4.6557700000000004</v>
      </c>
      <c r="M103">
        <v>0.53208800000000001</v>
      </c>
    </row>
    <row r="105" spans="1:13">
      <c r="A105" t="s">
        <v>282</v>
      </c>
    </row>
    <row r="106" spans="1:13">
      <c r="A106" s="169" t="s">
        <v>97</v>
      </c>
      <c r="B106" s="50"/>
      <c r="C106" s="51"/>
      <c r="D106" s="51"/>
      <c r="E106" s="51"/>
      <c r="F106" s="51"/>
    </row>
    <row r="107" spans="1:13">
      <c r="A107" s="50"/>
      <c r="B107" s="50"/>
      <c r="C107" s="52"/>
      <c r="D107" s="339" t="s">
        <v>289</v>
      </c>
      <c r="E107" s="340"/>
    </row>
    <row r="108" spans="1:13">
      <c r="A108" s="50"/>
      <c r="B108" s="50"/>
      <c r="C108" s="53"/>
      <c r="D108" s="54" t="s">
        <v>99</v>
      </c>
      <c r="E108" s="55" t="s">
        <v>515</v>
      </c>
    </row>
    <row r="109" spans="1:13">
      <c r="A109" s="50"/>
      <c r="B109" s="50"/>
      <c r="C109" s="56" t="s">
        <v>101</v>
      </c>
      <c r="D109" s="57">
        <f>[3]Fuel_Prod_TS!$CV$875</f>
        <v>1.1525216005103397E-3</v>
      </c>
      <c r="E109" s="58">
        <f>[3]Fuel_Prod_TS!$DD$875</f>
        <v>1.1525216005103397E-3</v>
      </c>
    </row>
    <row r="110" spans="1:13">
      <c r="A110" s="50"/>
      <c r="B110" s="50"/>
      <c r="C110" s="56" t="s">
        <v>102</v>
      </c>
      <c r="D110" s="57">
        <f>[3]Fuel_Prod_TS!$CW$875</f>
        <v>0.42338739877550041</v>
      </c>
      <c r="E110" s="58">
        <v>0.5</v>
      </c>
    </row>
    <row r="111" spans="1:13">
      <c r="A111" s="50"/>
      <c r="B111" s="50"/>
      <c r="C111" s="56" t="s">
        <v>94</v>
      </c>
      <c r="D111" s="57">
        <f>[3]Fuel_Prod_TS!$CX$875</f>
        <v>0.18220635648586389</v>
      </c>
      <c r="E111" s="58">
        <v>1.4999999999999999E-2</v>
      </c>
    </row>
    <row r="112" spans="1:13">
      <c r="A112" s="50"/>
      <c r="B112" s="50"/>
      <c r="C112" s="56" t="s">
        <v>103</v>
      </c>
      <c r="D112" s="57">
        <f>[3]Fuel_Prod_TS!$CY$875</f>
        <v>0.33250596730454346</v>
      </c>
      <c r="E112" s="58">
        <v>0.437</v>
      </c>
    </row>
    <row r="113" spans="1:7">
      <c r="A113" s="50"/>
      <c r="B113" s="50"/>
      <c r="C113" s="56" t="s">
        <v>95</v>
      </c>
      <c r="D113" s="57">
        <f>[3]Fuel_Prod_TS!$CZ$875</f>
        <v>1.5735294807847386E-3</v>
      </c>
      <c r="E113" s="58">
        <v>2.1000000000000001E-2</v>
      </c>
    </row>
    <row r="114" spans="1:7">
      <c r="A114" s="50"/>
      <c r="B114" s="50"/>
      <c r="C114" s="54" t="s">
        <v>104</v>
      </c>
      <c r="D114" s="57">
        <f>[3]Fuel_Prod_TS!$DA$875</f>
        <v>5.9174226352797121E-2</v>
      </c>
      <c r="E114" s="58">
        <f>1-(E109+E110+E111+E112+E113)</f>
        <v>2.5847478399489643E-2</v>
      </c>
    </row>
    <row r="115" spans="1:7">
      <c r="C115" s="2" t="s">
        <v>106</v>
      </c>
      <c r="D115" s="60">
        <f>D109+D110+D111+D113</f>
        <v>0.60831980634265936</v>
      </c>
      <c r="E115" s="265">
        <f>E109+E110+E111</f>
        <v>0.51615252160051039</v>
      </c>
    </row>
    <row r="117" spans="1:7">
      <c r="A117" s="2" t="s">
        <v>283</v>
      </c>
    </row>
    <row r="118" spans="1:7">
      <c r="A118" t="s">
        <v>468</v>
      </c>
      <c r="B118" t="s">
        <v>10</v>
      </c>
      <c r="C118" t="s">
        <v>469</v>
      </c>
      <c r="D118" t="s">
        <v>470</v>
      </c>
      <c r="E118" t="s">
        <v>471</v>
      </c>
      <c r="F118" t="s">
        <v>115</v>
      </c>
      <c r="G118" t="s">
        <v>472</v>
      </c>
    </row>
    <row r="119" spans="1:7">
      <c r="A119" s="59">
        <f>I103/E115</f>
        <v>65.975909396712566</v>
      </c>
      <c r="B119" s="59">
        <f t="shared" ref="B119:F119" si="3">B103/$D$115</f>
        <v>10.447379257835832</v>
      </c>
      <c r="C119" s="59">
        <f>L103/E115</f>
        <v>9.0201438628317963</v>
      </c>
      <c r="D119" s="59">
        <f>M103/E115</f>
        <v>1.0308735843236339</v>
      </c>
      <c r="E119" s="59">
        <f>K103/E115</f>
        <v>126304.95101689633</v>
      </c>
      <c r="F119" s="59">
        <f t="shared" si="3"/>
        <v>2.2756867433850134</v>
      </c>
      <c r="G119" s="59">
        <f>J103/E115</f>
        <v>15.720822160935414</v>
      </c>
    </row>
  </sheetData>
  <sheetProtection algorithmName="SHA-512" hashValue="FOUABUCpXnAnM88lIS/S9s4JDp80iHJhN5XvfoJJRW4OGikCJOG32ubOOWIKrMqvd8E9o0HDeEK05VC7+MK/EA==" saltValue="ojm96KmuHpdOL6RzsMl0Ew==" spinCount="100000" sheet="1" objects="1" scenarios="1"/>
  <mergeCells count="5">
    <mergeCell ref="D47:E47"/>
    <mergeCell ref="G26:G28"/>
    <mergeCell ref="D67:E67"/>
    <mergeCell ref="D87:E87"/>
    <mergeCell ref="D107:E107"/>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88"/>
  <sheetViews>
    <sheetView topLeftCell="S1" workbookViewId="0">
      <selection activeCell="N9" sqref="N9"/>
    </sheetView>
  </sheetViews>
  <sheetFormatPr baseColWidth="10" defaultColWidth="11.5" defaultRowHeight="15"/>
  <cols>
    <col min="1" max="1" width="14.5" customWidth="1"/>
    <col min="2" max="2" width="17.83203125" customWidth="1"/>
    <col min="3" max="3" width="11.1640625" bestFit="1" customWidth="1"/>
    <col min="4" max="4" width="11.5" customWidth="1"/>
    <col min="5" max="5" width="11.6640625" bestFit="1" customWidth="1"/>
    <col min="6" max="6" width="15.33203125" bestFit="1" customWidth="1"/>
    <col min="8" max="8" width="17.83203125" customWidth="1"/>
    <col min="9" max="9" width="15.6640625" customWidth="1"/>
    <col min="10" max="10" width="16" customWidth="1"/>
    <col min="11" max="11" width="15" customWidth="1"/>
    <col min="12" max="12" width="15.5" customWidth="1"/>
    <col min="15" max="15" width="14.83203125" customWidth="1"/>
    <col min="16" max="16" width="13.6640625" bestFit="1" customWidth="1"/>
    <col min="17" max="17" width="13.1640625" customWidth="1"/>
    <col min="18" max="18" width="12.1640625" customWidth="1"/>
    <col min="19" max="19" width="14.1640625" customWidth="1"/>
    <col min="20" max="20" width="24.5" customWidth="1"/>
    <col min="21" max="21" width="9" customWidth="1"/>
    <col min="22" max="22" width="17.5" customWidth="1"/>
    <col min="23" max="23" width="14.5" customWidth="1"/>
    <col min="24" max="24" width="13.6640625" customWidth="1"/>
    <col min="25" max="25" width="14.33203125" customWidth="1"/>
    <col min="26" max="26" width="14.1640625" customWidth="1"/>
    <col min="27" max="27" width="7.5" customWidth="1"/>
    <col min="28" max="28" width="17" customWidth="1"/>
    <col min="29" max="30" width="13.33203125" bestFit="1" customWidth="1"/>
    <col min="31" max="31" width="12.83203125" bestFit="1" customWidth="1"/>
    <col min="34" max="34" width="16.5" customWidth="1"/>
    <col min="36" max="37" width="12.1640625" bestFit="1" customWidth="1"/>
    <col min="40" max="40" width="16.5" customWidth="1"/>
    <col min="41" max="41" width="16.83203125" bestFit="1" customWidth="1"/>
    <col min="42" max="42" width="14.83203125" customWidth="1"/>
    <col min="43" max="43" width="15.5" customWidth="1"/>
    <col min="45" max="45" width="11.1640625" bestFit="1" customWidth="1"/>
    <col min="46" max="46" width="11.1640625" customWidth="1"/>
    <col min="47" max="47" width="15.83203125" customWidth="1"/>
    <col min="48" max="48" width="17" customWidth="1"/>
    <col min="49" max="49" width="15.1640625" bestFit="1" customWidth="1"/>
    <col min="50" max="50" width="27.83203125" bestFit="1" customWidth="1"/>
  </cols>
  <sheetData>
    <row r="1" spans="1:49">
      <c r="A1" s="6"/>
      <c r="C1" s="6"/>
      <c r="AH1" s="6"/>
      <c r="AN1" s="6"/>
    </row>
    <row r="2" spans="1:49">
      <c r="B2" s="2" t="s">
        <v>513</v>
      </c>
      <c r="H2" s="2" t="s">
        <v>512</v>
      </c>
      <c r="O2" s="69" t="s">
        <v>168</v>
      </c>
      <c r="V2" s="2" t="s">
        <v>157</v>
      </c>
      <c r="AB2" s="2" t="s">
        <v>160</v>
      </c>
      <c r="AH2" s="2" t="s">
        <v>169</v>
      </c>
      <c r="AN2" s="2" t="s">
        <v>277</v>
      </c>
    </row>
    <row r="3" spans="1:49">
      <c r="B3" s="2"/>
      <c r="C3" s="32" t="s">
        <v>48</v>
      </c>
      <c r="D3" s="32" t="s">
        <v>155</v>
      </c>
      <c r="E3" s="32" t="s">
        <v>156</v>
      </c>
      <c r="F3" s="32"/>
      <c r="H3" s="2"/>
      <c r="I3" t="s">
        <v>48</v>
      </c>
      <c r="J3" s="32" t="s">
        <v>155</v>
      </c>
      <c r="K3" s="32" t="s">
        <v>156</v>
      </c>
      <c r="L3" s="32"/>
      <c r="O3" s="2"/>
      <c r="P3" t="s">
        <v>48</v>
      </c>
      <c r="Q3" s="32" t="s">
        <v>155</v>
      </c>
      <c r="R3" s="32" t="s">
        <v>156</v>
      </c>
      <c r="S3" s="32"/>
      <c r="T3" s="131" t="s">
        <v>167</v>
      </c>
      <c r="W3" t="s">
        <v>158</v>
      </c>
      <c r="X3" t="s">
        <v>159</v>
      </c>
      <c r="Y3" t="s">
        <v>51</v>
      </c>
      <c r="Z3" t="s">
        <v>49</v>
      </c>
      <c r="AC3" t="s">
        <v>158</v>
      </c>
      <c r="AD3" t="s">
        <v>159</v>
      </c>
      <c r="AE3" t="s">
        <v>51</v>
      </c>
      <c r="AF3" t="s">
        <v>49</v>
      </c>
      <c r="AI3" t="s">
        <v>48</v>
      </c>
      <c r="AJ3" s="32" t="s">
        <v>155</v>
      </c>
      <c r="AK3" s="32" t="s">
        <v>156</v>
      </c>
      <c r="AL3" s="32"/>
      <c r="AO3" t="s">
        <v>48</v>
      </c>
      <c r="AP3" s="32" t="s">
        <v>155</v>
      </c>
      <c r="AQ3" s="32" t="s">
        <v>156</v>
      </c>
      <c r="AR3" s="32"/>
    </row>
    <row r="4" spans="1:49">
      <c r="B4">
        <f>'Emissions Summary'!$A$17</f>
        <v>2025</v>
      </c>
      <c r="C4" s="126">
        <f>'Emissions Summary'!$C17</f>
        <v>9687.8341795790166</v>
      </c>
      <c r="D4" s="126">
        <f>'Emissions Summary'!$C47</f>
        <v>9687.8341795790166</v>
      </c>
      <c r="E4" s="126">
        <f>'Emissions Summary'!$C67</f>
        <v>9687.8341795790166</v>
      </c>
      <c r="F4" s="43"/>
      <c r="H4">
        <f>B4</f>
        <v>2025</v>
      </c>
      <c r="I4" s="126">
        <f>'Emissions Summary'!$F17</f>
        <v>679.38640606960541</v>
      </c>
      <c r="J4" s="126">
        <f>'Emissions Summary'!$F47</f>
        <v>679.38640606960541</v>
      </c>
      <c r="K4" s="126">
        <f>'Emissions Summary'!$F67</f>
        <v>679.38640606960541</v>
      </c>
      <c r="L4" s="43"/>
      <c r="O4">
        <f>H4</f>
        <v>2025</v>
      </c>
      <c r="P4" s="14">
        <f>'Emissions Summary'!J17*Tables!T4</f>
        <v>25.060316948631616</v>
      </c>
      <c r="Q4" s="14">
        <f>'Emissions Summary'!J47*Tables!T4</f>
        <v>25.060316948631616</v>
      </c>
      <c r="R4" s="14">
        <f>'Emissions Summary'!J67*T4</f>
        <v>25.060316948631616</v>
      </c>
      <c r="S4" s="43"/>
      <c r="T4" s="131">
        <f>B56/B57</f>
        <v>9.0718499999999998E-7</v>
      </c>
      <c r="V4">
        <v>2025</v>
      </c>
      <c r="W4" s="44">
        <f>'Combined MOVES output'!AF18</f>
        <v>38012720142.525383</v>
      </c>
      <c r="X4" s="44">
        <f>'Combined MOVES output'!AF19</f>
        <v>35609724748.966461</v>
      </c>
      <c r="Y4" s="44">
        <f>'Combined MOVES output'!AF20</f>
        <v>2974451108.3076925</v>
      </c>
      <c r="Z4" s="44">
        <f t="shared" ref="Z4:Z28" si="0">SUM(W4:Y4)</f>
        <v>76596895999.799545</v>
      </c>
      <c r="AB4">
        <f>V4</f>
        <v>2025</v>
      </c>
      <c r="AC4" s="11">
        <f>'Combined MOVES output'!AE18</f>
        <v>3247602.260427475</v>
      </c>
      <c r="AD4" s="11">
        <f>'Combined MOVES output'!AE19</f>
        <v>3047829.4918574151</v>
      </c>
      <c r="AE4" s="11">
        <f>'Combined MOVES output'!AE20</f>
        <v>249658.58922714656</v>
      </c>
      <c r="AF4" s="13">
        <f t="shared" ref="AF4:AF19" si="1">SUM(AC4:AE4)</f>
        <v>6545090.3415120365</v>
      </c>
      <c r="AH4">
        <f t="shared" ref="AH4:AH19" si="2">AB4</f>
        <v>2025</v>
      </c>
      <c r="AI4" s="11">
        <f>'Fleet ZEV fractions'!Z17</f>
        <v>198663.10981509608</v>
      </c>
      <c r="AJ4" s="11">
        <f>'Fleet ZEV fractions'!AL17</f>
        <v>198663.10981509608</v>
      </c>
      <c r="AK4" s="11">
        <f>'Fleet ZEV fractions'!AR17</f>
        <v>198663.10981509608</v>
      </c>
      <c r="AL4" s="43"/>
      <c r="AN4">
        <f t="shared" ref="AN4:AN19" si="3">AH4</f>
        <v>2025</v>
      </c>
      <c r="AO4" s="11">
        <f>AI4/AF4*Z4</f>
        <v>2324945381.5771575</v>
      </c>
      <c r="AP4" s="11">
        <f>AJ4/AF4*Z4</f>
        <v>2324945381.5771575</v>
      </c>
      <c r="AQ4" s="11">
        <f>AK4/AF4*Z4</f>
        <v>2324945381.5771575</v>
      </c>
      <c r="AR4" s="43"/>
    </row>
    <row r="5" spans="1:49">
      <c r="B5">
        <f t="shared" ref="B5:B19" si="4">B4+1</f>
        <v>2026</v>
      </c>
      <c r="C5" s="126">
        <f>'Emissions Summary'!$C18</f>
        <v>8814.8801167661131</v>
      </c>
      <c r="D5" s="126">
        <f>'Emissions Summary'!$C48</f>
        <v>8763.3145443445246</v>
      </c>
      <c r="E5" s="126">
        <f>'Emissions Summary'!$C68</f>
        <v>8814.8801167661131</v>
      </c>
      <c r="F5" s="10"/>
      <c r="H5">
        <f t="shared" ref="H5:H19" si="5">H4+1</f>
        <v>2026</v>
      </c>
      <c r="I5" s="126">
        <f>'Emissions Summary'!$F18</f>
        <v>669.03668054426339</v>
      </c>
      <c r="J5" s="126">
        <f>'Emissions Summary'!$F48</f>
        <v>666.22329737562336</v>
      </c>
      <c r="K5" s="126">
        <f>'Emissions Summary'!$F68</f>
        <v>669.03668054426339</v>
      </c>
      <c r="L5" s="10"/>
      <c r="O5">
        <f t="shared" ref="O5:O19" si="6">O4+1</f>
        <v>2026</v>
      </c>
      <c r="P5" s="14">
        <f>'Emissions Summary'!J18*Tables!T5</f>
        <v>24.515295699304094</v>
      </c>
      <c r="Q5" s="14">
        <f>'Emissions Summary'!J48*Tables!T5</f>
        <v>24.13695086072806</v>
      </c>
      <c r="R5" s="14">
        <f>'Emissions Summary'!J68*T5</f>
        <v>24.515295699304094</v>
      </c>
      <c r="S5" s="10"/>
      <c r="T5" s="131">
        <f>T4</f>
        <v>9.0718499999999998E-7</v>
      </c>
      <c r="V5">
        <v>2026</v>
      </c>
      <c r="W5" s="3">
        <f>W4+0.2*(W9-W4)</f>
        <v>38274223107.402306</v>
      </c>
      <c r="X5" s="3">
        <f t="shared" ref="X5" si="7">X4+0.2*(X9-X4)</f>
        <v>35787432736.024773</v>
      </c>
      <c r="Y5" s="3">
        <f t="shared" ref="Y5" si="8">Y4+0.2*(Y9-Y4)</f>
        <v>3005044821.8461542</v>
      </c>
      <c r="Z5" s="44">
        <f t="shared" si="0"/>
        <v>77066700665.273239</v>
      </c>
      <c r="AB5">
        <f t="shared" ref="AB5:AB19" si="9">AB4+1</f>
        <v>2026</v>
      </c>
      <c r="AC5" s="10">
        <f>ROUND(AC$4+1/5*(AC$9-AC$4),-1)</f>
        <v>3254070</v>
      </c>
      <c r="AD5" s="10">
        <f t="shared" ref="AD5:AE5" si="10">ROUND(AD$4+1/5*(AD$9-AD$4),-1)</f>
        <v>3053900</v>
      </c>
      <c r="AE5" s="10">
        <f t="shared" si="10"/>
        <v>250160</v>
      </c>
      <c r="AF5" s="13">
        <f t="shared" si="1"/>
        <v>6558130</v>
      </c>
      <c r="AH5">
        <f t="shared" si="2"/>
        <v>2026</v>
      </c>
      <c r="AI5" s="11">
        <f>'Fleet ZEV fractions'!Z18</f>
        <v>260348.75746608747</v>
      </c>
      <c r="AJ5" s="11">
        <f>'Fleet ZEV fractions'!AL18</f>
        <v>299081.60599112854</v>
      </c>
      <c r="AK5" s="11">
        <f>'Fleet ZEV fractions'!AR18</f>
        <v>260348.75746608747</v>
      </c>
      <c r="AL5" s="10"/>
      <c r="AN5">
        <f t="shared" si="3"/>
        <v>2026</v>
      </c>
      <c r="AO5" s="11">
        <f t="shared" ref="AO5:AO29" si="11">AI5/AF5*Z5</f>
        <v>3059442212.980649</v>
      </c>
      <c r="AP5" s="11">
        <f t="shared" ref="AP5:AP19" si="12">AJ5/AF5*Z5</f>
        <v>3514604407.5685439</v>
      </c>
      <c r="AQ5" s="11">
        <f t="shared" ref="AQ5:AQ29" si="13">AK5/AF5*Z5</f>
        <v>3059442212.980649</v>
      </c>
      <c r="AR5" s="10"/>
      <c r="AT5" s="2" t="s">
        <v>616</v>
      </c>
    </row>
    <row r="6" spans="1:49">
      <c r="B6">
        <f t="shared" si="4"/>
        <v>2027</v>
      </c>
      <c r="C6" s="126">
        <f>'Emissions Summary'!$C19</f>
        <v>7945.3031688236424</v>
      </c>
      <c r="D6" s="126">
        <f>'Emissions Summary'!$C49</f>
        <v>7822.7672241211703</v>
      </c>
      <c r="E6" s="126">
        <f>'Emissions Summary'!$C69</f>
        <v>7831.6463884888117</v>
      </c>
      <c r="F6" s="10"/>
      <c r="H6">
        <f t="shared" si="5"/>
        <v>2027</v>
      </c>
      <c r="I6" s="126">
        <f>'Emissions Summary'!$F19</f>
        <v>658.6524708390657</v>
      </c>
      <c r="J6" s="126">
        <f>'Emissions Summary'!$F49</f>
        <v>651.54433949726013</v>
      </c>
      <c r="K6" s="126">
        <f>'Emissions Summary'!$F69</f>
        <v>652.05940686532028</v>
      </c>
      <c r="L6" s="10"/>
      <c r="O6">
        <f t="shared" si="6"/>
        <v>2027</v>
      </c>
      <c r="P6" s="14">
        <f>'Emissions Summary'!J19*Tables!T6</f>
        <v>23.799539194593933</v>
      </c>
      <c r="Q6" s="14">
        <f>'Emissions Summary'!J49*Tables!T6</f>
        <v>22.81546801116059</v>
      </c>
      <c r="R6" s="14">
        <f>'Emissions Summary'!J69*T6</f>
        <v>22.865071704575595</v>
      </c>
      <c r="S6" s="10"/>
      <c r="T6" s="131">
        <f t="shared" ref="T6:T29" si="14">T5</f>
        <v>9.0718499999999998E-7</v>
      </c>
      <c r="V6">
        <v>2027</v>
      </c>
      <c r="W6" s="3">
        <f>W4+0.4*(W9-W4)</f>
        <v>38535726072.279228</v>
      </c>
      <c r="X6" s="3">
        <f t="shared" ref="X6:Y6" si="15">X4+0.4*(X9-X4)</f>
        <v>35965140723.083076</v>
      </c>
      <c r="Y6" s="3">
        <f t="shared" si="15"/>
        <v>3035638535.3846154</v>
      </c>
      <c r="Z6" s="44">
        <f t="shared" si="0"/>
        <v>77536505330.746918</v>
      </c>
      <c r="AB6">
        <f t="shared" si="9"/>
        <v>2027</v>
      </c>
      <c r="AC6" s="10">
        <f>ROUND(AC$4+2/5*(AC$9-AC$4),-1)</f>
        <v>3260540</v>
      </c>
      <c r="AD6" s="10">
        <f t="shared" ref="AD6:AE6" si="16">ROUND(AD$4+2/5*(AD$9-AD$4),-1)</f>
        <v>3059970</v>
      </c>
      <c r="AE6" s="10">
        <f t="shared" si="16"/>
        <v>250650</v>
      </c>
      <c r="AF6" s="13">
        <f t="shared" si="1"/>
        <v>6571160</v>
      </c>
      <c r="AH6">
        <f t="shared" si="2"/>
        <v>2027</v>
      </c>
      <c r="AI6" s="11">
        <f>'Fleet ZEV fractions'!Z19</f>
        <v>322073.85818255343</v>
      </c>
      <c r="AJ6" s="11">
        <f>'Fleet ZEV fractions'!AL19</f>
        <v>422531.80742406042</v>
      </c>
      <c r="AK6" s="11">
        <f>'Fleet ZEV fractions'!AR19</f>
        <v>383798.95889901934</v>
      </c>
      <c r="AL6" s="10"/>
      <c r="AN6">
        <f t="shared" si="3"/>
        <v>2027</v>
      </c>
      <c r="AO6" s="11">
        <f t="shared" si="11"/>
        <v>3800315533.6144276</v>
      </c>
      <c r="AP6" s="11">
        <f t="shared" si="12"/>
        <v>4985670678.9586296</v>
      </c>
      <c r="AQ6" s="11">
        <f t="shared" si="13"/>
        <v>4528641826.1933861</v>
      </c>
      <c r="AR6" s="10"/>
    </row>
    <row r="7" spans="1:49">
      <c r="B7">
        <f t="shared" si="4"/>
        <v>2028</v>
      </c>
      <c r="C7" s="126">
        <f>'Emissions Summary'!$C20</f>
        <v>7074.0853678970598</v>
      </c>
      <c r="D7" s="126">
        <f>'Emissions Summary'!$C50</f>
        <v>6877.2062039517677</v>
      </c>
      <c r="E7" s="126">
        <f>'Emissions Summary'!$C70</f>
        <v>6891.0522402437273</v>
      </c>
      <c r="F7" s="10"/>
      <c r="H7">
        <f t="shared" si="5"/>
        <v>2028</v>
      </c>
      <c r="I7" s="126">
        <f>'Emissions Summary'!$F20</f>
        <v>647.63147173149036</v>
      </c>
      <c r="J7" s="126">
        <f>'Emissions Summary'!$F50</f>
        <v>635.32461592272114</v>
      </c>
      <c r="K7" s="126">
        <f>'Emissions Summary'!$F70</f>
        <v>636.19012738037588</v>
      </c>
      <c r="L7" s="10"/>
      <c r="O7">
        <f t="shared" si="6"/>
        <v>2028</v>
      </c>
      <c r="P7" s="14">
        <f>'Emissions Summary'!J20*Tables!T7</f>
        <v>22.924621904543141</v>
      </c>
      <c r="Q7" s="14">
        <f>'Emissions Summary'!J50*Tables!T7</f>
        <v>21.202252363542943</v>
      </c>
      <c r="R7" s="14">
        <f>'Emissions Summary'!J70*T7</f>
        <v>21.307674847873781</v>
      </c>
      <c r="S7" s="10"/>
      <c r="T7" s="131">
        <f t="shared" si="14"/>
        <v>9.0718499999999998E-7</v>
      </c>
      <c r="V7">
        <v>2028</v>
      </c>
      <c r="W7" s="3">
        <f>W4+0.6*(W9-W4)</f>
        <v>38797229037.156151</v>
      </c>
      <c r="X7" s="3">
        <f t="shared" ref="X7:Y7" si="17">X4+0.6*(X9-X4)</f>
        <v>36142848710.141388</v>
      </c>
      <c r="Y7" s="3">
        <f t="shared" si="17"/>
        <v>3066232248.9230771</v>
      </c>
      <c r="Z7" s="44">
        <f t="shared" si="0"/>
        <v>78006309996.220627</v>
      </c>
      <c r="AB7">
        <f t="shared" si="9"/>
        <v>2028</v>
      </c>
      <c r="AC7" s="10">
        <f>ROUND(AC$4+3/5*(AC$9-AC$4),-1)</f>
        <v>3267010</v>
      </c>
      <c r="AD7" s="10">
        <f t="shared" ref="AD7:AE7" si="18">ROUND(AD$4+3/5*(AD$9-AD$4),-1)</f>
        <v>3066040</v>
      </c>
      <c r="AE7" s="10">
        <f t="shared" si="18"/>
        <v>251150</v>
      </c>
      <c r="AF7" s="13">
        <f t="shared" si="1"/>
        <v>6584200</v>
      </c>
      <c r="AH7">
        <f t="shared" si="2"/>
        <v>2028</v>
      </c>
      <c r="AI7" s="11">
        <f>'Fleet ZEV fractions'!Z20</f>
        <v>383838.08192091598</v>
      </c>
      <c r="AJ7" s="11">
        <f>'Fleet ZEV fractions'!AL20</f>
        <v>569042.2916406414</v>
      </c>
      <c r="AK7" s="11">
        <f>'Fleet ZEV fractions'!AR20</f>
        <v>530309.44311560027</v>
      </c>
      <c r="AL7" s="10"/>
      <c r="AN7">
        <f t="shared" si="3"/>
        <v>2028</v>
      </c>
      <c r="AO7" s="11">
        <f t="shared" si="11"/>
        <v>4547521704.4861488</v>
      </c>
      <c r="AP7" s="11">
        <f t="shared" si="12"/>
        <v>6741728593.0985785</v>
      </c>
      <c r="AQ7" s="11">
        <f t="shared" si="13"/>
        <v>6282841167.2790384</v>
      </c>
      <c r="AR7" s="10"/>
      <c r="AU7" t="s">
        <v>56</v>
      </c>
      <c r="AV7" t="s">
        <v>57</v>
      </c>
      <c r="AW7" t="s">
        <v>53</v>
      </c>
    </row>
    <row r="8" spans="1:49">
      <c r="B8">
        <f t="shared" si="4"/>
        <v>2029</v>
      </c>
      <c r="C8" s="126">
        <f>'Emissions Summary'!$C21</f>
        <v>6200.2387782923652</v>
      </c>
      <c r="D8" s="126">
        <f>'Emissions Summary'!$C51</f>
        <v>5922.8886011572977</v>
      </c>
      <c r="E8" s="126">
        <f>'Emissions Summary'!$C71</f>
        <v>5941.7930724259513</v>
      </c>
      <c r="F8" s="10"/>
      <c r="H8">
        <f t="shared" si="5"/>
        <v>2029</v>
      </c>
      <c r="I8" s="126">
        <f>'Emissions Summary'!$F21</f>
        <v>635.9399142142596</v>
      </c>
      <c r="J8" s="126">
        <f>'Emissions Summary'!$F51</f>
        <v>617.54014457674339</v>
      </c>
      <c r="K8" s="126">
        <f>'Emissions Summary'!$F71</f>
        <v>618.79429166276759</v>
      </c>
      <c r="L8" s="10"/>
      <c r="O8">
        <f t="shared" si="6"/>
        <v>2029</v>
      </c>
      <c r="P8" s="14">
        <f>'Emissions Summary'!J21*Tables!T8</f>
        <v>21.949404329707356</v>
      </c>
      <c r="Q8" s="14">
        <f>'Emissions Summary'!J51*Tables!T8</f>
        <v>19.390579801946675</v>
      </c>
      <c r="R8" s="14">
        <f>'Emissions Summary'!J71*T8</f>
        <v>19.555041452785932</v>
      </c>
      <c r="S8" s="10"/>
      <c r="T8" s="131">
        <f t="shared" si="14"/>
        <v>9.0718499999999998E-7</v>
      </c>
      <c r="V8">
        <v>2029</v>
      </c>
      <c r="W8" s="3">
        <f>W4+0.8*(W9-W4)</f>
        <v>39058732002.033073</v>
      </c>
      <c r="X8" s="3">
        <f t="shared" ref="X8" si="19">X4+0.8*(X9-X4)</f>
        <v>36320556697.199692</v>
      </c>
      <c r="Y8" s="3">
        <f t="shared" ref="Y8" si="20">Y4+0.8*(Y9-Y4)</f>
        <v>3096825962.4615383</v>
      </c>
      <c r="Z8" s="44">
        <f t="shared" si="0"/>
        <v>78476114661.69429</v>
      </c>
      <c r="AB8">
        <f t="shared" si="9"/>
        <v>2029</v>
      </c>
      <c r="AC8" s="10">
        <f>ROUND(AC$4+4/5*(AC$9-AC$4),-1)</f>
        <v>3273480</v>
      </c>
      <c r="AD8" s="10">
        <f t="shared" ref="AD8:AE8" si="21">ROUND(AD$4+4/5*(AD$9-AD$4),-1)</f>
        <v>3072110</v>
      </c>
      <c r="AE8" s="10">
        <f t="shared" si="21"/>
        <v>251650</v>
      </c>
      <c r="AF8" s="13">
        <f t="shared" si="1"/>
        <v>6597240</v>
      </c>
      <c r="AH8">
        <f t="shared" si="2"/>
        <v>2029</v>
      </c>
      <c r="AI8" s="11">
        <f>'Fleet ZEV fractions'!Z21</f>
        <v>445641.09863759723</v>
      </c>
      <c r="AJ8" s="11">
        <f>'Fleet ZEV fractions'!AL21</f>
        <v>738641.26774688298</v>
      </c>
      <c r="AK8" s="11">
        <f>'Fleet ZEV fractions'!AR21</f>
        <v>699908.41922184173</v>
      </c>
      <c r="AL8" s="10"/>
      <c r="AN8">
        <f t="shared" si="3"/>
        <v>2029</v>
      </c>
      <c r="AO8" s="11">
        <f t="shared" si="11"/>
        <v>5301032242.9754705</v>
      </c>
      <c r="AP8" s="11">
        <f t="shared" si="12"/>
        <v>8786355630.7734184</v>
      </c>
      <c r="AQ8" s="11">
        <f t="shared" si="13"/>
        <v>8325616979.1516523</v>
      </c>
      <c r="AR8" s="10"/>
      <c r="AT8" s="8" t="s">
        <v>162</v>
      </c>
      <c r="AU8" s="290">
        <f>SUM(E4:E29)-SUM(C4:C29)</f>
        <v>-25997.53646499975</v>
      </c>
      <c r="AV8" s="290">
        <f>SUM(K4:K29)-SUM(I4:I29)</f>
        <v>-1775.0135643246995</v>
      </c>
      <c r="AW8" s="297">
        <f>SUM(R4:R29)-SUM(P4:P29)</f>
        <v>-270.14456607079546</v>
      </c>
    </row>
    <row r="9" spans="1:49">
      <c r="B9">
        <f t="shared" si="4"/>
        <v>2030</v>
      </c>
      <c r="C9" s="126">
        <f>'Emissions Summary'!$C22</f>
        <v>5321.40601118207</v>
      </c>
      <c r="D9" s="126">
        <f>'Emissions Summary'!$C52</f>
        <v>4972.9312735550284</v>
      </c>
      <c r="E9" s="126">
        <f>'Emissions Summary'!$C72</f>
        <v>4995.8240994985263</v>
      </c>
      <c r="F9" s="43"/>
      <c r="G9" s="12"/>
      <c r="H9">
        <f t="shared" si="5"/>
        <v>2030</v>
      </c>
      <c r="I9" s="126">
        <f>'Emissions Summary'!$F22</f>
        <v>620.71528059123148</v>
      </c>
      <c r="J9" s="126">
        <f>'Emissions Summary'!$F52</f>
        <v>595.6281693274982</v>
      </c>
      <c r="K9" s="126">
        <f>'Emissions Summary'!$F72</f>
        <v>597.2762511238908</v>
      </c>
      <c r="L9" s="43"/>
      <c r="N9" s="15">
        <f>R9-P9</f>
        <v>-3.2644925803196578</v>
      </c>
      <c r="O9">
        <f t="shared" si="6"/>
        <v>2030</v>
      </c>
      <c r="P9" s="14">
        <f>'Emissions Summary'!J22*Tables!T9</f>
        <v>20.98568900873801</v>
      </c>
      <c r="Q9" s="14">
        <f>'Emissions Summary'!J52*Tables!T9</f>
        <v>17.496786509930438</v>
      </c>
      <c r="R9" s="14">
        <f>'Emissions Summary'!J72*T9</f>
        <v>17.721196428418352</v>
      </c>
      <c r="S9" s="43"/>
      <c r="T9" s="131">
        <f t="shared" si="14"/>
        <v>9.0718499999999998E-7</v>
      </c>
      <c r="V9">
        <v>2030</v>
      </c>
      <c r="W9" s="44">
        <f>'Combined MOVES output'!AF23</f>
        <v>39320234966.909996</v>
      </c>
      <c r="X9" s="44">
        <f>'Combined MOVES output'!AF24</f>
        <v>36498264684.258003</v>
      </c>
      <c r="Y9" s="44">
        <f>'Combined MOVES output'!AF25</f>
        <v>3127419676</v>
      </c>
      <c r="Z9" s="44">
        <f t="shared" si="0"/>
        <v>78945919327.167999</v>
      </c>
      <c r="AB9">
        <f t="shared" si="9"/>
        <v>2030</v>
      </c>
      <c r="AC9" s="11">
        <f>'Combined MOVES output'!AE23</f>
        <v>3279947.094215272</v>
      </c>
      <c r="AD9" s="11">
        <f>'Combined MOVES output'!AE24</f>
        <v>3078184.6678987993</v>
      </c>
      <c r="AE9" s="11">
        <f>'Combined MOVES output'!AE25</f>
        <v>252145.09001286316</v>
      </c>
      <c r="AF9" s="13">
        <f t="shared" si="1"/>
        <v>6610276.8521269346</v>
      </c>
      <c r="AG9" s="12">
        <f>AC9+AD9</f>
        <v>6358131.7621140713</v>
      </c>
      <c r="AH9">
        <f t="shared" si="2"/>
        <v>2030</v>
      </c>
      <c r="AI9" s="11">
        <f>'Fleet ZEV fractions'!Z22</f>
        <v>507482.57828901923</v>
      </c>
      <c r="AJ9" s="11">
        <f>'Fleet ZEV fractions'!AL22</f>
        <v>934232.92431882233</v>
      </c>
      <c r="AK9" s="11">
        <f>'Fleet ZEV fractions'!AR22</f>
        <v>895500.07579378108</v>
      </c>
      <c r="AL9" s="43"/>
      <c r="AN9">
        <f t="shared" si="3"/>
        <v>2030</v>
      </c>
      <c r="AO9" s="11">
        <f t="shared" si="11"/>
        <v>6060817055.2882624</v>
      </c>
      <c r="AP9" s="11">
        <f t="shared" si="12"/>
        <v>11157456597.65019</v>
      </c>
      <c r="AQ9" s="11">
        <f t="shared" si="13"/>
        <v>10694873803.710865</v>
      </c>
      <c r="AR9" s="43"/>
    </row>
    <row r="10" spans="1:49">
      <c r="B10">
        <f t="shared" si="4"/>
        <v>2031</v>
      </c>
      <c r="C10" s="126">
        <f>'Emissions Summary'!$C23</f>
        <v>4925.404023778281</v>
      </c>
      <c r="D10" s="126">
        <f>'Emissions Summary'!$C53</f>
        <v>4479.0662911186646</v>
      </c>
      <c r="E10" s="126">
        <f>'Emissions Summary'!$C73</f>
        <v>4507.1358672503484</v>
      </c>
      <c r="F10" s="10"/>
      <c r="G10" s="12"/>
      <c r="H10">
        <f t="shared" si="5"/>
        <v>2031</v>
      </c>
      <c r="I10" s="126">
        <f>'Emissions Summary'!$F23</f>
        <v>610.50259079854413</v>
      </c>
      <c r="J10" s="126">
        <f>'Emissions Summary'!$F53</f>
        <v>577.92198032244983</v>
      </c>
      <c r="K10" s="126">
        <f>'Emissions Summary'!$F73</f>
        <v>579.97093083516154</v>
      </c>
      <c r="L10" s="10"/>
      <c r="O10">
        <f t="shared" si="6"/>
        <v>2031</v>
      </c>
      <c r="P10" s="14">
        <f>'Emissions Summary'!J23*Tables!T10</f>
        <v>20.266860650480982</v>
      </c>
      <c r="Q10" s="14">
        <f>'Emissions Summary'!J53*Tables!T10</f>
        <v>15.716935568705374</v>
      </c>
      <c r="R10" s="14">
        <f>'Emissions Summary'!J73*T10</f>
        <v>16.002256250763601</v>
      </c>
      <c r="S10" s="10"/>
      <c r="T10" s="131">
        <f t="shared" si="14"/>
        <v>9.0718499999999998E-7</v>
      </c>
      <c r="V10">
        <v>2031</v>
      </c>
      <c r="W10" s="3">
        <f>W9+0.2*(W14-W9)</f>
        <v>39716102938.310928</v>
      </c>
      <c r="X10" s="3">
        <f t="shared" ref="X10" si="22">X9+0.2*(X14-X9)</f>
        <v>36446900833.638069</v>
      </c>
      <c r="Y10" s="3">
        <f t="shared" ref="Y10" si="23">Y9+0.2*(Y14-Y9)</f>
        <v>3156830036.6554098</v>
      </c>
      <c r="Z10" s="44">
        <f t="shared" si="0"/>
        <v>79319833808.604416</v>
      </c>
      <c r="AB10">
        <f t="shared" si="9"/>
        <v>2031</v>
      </c>
      <c r="AC10" s="10">
        <f>ROUND(AC$9+1/5*(AC$14-AC$9),-1)</f>
        <v>3282490</v>
      </c>
      <c r="AD10" s="10">
        <f t="shared" ref="AD10:AE10" si="24">ROUND(AD$9+1/5*(AD$14-AD$9),-1)</f>
        <v>3087810</v>
      </c>
      <c r="AE10" s="10">
        <f t="shared" si="24"/>
        <v>252680</v>
      </c>
      <c r="AF10" s="13">
        <f t="shared" si="1"/>
        <v>6622980</v>
      </c>
      <c r="AH10">
        <f t="shared" si="2"/>
        <v>2031</v>
      </c>
      <c r="AI10" s="11">
        <f>'Fleet ZEV fractions'!Z23</f>
        <v>569663.34996473952</v>
      </c>
      <c r="AJ10" s="11">
        <f>'Fleet ZEV fractions'!AL23</f>
        <v>1154034.7218702056</v>
      </c>
      <c r="AK10" s="11">
        <f>'Fleet ZEV fractions'!AR23</f>
        <v>1115301.8733451643</v>
      </c>
      <c r="AL10" s="10"/>
      <c r="AN10">
        <f t="shared" si="3"/>
        <v>2031</v>
      </c>
      <c r="AO10" s="11">
        <f t="shared" si="11"/>
        <v>6822548497.2106209</v>
      </c>
      <c r="AP10" s="11">
        <f t="shared" si="12"/>
        <v>13821246983.699745</v>
      </c>
      <c r="AQ10" s="11">
        <f t="shared" si="13"/>
        <v>13357364696.883217</v>
      </c>
      <c r="AR10" s="10"/>
    </row>
    <row r="11" spans="1:49">
      <c r="B11">
        <f t="shared" si="4"/>
        <v>2032</v>
      </c>
      <c r="C11" s="126">
        <f>'Emissions Summary'!$C24</f>
        <v>4527.5549181626229</v>
      </c>
      <c r="D11" s="126">
        <f>'Emissions Summary'!$C54</f>
        <v>3986.1541995809007</v>
      </c>
      <c r="E11" s="126">
        <f>'Emissions Summary'!$C74</f>
        <v>4018.5722630876239</v>
      </c>
      <c r="F11" s="10"/>
      <c r="G11" s="12"/>
      <c r="H11">
        <f t="shared" si="5"/>
        <v>2032</v>
      </c>
      <c r="I11" s="126">
        <f>'Emissions Summary'!$F24</f>
        <v>597.06756538267848</v>
      </c>
      <c r="J11" s="126">
        <f>'Emissions Summary'!$F54</f>
        <v>556.9435748913728</v>
      </c>
      <c r="K11" s="126">
        <f>'Emissions Summary'!$F74</f>
        <v>559.3461244766371</v>
      </c>
      <c r="L11" s="10"/>
      <c r="O11">
        <f t="shared" si="6"/>
        <v>2032</v>
      </c>
      <c r="P11" s="14">
        <f>'Emissions Summary'!J24*Tables!T11</f>
        <v>19.552969433458962</v>
      </c>
      <c r="Q11" s="14">
        <f>'Emissions Summary'!J54*Tables!T11</f>
        <v>13.909506382754037</v>
      </c>
      <c r="R11" s="14">
        <f>'Emissions Summary'!J74*T11</f>
        <v>14.250064551181131</v>
      </c>
      <c r="S11" s="10"/>
      <c r="T11" s="131">
        <f t="shared" si="14"/>
        <v>9.0718499999999998E-7</v>
      </c>
      <c r="V11">
        <v>2032</v>
      </c>
      <c r="W11" s="3">
        <f>W9+0.4*(W14-W9)</f>
        <v>40111970909.711868</v>
      </c>
      <c r="X11" s="3">
        <f t="shared" ref="X11:Y11" si="25">X9+0.4*(X14-X9)</f>
        <v>36395536983.018127</v>
      </c>
      <c r="Y11" s="3">
        <f t="shared" si="25"/>
        <v>3186240397.3108201</v>
      </c>
      <c r="Z11" s="44">
        <f t="shared" si="0"/>
        <v>79693748290.040817</v>
      </c>
      <c r="AB11">
        <f t="shared" si="9"/>
        <v>2032</v>
      </c>
      <c r="AC11" s="10">
        <f>ROUND(AC$9+2/5*(AC$14-AC$9),-1)</f>
        <v>3285040</v>
      </c>
      <c r="AD11" s="10">
        <f t="shared" ref="AD11:AE11" si="26">ROUND(AD$9+2/5*(AD$14-AD$9),-1)</f>
        <v>3097430</v>
      </c>
      <c r="AE11" s="10">
        <f t="shared" si="26"/>
        <v>253220</v>
      </c>
      <c r="AF11" s="13">
        <f t="shared" si="1"/>
        <v>6635690</v>
      </c>
      <c r="AH11">
        <f t="shared" si="2"/>
        <v>2032</v>
      </c>
      <c r="AI11" s="11">
        <f>'Fleet ZEV fractions'!Z24</f>
        <v>632183.50571897486</v>
      </c>
      <c r="AJ11" s="11">
        <f>'Fleet ZEV fractions'!AL24</f>
        <v>1392483.6880026383</v>
      </c>
      <c r="AK11" s="11">
        <f>'Fleet ZEV fractions'!AR24</f>
        <v>1353750.839477597</v>
      </c>
      <c r="AL11" s="10"/>
      <c r="AN11">
        <f t="shared" si="3"/>
        <v>2032</v>
      </c>
      <c r="AO11" s="11">
        <f t="shared" si="11"/>
        <v>7592439245.6373882</v>
      </c>
      <c r="AP11" s="11">
        <f t="shared" si="12"/>
        <v>16723542620.235422</v>
      </c>
      <c r="AQ11" s="11">
        <f t="shared" si="13"/>
        <v>16258366296.309664</v>
      </c>
      <c r="AR11" s="10"/>
      <c r="AT11" s="2" t="s">
        <v>370</v>
      </c>
    </row>
    <row r="12" spans="1:49">
      <c r="B12">
        <f t="shared" si="4"/>
        <v>2033</v>
      </c>
      <c r="C12" s="126">
        <f>'Emissions Summary'!$C25</f>
        <v>4128.5947318163226</v>
      </c>
      <c r="D12" s="126">
        <f>'Emissions Summary'!$C55</f>
        <v>3502.4715044434324</v>
      </c>
      <c r="E12" s="126">
        <f>'Emissions Summary'!$C75</f>
        <v>3537.9273211634941</v>
      </c>
      <c r="F12" s="10"/>
      <c r="G12" s="12"/>
      <c r="H12">
        <f t="shared" si="5"/>
        <v>2033</v>
      </c>
      <c r="I12" s="126">
        <f>'Emissions Summary'!$F25</f>
        <v>583.21895360074427</v>
      </c>
      <c r="J12" s="126">
        <f>'Emissions Summary'!$F55</f>
        <v>535.63931474109108</v>
      </c>
      <c r="K12" s="126">
        <f>'Emissions Summary'!$F75</f>
        <v>538.33363253871187</v>
      </c>
      <c r="L12" s="10"/>
      <c r="O12">
        <f t="shared" si="6"/>
        <v>2033</v>
      </c>
      <c r="P12" s="14">
        <f>'Emissions Summary'!J25*Tables!T12</f>
        <v>18.864171490695337</v>
      </c>
      <c r="Q12" s="14">
        <f>'Emissions Summary'!J55*Tables!T12</f>
        <v>12.145313331652211</v>
      </c>
      <c r="R12" s="14">
        <f>'Emissions Summary'!J75*T12</f>
        <v>12.531250750899417</v>
      </c>
      <c r="S12" s="10"/>
      <c r="T12" s="131">
        <f t="shared" si="14"/>
        <v>9.0718499999999998E-7</v>
      </c>
      <c r="V12">
        <v>2033</v>
      </c>
      <c r="W12" s="3">
        <f>W9+0.6*(W14-W9)</f>
        <v>40507838881.112801</v>
      </c>
      <c r="X12" s="3">
        <f t="shared" ref="X12:Y12" si="27">X9+0.6*(X14-X9)</f>
        <v>36344173132.398193</v>
      </c>
      <c r="Y12" s="3">
        <f t="shared" si="27"/>
        <v>3215650757.9662299</v>
      </c>
      <c r="Z12" s="44">
        <f t="shared" si="0"/>
        <v>80067662771.477219</v>
      </c>
      <c r="AB12">
        <f t="shared" si="9"/>
        <v>2033</v>
      </c>
      <c r="AC12" s="10">
        <f>ROUND(AC$9+3/5*(AC$14-AC$9),-1)</f>
        <v>3287590</v>
      </c>
      <c r="AD12" s="10">
        <f t="shared" ref="AD12:AE12" si="28">ROUND(AD$9+3/5*(AD$14-AD$9),-1)</f>
        <v>3107050</v>
      </c>
      <c r="AE12" s="10">
        <f t="shared" si="28"/>
        <v>253760</v>
      </c>
      <c r="AF12" s="13">
        <f t="shared" si="1"/>
        <v>6648400</v>
      </c>
      <c r="AH12">
        <f t="shared" si="2"/>
        <v>2033</v>
      </c>
      <c r="AI12" s="11">
        <f>'Fleet ZEV fractions'!Z25</f>
        <v>695043.1376059422</v>
      </c>
      <c r="AJ12" s="11">
        <f>'Fleet ZEV fractions'!AL25</f>
        <v>1649769.6231678999</v>
      </c>
      <c r="AK12" s="11">
        <f>'Fleet ZEV fractions'!AR25</f>
        <v>1611036.7746428587</v>
      </c>
      <c r="AL12" s="10"/>
      <c r="AN12">
        <f t="shared" si="3"/>
        <v>2033</v>
      </c>
      <c r="AO12" s="11">
        <f t="shared" si="11"/>
        <v>8370507122.5350475</v>
      </c>
      <c r="AP12" s="11">
        <f t="shared" si="12"/>
        <v>19868419144.220333</v>
      </c>
      <c r="AQ12" s="11">
        <f t="shared" si="13"/>
        <v>19401953730.905594</v>
      </c>
      <c r="AR12" s="10"/>
    </row>
    <row r="13" spans="1:49">
      <c r="B13">
        <f t="shared" si="4"/>
        <v>2034</v>
      </c>
      <c r="C13" s="126">
        <f>'Emissions Summary'!$C26</f>
        <v>3728.5780643564499</v>
      </c>
      <c r="D13" s="126">
        <f>'Emissions Summary'!$C56</f>
        <v>3031.4016859276649</v>
      </c>
      <c r="E13" s="126">
        <f>'Emissions Summary'!$C76</f>
        <v>3068.47679379389</v>
      </c>
      <c r="F13" s="10"/>
      <c r="G13" s="12"/>
      <c r="H13">
        <f t="shared" si="5"/>
        <v>2034</v>
      </c>
      <c r="I13" s="126">
        <f>'Emissions Summary'!$F26</f>
        <v>569.05685805630674</v>
      </c>
      <c r="J13" s="126">
        <f>'Emissions Summary'!$F56</f>
        <v>514.25629890102277</v>
      </c>
      <c r="K13" s="126">
        <f>'Emissions Summary'!$F76</f>
        <v>517.17053510390519</v>
      </c>
      <c r="L13" s="10"/>
      <c r="O13">
        <f t="shared" si="6"/>
        <v>2034</v>
      </c>
      <c r="P13" s="14">
        <f>'Emissions Summary'!J26*Tables!T13</f>
        <v>18.202477830920699</v>
      </c>
      <c r="Q13" s="14">
        <f>'Emissions Summary'!J56*Tables!T13</f>
        <v>10.364814168913812</v>
      </c>
      <c r="R13" s="14">
        <f>'Emissions Summary'!J76*T13</f>
        <v>10.789218263822054</v>
      </c>
      <c r="S13" s="10"/>
      <c r="T13" s="131">
        <f t="shared" si="14"/>
        <v>9.0718499999999998E-7</v>
      </c>
      <c r="V13">
        <v>2034</v>
      </c>
      <c r="W13" s="3">
        <f>W9+0.8*(W14-W9)</f>
        <v>40903706852.513741</v>
      </c>
      <c r="X13" s="3">
        <f t="shared" ref="X13" si="29">X9+0.8*(X14-X9)</f>
        <v>36292809281.778252</v>
      </c>
      <c r="Y13" s="3">
        <f t="shared" ref="Y13" si="30">Y9+0.8*(Y14-Y9)</f>
        <v>3245061118.6216402</v>
      </c>
      <c r="Z13" s="44">
        <f t="shared" si="0"/>
        <v>80441577252.913635</v>
      </c>
      <c r="AB13">
        <f t="shared" si="9"/>
        <v>2034</v>
      </c>
      <c r="AC13" s="10">
        <f>ROUND(AC$9+4/5*(AC$14-AC$9),-1)</f>
        <v>3290140</v>
      </c>
      <c r="AD13" s="10">
        <f t="shared" ref="AD13:AE13" si="31">ROUND(AD$9+4/5*(AD$14-AD$9),-1)</f>
        <v>3116670</v>
      </c>
      <c r="AE13" s="10">
        <f t="shared" si="31"/>
        <v>254300</v>
      </c>
      <c r="AF13" s="13">
        <f t="shared" si="1"/>
        <v>6661110</v>
      </c>
      <c r="AH13">
        <f t="shared" si="2"/>
        <v>2034</v>
      </c>
      <c r="AI13" s="11">
        <f>'Fleet ZEV fractions'!Z26</f>
        <v>758242.33767985832</v>
      </c>
      <c r="AJ13" s="11">
        <f>'Fleet ZEV fractions'!AL26</f>
        <v>1926082.4048864169</v>
      </c>
      <c r="AK13" s="11">
        <f>'Fleet ZEV fractions'!AR26</f>
        <v>1887349.5563613756</v>
      </c>
      <c r="AL13" s="10"/>
      <c r="AN13">
        <f t="shared" si="3"/>
        <v>2034</v>
      </c>
      <c r="AO13" s="11">
        <f t="shared" si="11"/>
        <v>9156763599.8961353</v>
      </c>
      <c r="AP13" s="11">
        <f t="shared" si="12"/>
        <v>23259953156.177929</v>
      </c>
      <c r="AQ13" s="11">
        <f t="shared" si="13"/>
        <v>22792203572.872368</v>
      </c>
      <c r="AR13" s="10"/>
      <c r="AU13" t="s">
        <v>56</v>
      </c>
      <c r="AV13" t="s">
        <v>57</v>
      </c>
      <c r="AW13" t="s">
        <v>53</v>
      </c>
    </row>
    <row r="14" spans="1:49">
      <c r="B14">
        <f t="shared" si="4"/>
        <v>2035</v>
      </c>
      <c r="C14" s="126">
        <f>'Emissions Summary'!$C27</f>
        <v>3314.7804899098978</v>
      </c>
      <c r="D14" s="126">
        <f>'Emissions Summary'!$C57</f>
        <v>2568.016496905514</v>
      </c>
      <c r="E14" s="126">
        <f>'Emissions Summary'!$C77</f>
        <v>2605.0485964831446</v>
      </c>
      <c r="F14" s="43"/>
      <c r="G14" s="9"/>
      <c r="H14">
        <f t="shared" si="5"/>
        <v>2035</v>
      </c>
      <c r="I14" s="126">
        <f>'Emissions Summary'!$F27</f>
        <v>550.55488981106384</v>
      </c>
      <c r="J14" s="126">
        <f>'Emissions Summary'!$F57</f>
        <v>489.26961266363259</v>
      </c>
      <c r="K14" s="126">
        <f>'Emissions Summary'!$F77</f>
        <v>492.30875556182667</v>
      </c>
      <c r="L14" s="43"/>
      <c r="N14" s="9"/>
      <c r="O14">
        <f t="shared" si="6"/>
        <v>2035</v>
      </c>
      <c r="P14" s="14">
        <f>'Emissions Summary'!J27*Tables!T14</f>
        <v>17.580913067930354</v>
      </c>
      <c r="Q14" s="14">
        <f>'Emissions Summary'!J57*Tables!T14</f>
        <v>8.6480054396572825</v>
      </c>
      <c r="R14" s="14">
        <f>'Emissions Summary'!J77*T14</f>
        <v>9.1000536958127629</v>
      </c>
      <c r="S14" s="43"/>
      <c r="T14" s="131">
        <f t="shared" si="14"/>
        <v>9.0718499999999998E-7</v>
      </c>
      <c r="V14">
        <v>2035</v>
      </c>
      <c r="W14" s="44">
        <f>'Combined MOVES output'!AF28</f>
        <v>41299574823.914673</v>
      </c>
      <c r="X14" s="44">
        <f>'Combined MOVES output'!AF29</f>
        <v>36241445431.158318</v>
      </c>
      <c r="Y14" s="44">
        <f>'Combined MOVES output'!AF30</f>
        <v>3274471479.27705</v>
      </c>
      <c r="Z14" s="44">
        <f t="shared" si="0"/>
        <v>80815491734.350052</v>
      </c>
      <c r="AB14">
        <f t="shared" si="9"/>
        <v>2035</v>
      </c>
      <c r="AC14" s="11">
        <f>'Combined MOVES output'!AE28</f>
        <v>3292685.4568741778</v>
      </c>
      <c r="AD14" s="11">
        <f>'Combined MOVES output'!AE29</f>
        <v>3126293.9612936713</v>
      </c>
      <c r="AE14" s="11">
        <f>'Combined MOVES output'!AE30</f>
        <v>254840.47397595496</v>
      </c>
      <c r="AF14" s="13">
        <f t="shared" si="1"/>
        <v>6673819.8921438036</v>
      </c>
      <c r="AH14">
        <f t="shared" si="2"/>
        <v>2035</v>
      </c>
      <c r="AI14" s="11">
        <f>'Fleet ZEV fractions'!Z27</f>
        <v>821781.19799493998</v>
      </c>
      <c r="AJ14" s="11">
        <f>'Fleet ZEV fractions'!AL27</f>
        <v>2221611.9877472622</v>
      </c>
      <c r="AK14" s="11">
        <f>'Fleet ZEV fractions'!AR27</f>
        <v>2182879.1392222205</v>
      </c>
      <c r="AL14" s="43"/>
      <c r="AN14">
        <f t="shared" si="3"/>
        <v>2035</v>
      </c>
      <c r="AO14" s="11">
        <f t="shared" si="11"/>
        <v>9951220243.7741985</v>
      </c>
      <c r="AP14" s="11">
        <f t="shared" si="12"/>
        <v>26902234122.930271</v>
      </c>
      <c r="AQ14" s="11">
        <f t="shared" si="13"/>
        <v>26433205253.345684</v>
      </c>
      <c r="AR14" s="43"/>
      <c r="AT14" s="278" t="s">
        <v>161</v>
      </c>
      <c r="AU14" s="282">
        <f>SUM(D4:D19)-SUM(C4:C19)</f>
        <v>-9371.4531029803038</v>
      </c>
      <c r="AV14" s="283">
        <f>SUM(J4:J19)-SUM(I4:I19)</f>
        <v>-683.99264166685316</v>
      </c>
      <c r="AW14" s="284">
        <f>SUM(Q4:Q19)-SUM(P4:P19)</f>
        <v>-99.788311028831572</v>
      </c>
    </row>
    <row r="15" spans="1:49">
      <c r="B15">
        <f t="shared" si="4"/>
        <v>2036</v>
      </c>
      <c r="C15" s="126">
        <f>'Emissions Summary'!$C28</f>
        <v>3246.820291020751</v>
      </c>
      <c r="D15" s="126">
        <f>'Emissions Summary'!$C58</f>
        <v>2385.3191794159711</v>
      </c>
      <c r="E15" s="126">
        <f>'Emissions Summary'!$C78</f>
        <v>2424.8751031683951</v>
      </c>
      <c r="F15" s="10"/>
      <c r="H15">
        <f t="shared" si="5"/>
        <v>2036</v>
      </c>
      <c r="I15" s="126">
        <f>'Emissions Summary'!$F28</f>
        <v>539.66855148229354</v>
      </c>
      <c r="J15" s="126">
        <f>'Emissions Summary'!$F58</f>
        <v>471.94279101302089</v>
      </c>
      <c r="K15" s="126">
        <f>'Emissions Summary'!$F78</f>
        <v>475.05242718308591</v>
      </c>
      <c r="L15" s="10"/>
      <c r="O15">
        <f t="shared" si="6"/>
        <v>2036</v>
      </c>
      <c r="P15" s="14">
        <f>'Emissions Summary'!J28*Tables!T15</f>
        <v>17.157280940255252</v>
      </c>
      <c r="Q15" s="14">
        <f>'Emissions Summary'!J58*Tables!T15</f>
        <v>7.2052283578763427</v>
      </c>
      <c r="R15" s="14">
        <f>'Emissions Summary'!J78*T15</f>
        <v>7.6724874887610799</v>
      </c>
      <c r="S15" s="10"/>
      <c r="T15" s="131">
        <f t="shared" si="14"/>
        <v>9.0718499999999998E-7</v>
      </c>
      <c r="V15">
        <v>2036</v>
      </c>
      <c r="W15" s="3">
        <f>W14+0.2*(W19-W14)</f>
        <v>41867353577.652138</v>
      </c>
      <c r="X15" s="3">
        <f t="shared" ref="X15" si="32">X14+0.2*(X19-X14)</f>
        <v>36202657917.941116</v>
      </c>
      <c r="Y15" s="3">
        <f t="shared" ref="Y15" si="33">Y14+0.2*(Y19-Y14)</f>
        <v>3304087915.4216399</v>
      </c>
      <c r="Z15" s="44">
        <f t="shared" si="0"/>
        <v>81374099411.014908</v>
      </c>
      <c r="AB15">
        <f t="shared" si="9"/>
        <v>2036</v>
      </c>
      <c r="AC15" s="10">
        <f>ROUND(AC$14+1/5*(AC$19-AC$14),-1)</f>
        <v>3303380</v>
      </c>
      <c r="AD15" s="10">
        <f t="shared" ref="AD15:AE15" si="34">ROUND(AD$14+1/5*(AD$19-AD$14),-1)</f>
        <v>3129100</v>
      </c>
      <c r="AE15" s="10">
        <f t="shared" si="34"/>
        <v>255320</v>
      </c>
      <c r="AF15" s="13">
        <f t="shared" si="1"/>
        <v>6687800</v>
      </c>
      <c r="AH15">
        <f t="shared" si="2"/>
        <v>2036</v>
      </c>
      <c r="AI15" s="11">
        <f>'Fleet ZEV fractions'!Z28</f>
        <v>885407.40619898087</v>
      </c>
      <c r="AJ15" s="11">
        <f>'Fleet ZEV fractions'!AL28</f>
        <v>2517547.8398590805</v>
      </c>
      <c r="AK15" s="11">
        <f>'Fleet ZEV fractions'!AR28</f>
        <v>2478814.9913340388</v>
      </c>
      <c r="AL15" s="10"/>
      <c r="AN15">
        <f t="shared" si="3"/>
        <v>2036</v>
      </c>
      <c r="AO15" s="11">
        <f t="shared" si="11"/>
        <v>10773233393.834255</v>
      </c>
      <c r="AP15" s="11">
        <f t="shared" si="12"/>
        <v>30632373604.575298</v>
      </c>
      <c r="AQ15" s="11">
        <f t="shared" si="13"/>
        <v>30161089973.732788</v>
      </c>
      <c r="AR15" s="10"/>
      <c r="AT15" s="8" t="s">
        <v>162</v>
      </c>
      <c r="AU15" s="12">
        <f>SUM(E4:E19)-SUM(C4:C19)</f>
        <v>-8885.7703315757099</v>
      </c>
      <c r="AV15" s="12">
        <f>SUM(K4:K19)-SUM(I4:I19)</f>
        <v>-649.34182174646776</v>
      </c>
      <c r="AW15" s="15">
        <f>SUM(R4:R19)-SUM(P4:P19)</f>
        <v>-94.772315099406796</v>
      </c>
    </row>
    <row r="16" spans="1:49">
      <c r="B16">
        <f t="shared" si="4"/>
        <v>2037</v>
      </c>
      <c r="C16" s="126">
        <f>'Emissions Summary'!$C29</f>
        <v>3176.4936403788683</v>
      </c>
      <c r="D16" s="126">
        <f>'Emissions Summary'!$C59</f>
        <v>2207.8962212038555</v>
      </c>
      <c r="E16" s="126">
        <f>'Emissions Summary'!$C79</f>
        <v>2248.7875638064797</v>
      </c>
      <c r="F16" s="10"/>
      <c r="H16">
        <f t="shared" si="5"/>
        <v>2037</v>
      </c>
      <c r="I16" s="126">
        <f>'Emissions Summary'!$F29</f>
        <v>528.79824543109214</v>
      </c>
      <c r="J16" s="126">
        <f>'Emissions Summary'!$F59</f>
        <v>455.96138552436383</v>
      </c>
      <c r="K16" s="126">
        <f>'Emissions Summary'!$F79</f>
        <v>459.03634415380373</v>
      </c>
      <c r="L16" s="10"/>
      <c r="O16">
        <f t="shared" si="6"/>
        <v>2037</v>
      </c>
      <c r="P16" s="14">
        <f>'Emissions Summary'!J29*Tables!T16</f>
        <v>16.776135954822276</v>
      </c>
      <c r="Q16" s="14">
        <f>'Emissions Summary'!J59*Tables!T16</f>
        <v>5.9897043554915301</v>
      </c>
      <c r="R16" s="14">
        <f>'Emissions Summary'!J79*T16</f>
        <v>6.4560311022720631</v>
      </c>
      <c r="S16" s="10"/>
      <c r="T16" s="131">
        <f t="shared" si="14"/>
        <v>9.0718499999999998E-7</v>
      </c>
      <c r="V16">
        <v>2037</v>
      </c>
      <c r="W16" s="3">
        <f>W14+0.4*(W19-W14)</f>
        <v>42435132331.389603</v>
      </c>
      <c r="X16" s="3">
        <f t="shared" ref="X16:Y16" si="35">X14+0.4*(X19-X14)</f>
        <v>36163870404.723915</v>
      </c>
      <c r="Y16" s="3">
        <f t="shared" si="35"/>
        <v>3333704351.5662298</v>
      </c>
      <c r="Z16" s="44">
        <f t="shared" si="0"/>
        <v>81932707087.679749</v>
      </c>
      <c r="AB16">
        <f t="shared" si="9"/>
        <v>2037</v>
      </c>
      <c r="AC16" s="10">
        <f>ROUND(AC$14+2/5*(AC$19-AC$14),-1)</f>
        <v>3314070</v>
      </c>
      <c r="AD16" s="10">
        <f t="shared" ref="AD16:AE16" si="36">ROUND(AD$14+2/5*(AD$19-AD$14),-1)</f>
        <v>3131900</v>
      </c>
      <c r="AE16" s="10">
        <f t="shared" si="36"/>
        <v>255800</v>
      </c>
      <c r="AF16" s="13">
        <f t="shared" si="1"/>
        <v>6701770</v>
      </c>
      <c r="AH16">
        <f t="shared" si="2"/>
        <v>2037</v>
      </c>
      <c r="AI16" s="11">
        <f>'Fleet ZEV fractions'!Z29</f>
        <v>949120.96229198098</v>
      </c>
      <c r="AJ16" s="11">
        <f>'Fleet ZEV fractions'!AL29</f>
        <v>2813889.9612218719</v>
      </c>
      <c r="AK16" s="11">
        <f>'Fleet ZEV fractions'!AR29</f>
        <v>2775157.1126968302</v>
      </c>
      <c r="AL16" s="10"/>
      <c r="AN16">
        <f t="shared" si="3"/>
        <v>2037</v>
      </c>
      <c r="AO16" s="11">
        <f t="shared" si="11"/>
        <v>11603509191.489056</v>
      </c>
      <c r="AP16" s="11">
        <f t="shared" si="12"/>
        <v>34401303233.288246</v>
      </c>
      <c r="AQ16" s="11">
        <f t="shared" si="13"/>
        <v>33927773533.98885</v>
      </c>
      <c r="AR16" s="10"/>
      <c r="AT16" s="8"/>
      <c r="AU16" s="12"/>
      <c r="AV16" s="12"/>
      <c r="AW16" s="15"/>
    </row>
    <row r="17" spans="1:50">
      <c r="B17">
        <f t="shared" si="4"/>
        <v>2038</v>
      </c>
      <c r="C17" s="126">
        <f>'Emissions Summary'!$C30</f>
        <v>3103.481109101554</v>
      </c>
      <c r="D17" s="126">
        <f>'Emissions Summary'!$C60</f>
        <v>2036.0809527062181</v>
      </c>
      <c r="E17" s="126">
        <f>'Emissions Summary'!$C80</f>
        <v>2077.2296048004555</v>
      </c>
      <c r="F17" s="10"/>
      <c r="H17">
        <f t="shared" si="5"/>
        <v>2038</v>
      </c>
      <c r="I17" s="126">
        <f>'Emissions Summary'!$F30</f>
        <v>517.63993174200289</v>
      </c>
      <c r="J17" s="126">
        <f>'Emissions Summary'!$F60</f>
        <v>440.54152959975431</v>
      </c>
      <c r="K17" s="126">
        <f>'Emissions Summary'!$F80</f>
        <v>443.51370016555853</v>
      </c>
      <c r="L17" s="10"/>
      <c r="O17">
        <f t="shared" si="6"/>
        <v>2038</v>
      </c>
      <c r="P17" s="14">
        <f>'Emissions Summary'!J30*Tables!T17</f>
        <v>16.434613593584835</v>
      </c>
      <c r="Q17" s="14">
        <f>'Emissions Summary'!J60*Tables!T17</f>
        <v>4.9617341168872509</v>
      </c>
      <c r="R17" s="14">
        <f>'Emissions Summary'!J80*T17</f>
        <v>5.4151007650528822</v>
      </c>
      <c r="S17" s="10"/>
      <c r="T17" s="131">
        <f t="shared" si="14"/>
        <v>9.0718499999999998E-7</v>
      </c>
      <c r="V17">
        <v>2038</v>
      </c>
      <c r="W17" s="3">
        <f>W14+0.6*(W19-W14)</f>
        <v>43002911085.127068</v>
      </c>
      <c r="X17" s="3">
        <f t="shared" ref="X17:Y17" si="37">X14+0.6*(X19-X14)</f>
        <v>36125082891.506706</v>
      </c>
      <c r="Y17" s="3">
        <f t="shared" si="37"/>
        <v>3363320787.7108202</v>
      </c>
      <c r="Z17" s="44">
        <f t="shared" si="0"/>
        <v>82491314764.344589</v>
      </c>
      <c r="AB17">
        <f t="shared" si="9"/>
        <v>2038</v>
      </c>
      <c r="AC17" s="10">
        <f>ROUND(AC$14+3/5*(AC$19-AC$14),-1)</f>
        <v>3324760</v>
      </c>
      <c r="AD17" s="10">
        <f t="shared" ref="AD17:AE17" si="38">ROUND(AD$14+3/5*(AD$19-AD$14),-1)</f>
        <v>3134700</v>
      </c>
      <c r="AE17" s="10">
        <f t="shared" si="38"/>
        <v>256280</v>
      </c>
      <c r="AF17" s="13">
        <f t="shared" si="1"/>
        <v>6715740</v>
      </c>
      <c r="AH17">
        <f t="shared" si="2"/>
        <v>2038</v>
      </c>
      <c r="AI17" s="11">
        <f>'Fleet ZEV fractions'!Z30</f>
        <v>1012921.8662739403</v>
      </c>
      <c r="AJ17" s="11">
        <f>'Fleet ZEV fractions'!AL30</f>
        <v>3110638.3518356364</v>
      </c>
      <c r="AK17" s="11">
        <f>'Fleet ZEV fractions'!AR30</f>
        <v>3071905.5033105947</v>
      </c>
      <c r="AL17" s="10"/>
      <c r="AN17">
        <f t="shared" si="3"/>
        <v>2038</v>
      </c>
      <c r="AO17" s="11">
        <f t="shared" si="11"/>
        <v>12442002892.085007</v>
      </c>
      <c r="AP17" s="11">
        <f t="shared" si="12"/>
        <v>38208841825.22187</v>
      </c>
      <c r="AQ17" s="11">
        <f t="shared" si="13"/>
        <v>37733075401.95372</v>
      </c>
      <c r="AR17" s="10"/>
      <c r="AT17" s="8"/>
      <c r="AU17" s="12"/>
      <c r="AV17" s="12"/>
      <c r="AW17" s="15"/>
    </row>
    <row r="18" spans="1:50">
      <c r="B18">
        <f t="shared" si="4"/>
        <v>2039</v>
      </c>
      <c r="C18" s="126">
        <f>'Emissions Summary'!$C31</f>
        <v>3028.4700417233958</v>
      </c>
      <c r="D18" s="126">
        <f>'Emissions Summary'!$C61</f>
        <v>1870.8885630104694</v>
      </c>
      <c r="E18" s="126">
        <f>'Emissions Summary'!$C81</f>
        <v>1910.826734771518</v>
      </c>
      <c r="F18" s="10"/>
      <c r="H18">
        <f t="shared" si="5"/>
        <v>2039</v>
      </c>
      <c r="I18" s="126">
        <f>'Emissions Summary'!$F31</f>
        <v>506.67503858575697</v>
      </c>
      <c r="J18" s="126">
        <f>'Emissions Summary'!$F61</f>
        <v>426.51860216555747</v>
      </c>
      <c r="K18" s="126">
        <f>'Emissions Summary'!$F81</f>
        <v>429.28411075771544</v>
      </c>
      <c r="L18" s="10"/>
      <c r="O18">
        <f t="shared" si="6"/>
        <v>2039</v>
      </c>
      <c r="P18" s="14">
        <f>'Emissions Summary'!J31*Tables!T18</f>
        <v>16.129818157018214</v>
      </c>
      <c r="Q18" s="14">
        <f>'Emissions Summary'!J61*Tables!T18</f>
        <v>4.1071517811946707</v>
      </c>
      <c r="R18" s="14">
        <f>'Emissions Summary'!J81*T18</f>
        <v>4.5324608230304166</v>
      </c>
      <c r="S18" s="10"/>
      <c r="T18" s="131">
        <f t="shared" si="14"/>
        <v>9.0718499999999998E-7</v>
      </c>
      <c r="V18">
        <v>2039</v>
      </c>
      <c r="W18" s="3">
        <f>W14+0.8*(W19-W14)</f>
        <v>43570689838.864532</v>
      </c>
      <c r="X18" s="3">
        <f t="shared" ref="X18" si="39">X14+0.8*(X19-X14)</f>
        <v>36086295378.289505</v>
      </c>
      <c r="Y18" s="3">
        <f t="shared" ref="Y18" si="40">Y14+0.8*(Y19-Y14)</f>
        <v>3392937223.8554101</v>
      </c>
      <c r="Z18" s="44">
        <f t="shared" si="0"/>
        <v>83049922441.009445</v>
      </c>
      <c r="AB18">
        <f t="shared" si="9"/>
        <v>2039</v>
      </c>
      <c r="AC18" s="10">
        <f>ROUND(AC$14+4/5*(AC$19-AC$14),-1)</f>
        <v>3335450</v>
      </c>
      <c r="AD18" s="10">
        <f t="shared" ref="AD18:AE18" si="41">ROUND(AD$14+4/5*(AD$19-AD$14),-1)</f>
        <v>3137500</v>
      </c>
      <c r="AE18" s="10">
        <f t="shared" si="41"/>
        <v>256750</v>
      </c>
      <c r="AF18" s="13">
        <f t="shared" si="1"/>
        <v>6729700</v>
      </c>
      <c r="AH18">
        <f t="shared" si="2"/>
        <v>2039</v>
      </c>
      <c r="AI18" s="11">
        <f>'Fleet ZEV fractions'!Z31</f>
        <v>1076810.1181448589</v>
      </c>
      <c r="AJ18" s="11">
        <f>'Fleet ZEV fractions'!AL31</f>
        <v>3407793.0117003736</v>
      </c>
      <c r="AK18" s="11">
        <f>'Fleet ZEV fractions'!AR31</f>
        <v>3369060.1631753319</v>
      </c>
      <c r="AL18" s="10"/>
      <c r="AN18">
        <f t="shared" si="3"/>
        <v>2039</v>
      </c>
      <c r="AO18" s="11">
        <f t="shared" si="11"/>
        <v>13288704815.314911</v>
      </c>
      <c r="AP18" s="11">
        <f t="shared" si="12"/>
        <v>42054912598.887024</v>
      </c>
      <c r="AQ18" s="11">
        <f t="shared" si="13"/>
        <v>41576918027.669281</v>
      </c>
      <c r="AR18" s="10"/>
      <c r="AT18" s="161" t="s">
        <v>371</v>
      </c>
      <c r="AU18" s="12"/>
      <c r="AV18" s="12"/>
      <c r="AW18" s="15"/>
    </row>
    <row r="19" spans="1:50">
      <c r="A19" s="9"/>
      <c r="B19">
        <f t="shared" si="4"/>
        <v>2040</v>
      </c>
      <c r="C19" s="126">
        <f>'Emissions Summary'!$C32</f>
        <v>2950.0846488612106</v>
      </c>
      <c r="D19" s="126">
        <f>'Emissions Summary'!$C62</f>
        <v>1688.3193576478229</v>
      </c>
      <c r="E19" s="126">
        <f>'Emissions Summary'!$C82</f>
        <v>1726.3293047464406</v>
      </c>
      <c r="F19" s="43"/>
      <c r="G19" s="260"/>
      <c r="H19">
        <f t="shared" si="5"/>
        <v>2040</v>
      </c>
      <c r="I19" s="126">
        <f>'Emissions Summary'!$F32</f>
        <v>495.46462438819543</v>
      </c>
      <c r="J19" s="126">
        <f>'Emissions Summary'!$F62</f>
        <v>411.37476901002532</v>
      </c>
      <c r="K19" s="126">
        <f>'Emissions Summary'!$F82</f>
        <v>413.9079270994992</v>
      </c>
      <c r="L19" s="43"/>
      <c r="M19" s="260"/>
      <c r="N19" s="9"/>
      <c r="O19">
        <f t="shared" si="6"/>
        <v>2040</v>
      </c>
      <c r="P19" s="14">
        <f>'Emissions Summary'!J32*Tables!T19</f>
        <v>15.859199345257055</v>
      </c>
      <c r="Q19" s="14">
        <f>'Emissions Summary'!J62*Tables!T19</f>
        <v>3.120248522037762</v>
      </c>
      <c r="R19" s="14">
        <f>'Emissions Summary'!J82*T19</f>
        <v>3.5134716773506334</v>
      </c>
      <c r="S19" s="43"/>
      <c r="T19" s="131">
        <f t="shared" si="14"/>
        <v>9.0718499999999998E-7</v>
      </c>
      <c r="U19" s="15"/>
      <c r="V19" s="3">
        <v>2040</v>
      </c>
      <c r="W19" s="44">
        <f>'Combined MOVES output'!AF33</f>
        <v>44138468592.601997</v>
      </c>
      <c r="X19" s="44">
        <f>'Combined MOVES output'!AF34</f>
        <v>36047507865.072304</v>
      </c>
      <c r="Y19" s="44">
        <f>'Combined MOVES output'!AF35</f>
        <v>3422553660</v>
      </c>
      <c r="Z19" s="44">
        <f t="shared" si="0"/>
        <v>83608530117.674301</v>
      </c>
      <c r="AA19" s="15"/>
      <c r="AB19">
        <f t="shared" si="9"/>
        <v>2040</v>
      </c>
      <c r="AC19" s="11">
        <f>'Combined MOVES output'!AE33</f>
        <v>3346139.5863728612</v>
      </c>
      <c r="AD19" s="11">
        <f>'Combined MOVES output'!AE34</f>
        <v>3140305.3999218415</v>
      </c>
      <c r="AE19" s="11">
        <f>'Combined MOVES output'!AE35</f>
        <v>257233.62083785326</v>
      </c>
      <c r="AF19" s="13">
        <f t="shared" si="1"/>
        <v>6743678.6071325559</v>
      </c>
      <c r="AG19" s="12">
        <f>AC19+AD19</f>
        <v>6486444.9862947026</v>
      </c>
      <c r="AH19">
        <f t="shared" si="2"/>
        <v>2040</v>
      </c>
      <c r="AI19" s="11">
        <f>'Fleet ZEV fractions'!Z32</f>
        <v>1115668.537642689</v>
      </c>
      <c r="AJ19" s="11">
        <f>'Fleet ZEV fractions'!AL32</f>
        <v>3705353.9408160839</v>
      </c>
      <c r="AK19" s="11">
        <f>'Fleet ZEV fractions'!AR32</f>
        <v>3666621.0922910422</v>
      </c>
      <c r="AL19" s="43"/>
      <c r="AN19">
        <f t="shared" si="3"/>
        <v>2040</v>
      </c>
      <c r="AO19" s="11">
        <f t="shared" si="11"/>
        <v>13832125159.728401</v>
      </c>
      <c r="AP19" s="11">
        <f t="shared" si="12"/>
        <v>45939199449.644707</v>
      </c>
      <c r="AQ19" s="11">
        <f t="shared" si="13"/>
        <v>45458987280.425362</v>
      </c>
      <c r="AR19" s="43"/>
    </row>
    <row r="20" spans="1:50">
      <c r="A20" s="9"/>
      <c r="B20">
        <v>2041</v>
      </c>
      <c r="C20" s="126">
        <f>'Emissions Summary'!$C33</f>
        <v>2851.6882468751369</v>
      </c>
      <c r="D20" s="126"/>
      <c r="E20" s="126">
        <f>'Emissions Summary'!$C83</f>
        <v>1501.9328556938544</v>
      </c>
      <c r="F20" s="43"/>
      <c r="G20" s="260"/>
      <c r="H20">
        <v>2041</v>
      </c>
      <c r="I20" s="126">
        <f>'Emissions Summary'!$F33</f>
        <v>491.36011775125343</v>
      </c>
      <c r="J20" s="126"/>
      <c r="K20" s="126">
        <f>'Emissions Summary'!$F83</f>
        <v>402.70651349658618</v>
      </c>
      <c r="L20" s="43"/>
      <c r="M20" s="260"/>
      <c r="N20" s="9"/>
      <c r="O20">
        <v>2041</v>
      </c>
      <c r="P20" s="14">
        <f>'Emissions Summary'!J33*Tables!T20</f>
        <v>15.624090719297739</v>
      </c>
      <c r="Q20" s="14"/>
      <c r="R20" s="14">
        <f>'Emissions Summary'!J83*T20</f>
        <v>2.1473957688585568</v>
      </c>
      <c r="S20" s="43"/>
      <c r="T20" s="131">
        <f t="shared" si="14"/>
        <v>9.0718499999999998E-7</v>
      </c>
      <c r="U20" s="15"/>
      <c r="V20">
        <v>2041</v>
      </c>
      <c r="W20" s="3">
        <f>W19+0.2*(W24-W19)</f>
        <v>44719452970.043846</v>
      </c>
      <c r="X20" s="3">
        <f t="shared" ref="X20:Y20" si="42">X19+0.2*(X24-X19)</f>
        <v>36016592932.167709</v>
      </c>
      <c r="Y20" s="3">
        <f t="shared" si="42"/>
        <v>3458278868.1104956</v>
      </c>
      <c r="Z20" s="44">
        <f t="shared" si="0"/>
        <v>84194324770.322037</v>
      </c>
      <c r="AA20" s="15"/>
      <c r="AB20">
        <v>2041</v>
      </c>
      <c r="AC20" s="10">
        <f>AC19+0.2*(AC24-AC19)</f>
        <v>3352858.688254091</v>
      </c>
      <c r="AD20" s="10">
        <f t="shared" ref="AD20" si="43">AD19+0.2*(AD24-AD19)</f>
        <v>3146611.1834600358</v>
      </c>
      <c r="AE20" s="10">
        <f>AE19+0.2*(AE24-AE19)</f>
        <v>257750.15006835098</v>
      </c>
      <c r="AF20" s="13">
        <f t="shared" ref="AF20:AF23" si="44">SUM(AC20:AE20)</f>
        <v>6757220.0217824774</v>
      </c>
      <c r="AH20">
        <v>2041</v>
      </c>
      <c r="AI20" s="11">
        <f>'Fleet ZEV fractions'!Z33</f>
        <v>1120391.7785042396</v>
      </c>
      <c r="AJ20" s="11"/>
      <c r="AK20" s="11">
        <f>'Fleet ZEV fractions'!AR33</f>
        <v>3964158.2865391588</v>
      </c>
      <c r="AL20" s="43"/>
      <c r="AN20">
        <v>2041</v>
      </c>
      <c r="AO20" s="11">
        <f t="shared" si="11"/>
        <v>13959975990.91073</v>
      </c>
      <c r="AP20" s="11"/>
      <c r="AQ20" s="11">
        <f t="shared" si="13"/>
        <v>49393038726.271828</v>
      </c>
      <c r="AR20" s="43"/>
      <c r="AT20" s="2"/>
      <c r="AU20" t="s">
        <v>56</v>
      </c>
      <c r="AV20" t="s">
        <v>57</v>
      </c>
      <c r="AW20" t="s">
        <v>53</v>
      </c>
    </row>
    <row r="21" spans="1:50">
      <c r="A21" s="9"/>
      <c r="B21">
        <v>2042</v>
      </c>
      <c r="C21" s="126">
        <f>'Emissions Summary'!$C34</f>
        <v>2752.3588352881275</v>
      </c>
      <c r="D21" s="126"/>
      <c r="E21" s="126">
        <f>'Emissions Summary'!$C84</f>
        <v>1284.9186632812023</v>
      </c>
      <c r="F21" s="43"/>
      <c r="G21" s="260"/>
      <c r="H21">
        <v>2042</v>
      </c>
      <c r="I21" s="126">
        <f>'Emissions Summary'!$F34</f>
        <v>487.43255767892009</v>
      </c>
      <c r="J21" s="126"/>
      <c r="K21" s="126">
        <f>'Emissions Summary'!$F84</f>
        <v>391.97791925501201</v>
      </c>
      <c r="L21" s="43"/>
      <c r="M21" s="260"/>
      <c r="N21" s="9"/>
      <c r="O21">
        <v>2042</v>
      </c>
      <c r="P21" s="14">
        <f>'Emissions Summary'!J34*Tables!T21</f>
        <v>15.426172983164467</v>
      </c>
      <c r="Q21" s="14"/>
      <c r="R21" s="14">
        <f>'Emissions Summary'!J84*T21</f>
        <v>0.87389406777814815</v>
      </c>
      <c r="S21" s="43"/>
      <c r="T21" s="131">
        <f t="shared" si="14"/>
        <v>9.0718499999999998E-7</v>
      </c>
      <c r="U21" s="15"/>
      <c r="V21">
        <v>2042</v>
      </c>
      <c r="W21" s="3">
        <f>W19+0.4*(W24-W19)</f>
        <v>45300437347.485695</v>
      </c>
      <c r="X21" s="3">
        <f t="shared" ref="X21:Y21" si="45">X19+0.4*(X24-X19)</f>
        <v>35985677999.263123</v>
      </c>
      <c r="Y21" s="3">
        <f t="shared" si="45"/>
        <v>3494004076.2209911</v>
      </c>
      <c r="Z21" s="44">
        <f t="shared" si="0"/>
        <v>84780119422.969803</v>
      </c>
      <c r="AA21" s="15"/>
      <c r="AB21">
        <v>2042</v>
      </c>
      <c r="AC21" s="10">
        <f>AC19+0.4*(AC24-AC19)</f>
        <v>3359577.7901353207</v>
      </c>
      <c r="AD21" s="10">
        <f t="shared" ref="AD21" si="46">AD19+0.4*(AD24-AD19)</f>
        <v>3152916.9669982302</v>
      </c>
      <c r="AE21" s="10">
        <f>AE19+0.4*(AE24-AE19)</f>
        <v>258266.6792988487</v>
      </c>
      <c r="AF21" s="13">
        <f t="shared" si="44"/>
        <v>6770761.4364323998</v>
      </c>
      <c r="AH21">
        <v>2042</v>
      </c>
      <c r="AI21" s="11">
        <f>'Fleet ZEV fractions'!Z34</f>
        <v>1122523.0610607832</v>
      </c>
      <c r="AJ21" s="11"/>
      <c r="AK21" s="11">
        <f>'Fleet ZEV fractions'!AR34</f>
        <v>4262261.4755082205</v>
      </c>
      <c r="AL21" s="43"/>
      <c r="AN21">
        <v>2042</v>
      </c>
      <c r="AO21" s="11">
        <f t="shared" si="11"/>
        <v>14055677498.794857</v>
      </c>
      <c r="AP21" s="11"/>
      <c r="AQ21" s="11">
        <f t="shared" si="13"/>
        <v>53369926011.735687</v>
      </c>
      <c r="AR21" s="43"/>
      <c r="AT21" s="204" t="s">
        <v>161</v>
      </c>
      <c r="AU21" s="283">
        <f>SUM(D4:D9)-SUM(C4:C9)</f>
        <v>-996.80559583145805</v>
      </c>
      <c r="AV21" s="283">
        <f>SUM(J4:J9)-SUM(I4:I9)</f>
        <v>-65.715251220464324</v>
      </c>
      <c r="AW21" s="284">
        <f>SUM(Q4:Q9)-SUM(P4:P9)</f>
        <v>-9.1325125895778285</v>
      </c>
    </row>
    <row r="22" spans="1:50">
      <c r="A22" s="9"/>
      <c r="B22">
        <v>2043</v>
      </c>
      <c r="C22" s="126">
        <f>'Emissions Summary'!$C35</f>
        <v>2652.2584444194831</v>
      </c>
      <c r="D22" s="126"/>
      <c r="E22" s="126">
        <f>'Emissions Summary'!$C85</f>
        <v>1084.7381721717977</v>
      </c>
      <c r="F22" s="43"/>
      <c r="G22" s="260"/>
      <c r="H22">
        <v>2043</v>
      </c>
      <c r="I22" s="126">
        <f>'Emissions Summary'!$F35</f>
        <v>483.60425485281485</v>
      </c>
      <c r="J22" s="126"/>
      <c r="K22" s="126">
        <f>'Emissions Summary'!$F85</f>
        <v>381.9416928806753</v>
      </c>
      <c r="L22" s="43"/>
      <c r="M22" s="260"/>
      <c r="N22" s="9"/>
      <c r="O22">
        <v>2043</v>
      </c>
      <c r="P22" s="14">
        <f>'Emissions Summary'!J35*Tables!T22</f>
        <v>15.256233046370872</v>
      </c>
      <c r="Q22" s="14"/>
      <c r="R22" s="14">
        <f>'Emissions Summary'!J85*T22</f>
        <v>-0.30209173228288017</v>
      </c>
      <c r="S22" s="43"/>
      <c r="T22" s="131">
        <f t="shared" si="14"/>
        <v>9.0718499999999998E-7</v>
      </c>
      <c r="U22" s="15"/>
      <c r="V22">
        <v>2043</v>
      </c>
      <c r="W22" s="3">
        <f>W19+0.6*(W24-W19)</f>
        <v>45881421724.927551</v>
      </c>
      <c r="X22" s="3">
        <f t="shared" ref="X22:Y22" si="47">X19+0.6*(X24-X19)</f>
        <v>35954763066.358528</v>
      </c>
      <c r="Y22" s="3">
        <f t="shared" si="47"/>
        <v>3529729284.3314872</v>
      </c>
      <c r="Z22" s="44">
        <f t="shared" si="0"/>
        <v>85365914075.617554</v>
      </c>
      <c r="AA22" s="15"/>
      <c r="AB22">
        <v>2043</v>
      </c>
      <c r="AC22" s="10">
        <f>AC19+0.6*(AC24-AC19)</f>
        <v>3366296.8920165501</v>
      </c>
      <c r="AD22" s="10">
        <f t="shared" ref="AD22" si="48">AD19+0.6*(AD24-AD19)</f>
        <v>3159222.750536425</v>
      </c>
      <c r="AE22" s="10">
        <f>AE19+0.6*(AE24-AE19)</f>
        <v>258783.20852934645</v>
      </c>
      <c r="AF22" s="13">
        <f t="shared" si="44"/>
        <v>6784302.8510823222</v>
      </c>
      <c r="AH22">
        <v>2043</v>
      </c>
      <c r="AI22" s="11">
        <f>'Fleet ZEV fractions'!Z35</f>
        <v>1124653.8877266953</v>
      </c>
      <c r="AJ22" s="11"/>
      <c r="AK22" s="11">
        <f>'Fleet ZEV fractions'!AR35</f>
        <v>4560930.5381294889</v>
      </c>
      <c r="AL22" s="43"/>
      <c r="AN22">
        <v>2043</v>
      </c>
      <c r="AO22" s="11">
        <f t="shared" si="11"/>
        <v>14151359285.084091</v>
      </c>
      <c r="AP22" s="11"/>
      <c r="AQ22" s="11">
        <f t="shared" si="13"/>
        <v>57389537726.887901</v>
      </c>
      <c r="AR22" s="43"/>
      <c r="AT22" s="8" t="s">
        <v>162</v>
      </c>
      <c r="AU22" s="10">
        <f>SUM(E4:E9)-SUM(C4:C9)</f>
        <v>-880.71752553812257</v>
      </c>
      <c r="AV22" s="12">
        <f>SUM(K4:K9)-SUM(I4:I9)</f>
        <v>-58.619060343692581</v>
      </c>
      <c r="AW22" s="15">
        <f>SUM(R4:R9)-SUM(P4:P9)</f>
        <v>-8.2102700039287697</v>
      </c>
    </row>
    <row r="23" spans="1:50">
      <c r="A23" s="9"/>
      <c r="B23">
        <v>2044</v>
      </c>
      <c r="C23" s="126">
        <f>'Emissions Summary'!$C36</f>
        <v>2553.8697023643981</v>
      </c>
      <c r="D23" s="126"/>
      <c r="E23" s="126">
        <f>'Emissions Summary'!$C86</f>
        <v>892.23775092092308</v>
      </c>
      <c r="F23" s="43"/>
      <c r="G23" s="260"/>
      <c r="H23">
        <v>2044</v>
      </c>
      <c r="I23" s="126">
        <f>'Emissions Summary'!$F36</f>
        <v>480.05582300811233</v>
      </c>
      <c r="J23" s="126"/>
      <c r="K23" s="126">
        <f>'Emissions Summary'!$F86</f>
        <v>372.69988089064748</v>
      </c>
      <c r="L23" s="43"/>
      <c r="M23" s="260"/>
      <c r="N23" s="9"/>
      <c r="O23">
        <v>2044</v>
      </c>
      <c r="P23" s="14">
        <f>'Emissions Summary'!J36*Tables!T23</f>
        <v>15.123814937856995</v>
      </c>
      <c r="Q23" s="14"/>
      <c r="R23" s="14">
        <f>'Emissions Summary'!J86*T23</f>
        <v>-1.3819027433418427</v>
      </c>
      <c r="S23" s="43"/>
      <c r="T23" s="131">
        <f t="shared" si="14"/>
        <v>9.0718499999999998E-7</v>
      </c>
      <c r="U23" s="15"/>
      <c r="V23">
        <v>2044</v>
      </c>
      <c r="W23" s="3">
        <f>W19+0.8*(W24-W19)</f>
        <v>46462406102.3694</v>
      </c>
      <c r="X23" s="3">
        <f t="shared" ref="X23:Y23" si="49">X19+0.8*(X24-X19)</f>
        <v>35923848133.453941</v>
      </c>
      <c r="Y23" s="3">
        <f t="shared" si="49"/>
        <v>3565454492.4419827</v>
      </c>
      <c r="Z23" s="44">
        <f t="shared" si="0"/>
        <v>85951708728.26532</v>
      </c>
      <c r="AA23" s="15"/>
      <c r="AB23">
        <v>2044</v>
      </c>
      <c r="AC23" s="10">
        <f>AC19+0.8*(AC24-AC19)</f>
        <v>3373015.9938977798</v>
      </c>
      <c r="AD23" s="10">
        <f t="shared" ref="AD23" si="50">AD19+0.8*(AD24-AD19)</f>
        <v>3165528.5340746194</v>
      </c>
      <c r="AE23" s="10">
        <f>AE19+0.8*(AE24-AE19)</f>
        <v>259299.73775984417</v>
      </c>
      <c r="AF23" s="13">
        <f t="shared" si="44"/>
        <v>6797844.2657322437</v>
      </c>
      <c r="AH23">
        <v>2044</v>
      </c>
      <c r="AI23" s="11">
        <f>'Fleet ZEV fractions'!Z36</f>
        <v>1126784.2585019763</v>
      </c>
      <c r="AJ23" s="11"/>
      <c r="AK23" s="11">
        <f>'Fleet ZEV fractions'!AR36</f>
        <v>4860165.3533342257</v>
      </c>
      <c r="AL23" s="43"/>
      <c r="AN23">
        <v>2044</v>
      </c>
      <c r="AO23" s="11">
        <f t="shared" si="11"/>
        <v>14247021349.778448</v>
      </c>
      <c r="AP23" s="11"/>
      <c r="AQ23" s="11">
        <f t="shared" si="13"/>
        <v>61451763307.789223</v>
      </c>
      <c r="AR23" s="43"/>
      <c r="AT23" s="8"/>
      <c r="AU23" s="12"/>
      <c r="AV23" s="12"/>
      <c r="AW23" s="15"/>
    </row>
    <row r="24" spans="1:50">
      <c r="A24" s="9"/>
      <c r="B24">
        <v>2045</v>
      </c>
      <c r="C24" s="126">
        <f>'Emissions Summary'!$C37</f>
        <v>2458.0809552583487</v>
      </c>
      <c r="D24" s="126"/>
      <c r="E24" s="126">
        <f>'Emissions Summary'!$C87</f>
        <v>715.95522237697526</v>
      </c>
      <c r="F24" s="43"/>
      <c r="G24" s="260"/>
      <c r="H24">
        <v>2045</v>
      </c>
      <c r="I24" s="126">
        <f>'Emissions Summary'!$F37</f>
        <v>476.73647869669855</v>
      </c>
      <c r="J24" s="126"/>
      <c r="K24" s="126">
        <f>'Emissions Summary'!$F87</f>
        <v>364.2653960030072</v>
      </c>
      <c r="L24" s="43"/>
      <c r="M24" s="260"/>
      <c r="N24" s="9"/>
      <c r="O24">
        <v>2045</v>
      </c>
      <c r="P24" s="14">
        <f>'Emissions Summary'!J37*Tables!T24</f>
        <v>15.012794162159636</v>
      </c>
      <c r="Q24" s="14"/>
      <c r="R24" s="14">
        <f>'Emissions Summary'!J87*T24</f>
        <v>-2.3727764272396308</v>
      </c>
      <c r="S24" s="43"/>
      <c r="T24" s="131">
        <f t="shared" si="14"/>
        <v>9.0718499999999998E-7</v>
      </c>
      <c r="U24" s="15"/>
      <c r="V24">
        <v>2045</v>
      </c>
      <c r="W24" s="295">
        <f>W19*'2040-2050 extrapolation'!R24</f>
        <v>47043390479.811249</v>
      </c>
      <c r="X24" s="295">
        <f>X19*'2040-2050 extrapolation'!R25</f>
        <v>35892933200.549347</v>
      </c>
      <c r="Y24" s="295">
        <f>Y19*'2040-2050 extrapolation'!R26</f>
        <v>3601179700.5524783</v>
      </c>
      <c r="Z24" s="295">
        <f>Z19*'2040-2050 extrapolation'!R27</f>
        <v>86634123507.407608</v>
      </c>
      <c r="AA24" s="15"/>
      <c r="AB24">
        <v>2045</v>
      </c>
      <c r="AC24" s="296">
        <f>AC19*'2040-2050 extrapolation'!Q24</f>
        <v>3379735.0957790096</v>
      </c>
      <c r="AD24" s="296">
        <f>AD19*'2040-2050 extrapolation'!Q25</f>
        <v>3171834.3176128138</v>
      </c>
      <c r="AE24" s="11">
        <f>AE19*'2040-2050 extrapolation'!Q26</f>
        <v>259816.26699034189</v>
      </c>
      <c r="AF24" s="13">
        <f>AF19*'2040-2050 extrapolation'!Q27</f>
        <v>6811385.6803821651</v>
      </c>
      <c r="AH24">
        <v>2045</v>
      </c>
      <c r="AI24" s="11">
        <f>'Fleet ZEV fractions'!Z37</f>
        <v>1128914.1733866264</v>
      </c>
      <c r="AJ24" s="11"/>
      <c r="AK24" s="11">
        <f>'Fleet ZEV fractions'!AR37</f>
        <v>5159965.8000536924</v>
      </c>
      <c r="AL24" s="43"/>
      <c r="AN24">
        <v>2045</v>
      </c>
      <c r="AO24" s="11">
        <f t="shared" si="11"/>
        <v>14358677443.288248</v>
      </c>
      <c r="AP24" s="11"/>
      <c r="AQ24" s="11">
        <f t="shared" si="13"/>
        <v>65629687613.103935</v>
      </c>
      <c r="AR24" s="43"/>
      <c r="AT24" s="8"/>
      <c r="AU24" s="12"/>
      <c r="AV24" s="12"/>
      <c r="AW24" s="15"/>
      <c r="AX24" s="15"/>
    </row>
    <row r="25" spans="1:50">
      <c r="A25" s="9"/>
      <c r="B25">
        <v>2046</v>
      </c>
      <c r="C25" s="126">
        <f>'Emissions Summary'!$C38</f>
        <v>2363.7209840867781</v>
      </c>
      <c r="D25" s="126"/>
      <c r="E25" s="126">
        <f>'Emissions Summary'!$C88</f>
        <v>552.89358426741933</v>
      </c>
      <c r="F25" s="43"/>
      <c r="G25" s="260"/>
      <c r="H25">
        <v>2046</v>
      </c>
      <c r="I25" s="126">
        <f>'Emissions Summary'!$F38</f>
        <v>473.56812428809599</v>
      </c>
      <c r="J25" s="126"/>
      <c r="K25" s="126">
        <f>'Emissions Summary'!$F88</f>
        <v>356.55903970686904</v>
      </c>
      <c r="L25" s="43"/>
      <c r="M25" s="260"/>
      <c r="N25" s="9"/>
      <c r="O25">
        <v>2046</v>
      </c>
      <c r="P25" s="14">
        <f>'Emissions Summary'!J38*Tables!T25</f>
        <v>14.919784867811551</v>
      </c>
      <c r="Q25" s="14"/>
      <c r="R25" s="14">
        <f>'Emissions Summary'!J88*T25</f>
        <v>-3.2782506672762675</v>
      </c>
      <c r="S25" s="43"/>
      <c r="T25" s="131">
        <f t="shared" si="14"/>
        <v>9.0718499999999998E-7</v>
      </c>
      <c r="U25" s="15"/>
      <c r="V25">
        <v>2046</v>
      </c>
      <c r="W25" s="3">
        <f>W24+0.2*(W29-W24)</f>
        <v>47624374857.253098</v>
      </c>
      <c r="X25" s="3">
        <f t="shared" ref="X25:Y25" si="51">X24+0.2*(X29-X24)</f>
        <v>35862018267.644753</v>
      </c>
      <c r="Y25" s="3">
        <f t="shared" si="51"/>
        <v>3636904908.6629739</v>
      </c>
      <c r="Z25" s="44">
        <f t="shared" si="0"/>
        <v>87123298033.560837</v>
      </c>
      <c r="AA25" s="15"/>
      <c r="AB25">
        <v>2046</v>
      </c>
      <c r="AC25" s="10">
        <f>AC24+0.2*(AC29-AC24)</f>
        <v>3386521.6579811927</v>
      </c>
      <c r="AD25" s="10">
        <f t="shared" ref="AD25" si="52">AD24+0.2*(AD29-AD24)</f>
        <v>3178203.4117226987</v>
      </c>
      <c r="AE25" s="10">
        <f>AE24+0.2*(AE29-AE24)</f>
        <v>260337.98221567748</v>
      </c>
      <c r="AF25" s="13">
        <f t="shared" ref="AF25:AF28" si="53">SUM(AC25:AE25)</f>
        <v>6825063.0519195693</v>
      </c>
      <c r="AH25">
        <v>2046</v>
      </c>
      <c r="AI25" s="11">
        <f>'Fleet ZEV fractions'!Z38</f>
        <v>1131070.9275380312</v>
      </c>
      <c r="AJ25" s="11"/>
      <c r="AK25" s="11">
        <f>'Fleet ZEV fractions'!AR38</f>
        <v>5460339.0058661867</v>
      </c>
      <c r="AL25" s="43"/>
      <c r="AN25">
        <v>2046</v>
      </c>
      <c r="AO25" s="11">
        <f t="shared" si="11"/>
        <v>14438347128.423464</v>
      </c>
      <c r="AP25" s="11"/>
      <c r="AQ25" s="11">
        <f t="shared" si="13"/>
        <v>69702322008.374496</v>
      </c>
      <c r="AR25" s="43"/>
      <c r="AT25" s="161" t="s">
        <v>372</v>
      </c>
      <c r="AU25" s="12"/>
      <c r="AV25" s="12"/>
      <c r="AW25" s="15"/>
    </row>
    <row r="26" spans="1:50">
      <c r="A26" s="9"/>
      <c r="B26">
        <v>2047</v>
      </c>
      <c r="C26" s="126">
        <f>'Emissions Summary'!$C39</f>
        <v>2271.1775461879979</v>
      </c>
      <c r="D26" s="126"/>
      <c r="E26" s="126">
        <f>'Emissions Summary'!$C89</f>
        <v>411.98784245837965</v>
      </c>
      <c r="F26" s="43"/>
      <c r="G26" s="260"/>
      <c r="H26">
        <v>2047</v>
      </c>
      <c r="I26" s="126">
        <f>'Emissions Summary'!$F39</f>
        <v>470.676512363867</v>
      </c>
      <c r="J26" s="126"/>
      <c r="K26" s="126">
        <f>'Emissions Summary'!$F89</f>
        <v>349.69633146252016</v>
      </c>
      <c r="L26" s="43"/>
      <c r="M26" s="260"/>
      <c r="N26" s="9"/>
      <c r="O26">
        <v>2047</v>
      </c>
      <c r="P26" s="14">
        <f>'Emissions Summary'!J39*Tables!T26</f>
        <v>14.842767205350162</v>
      </c>
      <c r="Q26" s="14"/>
      <c r="R26" s="14">
        <f>'Emissions Summary'!J89*T26</f>
        <v>-4.114624528735356</v>
      </c>
      <c r="S26" s="43"/>
      <c r="T26" s="131">
        <f t="shared" si="14"/>
        <v>9.0718499999999998E-7</v>
      </c>
      <c r="U26" s="15"/>
      <c r="V26">
        <v>2047</v>
      </c>
      <c r="W26" s="3">
        <f>W24+0.4*(W29-W24)</f>
        <v>48205359234.694946</v>
      </c>
      <c r="X26" s="3">
        <f t="shared" ref="X26:Y26" si="54">X24+0.4*(X29-X24)</f>
        <v>35831103334.740166</v>
      </c>
      <c r="Y26" s="3">
        <f t="shared" si="54"/>
        <v>3672630116.7734694</v>
      </c>
      <c r="Z26" s="44">
        <f t="shared" si="0"/>
        <v>87709092686.208588</v>
      </c>
      <c r="AA26" s="15"/>
      <c r="AB26">
        <v>2047</v>
      </c>
      <c r="AC26" s="10">
        <f>AC24+0.4*(AC29-AC24)</f>
        <v>3393308.2201833758</v>
      </c>
      <c r="AD26" s="10">
        <f t="shared" ref="AD26" si="55">AD24+0.4*(AD29-AD24)</f>
        <v>3184572.5058325836</v>
      </c>
      <c r="AE26" s="10">
        <f>AE24+0.4*(AE29-AE24)</f>
        <v>260859.69744101306</v>
      </c>
      <c r="AF26" s="13">
        <f t="shared" si="53"/>
        <v>6838740.4234569725</v>
      </c>
      <c r="AH26">
        <v>2047</v>
      </c>
      <c r="AI26" s="11">
        <f>'Fleet ZEV fractions'!Z39</f>
        <v>1133227.2403158585</v>
      </c>
      <c r="AJ26" s="11"/>
      <c r="AK26" s="11">
        <f>'Fleet ZEV fractions'!AR39</f>
        <v>5761284.8535581967</v>
      </c>
      <c r="AL26" s="43"/>
      <c r="AN26">
        <v>2047</v>
      </c>
      <c r="AO26" s="11">
        <f t="shared" si="11"/>
        <v>14534011660.170065</v>
      </c>
      <c r="AP26" s="11"/>
      <c r="AQ26" s="11">
        <f t="shared" si="13"/>
        <v>73890371022.000076</v>
      </c>
      <c r="AR26" s="43"/>
      <c r="AU26" t="s">
        <v>56</v>
      </c>
      <c r="AV26" t="s">
        <v>57</v>
      </c>
      <c r="AW26" t="s">
        <v>53</v>
      </c>
    </row>
    <row r="27" spans="1:50">
      <c r="A27" s="9"/>
      <c r="B27">
        <v>2048</v>
      </c>
      <c r="C27" s="126">
        <f>'Emissions Summary'!$C40</f>
        <v>2180.2603345247467</v>
      </c>
      <c r="D27" s="126"/>
      <c r="E27" s="126">
        <f>'Emissions Summary'!$C90</f>
        <v>288.74996559884761</v>
      </c>
      <c r="F27" s="43"/>
      <c r="G27" s="260"/>
      <c r="H27">
        <v>2048</v>
      </c>
      <c r="I27" s="126">
        <f>'Emissions Summary'!$F40</f>
        <v>468.00472375681954</v>
      </c>
      <c r="J27" s="126"/>
      <c r="K27" s="126">
        <f>'Emissions Summary'!$F90</f>
        <v>343.55812146718819</v>
      </c>
      <c r="L27" s="43"/>
      <c r="M27" s="260"/>
      <c r="N27" s="9"/>
      <c r="O27">
        <v>2048</v>
      </c>
      <c r="P27" s="14">
        <f>'Emissions Summary'!J40*Tables!T27</f>
        <v>14.773251378840115</v>
      </c>
      <c r="Q27" s="14"/>
      <c r="R27" s="14">
        <f>'Emissions Summary'!J90*T27</f>
        <v>-4.868194175784569</v>
      </c>
      <c r="S27" s="43"/>
      <c r="T27" s="131">
        <f t="shared" si="14"/>
        <v>9.0718499999999998E-7</v>
      </c>
      <c r="U27" s="15"/>
      <c r="V27">
        <v>2048</v>
      </c>
      <c r="W27" s="3">
        <f>W24+0.6*(W29-W24)</f>
        <v>48786343612.136803</v>
      </c>
      <c r="X27" s="3">
        <f t="shared" ref="X27:Y27" si="56">X24+0.6*(X29-X24)</f>
        <v>35800188401.835571</v>
      </c>
      <c r="Y27" s="3">
        <f t="shared" si="56"/>
        <v>3708355324.883965</v>
      </c>
      <c r="Z27" s="44">
        <f t="shared" si="0"/>
        <v>88294887338.856354</v>
      </c>
      <c r="AA27" s="15"/>
      <c r="AB27">
        <v>2048</v>
      </c>
      <c r="AC27" s="10">
        <f>AC24+0.6*(AC29-AC24)</f>
        <v>3400094.7823855588</v>
      </c>
      <c r="AD27" s="10">
        <f t="shared" ref="AD27" si="57">AD24+0.6*(AD29-AD24)</f>
        <v>3190941.599942469</v>
      </c>
      <c r="AE27" s="10">
        <f>AE24+0.6*(AE29-AE24)</f>
        <v>261381.41266634868</v>
      </c>
      <c r="AF27" s="13">
        <f t="shared" si="53"/>
        <v>6852417.7949943766</v>
      </c>
      <c r="AH27">
        <v>2048</v>
      </c>
      <c r="AI27" s="11">
        <f>'Fleet ZEV fractions'!Z40</f>
        <v>1135383.1117201087</v>
      </c>
      <c r="AJ27" s="11"/>
      <c r="AK27" s="11">
        <f>'Fleet ZEV fractions'!AR40</f>
        <v>6062803.2259162096</v>
      </c>
      <c r="AL27" s="43"/>
      <c r="AN27">
        <v>2048</v>
      </c>
      <c r="AO27" s="11">
        <f t="shared" si="11"/>
        <v>14629657288.117737</v>
      </c>
      <c r="AP27" s="11"/>
      <c r="AQ27" s="11">
        <f t="shared" si="13"/>
        <v>78120532606.895126</v>
      </c>
      <c r="AR27" s="43"/>
      <c r="AT27" s="204" t="s">
        <v>161</v>
      </c>
      <c r="AU27" s="283">
        <f>SUM(D4:D14)-SUM(C4:C14)</f>
        <v>-4054.6076458788521</v>
      </c>
      <c r="AV27" s="283">
        <f>SUM(J4:J14)-SUM(I4:I14)</f>
        <v>-302.08532735023164</v>
      </c>
      <c r="AW27" s="284">
        <f>SUM(Q4:Q14)-SUM(P4:P14)</f>
        <v>-42.815330171381419</v>
      </c>
    </row>
    <row r="28" spans="1:50">
      <c r="A28" s="9"/>
      <c r="B28">
        <v>2049</v>
      </c>
      <c r="C28" s="126">
        <f>'Emissions Summary'!$C41</f>
        <v>2093.0302343261269</v>
      </c>
      <c r="D28" s="126"/>
      <c r="E28" s="126">
        <f>'Emissions Summary'!$C91</f>
        <v>204.92641159107686</v>
      </c>
      <c r="F28" s="43"/>
      <c r="G28" s="260"/>
      <c r="H28">
        <v>2049</v>
      </c>
      <c r="I28" s="126">
        <f>'Emissions Summary'!$F41</f>
        <v>465.75001298868693</v>
      </c>
      <c r="J28" s="126"/>
      <c r="K28" s="126">
        <f>'Emissions Summary'!$F91</f>
        <v>338.24665469236527</v>
      </c>
      <c r="L28" s="43"/>
      <c r="M28" s="260"/>
      <c r="N28" s="9"/>
      <c r="O28">
        <v>2049</v>
      </c>
      <c r="P28" s="14">
        <f>'Emissions Summary'!J41*Tables!T28</f>
        <v>14.719519971340178</v>
      </c>
      <c r="Q28" s="14"/>
      <c r="R28" s="14">
        <f>'Emissions Summary'!J91*T28</f>
        <v>-5.5467493824880583</v>
      </c>
      <c r="S28" s="43"/>
      <c r="T28" s="131">
        <f t="shared" si="14"/>
        <v>9.0718499999999998E-7</v>
      </c>
      <c r="U28" s="15"/>
      <c r="V28">
        <v>2049</v>
      </c>
      <c r="W28" s="3">
        <f>W24+0.8*(W29-W24)</f>
        <v>49367327989.578651</v>
      </c>
      <c r="X28" s="3">
        <f t="shared" ref="X28:Y28" si="58">X24+0.8*(X29-X24)</f>
        <v>35769273468.930984</v>
      </c>
      <c r="Y28" s="3">
        <f t="shared" si="58"/>
        <v>3744080532.9944606</v>
      </c>
      <c r="Z28" s="44">
        <f t="shared" si="0"/>
        <v>88880681991.504105</v>
      </c>
      <c r="AA28" s="15"/>
      <c r="AB28">
        <v>2049</v>
      </c>
      <c r="AC28" s="10">
        <f>AC24+0.8*(AC29-AC24)</f>
        <v>3406881.3445877419</v>
      </c>
      <c r="AD28" s="10">
        <f t="shared" ref="AD28" si="59">AD24+0.8*(AD29-AD24)</f>
        <v>3197310.694052354</v>
      </c>
      <c r="AE28" s="10">
        <f>AE24+0.8*(AE29-AE24)</f>
        <v>261903.12789168427</v>
      </c>
      <c r="AF28" s="13">
        <f t="shared" si="53"/>
        <v>6866095.1665317798</v>
      </c>
      <c r="AH28">
        <v>2049</v>
      </c>
      <c r="AI28" s="11">
        <f>'Fleet ZEV fractions'!Z41</f>
        <v>1137538.541750781</v>
      </c>
      <c r="AJ28" s="11"/>
      <c r="AK28" s="11">
        <f>'Fleet ZEV fractions'!AR41</f>
        <v>6364894.0057267118</v>
      </c>
      <c r="AL28" s="43"/>
      <c r="AN28">
        <v>2049</v>
      </c>
      <c r="AO28" s="11">
        <f t="shared" si="11"/>
        <v>14725284012.266468</v>
      </c>
      <c r="AP28" s="11"/>
      <c r="AQ28" s="11">
        <f t="shared" si="13"/>
        <v>82392700117.260773</v>
      </c>
      <c r="AR28" s="43"/>
      <c r="AT28" t="s">
        <v>162</v>
      </c>
      <c r="AU28" s="12">
        <f>SUM(E4:E14)-SUM(C4:C14)</f>
        <v>-3768.4689117831949</v>
      </c>
      <c r="AV28" s="12">
        <f>SUM(K4:K14)-SUM(I4:I14)</f>
        <v>-281.88993947678773</v>
      </c>
      <c r="AW28" s="15">
        <f>SUM(R4:R14)-SUM(P4:P14)</f>
        <v>-40.004818964936135</v>
      </c>
    </row>
    <row r="29" spans="1:50">
      <c r="A29" s="9"/>
      <c r="B29">
        <v>2050</v>
      </c>
      <c r="C29" s="126">
        <f>'Emissions Summary'!$C42</f>
        <v>2008.1816326295368</v>
      </c>
      <c r="D29" s="126"/>
      <c r="E29" s="126">
        <f>'Emissions Summary'!$C92</f>
        <v>134.52031417617692</v>
      </c>
      <c r="F29" s="43"/>
      <c r="G29" s="260"/>
      <c r="H29">
        <v>2050</v>
      </c>
      <c r="I29" s="126">
        <f>'Emissions Summary'!$F42</f>
        <v>463.68317698153282</v>
      </c>
      <c r="J29" s="126"/>
      <c r="K29" s="126">
        <f>'Emissions Summary'!$F92</f>
        <v>333.54848993369671</v>
      </c>
      <c r="L29" s="43"/>
      <c r="M29" s="260"/>
      <c r="N29" s="9"/>
      <c r="O29">
        <v>2050</v>
      </c>
      <c r="P29" s="14">
        <f>'Emissions Summary'!J42*Tables!T29</f>
        <v>14.675740253540093</v>
      </c>
      <c r="Q29" s="14"/>
      <c r="R29" s="14">
        <f>'Emissions Summary'!J92*T29</f>
        <v>-6.1547816251449836</v>
      </c>
      <c r="S29" s="43"/>
      <c r="T29" s="131">
        <f t="shared" si="14"/>
        <v>9.0718499999999998E-7</v>
      </c>
      <c r="U29" s="15"/>
      <c r="V29">
        <v>2050</v>
      </c>
      <c r="W29" s="295">
        <f>W19*'2040-2050 extrapolation'!R28</f>
        <v>49948312367.0205</v>
      </c>
      <c r="X29" s="295">
        <f>X19*'2040-2050 extrapolation'!R29</f>
        <v>35738358536.02639</v>
      </c>
      <c r="Y29" s="295">
        <f>Y19*'2040-2050 extrapolation'!R30</f>
        <v>3779805741.1049562</v>
      </c>
      <c r="Z29" s="295">
        <f>Z19*'2040-2050 extrapolation'!R31</f>
        <v>89659716897.140915</v>
      </c>
      <c r="AA29" s="15"/>
      <c r="AB29">
        <v>2050</v>
      </c>
      <c r="AC29" s="11">
        <f>AC19*'2040-2050 extrapolation'!Q28</f>
        <v>3413667.9067899249</v>
      </c>
      <c r="AD29" s="11">
        <f>AD19*'2040-2050 extrapolation'!Q29</f>
        <v>3203679.7881622389</v>
      </c>
      <c r="AE29" s="11">
        <f>AE19*'2040-2050 extrapolation'!Q30</f>
        <v>262424.84311701986</v>
      </c>
      <c r="AF29" s="13">
        <f>AF19*'2040-2050 extrapolation'!Q31</f>
        <v>6879772.5380691839</v>
      </c>
      <c r="AG29" s="12">
        <f>AC29+AD29</f>
        <v>6617347.6949521638</v>
      </c>
      <c r="AH29">
        <v>2050</v>
      </c>
      <c r="AI29" s="11">
        <f>'Fleet ZEV fractions'!Z42</f>
        <v>1139693.530407876</v>
      </c>
      <c r="AJ29" s="11"/>
      <c r="AK29" s="11">
        <f>'Fleet ZEV fractions'!AR42</f>
        <v>6667557.0757761914</v>
      </c>
      <c r="AL29" s="43"/>
      <c r="AN29">
        <v>2050</v>
      </c>
      <c r="AO29" s="11">
        <f t="shared" si="11"/>
        <v>14852903743.610025</v>
      </c>
      <c r="AP29" s="11"/>
      <c r="AQ29" s="11">
        <f t="shared" si="13"/>
        <v>86894047223.45639</v>
      </c>
      <c r="AR29" s="43"/>
    </row>
    <row r="30" spans="1:50" s="6" customFormat="1">
      <c r="B30" s="234" t="s">
        <v>49</v>
      </c>
      <c r="C30" s="288">
        <f>SUM(C4:C29)</f>
        <v>105358.63649761032</v>
      </c>
      <c r="D30" s="288"/>
      <c r="E30" s="288">
        <f>SUM(E4:E29)</f>
        <v>79361.100032610571</v>
      </c>
      <c r="F30" s="289"/>
      <c r="G30" s="290"/>
      <c r="H30" s="234" t="s">
        <v>49</v>
      </c>
      <c r="I30" s="291">
        <f>SUM(I4:I29)</f>
        <v>14170.881255635397</v>
      </c>
      <c r="J30" s="291"/>
      <c r="K30" s="291">
        <f>SUM(K4:K29)</f>
        <v>12395.867691310697</v>
      </c>
      <c r="L30" s="289"/>
      <c r="M30" s="290"/>
      <c r="N30" s="28"/>
      <c r="O30" s="234" t="s">
        <v>49</v>
      </c>
      <c r="P30" s="292">
        <f>SUM(P4:P29)</f>
        <v>466.43347707567392</v>
      </c>
      <c r="Q30" s="292"/>
      <c r="R30" s="292">
        <f>SUM(R4:R29)</f>
        <v>196.28891100487846</v>
      </c>
      <c r="S30" s="286"/>
      <c r="T30" s="285"/>
      <c r="V30" s="28" t="s">
        <v>617</v>
      </c>
      <c r="W30" s="294">
        <f>(W29/W4)-1</f>
        <v>0.31398942721656464</v>
      </c>
      <c r="X30" s="294">
        <f t="shared" ref="X30:Z30" si="60">(X29/X4)-1</f>
        <v>3.6123218577717164E-3</v>
      </c>
      <c r="Y30" s="294">
        <f t="shared" si="60"/>
        <v>0.27075739471658977</v>
      </c>
      <c r="Z30" s="294">
        <f t="shared" si="60"/>
        <v>0.1705398205349673</v>
      </c>
      <c r="AB30" s="28" t="s">
        <v>617</v>
      </c>
      <c r="AC30" s="294">
        <f>(AC29/AC4)-1</f>
        <v>5.11348475107265E-2</v>
      </c>
      <c r="AD30" s="294">
        <f t="shared" ref="AD30:AF30" si="61">(AD29/AD4)-1</f>
        <v>5.11348475107265E-2</v>
      </c>
      <c r="AE30" s="294">
        <f t="shared" si="61"/>
        <v>5.1134847510726722E-2</v>
      </c>
      <c r="AF30" s="294">
        <f t="shared" si="61"/>
        <v>5.11348475107265E-2</v>
      </c>
      <c r="AH30" s="28" t="s">
        <v>617</v>
      </c>
      <c r="AI30" s="294">
        <f>(AI29/AI4)-1</f>
        <v>4.7368151111126551</v>
      </c>
      <c r="AJ30" s="294"/>
      <c r="AK30" s="294">
        <f>(AK29/AK4)-1</f>
        <v>32.562129788373703</v>
      </c>
      <c r="AL30" s="287"/>
      <c r="AN30" s="28" t="s">
        <v>617</v>
      </c>
      <c r="AO30" s="294">
        <f>(AO29/AO4)-1</f>
        <v>5.3884957734079588</v>
      </c>
      <c r="AP30" s="294"/>
      <c r="AQ30" s="294">
        <f>(AQ29/AQ4)-1</f>
        <v>36.374661749907716</v>
      </c>
      <c r="AR30" s="287"/>
    </row>
    <row r="31" spans="1:50" s="6" customFormat="1">
      <c r="B31" s="28" t="s">
        <v>617</v>
      </c>
      <c r="C31" s="293">
        <f>C29-C4</f>
        <v>-7679.65254694948</v>
      </c>
      <c r="D31" s="293"/>
      <c r="E31" s="293">
        <f>E29-E4</f>
        <v>-9553.3138654028389</v>
      </c>
      <c r="F31" s="294"/>
      <c r="G31" s="290"/>
      <c r="H31" s="28" t="s">
        <v>617</v>
      </c>
      <c r="I31" s="293">
        <f>I29-I4</f>
        <v>-215.70322908807259</v>
      </c>
      <c r="J31" s="293"/>
      <c r="K31" s="293">
        <f>K29-K4</f>
        <v>-345.8379161359087</v>
      </c>
      <c r="L31" s="294"/>
      <c r="M31" s="28"/>
      <c r="N31" s="28"/>
      <c r="O31" s="234" t="s">
        <v>617</v>
      </c>
      <c r="P31" s="293">
        <f>P29-P4</f>
        <v>-10.384576695091523</v>
      </c>
      <c r="Q31" s="293"/>
      <c r="R31" s="293">
        <f>R29-R4</f>
        <v>-31.215098573776601</v>
      </c>
      <c r="S31" s="287"/>
    </row>
    <row r="33" spans="1:49">
      <c r="B33" s="2"/>
      <c r="AU33" s="12"/>
      <c r="AV33" s="12"/>
      <c r="AW33" s="15"/>
    </row>
    <row r="34" spans="1:49">
      <c r="A34" s="9"/>
      <c r="B34" s="2"/>
    </row>
    <row r="56" spans="1:32">
      <c r="B56">
        <v>0.90718500000000002</v>
      </c>
      <c r="C56" t="s">
        <v>54</v>
      </c>
      <c r="AB56" s="2"/>
    </row>
    <row r="57" spans="1:32">
      <c r="B57">
        <v>1000000</v>
      </c>
      <c r="C57" t="s">
        <v>55</v>
      </c>
    </row>
    <row r="58" spans="1:32">
      <c r="AC58" s="43"/>
      <c r="AD58" s="43"/>
      <c r="AE58" s="43"/>
      <c r="AF58" s="12"/>
    </row>
    <row r="59" spans="1:32">
      <c r="A59" t="s">
        <v>369</v>
      </c>
      <c r="AC59" s="43"/>
      <c r="AD59" s="43"/>
      <c r="AE59" s="43"/>
      <c r="AF59" s="12"/>
    </row>
    <row r="60" spans="1:32">
      <c r="AC60" s="43"/>
      <c r="AD60" s="43"/>
      <c r="AE60" s="43"/>
      <c r="AF60" s="12"/>
    </row>
    <row r="61" spans="1:32">
      <c r="AC61" s="43"/>
      <c r="AD61" s="43"/>
      <c r="AE61" s="43"/>
      <c r="AF61" s="12"/>
    </row>
    <row r="62" spans="1:32">
      <c r="AC62" s="43"/>
      <c r="AD62" s="43"/>
      <c r="AE62" s="43"/>
      <c r="AF62" s="12"/>
    </row>
    <row r="63" spans="1:32">
      <c r="AC63" s="43"/>
      <c r="AD63" s="43"/>
      <c r="AE63" s="43"/>
      <c r="AF63" s="12"/>
    </row>
    <row r="64" spans="1:32">
      <c r="AC64" s="43"/>
      <c r="AD64" s="43"/>
      <c r="AE64" s="43"/>
      <c r="AF64" s="12"/>
    </row>
    <row r="65" spans="2:32">
      <c r="AC65" s="43"/>
      <c r="AD65" s="43"/>
      <c r="AE65" s="43"/>
      <c r="AF65" s="12"/>
    </row>
    <row r="66" spans="2:32">
      <c r="B66" s="8"/>
      <c r="AC66" s="43"/>
      <c r="AD66" s="43"/>
      <c r="AE66" s="43"/>
      <c r="AF66" s="12"/>
    </row>
    <row r="67" spans="2:32">
      <c r="AC67" s="43"/>
      <c r="AD67" s="43"/>
      <c r="AE67" s="43"/>
      <c r="AF67" s="12"/>
    </row>
    <row r="68" spans="2:32">
      <c r="AC68" s="43"/>
      <c r="AD68" s="43"/>
      <c r="AE68" s="43"/>
      <c r="AF68" s="12"/>
    </row>
    <row r="69" spans="2:32">
      <c r="AC69" s="43"/>
      <c r="AD69" s="43"/>
      <c r="AE69" s="43"/>
      <c r="AF69" s="12"/>
    </row>
    <row r="70" spans="2:32">
      <c r="AC70" s="43"/>
      <c r="AD70" s="43"/>
      <c r="AE70" s="43"/>
      <c r="AF70" s="12"/>
    </row>
    <row r="71" spans="2:32">
      <c r="AC71" s="43"/>
      <c r="AD71" s="43"/>
      <c r="AE71" s="43"/>
      <c r="AF71" s="12"/>
    </row>
    <row r="72" spans="2:32">
      <c r="AC72" s="43"/>
      <c r="AD72" s="43"/>
      <c r="AE72" s="43"/>
      <c r="AF72" s="12"/>
    </row>
    <row r="73" spans="2:32">
      <c r="AC73" s="43"/>
      <c r="AD73" s="43"/>
      <c r="AE73" s="43"/>
      <c r="AF73" s="12"/>
    </row>
    <row r="74" spans="2:32">
      <c r="AC74" s="43"/>
      <c r="AD74" s="43"/>
      <c r="AE74" s="43"/>
      <c r="AF74" s="12"/>
    </row>
    <row r="75" spans="2:32">
      <c r="AC75" s="43"/>
      <c r="AD75" s="43"/>
      <c r="AE75" s="43"/>
      <c r="AF75" s="12"/>
    </row>
    <row r="76" spans="2:32">
      <c r="AC76" s="43"/>
      <c r="AD76" s="43"/>
      <c r="AE76" s="43"/>
      <c r="AF76" s="12"/>
    </row>
    <row r="77" spans="2:32">
      <c r="AC77" s="43"/>
      <c r="AD77" s="43"/>
      <c r="AE77" s="43"/>
      <c r="AF77" s="12"/>
    </row>
    <row r="78" spans="2:32">
      <c r="AC78" s="43"/>
      <c r="AD78" s="43"/>
      <c r="AE78" s="43"/>
      <c r="AF78" s="12"/>
    </row>
    <row r="79" spans="2:32">
      <c r="AC79" s="43"/>
      <c r="AD79" s="43"/>
      <c r="AE79" s="43"/>
      <c r="AF79" s="12"/>
    </row>
    <row r="80" spans="2:32">
      <c r="AC80" s="43"/>
      <c r="AD80" s="43"/>
      <c r="AE80" s="43"/>
      <c r="AF80" s="12"/>
    </row>
    <row r="81" spans="29:32">
      <c r="AC81" s="43"/>
      <c r="AD81" s="43"/>
      <c r="AE81" s="43"/>
      <c r="AF81" s="12"/>
    </row>
    <row r="82" spans="29:32">
      <c r="AC82" s="43"/>
      <c r="AD82" s="43"/>
      <c r="AE82" s="43"/>
      <c r="AF82" s="12"/>
    </row>
    <row r="83" spans="29:32">
      <c r="AC83" s="43"/>
      <c r="AD83" s="43"/>
      <c r="AE83" s="43"/>
      <c r="AF83" s="12"/>
    </row>
    <row r="84" spans="29:32">
      <c r="AC84" s="43"/>
      <c r="AD84" s="43"/>
      <c r="AE84" s="43"/>
      <c r="AF84" s="12"/>
    </row>
    <row r="85" spans="29:32">
      <c r="AC85" s="43"/>
      <c r="AD85" s="43"/>
      <c r="AE85" s="43"/>
      <c r="AF85" s="12"/>
    </row>
    <row r="86" spans="29:32">
      <c r="AC86" s="43"/>
      <c r="AD86" s="43"/>
      <c r="AE86" s="43"/>
      <c r="AF86" s="12"/>
    </row>
    <row r="87" spans="29:32">
      <c r="AC87" s="43"/>
      <c r="AD87" s="43"/>
      <c r="AE87" s="43"/>
      <c r="AF87" s="12"/>
    </row>
    <row r="88" spans="29:32">
      <c r="AC88" s="43"/>
      <c r="AD88" s="43"/>
      <c r="AE88" s="43"/>
      <c r="AF88" s="12"/>
    </row>
  </sheetData>
  <sheetProtection algorithmName="SHA-512" hashValue="CLgPPpB3KB0GsTQMkMJde5/XwsMHiNcfmo21n6MWuhH9BB9syskUlvDeDWaEl3Wb9LeadgtDqpdYmTdyNGbRcg==" saltValue="TQ6ZFFpbOkyigXEEA8ICeA==" spinCount="100000" sheet="1" objects="1" scenarios="1"/>
  <pageMargins left="0.7" right="0.7" top="0.75" bottom="0.75" header="0.3" footer="0.3"/>
  <pageSetup orientation="portrait" horizontalDpi="360" verticalDpi="36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3BC0D0-D9CC-4E21-9D5A-4AE420CA4E47}">
  <sheetPr codeName="Sheet4"/>
  <dimension ref="A1:Z38"/>
  <sheetViews>
    <sheetView workbookViewId="0">
      <selection activeCell="B22" sqref="B22"/>
    </sheetView>
  </sheetViews>
  <sheetFormatPr baseColWidth="10" defaultColWidth="8.83203125" defaultRowHeight="15"/>
  <cols>
    <col min="1" max="2" width="20" customWidth="1"/>
    <col min="3" max="3" width="29.33203125" customWidth="1"/>
    <col min="4" max="24" width="19.83203125" customWidth="1"/>
    <col min="25" max="25" width="11.6640625" bestFit="1" customWidth="1"/>
  </cols>
  <sheetData>
    <row r="1" spans="3:23">
      <c r="C1" s="2" t="s">
        <v>535</v>
      </c>
      <c r="D1" t="s">
        <v>536</v>
      </c>
      <c r="E1" t="s">
        <v>537</v>
      </c>
      <c r="F1" t="s">
        <v>538</v>
      </c>
      <c r="G1" t="s">
        <v>539</v>
      </c>
      <c r="H1" t="s">
        <v>540</v>
      </c>
      <c r="I1" t="s">
        <v>541</v>
      </c>
      <c r="J1" t="s">
        <v>542</v>
      </c>
      <c r="K1" t="s">
        <v>543</v>
      </c>
      <c r="L1" t="s">
        <v>544</v>
      </c>
      <c r="M1" t="s">
        <v>545</v>
      </c>
      <c r="N1" t="s">
        <v>564</v>
      </c>
      <c r="O1" t="s">
        <v>565</v>
      </c>
      <c r="P1" t="s">
        <v>566</v>
      </c>
      <c r="Q1" t="s">
        <v>567</v>
      </c>
      <c r="R1" t="s">
        <v>568</v>
      </c>
      <c r="S1" t="s">
        <v>569</v>
      </c>
      <c r="T1" t="s">
        <v>570</v>
      </c>
      <c r="U1" t="s">
        <v>571</v>
      </c>
      <c r="V1" t="s">
        <v>572</v>
      </c>
      <c r="W1" t="s">
        <v>573</v>
      </c>
    </row>
    <row r="2" spans="3:23">
      <c r="C2" t="s">
        <v>546</v>
      </c>
      <c r="D2">
        <v>50.088596751301097</v>
      </c>
      <c r="E2">
        <v>50.088596751301097</v>
      </c>
      <c r="F2">
        <v>-1.5305161959431</v>
      </c>
      <c r="G2">
        <v>-1.5305161959431</v>
      </c>
      <c r="H2">
        <v>4.9837919577330902</v>
      </c>
      <c r="I2">
        <v>4.9837919577330902</v>
      </c>
      <c r="J2">
        <v>1.2015345841965199</v>
      </c>
      <c r="K2">
        <v>1.2015345841965199</v>
      </c>
      <c r="L2">
        <v>0.57618866600395102</v>
      </c>
      <c r="M2">
        <v>0.57618866600395102</v>
      </c>
      <c r="N2">
        <v>39.794006725998102</v>
      </c>
      <c r="O2">
        <v>39.794006725998102</v>
      </c>
      <c r="P2">
        <v>-1.3727958728207801</v>
      </c>
      <c r="Q2">
        <v>-1.3727958728207801</v>
      </c>
      <c r="R2">
        <v>5.74885643982247</v>
      </c>
      <c r="S2">
        <v>5.74885643982247</v>
      </c>
      <c r="T2">
        <v>1.1928619432662899</v>
      </c>
      <c r="U2">
        <v>1.1928619432662899</v>
      </c>
      <c r="V2">
        <v>0.61419443148758901</v>
      </c>
      <c r="W2">
        <v>0.61419443148758901</v>
      </c>
    </row>
    <row r="3" spans="3:23">
      <c r="C3" t="s">
        <v>547</v>
      </c>
      <c r="D3">
        <v>39.466791817984401</v>
      </c>
      <c r="E3">
        <v>39.466791817984401</v>
      </c>
      <c r="F3">
        <v>-1.6244525997035499</v>
      </c>
      <c r="G3">
        <v>-1.6244525997035499</v>
      </c>
      <c r="H3">
        <v>4.0338170816284897</v>
      </c>
      <c r="I3">
        <v>4.0338170816284897</v>
      </c>
      <c r="J3">
        <v>0.92626213725393403</v>
      </c>
      <c r="K3">
        <v>0.92626213725393403</v>
      </c>
      <c r="L3">
        <v>0.478873616122519</v>
      </c>
      <c r="M3">
        <v>0.478873616122519</v>
      </c>
      <c r="N3">
        <v>28.201991668914001</v>
      </c>
      <c r="O3">
        <v>28.201991668914001</v>
      </c>
      <c r="P3">
        <v>-1.0334814693083201</v>
      </c>
      <c r="Q3">
        <v>-1.0334814693083201</v>
      </c>
      <c r="R3">
        <v>4.2039005945852104</v>
      </c>
      <c r="S3">
        <v>4.2039005945852104</v>
      </c>
      <c r="T3">
        <v>0.853298493726665</v>
      </c>
      <c r="U3">
        <v>0.853298493726665</v>
      </c>
      <c r="V3">
        <v>0.44985061453917702</v>
      </c>
      <c r="W3">
        <v>0.44985061453917702</v>
      </c>
    </row>
    <row r="4" spans="3:23">
      <c r="C4" t="s">
        <v>548</v>
      </c>
      <c r="D4">
        <v>4.2512526016311201</v>
      </c>
      <c r="E4">
        <v>4.2512526016311201</v>
      </c>
      <c r="F4">
        <v>-0.174791093850865</v>
      </c>
      <c r="G4">
        <v>-0.174791093850865</v>
      </c>
      <c r="H4">
        <v>0.43417639785749002</v>
      </c>
      <c r="I4">
        <v>0.43417639785749002</v>
      </c>
      <c r="J4">
        <v>9.9682279177556996E-2</v>
      </c>
      <c r="K4">
        <v>9.9682279177556996E-2</v>
      </c>
      <c r="L4">
        <v>5.1534799192998401E-2</v>
      </c>
      <c r="M4">
        <v>5.1534799192998401E-2</v>
      </c>
      <c r="N4">
        <v>3.0359431609466201</v>
      </c>
      <c r="O4">
        <v>3.0359431609466201</v>
      </c>
      <c r="P4">
        <v>-0.111217378809309</v>
      </c>
      <c r="Q4">
        <v>-0.111217378809309</v>
      </c>
      <c r="R4">
        <v>0.45241566880710299</v>
      </c>
      <c r="S4">
        <v>0.45241566880710299</v>
      </c>
      <c r="T4">
        <v>9.1828783907482697E-2</v>
      </c>
      <c r="U4">
        <v>9.1828783907482697E-2</v>
      </c>
      <c r="V4">
        <v>4.8410922139695702E-2</v>
      </c>
      <c r="W4">
        <v>4.8410922139695702E-2</v>
      </c>
    </row>
    <row r="5" spans="3:23">
      <c r="C5" t="s">
        <v>549</v>
      </c>
      <c r="D5">
        <v>210.16350817285701</v>
      </c>
      <c r="E5">
        <v>210.16350817285701</v>
      </c>
      <c r="F5">
        <v>-6.3765613325353803</v>
      </c>
      <c r="G5">
        <v>-6.3765613325353803</v>
      </c>
      <c r="H5">
        <v>20.885920747845699</v>
      </c>
      <c r="I5">
        <v>20.885920747845699</v>
      </c>
      <c r="J5">
        <v>5.0399783300561598</v>
      </c>
      <c r="K5">
        <v>5.0399783300561598</v>
      </c>
      <c r="L5">
        <v>2.4118970630366698</v>
      </c>
      <c r="M5">
        <v>2.4118970630366698</v>
      </c>
      <c r="N5">
        <v>167.480577048047</v>
      </c>
      <c r="O5">
        <v>167.480577048047</v>
      </c>
      <c r="P5">
        <v>-5.7879844030016301</v>
      </c>
      <c r="Q5">
        <v>-5.7879844030016301</v>
      </c>
      <c r="R5">
        <v>24.197604844614201</v>
      </c>
      <c r="S5">
        <v>24.197604844614201</v>
      </c>
      <c r="T5">
        <v>5.0190022528844596</v>
      </c>
      <c r="U5">
        <v>5.0190022528844596</v>
      </c>
      <c r="V5">
        <v>2.5850153209173299</v>
      </c>
      <c r="W5">
        <v>2.5850153209173299</v>
      </c>
    </row>
    <row r="6" spans="3:23">
      <c r="C6" t="s">
        <v>550</v>
      </c>
      <c r="D6">
        <v>283.008775414318</v>
      </c>
      <c r="E6">
        <v>283.008775414318</v>
      </c>
      <c r="F6">
        <v>-8.5870006970385901</v>
      </c>
      <c r="G6">
        <v>-8.5870006970385901</v>
      </c>
      <c r="H6">
        <v>28.1258272689786</v>
      </c>
      <c r="I6">
        <v>28.1258272689786</v>
      </c>
      <c r="J6">
        <v>6.7870665183579399</v>
      </c>
      <c r="K6">
        <v>6.7870665183579399</v>
      </c>
      <c r="L6">
        <v>3.2479726185089302</v>
      </c>
      <c r="M6">
        <v>3.2479726185089302</v>
      </c>
      <c r="N6">
        <v>225.535319787475</v>
      </c>
      <c r="O6">
        <v>225.535319787475</v>
      </c>
      <c r="P6">
        <v>-7.79437273618883</v>
      </c>
      <c r="Q6">
        <v>-7.79437273618883</v>
      </c>
      <c r="R6">
        <v>32.585604402682499</v>
      </c>
      <c r="S6">
        <v>32.585604402682499</v>
      </c>
      <c r="T6">
        <v>6.7588220770922103</v>
      </c>
      <c r="U6">
        <v>6.7588220770922103</v>
      </c>
      <c r="V6">
        <v>3.48110252525399</v>
      </c>
      <c r="W6">
        <v>3.48110252525399</v>
      </c>
    </row>
    <row r="7" spans="3:23">
      <c r="C7" t="s">
        <v>551</v>
      </c>
      <c r="D7">
        <v>432.41399310773699</v>
      </c>
      <c r="E7">
        <v>432.41399310773699</v>
      </c>
      <c r="F7">
        <v>-13.1193547991441</v>
      </c>
      <c r="G7">
        <v>-13.1193547991441</v>
      </c>
      <c r="H7">
        <v>42.971838599338497</v>
      </c>
      <c r="I7">
        <v>42.971838599338497</v>
      </c>
      <c r="J7">
        <v>10.369471795858701</v>
      </c>
      <c r="K7">
        <v>10.369471795858701</v>
      </c>
      <c r="L7">
        <v>4.9623401293624303</v>
      </c>
      <c r="M7">
        <v>4.9623401293624303</v>
      </c>
      <c r="N7">
        <v>344.58537879717198</v>
      </c>
      <c r="O7">
        <v>344.58537879717198</v>
      </c>
      <c r="P7">
        <v>-11.908438221095301</v>
      </c>
      <c r="Q7">
        <v>-11.908438221095301</v>
      </c>
      <c r="R7">
        <v>49.785215804553403</v>
      </c>
      <c r="S7">
        <v>49.785215804553403</v>
      </c>
      <c r="T7">
        <v>10.326308788236201</v>
      </c>
      <c r="U7">
        <v>10.326308788236201</v>
      </c>
      <c r="V7">
        <v>5.3185193860692603</v>
      </c>
      <c r="W7">
        <v>5.3185193860692603</v>
      </c>
    </row>
    <row r="8" spans="3:23">
      <c r="C8" t="s">
        <v>552</v>
      </c>
      <c r="D8">
        <v>23.709345383324401</v>
      </c>
      <c r="E8">
        <v>23.709345383324401</v>
      </c>
      <c r="F8">
        <v>-0.93681033286936899</v>
      </c>
      <c r="G8">
        <v>-0.93681033286936899</v>
      </c>
      <c r="H8">
        <v>2.3135192445883099</v>
      </c>
      <c r="I8">
        <v>2.3135192445883099</v>
      </c>
      <c r="J8">
        <v>0.58706882601321897</v>
      </c>
      <c r="K8">
        <v>0.58706882601321897</v>
      </c>
      <c r="L8">
        <v>0.30168342768733297</v>
      </c>
      <c r="M8">
        <v>0.30168342768733297</v>
      </c>
      <c r="N8">
        <v>17.274591463059298</v>
      </c>
      <c r="O8">
        <v>17.274591463059298</v>
      </c>
      <c r="P8">
        <v>-0.62387017579335702</v>
      </c>
      <c r="Q8">
        <v>-0.62387017579335702</v>
      </c>
      <c r="R8">
        <v>2.4271586053938701</v>
      </c>
      <c r="S8">
        <v>2.4271586053938701</v>
      </c>
      <c r="T8">
        <v>0.51282954072565601</v>
      </c>
      <c r="U8">
        <v>0.51282954072565601</v>
      </c>
      <c r="V8">
        <v>0.26752231835576801</v>
      </c>
      <c r="W8">
        <v>0.26752231835576801</v>
      </c>
    </row>
    <row r="9" spans="3:23">
      <c r="C9" t="s">
        <v>553</v>
      </c>
      <c r="D9">
        <v>9.5587463970196005</v>
      </c>
      <c r="E9">
        <v>9.5587463970196005</v>
      </c>
      <c r="F9">
        <v>-0.38136324864026599</v>
      </c>
      <c r="G9">
        <v>-0.38136324864026599</v>
      </c>
      <c r="H9">
        <v>0.96434779109901003</v>
      </c>
      <c r="I9">
        <v>0.96434779109901003</v>
      </c>
      <c r="J9">
        <v>0.223632941827379</v>
      </c>
      <c r="K9">
        <v>0.223632941827379</v>
      </c>
      <c r="L9">
        <v>0.11507833870822901</v>
      </c>
      <c r="M9">
        <v>0.11507833870822901</v>
      </c>
      <c r="N9">
        <v>7.0487431537210004</v>
      </c>
      <c r="O9">
        <v>7.0487431537210004</v>
      </c>
      <c r="P9">
        <v>-0.265255108274774</v>
      </c>
      <c r="Q9">
        <v>-0.265255108274774</v>
      </c>
      <c r="R9">
        <v>1.0648075234695</v>
      </c>
      <c r="S9">
        <v>1.0648075234695</v>
      </c>
      <c r="T9">
        <v>0.21183280154371301</v>
      </c>
      <c r="U9">
        <v>0.21183280154371301</v>
      </c>
      <c r="V9">
        <v>0.112517646563126</v>
      </c>
      <c r="W9">
        <v>0.112517646563126</v>
      </c>
    </row>
    <row r="10" spans="3:23">
      <c r="C10" t="s">
        <v>554</v>
      </c>
      <c r="D10">
        <v>5.9339980541310302</v>
      </c>
      <c r="E10">
        <v>5.9339980541310302</v>
      </c>
      <c r="F10">
        <v>-0.24931557627370801</v>
      </c>
      <c r="G10">
        <v>-0.24931557627370801</v>
      </c>
      <c r="H10">
        <v>0.58957601914864999</v>
      </c>
      <c r="I10">
        <v>0.58957601914864999</v>
      </c>
      <c r="J10">
        <v>0.13584490858173801</v>
      </c>
      <c r="K10">
        <v>0.13584490858173801</v>
      </c>
      <c r="L10">
        <v>7.1571981446349006E-2</v>
      </c>
      <c r="M10">
        <v>7.1571981446349006E-2</v>
      </c>
      <c r="N10">
        <v>4.8278157459664497</v>
      </c>
      <c r="O10">
        <v>4.8278157459664497</v>
      </c>
      <c r="P10">
        <v>-0.18344582807326301</v>
      </c>
      <c r="Q10">
        <v>-0.18344582807326301</v>
      </c>
      <c r="R10">
        <v>0.74042373628108404</v>
      </c>
      <c r="S10">
        <v>0.74042373628108404</v>
      </c>
      <c r="T10">
        <v>0.145394141501275</v>
      </c>
      <c r="U10">
        <v>0.145394141501275</v>
      </c>
      <c r="V10">
        <v>7.7762510577930696E-2</v>
      </c>
      <c r="W10">
        <v>7.7762510577930696E-2</v>
      </c>
    </row>
    <row r="11" spans="3:23">
      <c r="C11" t="s">
        <v>555</v>
      </c>
      <c r="D11">
        <v>0.93293981256120695</v>
      </c>
      <c r="E11">
        <v>0.93293981256120695</v>
      </c>
      <c r="F11">
        <v>-4.26062788110146E-2</v>
      </c>
      <c r="G11">
        <v>-4.26062788110146E-2</v>
      </c>
      <c r="H11">
        <v>9.9474546453035703E-2</v>
      </c>
      <c r="I11">
        <v>9.9474546453035703E-2</v>
      </c>
      <c r="J11">
        <v>2.2924542961015398E-2</v>
      </c>
      <c r="K11">
        <v>2.2924542961015398E-2</v>
      </c>
      <c r="L11">
        <v>1.22909112564664E-2</v>
      </c>
      <c r="M11">
        <v>1.22909112564664E-2</v>
      </c>
      <c r="N11">
        <v>0.54929800121944194</v>
      </c>
      <c r="O11">
        <v>0.54929800121944194</v>
      </c>
      <c r="P11">
        <v>-2.4436716413664999E-2</v>
      </c>
      <c r="Q11">
        <v>-2.4436716413664999E-2</v>
      </c>
      <c r="R11">
        <v>8.7361829246738298E-2</v>
      </c>
      <c r="S11">
        <v>8.7361829246738298E-2</v>
      </c>
      <c r="T11">
        <v>1.6046239846260701E-2</v>
      </c>
      <c r="U11">
        <v>1.6046239846260701E-2</v>
      </c>
      <c r="V11">
        <v>8.9361391575307203E-3</v>
      </c>
      <c r="W11">
        <v>8.9361391575307203E-3</v>
      </c>
    </row>
    <row r="12" spans="3:23">
      <c r="C12" t="s">
        <v>556</v>
      </c>
      <c r="D12">
        <v>1.7990274597882401</v>
      </c>
      <c r="E12">
        <v>1.7990274597882401</v>
      </c>
      <c r="F12">
        <v>-8.3616967531870603E-2</v>
      </c>
      <c r="G12">
        <v>-8.3616967531870603E-2</v>
      </c>
      <c r="H12">
        <v>0.19184967953915899</v>
      </c>
      <c r="I12">
        <v>0.19184967953915899</v>
      </c>
      <c r="J12">
        <v>4.4054934341183703E-2</v>
      </c>
      <c r="K12">
        <v>4.4054934341183703E-2</v>
      </c>
      <c r="L12">
        <v>2.3588630939256498E-2</v>
      </c>
      <c r="M12">
        <v>2.3588630939256498E-2</v>
      </c>
      <c r="N12">
        <v>1.5506953180176299</v>
      </c>
      <c r="O12">
        <v>1.5506953180176299</v>
      </c>
      <c r="P12">
        <v>-5.4218705171696101E-2</v>
      </c>
      <c r="Q12">
        <v>-5.4218705171696101E-2</v>
      </c>
      <c r="R12">
        <v>0.22155056515367</v>
      </c>
      <c r="S12">
        <v>0.22155056515367</v>
      </c>
      <c r="T12">
        <v>4.6848839451999302E-2</v>
      </c>
      <c r="U12">
        <v>4.6848839451999302E-2</v>
      </c>
      <c r="V12">
        <v>2.4236615615066601E-2</v>
      </c>
      <c r="W12">
        <v>2.4236615615066601E-2</v>
      </c>
    </row>
    <row r="13" spans="3:23">
      <c r="C13" t="s">
        <v>557</v>
      </c>
      <c r="D13">
        <v>637.70287603210602</v>
      </c>
      <c r="E13">
        <v>637.70287603210602</v>
      </c>
      <c r="F13">
        <v>-19.478290443449701</v>
      </c>
      <c r="G13">
        <v>-19.478290443449701</v>
      </c>
      <c r="H13">
        <v>63.435764156800303</v>
      </c>
      <c r="I13">
        <v>63.435764156800303</v>
      </c>
      <c r="J13">
        <v>15.2929192465078</v>
      </c>
      <c r="K13">
        <v>15.2929192465078</v>
      </c>
      <c r="L13">
        <v>7.3333108454517202</v>
      </c>
      <c r="M13">
        <v>7.3333108454517202</v>
      </c>
      <c r="N13">
        <v>506.53383395059802</v>
      </c>
      <c r="O13">
        <v>506.53383395059802</v>
      </c>
      <c r="P13">
        <v>-17.473175407200898</v>
      </c>
      <c r="Q13">
        <v>-17.473175407200898</v>
      </c>
      <c r="R13">
        <v>73.176924500763207</v>
      </c>
      <c r="S13">
        <v>73.176924500763207</v>
      </c>
      <c r="T13">
        <v>15.1823748957194</v>
      </c>
      <c r="U13">
        <v>15.1823748957194</v>
      </c>
      <c r="V13">
        <v>7.8173574098458696</v>
      </c>
      <c r="W13">
        <v>7.8173574098458696</v>
      </c>
    </row>
    <row r="14" spans="3:23">
      <c r="C14" t="s">
        <v>558</v>
      </c>
      <c r="D14">
        <v>26767.9096825544</v>
      </c>
      <c r="E14">
        <v>26767.9096825544</v>
      </c>
      <c r="F14">
        <v>-795.36249310749702</v>
      </c>
      <c r="G14">
        <v>-795.36249310749702</v>
      </c>
      <c r="H14">
        <v>2633.9265705727698</v>
      </c>
      <c r="I14">
        <v>2633.9265705727698</v>
      </c>
      <c r="J14">
        <v>646.288336568153</v>
      </c>
      <c r="K14">
        <v>646.288336568153</v>
      </c>
      <c r="L14">
        <v>308.89411127504798</v>
      </c>
      <c r="M14">
        <v>308.89411127504798</v>
      </c>
      <c r="N14">
        <v>22158.032816254999</v>
      </c>
      <c r="O14">
        <v>22158.032816254999</v>
      </c>
      <c r="P14">
        <v>-729.29084483744896</v>
      </c>
      <c r="Q14">
        <v>-729.29084483744896</v>
      </c>
      <c r="R14">
        <v>3129.5560960644202</v>
      </c>
      <c r="S14">
        <v>3129.5560960644202</v>
      </c>
      <c r="T14">
        <v>668.76169196732701</v>
      </c>
      <c r="U14">
        <v>668.76169196732701</v>
      </c>
      <c r="V14">
        <v>339.58768647070201</v>
      </c>
      <c r="W14">
        <v>339.58768647070201</v>
      </c>
    </row>
    <row r="15" spans="3:23">
      <c r="C15" t="s">
        <v>559</v>
      </c>
      <c r="D15">
        <v>35.475162435648699</v>
      </c>
      <c r="E15">
        <v>35.475162435648699</v>
      </c>
      <c r="F15">
        <v>-1.2975608159659</v>
      </c>
      <c r="G15">
        <v>-1.2975608159659</v>
      </c>
      <c r="H15">
        <v>3.5060012873559598</v>
      </c>
      <c r="I15">
        <v>3.5060012873559598</v>
      </c>
      <c r="J15">
        <v>0.82081764476733099</v>
      </c>
      <c r="K15">
        <v>0.82081764476733099</v>
      </c>
      <c r="L15">
        <v>0.41509836124812599</v>
      </c>
      <c r="M15">
        <v>0.41509836124812599</v>
      </c>
      <c r="N15">
        <v>25.8624243441249</v>
      </c>
      <c r="O15">
        <v>25.8624243441249</v>
      </c>
      <c r="P15">
        <v>-1.0431877344849101</v>
      </c>
      <c r="Q15">
        <v>-1.0431877344849101</v>
      </c>
      <c r="R15">
        <v>4.0458008818320499</v>
      </c>
      <c r="S15">
        <v>4.0458008818320499</v>
      </c>
      <c r="T15">
        <v>0.76973540885371206</v>
      </c>
      <c r="U15">
        <v>0.76973540885371206</v>
      </c>
      <c r="V15">
        <v>0.41827774744880802</v>
      </c>
      <c r="W15">
        <v>0.41827774744880802</v>
      </c>
    </row>
    <row r="16" spans="3:23">
      <c r="C16" t="s">
        <v>560</v>
      </c>
      <c r="D16">
        <v>80.1708715777431</v>
      </c>
      <c r="E16">
        <v>80.1708715777431</v>
      </c>
      <c r="F16">
        <v>-2.9353844830839</v>
      </c>
      <c r="G16">
        <v>-2.9353844830839</v>
      </c>
      <c r="H16">
        <v>7.9288670045046503</v>
      </c>
      <c r="I16">
        <v>7.9288670045046503</v>
      </c>
      <c r="J16">
        <v>1.8556771707664499</v>
      </c>
      <c r="K16">
        <v>1.8556771707664499</v>
      </c>
      <c r="L16">
        <v>0.93858296950420605</v>
      </c>
      <c r="M16">
        <v>0.93858296950420605</v>
      </c>
      <c r="N16">
        <v>58.450703978207699</v>
      </c>
      <c r="O16">
        <v>58.450703978207699</v>
      </c>
      <c r="P16">
        <v>-2.35877829901208</v>
      </c>
      <c r="Q16">
        <v>-2.35877829901208</v>
      </c>
      <c r="R16">
        <v>9.1445862887158196</v>
      </c>
      <c r="S16">
        <v>9.1445862887158196</v>
      </c>
      <c r="T16">
        <v>1.73978017650621</v>
      </c>
      <c r="U16">
        <v>1.73978017650621</v>
      </c>
      <c r="V16">
        <v>0.945492429264572</v>
      </c>
      <c r="W16">
        <v>0.945492429264572</v>
      </c>
    </row>
    <row r="17" spans="1:26">
      <c r="C17" t="s">
        <v>561</v>
      </c>
      <c r="D17">
        <v>0.13244966324705701</v>
      </c>
      <c r="E17">
        <v>0.13244966324705701</v>
      </c>
      <c r="F17">
        <v>-4.5196672887107001E-3</v>
      </c>
      <c r="G17">
        <v>-4.5196672887107001E-3</v>
      </c>
      <c r="H17">
        <v>1.3577331877464001E-2</v>
      </c>
      <c r="I17">
        <v>1.3577331877464001E-2</v>
      </c>
      <c r="J17">
        <v>3.1584677437131998E-3</v>
      </c>
      <c r="K17">
        <v>3.1584677437131998E-3</v>
      </c>
      <c r="L17">
        <v>1.5702658407536999E-3</v>
      </c>
      <c r="M17">
        <v>1.5702658407536999E-3</v>
      </c>
      <c r="N17">
        <v>0.11528101121477</v>
      </c>
      <c r="O17">
        <v>0.11528101121477</v>
      </c>
      <c r="P17">
        <v>-4.93543752206798E-3</v>
      </c>
      <c r="Q17">
        <v>-4.93543752206798E-3</v>
      </c>
      <c r="R17">
        <v>1.77586559770898E-2</v>
      </c>
      <c r="S17">
        <v>1.77586559770898E-2</v>
      </c>
      <c r="T17">
        <v>3.43006601698569E-3</v>
      </c>
      <c r="U17">
        <v>3.43006601698569E-3</v>
      </c>
      <c r="V17">
        <v>1.88076262358503E-3</v>
      </c>
      <c r="W17">
        <v>1.88076262358503E-3</v>
      </c>
    </row>
    <row r="18" spans="1:26">
      <c r="C18" t="s">
        <v>562</v>
      </c>
      <c r="D18">
        <v>909.48914657026205</v>
      </c>
      <c r="E18">
        <v>909.48914657026205</v>
      </c>
      <c r="F18">
        <v>-27.750861832738</v>
      </c>
      <c r="G18">
        <v>-27.750861832738</v>
      </c>
      <c r="H18">
        <v>90.408402329270899</v>
      </c>
      <c r="I18">
        <v>90.408402329270899</v>
      </c>
      <c r="J18">
        <v>21.792469290476301</v>
      </c>
      <c r="K18">
        <v>21.792469290476301</v>
      </c>
      <c r="L18">
        <v>10.4491913058792</v>
      </c>
      <c r="M18">
        <v>10.4491913058792</v>
      </c>
      <c r="N18">
        <v>721.96164016496505</v>
      </c>
      <c r="O18">
        <v>721.96164016496505</v>
      </c>
      <c r="P18">
        <v>-24.895676009781699</v>
      </c>
      <c r="Q18">
        <v>-24.895676009781699</v>
      </c>
      <c r="R18">
        <v>104.27887383042</v>
      </c>
      <c r="S18">
        <v>104.27887383042</v>
      </c>
      <c r="T18">
        <v>21.6333184220547</v>
      </c>
      <c r="U18">
        <v>21.6333184220547</v>
      </c>
      <c r="V18">
        <v>11.1385329419073</v>
      </c>
      <c r="W18">
        <v>11.1385329419073</v>
      </c>
    </row>
    <row r="19" spans="1:26">
      <c r="C19" t="s">
        <v>563</v>
      </c>
      <c r="D19">
        <v>4538.2219662197904</v>
      </c>
      <c r="E19">
        <v>4538.2219662197904</v>
      </c>
      <c r="F19">
        <v>-134.56319836378299</v>
      </c>
      <c r="G19">
        <v>-134.56319836378299</v>
      </c>
      <c r="H19">
        <v>445.921884317901</v>
      </c>
      <c r="I19">
        <v>445.921884317901</v>
      </c>
      <c r="J19">
        <v>109.62282643655</v>
      </c>
      <c r="K19">
        <v>109.62282643655</v>
      </c>
      <c r="L19">
        <v>52.378493197222902</v>
      </c>
      <c r="M19">
        <v>52.378493197222902</v>
      </c>
      <c r="N19">
        <v>3783.2536869811101</v>
      </c>
      <c r="O19">
        <v>3783.2536869811101</v>
      </c>
      <c r="P19">
        <v>-124.04253528178999</v>
      </c>
      <c r="Q19">
        <v>-124.04253528178999</v>
      </c>
      <c r="R19">
        <v>532.95283845090898</v>
      </c>
      <c r="S19">
        <v>532.95283845090898</v>
      </c>
      <c r="T19">
        <v>114.226727287839</v>
      </c>
      <c r="U19">
        <v>114.226727287839</v>
      </c>
      <c r="V19">
        <v>57.9325991678732</v>
      </c>
      <c r="W19">
        <v>57.9325991678732</v>
      </c>
    </row>
    <row r="21" spans="1:26">
      <c r="A21" s="2" t="s">
        <v>592</v>
      </c>
      <c r="C21" s="2" t="s">
        <v>574</v>
      </c>
      <c r="D21" t="s">
        <v>536</v>
      </c>
      <c r="E21" t="s">
        <v>537</v>
      </c>
      <c r="F21" t="s">
        <v>538</v>
      </c>
      <c r="G21" t="s">
        <v>539</v>
      </c>
      <c r="H21" t="s">
        <v>540</v>
      </c>
      <c r="I21" t="s">
        <v>541</v>
      </c>
      <c r="J21" t="s">
        <v>542</v>
      </c>
      <c r="K21" t="s">
        <v>543</v>
      </c>
      <c r="L21" t="s">
        <v>544</v>
      </c>
      <c r="M21" t="s">
        <v>545</v>
      </c>
      <c r="N21" t="s">
        <v>564</v>
      </c>
      <c r="O21" t="s">
        <v>565</v>
      </c>
      <c r="P21" t="s">
        <v>566</v>
      </c>
      <c r="Q21" t="s">
        <v>567</v>
      </c>
      <c r="R21" t="s">
        <v>568</v>
      </c>
      <c r="S21" t="s">
        <v>569</v>
      </c>
      <c r="T21" t="s">
        <v>570</v>
      </c>
      <c r="U21" t="s">
        <v>571</v>
      </c>
      <c r="V21" t="s">
        <v>572</v>
      </c>
      <c r="W21" t="s">
        <v>573</v>
      </c>
    </row>
    <row r="22" spans="1:26">
      <c r="A22" t="s">
        <v>593</v>
      </c>
      <c r="B22" s="139">
        <f>(D24+H24+J24+L24)/1000000</f>
        <v>749.47463019339989</v>
      </c>
      <c r="C22" t="s">
        <v>575</v>
      </c>
      <c r="D22">
        <v>406403635.57023001</v>
      </c>
      <c r="E22">
        <v>406403635.57023001</v>
      </c>
      <c r="F22">
        <v>-14843547.192846101</v>
      </c>
      <c r="G22">
        <v>-14843547.192846101</v>
      </c>
      <c r="H22">
        <v>40173155.089989498</v>
      </c>
      <c r="I22">
        <v>40173155.089989498</v>
      </c>
      <c r="J22">
        <v>9408338.5064501595</v>
      </c>
      <c r="K22">
        <v>9408338.5064501595</v>
      </c>
      <c r="L22">
        <v>4755698.4377795001</v>
      </c>
      <c r="M22">
        <v>4755698.4377795001</v>
      </c>
      <c r="N22">
        <v>296869449.67327797</v>
      </c>
      <c r="O22">
        <v>296869449.67327797</v>
      </c>
      <c r="P22">
        <v>-11953800.733699</v>
      </c>
      <c r="Q22">
        <v>-11953800.733699</v>
      </c>
      <c r="R22">
        <v>46387806.227473497</v>
      </c>
      <c r="S22">
        <v>46387806.227473497</v>
      </c>
      <c r="T22">
        <v>8837198.9169529993</v>
      </c>
      <c r="U22">
        <v>8837198.9169529993</v>
      </c>
      <c r="V22">
        <v>4798901.5060581705</v>
      </c>
      <c r="W22">
        <v>4798901.5060581705</v>
      </c>
    </row>
    <row r="23" spans="1:26">
      <c r="A23" t="s">
        <v>594</v>
      </c>
      <c r="B23" s="139">
        <f>(N24+R24+T24+V24)/1000000</f>
        <v>580.05800925018934</v>
      </c>
      <c r="C23" t="s">
        <v>576</v>
      </c>
      <c r="D23">
        <v>915695691.29452002</v>
      </c>
      <c r="E23">
        <v>915695691.29452002</v>
      </c>
      <c r="F23">
        <v>-33529017.754400399</v>
      </c>
      <c r="G23">
        <v>-33529017.754400399</v>
      </c>
      <c r="H23">
        <v>90587561.712886602</v>
      </c>
      <c r="I23">
        <v>90587561.712886602</v>
      </c>
      <c r="J23">
        <v>21202230.3313642</v>
      </c>
      <c r="K23">
        <v>21202230.3313642</v>
      </c>
      <c r="L23">
        <v>10722949.44358</v>
      </c>
      <c r="M23">
        <v>10722949.44358</v>
      </c>
      <c r="N23">
        <v>668088190.104038</v>
      </c>
      <c r="O23">
        <v>668088190.104038</v>
      </c>
      <c r="P23">
        <v>-26926196.081537399</v>
      </c>
      <c r="Q23">
        <v>-26926196.081537399</v>
      </c>
      <c r="R23">
        <v>104441827.625181</v>
      </c>
      <c r="S23">
        <v>104441827.625181</v>
      </c>
      <c r="T23">
        <v>19888983.492642999</v>
      </c>
      <c r="U23">
        <v>19888983.492642999</v>
      </c>
      <c r="V23">
        <v>10803660.954753799</v>
      </c>
      <c r="W23">
        <v>10803660.954753799</v>
      </c>
    </row>
    <row r="24" spans="1:26">
      <c r="A24" t="s">
        <v>595</v>
      </c>
      <c r="B24" s="139">
        <f>F24/1000000</f>
        <v>-24.186282473623301</v>
      </c>
      <c r="C24" t="s">
        <v>577</v>
      </c>
      <c r="D24">
        <v>661049663.43237495</v>
      </c>
      <c r="E24">
        <v>661049663.43237495</v>
      </c>
      <c r="F24">
        <v>-24186282.473623302</v>
      </c>
      <c r="G24">
        <v>-24186282.473623302</v>
      </c>
      <c r="H24">
        <v>65380358.401437998</v>
      </c>
      <c r="I24">
        <v>65380358.401437998</v>
      </c>
      <c r="J24">
        <v>15305284.418907201</v>
      </c>
      <c r="K24">
        <v>15305284.418907201</v>
      </c>
      <c r="L24">
        <v>7739323.9406797597</v>
      </c>
      <c r="M24">
        <v>7739323.9406797597</v>
      </c>
      <c r="N24">
        <v>482478819.88865799</v>
      </c>
      <c r="O24">
        <v>482478819.88865799</v>
      </c>
      <c r="P24">
        <v>-19439998.407618199</v>
      </c>
      <c r="Q24">
        <v>-19439998.407618199</v>
      </c>
      <c r="R24">
        <v>75414816.926327407</v>
      </c>
      <c r="S24">
        <v>75414816.926327407</v>
      </c>
      <c r="T24">
        <v>14363091.204798</v>
      </c>
      <c r="U24">
        <v>14363091.204798</v>
      </c>
      <c r="V24">
        <v>7801281.2304059798</v>
      </c>
      <c r="W24">
        <v>7801281.2304059798</v>
      </c>
    </row>
    <row r="25" spans="1:26">
      <c r="A25" t="s">
        <v>596</v>
      </c>
      <c r="B25" s="139">
        <f>P24/1000000</f>
        <v>-19.439998407618198</v>
      </c>
      <c r="C25" t="s">
        <v>578</v>
      </c>
      <c r="D25">
        <v>31281.975504845701</v>
      </c>
      <c r="E25">
        <v>31281.975504845701</v>
      </c>
      <c r="F25">
        <v>-955.857685312743</v>
      </c>
      <c r="G25">
        <v>-955.857685312743</v>
      </c>
      <c r="H25">
        <v>3112.5419367833301</v>
      </c>
      <c r="I25">
        <v>3112.5419367833301</v>
      </c>
      <c r="J25">
        <v>750.39785238312697</v>
      </c>
      <c r="K25">
        <v>750.39785238312697</v>
      </c>
      <c r="L25">
        <v>359.848766089403</v>
      </c>
      <c r="M25">
        <v>359.848766089403</v>
      </c>
      <c r="N25">
        <v>24852.665564243602</v>
      </c>
      <c r="O25">
        <v>24852.665564243602</v>
      </c>
      <c r="P25">
        <v>-857.35615792866599</v>
      </c>
      <c r="Q25">
        <v>-857.35615792866599</v>
      </c>
      <c r="R25">
        <v>3590.3498599555201</v>
      </c>
      <c r="S25">
        <v>3590.3498599555201</v>
      </c>
      <c r="T25">
        <v>744.98150297951895</v>
      </c>
      <c r="U25">
        <v>744.98150297951895</v>
      </c>
      <c r="V25">
        <v>383.58461620326199</v>
      </c>
      <c r="W25">
        <v>383.58461620326199</v>
      </c>
    </row>
    <row r="26" spans="1:26">
      <c r="A26" t="s">
        <v>597</v>
      </c>
      <c r="B26" s="139">
        <f>SUM(B22:B25)</f>
        <v>1285.9063585623476</v>
      </c>
      <c r="C26" t="s">
        <v>579</v>
      </c>
      <c r="D26">
        <v>6207568.3277301798</v>
      </c>
      <c r="E26">
        <v>6207568.3277301798</v>
      </c>
      <c r="F26">
        <v>-253257.09016360901</v>
      </c>
      <c r="G26">
        <v>-253257.09016360901</v>
      </c>
      <c r="H26">
        <v>633700.78643309395</v>
      </c>
      <c r="I26">
        <v>633700.78643309395</v>
      </c>
      <c r="J26">
        <v>145982.56496018401</v>
      </c>
      <c r="K26">
        <v>145982.56496018401</v>
      </c>
      <c r="L26">
        <v>75302.519847129093</v>
      </c>
      <c r="M26">
        <v>75302.519847129093</v>
      </c>
      <c r="N26">
        <v>4398636.5469509</v>
      </c>
      <c r="O26">
        <v>4398636.5469509</v>
      </c>
      <c r="P26">
        <v>-162186.20825328599</v>
      </c>
      <c r="Q26">
        <v>-162186.20825328599</v>
      </c>
      <c r="R26">
        <v>657791.07748416404</v>
      </c>
      <c r="S26">
        <v>657791.07748416404</v>
      </c>
      <c r="T26">
        <v>132985.88514772701</v>
      </c>
      <c r="U26">
        <v>132985.88514772701</v>
      </c>
      <c r="V26">
        <v>70223.640299134102</v>
      </c>
      <c r="W26">
        <v>70223.640299134102</v>
      </c>
      <c r="X26" s="3"/>
    </row>
    <row r="27" spans="1:26">
      <c r="A27" t="s">
        <v>598</v>
      </c>
      <c r="C27" t="s">
        <v>580</v>
      </c>
      <c r="D27">
        <v>668695.659872005</v>
      </c>
      <c r="E27">
        <v>668695.659872005</v>
      </c>
      <c r="F27">
        <v>-27251.686055654602</v>
      </c>
      <c r="G27">
        <v>-27251.686055654602</v>
      </c>
      <c r="H27">
        <v>68210.894257674707</v>
      </c>
      <c r="I27">
        <v>68210.894257674707</v>
      </c>
      <c r="J27">
        <v>15711.034804029699</v>
      </c>
      <c r="K27">
        <v>15711.034804029699</v>
      </c>
      <c r="L27">
        <v>8104.1757391664496</v>
      </c>
      <c r="M27">
        <v>8104.1757391664496</v>
      </c>
      <c r="N27">
        <v>473533.71822517901</v>
      </c>
      <c r="O27">
        <v>473533.71822517901</v>
      </c>
      <c r="P27">
        <v>-17454.3475886386</v>
      </c>
      <c r="Q27">
        <v>-17454.3475886386</v>
      </c>
      <c r="R27">
        <v>70793.421891084901</v>
      </c>
      <c r="S27">
        <v>70793.421891084901</v>
      </c>
      <c r="T27">
        <v>14312.0888090955</v>
      </c>
      <c r="U27">
        <v>14312.0888090955</v>
      </c>
      <c r="V27">
        <v>7557.4980200270202</v>
      </c>
      <c r="W27">
        <v>7557.4980200270202</v>
      </c>
    </row>
    <row r="28" spans="1:26">
      <c r="A28" t="s">
        <v>599</v>
      </c>
      <c r="C28" t="s">
        <v>581</v>
      </c>
      <c r="D28">
        <v>69515.194945104202</v>
      </c>
      <c r="E28">
        <v>69515.194945104202</v>
      </c>
      <c r="F28">
        <v>-2109.1382695801999</v>
      </c>
      <c r="G28">
        <v>-2109.1382695801999</v>
      </c>
      <c r="H28">
        <v>6908.3316340915098</v>
      </c>
      <c r="I28">
        <v>6908.3316340915098</v>
      </c>
      <c r="J28">
        <v>1667.0463040340301</v>
      </c>
      <c r="K28">
        <v>1667.0463040340301</v>
      </c>
      <c r="L28">
        <v>797.77002354634203</v>
      </c>
      <c r="M28">
        <v>797.77002354634203</v>
      </c>
      <c r="N28">
        <v>55396.776895240298</v>
      </c>
      <c r="O28">
        <v>55396.776895240298</v>
      </c>
      <c r="P28">
        <v>-1914.4596818175501</v>
      </c>
      <c r="Q28">
        <v>-1914.4596818175501</v>
      </c>
      <c r="R28">
        <v>8003.7107604112998</v>
      </c>
      <c r="S28">
        <v>8003.7107604112998</v>
      </c>
      <c r="T28">
        <v>1660.1079353638499</v>
      </c>
      <c r="U28">
        <v>1660.1079353638499</v>
      </c>
      <c r="V28">
        <v>855.031342301721</v>
      </c>
      <c r="W28">
        <v>855.031342301721</v>
      </c>
      <c r="Y28" s="3"/>
    </row>
    <row r="29" spans="1:26">
      <c r="C29" t="s">
        <v>582</v>
      </c>
      <c r="D29">
        <v>13357.7288780606</v>
      </c>
      <c r="E29">
        <v>13357.7288780606</v>
      </c>
      <c r="F29">
        <v>-527.79434519310405</v>
      </c>
      <c r="G29">
        <v>-527.79434519310405</v>
      </c>
      <c r="H29">
        <v>1303.4253918305701</v>
      </c>
      <c r="I29">
        <v>1303.4253918305701</v>
      </c>
      <c r="J29">
        <v>330.75169625787601</v>
      </c>
      <c r="K29">
        <v>330.75169625787601</v>
      </c>
      <c r="L29">
        <v>169.96696301603001</v>
      </c>
      <c r="M29">
        <v>169.96696301603001</v>
      </c>
      <c r="N29">
        <v>9732.4200800926392</v>
      </c>
      <c r="O29">
        <v>9732.4200800926392</v>
      </c>
      <c r="P29">
        <v>-351.48539615513499</v>
      </c>
      <c r="Q29">
        <v>-351.48539615513499</v>
      </c>
      <c r="R29">
        <v>1367.4492499989001</v>
      </c>
      <c r="S29">
        <v>1367.4492499989001</v>
      </c>
      <c r="T29">
        <v>288.92564716155601</v>
      </c>
      <c r="U29">
        <v>288.92564716155601</v>
      </c>
      <c r="V29">
        <v>150.72076162213801</v>
      </c>
      <c r="W29">
        <v>150.72076162213801</v>
      </c>
      <c r="Y29" s="3"/>
      <c r="Z29" s="3"/>
    </row>
    <row r="30" spans="1:26">
      <c r="C30" t="s">
        <v>583</v>
      </c>
      <c r="D30">
        <v>480958.03241883399</v>
      </c>
      <c r="E30">
        <v>480958.03241883399</v>
      </c>
      <c r="F30">
        <v>-19156.2869936069</v>
      </c>
      <c r="G30">
        <v>-19156.2869936069</v>
      </c>
      <c r="H30">
        <v>48518.067223866201</v>
      </c>
      <c r="I30">
        <v>48518.067223866201</v>
      </c>
      <c r="J30">
        <v>11261.370370239199</v>
      </c>
      <c r="K30">
        <v>11261.370370239199</v>
      </c>
      <c r="L30">
        <v>5791.2618905590298</v>
      </c>
      <c r="M30">
        <v>5791.2618905590298</v>
      </c>
      <c r="N30">
        <v>354818.04002448899</v>
      </c>
      <c r="O30">
        <v>354818.04002448899</v>
      </c>
      <c r="P30">
        <v>-13341.457832206899</v>
      </c>
      <c r="Q30">
        <v>-13341.457832206899</v>
      </c>
      <c r="R30">
        <v>53566.908744217399</v>
      </c>
      <c r="S30">
        <v>53566.908744217399</v>
      </c>
      <c r="T30">
        <v>10663.743236492201</v>
      </c>
      <c r="U30">
        <v>10663.743236492201</v>
      </c>
      <c r="V30">
        <v>5662.4246809735496</v>
      </c>
      <c r="W30">
        <v>5662.4246809735496</v>
      </c>
      <c r="Y30" s="3"/>
    </row>
    <row r="31" spans="1:26">
      <c r="C31" t="s">
        <v>584</v>
      </c>
      <c r="D31">
        <v>304827.01782017399</v>
      </c>
      <c r="E31">
        <v>304827.01782017399</v>
      </c>
      <c r="F31">
        <v>-13075.513524238801</v>
      </c>
      <c r="G31">
        <v>-13075.513524238801</v>
      </c>
      <c r="H31">
        <v>30747.405796216</v>
      </c>
      <c r="I31">
        <v>30747.405796216</v>
      </c>
      <c r="J31">
        <v>7080.8564023238996</v>
      </c>
      <c r="K31">
        <v>7080.8564023238996</v>
      </c>
      <c r="L31">
        <v>3744.27667595309</v>
      </c>
      <c r="M31">
        <v>3744.27667595309</v>
      </c>
      <c r="N31">
        <v>246187.34826536599</v>
      </c>
      <c r="O31">
        <v>246187.34826536599</v>
      </c>
      <c r="P31">
        <v>-9303.8920430690305</v>
      </c>
      <c r="Q31">
        <v>-9303.8920430690305</v>
      </c>
      <c r="R31">
        <v>37405.164618569703</v>
      </c>
      <c r="S31">
        <v>37405.164618569703</v>
      </c>
      <c r="T31">
        <v>7408.40269753133</v>
      </c>
      <c r="U31">
        <v>7408.40269753133</v>
      </c>
      <c r="V31">
        <v>3948.3557682670098</v>
      </c>
      <c r="W31">
        <v>3948.3557682670098</v>
      </c>
      <c r="Y31" s="3"/>
    </row>
    <row r="32" spans="1:26">
      <c r="C32" t="s">
        <v>585</v>
      </c>
      <c r="D32">
        <v>17429.4099175052</v>
      </c>
      <c r="E32">
        <v>17429.4099175052</v>
      </c>
      <c r="F32">
        <v>-532.37192647382506</v>
      </c>
      <c r="G32">
        <v>-532.37192647382506</v>
      </c>
      <c r="H32">
        <v>1733.7979464646401</v>
      </c>
      <c r="I32">
        <v>1733.7979464646401</v>
      </c>
      <c r="J32">
        <v>417.979232022894</v>
      </c>
      <c r="K32">
        <v>417.979232022894</v>
      </c>
      <c r="L32">
        <v>200.43077361223899</v>
      </c>
      <c r="M32">
        <v>200.43077361223899</v>
      </c>
      <c r="N32">
        <v>13844.3562995096</v>
      </c>
      <c r="O32">
        <v>13844.3562995096</v>
      </c>
      <c r="P32">
        <v>-477.56901870589297</v>
      </c>
      <c r="Q32">
        <v>-477.56901870589297</v>
      </c>
      <c r="R32">
        <v>2000.03898612169</v>
      </c>
      <c r="S32">
        <v>2000.03898612169</v>
      </c>
      <c r="T32">
        <v>414.957883246888</v>
      </c>
      <c r="U32">
        <v>414.957883246888</v>
      </c>
      <c r="V32">
        <v>213.660517913348</v>
      </c>
      <c r="W32">
        <v>213.660517913348</v>
      </c>
      <c r="Y32" s="3"/>
    </row>
    <row r="33" spans="3:23">
      <c r="C33" t="s">
        <v>586</v>
      </c>
      <c r="D33">
        <v>2374942.4428564399</v>
      </c>
      <c r="E33">
        <v>2374942.4428564399</v>
      </c>
      <c r="F33">
        <v>-70567.338456323196</v>
      </c>
      <c r="G33">
        <v>-70567.338456323196</v>
      </c>
      <c r="H33">
        <v>233691.165205083</v>
      </c>
      <c r="I33">
        <v>233691.165205083</v>
      </c>
      <c r="J33">
        <v>57340.958597119803</v>
      </c>
      <c r="K33">
        <v>57340.958597119803</v>
      </c>
      <c r="L33">
        <v>27406.164467659099</v>
      </c>
      <c r="M33">
        <v>27406.164467659099</v>
      </c>
      <c r="N33">
        <v>1965938.0657514201</v>
      </c>
      <c r="O33">
        <v>1965938.0657514201</v>
      </c>
      <c r="P33">
        <v>-64705.231044615699</v>
      </c>
      <c r="Q33">
        <v>-64705.231044615699</v>
      </c>
      <c r="R33">
        <v>277665.14785752998</v>
      </c>
      <c r="S33">
        <v>277665.14785752998</v>
      </c>
      <c r="T33">
        <v>59334.873183796699</v>
      </c>
      <c r="U33">
        <v>59334.873183796699</v>
      </c>
      <c r="V33">
        <v>30129.405666529099</v>
      </c>
      <c r="W33">
        <v>30129.405666529099</v>
      </c>
    </row>
    <row r="34" spans="3:23">
      <c r="C34" t="s">
        <v>587</v>
      </c>
      <c r="D34">
        <v>399830908.590985</v>
      </c>
      <c r="E34">
        <v>399830908.590985</v>
      </c>
      <c r="F34">
        <v>-14624455.0942031</v>
      </c>
      <c r="G34">
        <v>-14624455.0942031</v>
      </c>
      <c r="H34">
        <v>39515187.077368699</v>
      </c>
      <c r="I34">
        <v>39515187.077368699</v>
      </c>
      <c r="J34">
        <v>9251212.4585803393</v>
      </c>
      <c r="K34">
        <v>9251212.4585803393</v>
      </c>
      <c r="L34">
        <v>4678460.7465443602</v>
      </c>
      <c r="M34">
        <v>4678460.7465443602</v>
      </c>
      <c r="N34">
        <v>291488351.67801499</v>
      </c>
      <c r="O34">
        <v>291488351.67801499</v>
      </c>
      <c r="P34">
        <v>-11757485.267803701</v>
      </c>
      <c r="Q34">
        <v>-11757485.267803701</v>
      </c>
      <c r="R34">
        <v>45599121.5120015</v>
      </c>
      <c r="S34">
        <v>45599121.5120015</v>
      </c>
      <c r="T34">
        <v>8675478.4690532591</v>
      </c>
      <c r="U34">
        <v>8675478.4690532591</v>
      </c>
      <c r="V34">
        <v>4714294.7438006299</v>
      </c>
      <c r="W34">
        <v>4714294.7438006299</v>
      </c>
    </row>
    <row r="35" spans="3:23">
      <c r="C35" t="s">
        <v>588</v>
      </c>
      <c r="D35">
        <v>903584091.64741695</v>
      </c>
      <c r="E35">
        <v>903584091.64741695</v>
      </c>
      <c r="F35">
        <v>-33083920.251649499</v>
      </c>
      <c r="G35">
        <v>-33083920.251649499</v>
      </c>
      <c r="H35">
        <v>89364103.808090299</v>
      </c>
      <c r="I35">
        <v>89364103.808090299</v>
      </c>
      <c r="J35">
        <v>20914832.753338199</v>
      </c>
      <c r="K35">
        <v>20914832.753338199</v>
      </c>
      <c r="L35">
        <v>10578513.4082369</v>
      </c>
      <c r="M35">
        <v>10578513.4082369</v>
      </c>
      <c r="N35">
        <v>658781989.28004897</v>
      </c>
      <c r="O35">
        <v>658781989.28004897</v>
      </c>
      <c r="P35">
        <v>-26585148.754977498</v>
      </c>
      <c r="Q35">
        <v>-26585148.754977498</v>
      </c>
      <c r="R35">
        <v>103066145.254116</v>
      </c>
      <c r="S35">
        <v>103066145.254116</v>
      </c>
      <c r="T35">
        <v>19608589.2484047</v>
      </c>
      <c r="U35">
        <v>19608589.2484047</v>
      </c>
      <c r="V35">
        <v>10656388.050217099</v>
      </c>
      <c r="W35">
        <v>10656388.050217099</v>
      </c>
    </row>
    <row r="36" spans="3:23">
      <c r="C36" t="s">
        <v>589</v>
      </c>
      <c r="D36">
        <v>1663899.5459849001</v>
      </c>
      <c r="E36">
        <v>1663899.5459849001</v>
      </c>
      <c r="F36">
        <v>-56778.342544077597</v>
      </c>
      <c r="G36">
        <v>-56778.342544077597</v>
      </c>
      <c r="H36">
        <v>170565.29848973901</v>
      </c>
      <c r="I36">
        <v>170565.29848973901</v>
      </c>
      <c r="J36">
        <v>39678.2665650899</v>
      </c>
      <c r="K36">
        <v>39678.2665650899</v>
      </c>
      <c r="L36">
        <v>19726.472347708001</v>
      </c>
      <c r="M36">
        <v>19726.472347708001</v>
      </c>
      <c r="N36">
        <v>1448218.2703866099</v>
      </c>
      <c r="O36">
        <v>1448218.2703866099</v>
      </c>
      <c r="P36">
        <v>-62001.458145567303</v>
      </c>
      <c r="Q36">
        <v>-62001.458145567303</v>
      </c>
      <c r="R36">
        <v>223093.20305683301</v>
      </c>
      <c r="S36">
        <v>223093.20305683301</v>
      </c>
      <c r="T36">
        <v>43090.221208911396</v>
      </c>
      <c r="U36">
        <v>43090.221208911396</v>
      </c>
      <c r="V36">
        <v>23627.089709179902</v>
      </c>
      <c r="W36">
        <v>23627.089709179902</v>
      </c>
    </row>
    <row r="37" spans="3:23">
      <c r="C37" t="s">
        <v>590</v>
      </c>
      <c r="D37">
        <v>39326.559461624202</v>
      </c>
      <c r="E37">
        <v>39326.559461624202</v>
      </c>
      <c r="F37">
        <v>-1199.95485607719</v>
      </c>
      <c r="G37">
        <v>-1199.95485607719</v>
      </c>
      <c r="H37">
        <v>3909.2840452690798</v>
      </c>
      <c r="I37">
        <v>3909.2840452690798</v>
      </c>
      <c r="J37">
        <v>942.31233280729498</v>
      </c>
      <c r="K37">
        <v>942.31233280729498</v>
      </c>
      <c r="L37">
        <v>451.82589013425002</v>
      </c>
      <c r="M37">
        <v>451.82589013425002</v>
      </c>
      <c r="N37">
        <v>31217.8187920419</v>
      </c>
      <c r="O37">
        <v>31217.8187920419</v>
      </c>
      <c r="P37">
        <v>-1076.49584014071</v>
      </c>
      <c r="Q37">
        <v>-1076.49584014071</v>
      </c>
      <c r="R37">
        <v>4509.0470268371</v>
      </c>
      <c r="S37">
        <v>4509.0470268371</v>
      </c>
      <c r="T37">
        <v>935.43060572571801</v>
      </c>
      <c r="U37">
        <v>935.43060572571801</v>
      </c>
      <c r="V37">
        <v>481.63321102517602</v>
      </c>
      <c r="W37">
        <v>481.63321102517602</v>
      </c>
    </row>
    <row r="38" spans="3:23">
      <c r="C38" t="s">
        <v>591</v>
      </c>
      <c r="D38">
        <v>908493.41158564202</v>
      </c>
      <c r="E38">
        <v>908493.41158564202</v>
      </c>
      <c r="F38">
        <v>-26937.813986480702</v>
      </c>
      <c r="G38">
        <v>-26937.813986480702</v>
      </c>
      <c r="H38">
        <v>89267.800693785597</v>
      </c>
      <c r="I38">
        <v>89267.800693785597</v>
      </c>
      <c r="J38">
        <v>21945.073713518399</v>
      </c>
      <c r="K38">
        <v>21945.073713518399</v>
      </c>
      <c r="L38">
        <v>10485.4976977024</v>
      </c>
      <c r="M38">
        <v>10485.4976977024</v>
      </c>
      <c r="N38">
        <v>757358.51497858798</v>
      </c>
      <c r="O38">
        <v>757358.51497858798</v>
      </c>
      <c r="P38">
        <v>-24831.7131464054</v>
      </c>
      <c r="Q38">
        <v>-24831.7131464054</v>
      </c>
      <c r="R38">
        <v>106690.273420414</v>
      </c>
      <c r="S38">
        <v>106690.273420414</v>
      </c>
      <c r="T38">
        <v>22866.7151894364</v>
      </c>
      <c r="U38">
        <v>22866.7151894364</v>
      </c>
      <c r="V38">
        <v>11597.3579634944</v>
      </c>
      <c r="W38">
        <v>11597.3579634944</v>
      </c>
    </row>
  </sheetData>
  <sheetProtection algorithmName="SHA-512" hashValue="6gYnj9E56e1aWx9CYJ6nDgOo1Ntf5zFyM+VkdifBqe02YH/LwMIkzfc5cnIr7ZmA6sd+Xxx2c7v65EcowBm+RQ==" saltValue="Omqwz0vxxkHOPsXCNTmiLg==" spinCount="100000" sheet="1" objects="1" scenarios="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V150"/>
  <sheetViews>
    <sheetView topLeftCell="A6" workbookViewId="0">
      <selection activeCell="L7" sqref="L7"/>
    </sheetView>
  </sheetViews>
  <sheetFormatPr baseColWidth="10" defaultColWidth="8.83203125" defaultRowHeight="15"/>
  <cols>
    <col min="1" max="6" width="12" customWidth="1"/>
    <col min="7" max="7" width="13" customWidth="1"/>
    <col min="8" max="8" width="12" customWidth="1"/>
    <col min="9" max="10" width="12.83203125" customWidth="1"/>
    <col min="11" max="12" width="12" customWidth="1"/>
    <col min="13" max="13" width="11" customWidth="1"/>
    <col min="14" max="14" width="10.6640625" customWidth="1"/>
    <col min="15" max="15" width="12" customWidth="1"/>
    <col min="16" max="16" width="20" customWidth="1"/>
    <col min="17" max="17" width="25.33203125" customWidth="1"/>
    <col min="18" max="18" width="24.6640625" customWidth="1"/>
    <col min="19" max="19" width="12" customWidth="1"/>
    <col min="20" max="20" width="14" customWidth="1"/>
    <col min="21" max="21" width="11.6640625" customWidth="1"/>
    <col min="22" max="22" width="16" customWidth="1"/>
    <col min="23" max="23" width="14.1640625" customWidth="1"/>
    <col min="24" max="32" width="9.5" bestFit="1" customWidth="1"/>
    <col min="33" max="33" width="13.6640625" bestFit="1" customWidth="1"/>
    <col min="34" max="34" width="13.5" customWidth="1"/>
    <col min="35" max="35" width="12" customWidth="1"/>
  </cols>
  <sheetData>
    <row r="1" spans="1:22">
      <c r="A1" s="2" t="s">
        <v>111</v>
      </c>
      <c r="I1" s="45"/>
    </row>
    <row r="2" spans="1:22">
      <c r="A2" s="2" t="s">
        <v>23</v>
      </c>
    </row>
    <row r="3" spans="1:22">
      <c r="P3" s="2" t="s">
        <v>614</v>
      </c>
    </row>
    <row r="4" spans="1:22">
      <c r="A4" s="2" t="s">
        <v>18</v>
      </c>
      <c r="P4" s="2" t="s">
        <v>627</v>
      </c>
      <c r="R4" s="32" t="s">
        <v>501</v>
      </c>
      <c r="S4" s="313" t="s">
        <v>499</v>
      </c>
      <c r="T4" s="313"/>
      <c r="U4" s="313"/>
      <c r="V4" s="313"/>
    </row>
    <row r="5" spans="1:22" s="2" customFormat="1">
      <c r="A5" s="2" t="s">
        <v>19</v>
      </c>
      <c r="B5" s="2" t="s">
        <v>20</v>
      </c>
      <c r="C5" s="2" t="s">
        <v>2</v>
      </c>
      <c r="D5" s="2" t="s">
        <v>47</v>
      </c>
      <c r="E5" s="2" t="s">
        <v>22</v>
      </c>
      <c r="F5" s="2" t="s">
        <v>24</v>
      </c>
      <c r="G5" s="2" t="s">
        <v>115</v>
      </c>
      <c r="H5" s="2" t="s">
        <v>116</v>
      </c>
      <c r="I5" s="2" t="s">
        <v>117</v>
      </c>
      <c r="J5" s="7"/>
      <c r="K5" s="7"/>
      <c r="L5" s="7"/>
      <c r="M5" s="7"/>
      <c r="P5"/>
      <c r="Q5"/>
      <c r="R5" t="s">
        <v>500</v>
      </c>
      <c r="S5" s="28" t="s">
        <v>2</v>
      </c>
      <c r="T5" s="28" t="s">
        <v>209</v>
      </c>
      <c r="U5" t="s">
        <v>115</v>
      </c>
      <c r="V5" s="28" t="s">
        <v>116</v>
      </c>
    </row>
    <row r="6" spans="1:22">
      <c r="A6">
        <f>'Combined MOVES output'!P16</f>
        <v>2020</v>
      </c>
      <c r="B6" s="32" t="s">
        <v>109</v>
      </c>
      <c r="C6" s="3">
        <f>'Combined MOVES output'!R16/454/2000</f>
        <v>17023.838937021344</v>
      </c>
      <c r="D6" s="3">
        <f>'Combined MOVES output'!V16/454/2000</f>
        <v>31991181.148324266</v>
      </c>
      <c r="E6" s="3">
        <f>'Combined MOVES output'!W16</f>
        <v>335464115.71543819</v>
      </c>
      <c r="F6" s="3">
        <f>'Combined MOVES output'!AA16/454/2000</f>
        <v>762.85715197541504</v>
      </c>
      <c r="G6" s="3">
        <f>'Combined MOVES output'!AB16/454/2000</f>
        <v>15189.807538652143</v>
      </c>
      <c r="H6" s="3">
        <f>'Combined MOVES output'!AC16/454/2000</f>
        <v>515.67978202527047</v>
      </c>
      <c r="I6" s="3">
        <f>'Combined MOVES output'!AD16/454/2000</f>
        <v>2013.7520099828387</v>
      </c>
      <c r="J6" s="32"/>
      <c r="K6" s="129">
        <f>D22-D6</f>
        <v>-8188970.1157782376</v>
      </c>
      <c r="L6" s="129">
        <f>J22-D6</f>
        <v>-8858425.416320309</v>
      </c>
      <c r="M6" s="32"/>
      <c r="P6" s="2" t="s">
        <v>48</v>
      </c>
      <c r="Q6" s="234" t="s">
        <v>489</v>
      </c>
      <c r="R6" s="263">
        <f>'BAU Scenario'!O90*'BAU Scenario'!M90</f>
        <v>53682541.762054272</v>
      </c>
      <c r="S6" s="261">
        <f>$R6*'GREET factors'!J3/454/2000</f>
        <v>533.39129127243996</v>
      </c>
      <c r="T6" s="261">
        <f>$R6*'GREET factors'!K3/454/2000</f>
        <v>55.682286777377712</v>
      </c>
      <c r="U6" s="261">
        <f>$R6*'GREET factors'!L3/454/2000</f>
        <v>132.48588346044278</v>
      </c>
      <c r="V6" s="261">
        <f>$R6*'GREET factors'!M3/454/2000</f>
        <v>172.95782773593757</v>
      </c>
    </row>
    <row r="7" spans="1:22">
      <c r="A7">
        <v>2025</v>
      </c>
      <c r="B7" s="32" t="s">
        <v>109</v>
      </c>
      <c r="C7" s="3">
        <f>'Combined MOVES output'!R21/454/2000</f>
        <v>9629.7448333257998</v>
      </c>
      <c r="D7" s="3">
        <f>'Combined MOVES output'!V21/454/2000</f>
        <v>29158880.349002115</v>
      </c>
      <c r="E7" s="3">
        <f>'Combined MOVES output'!W21</f>
        <v>327404720.48998964</v>
      </c>
      <c r="F7" s="3">
        <f>'Combined MOVES output'!AA21/454/2000</f>
        <v>678.53757781185686</v>
      </c>
      <c r="G7" s="3">
        <f>'Combined MOVES output'!AB21/454/2000</f>
        <v>12439.744787919932</v>
      </c>
      <c r="H7" s="3">
        <f>'Combined MOVES output'!AC21/454/2000</f>
        <v>507.84043288816446</v>
      </c>
      <c r="I7" s="3">
        <f>'Combined MOVES output'!AD21/454/2000</f>
        <v>1952.1947905734773</v>
      </c>
      <c r="J7" s="32"/>
      <c r="K7" s="32"/>
      <c r="L7" s="32"/>
      <c r="M7" s="32"/>
      <c r="Q7" s="234" t="s">
        <v>490</v>
      </c>
      <c r="R7" s="263">
        <f>R6</f>
        <v>53682541.762054272</v>
      </c>
      <c r="S7" s="261">
        <f>$R7*'GREET factors'!J4/454/2000</f>
        <v>23.475663501188357</v>
      </c>
      <c r="T7" s="261">
        <f>$R7*'GREET factors'!K4/454/2000</f>
        <v>11.07703128004438</v>
      </c>
      <c r="U7" s="261">
        <f>$R7*'GREET factors'!L4/454/2000</f>
        <v>114.4641650381926</v>
      </c>
      <c r="V7" s="261">
        <f>$R7*'GREET factors'!M4/454/2000</f>
        <v>18.584884463500238</v>
      </c>
    </row>
    <row r="8" spans="1:22">
      <c r="A8">
        <f>'Combined MOVES output'!P26</f>
        <v>2030</v>
      </c>
      <c r="B8" s="32" t="s">
        <v>109</v>
      </c>
      <c r="C8" s="3">
        <f>'Combined MOVES output'!R26/454/2000</f>
        <v>5291.042325369538</v>
      </c>
      <c r="D8" s="3">
        <f>'Combined MOVES output'!V26/454/2000</f>
        <v>27002046.610054936</v>
      </c>
      <c r="E8" s="3">
        <f>'Combined MOVES output'!W26</f>
        <v>321241773.91851801</v>
      </c>
      <c r="F8" s="3">
        <f>'Combined MOVES output'!AA26/454/2000</f>
        <v>629.51213882714296</v>
      </c>
      <c r="G8" s="3">
        <f>'Combined MOVES output'!AB26/454/2000</f>
        <v>10101.661722277675</v>
      </c>
      <c r="H8" s="3">
        <f>'Combined MOVES output'!AC26/454/2000</f>
        <v>501.83060309362224</v>
      </c>
      <c r="I8" s="3">
        <f>'Combined MOVES output'!AD26/454/2000</f>
        <v>1896.5031018249242</v>
      </c>
      <c r="J8" s="32"/>
      <c r="K8" s="32"/>
      <c r="L8" s="32"/>
      <c r="M8" s="32"/>
      <c r="Q8" s="234" t="s">
        <v>491</v>
      </c>
      <c r="R8" s="263">
        <f t="shared" ref="R8:R9" si="0">R7</f>
        <v>53682541.762054272</v>
      </c>
      <c r="S8" s="261">
        <f>$R8*'GREET factors'!J5/454/2000</f>
        <v>8.3271875674441063</v>
      </c>
      <c r="T8" s="261">
        <f>$R8*'GREET factors'!K5/454/2000</f>
        <v>4.1214514291830353</v>
      </c>
      <c r="U8" s="261">
        <f>$R8*'GREET factors'!L5/454/2000</f>
        <v>5.1721764299789799</v>
      </c>
      <c r="V8" s="261">
        <f>$R8*'GREET factors'!M5/454/2000</f>
        <v>20.343198843800245</v>
      </c>
    </row>
    <row r="9" spans="1:22">
      <c r="A9">
        <v>2035</v>
      </c>
      <c r="B9" s="32" t="s">
        <v>109</v>
      </c>
      <c r="C9" s="3">
        <f>'Combined MOVES output'!R31/454/2000</f>
        <v>3345.0965744257896</v>
      </c>
      <c r="D9" s="3">
        <f>'Combined MOVES output'!V31/454/2000</f>
        <v>26094367.250912007</v>
      </c>
      <c r="E9" s="3">
        <f>'Combined MOVES output'!W31</f>
        <v>310395510.72175413</v>
      </c>
      <c r="F9" s="3">
        <f>'Combined MOVES output'!AA31/454/2000</f>
        <v>577.72501197850829</v>
      </c>
      <c r="G9" s="3">
        <f>'Combined MOVES output'!AB31/454/2000</f>
        <v>9127.513837038874</v>
      </c>
      <c r="H9" s="3">
        <f>'Combined MOVES output'!AC31/454/2000</f>
        <v>501.43237206543068</v>
      </c>
      <c r="I9" s="3">
        <f>'Combined MOVES output'!AD31/454/2000</f>
        <v>1864.1605546079938</v>
      </c>
      <c r="J9" s="32"/>
      <c r="K9" s="32"/>
      <c r="L9" s="32"/>
      <c r="M9" s="32"/>
      <c r="Q9" s="234" t="s">
        <v>492</v>
      </c>
      <c r="R9" s="263">
        <f t="shared" si="0"/>
        <v>53682541.762054272</v>
      </c>
      <c r="S9" s="261">
        <f>$R9*'GREET factors'!J6/454/2000</f>
        <v>0</v>
      </c>
      <c r="T9" s="261">
        <f>$R9*'GREET factors'!K6/454/2000</f>
        <v>0</v>
      </c>
      <c r="U9" s="261">
        <f>$R9*'GREET factors'!L6/454/2000</f>
        <v>1167.5952833246806</v>
      </c>
      <c r="V9" s="261">
        <f>$R9*'GREET factors'!M6/454/2000</f>
        <v>0</v>
      </c>
    </row>
    <row r="10" spans="1:22">
      <c r="A10">
        <v>2040</v>
      </c>
      <c r="B10" s="32" t="s">
        <v>109</v>
      </c>
      <c r="C10" s="3">
        <f>'Combined MOVES output'!R36/454/2000</f>
        <v>3089.3990229513697</v>
      </c>
      <c r="D10" s="3">
        <f>'Combined MOVES output'!V36/454/2000</f>
        <v>26244014.30552287</v>
      </c>
      <c r="E10" s="3">
        <f>'Combined MOVES output'!W36</f>
        <v>312107800.94217598</v>
      </c>
      <c r="F10" s="3">
        <f>'Combined MOVES output'!AA36/454/2000</f>
        <v>547.97788747451978</v>
      </c>
      <c r="G10" s="3">
        <f>'Combined MOVES output'!AB36/454/2000</f>
        <v>8258.0825910827425</v>
      </c>
      <c r="H10" s="3">
        <f>'Combined MOVES output'!AC36/454/2000</f>
        <v>506.15007471698016</v>
      </c>
      <c r="I10" s="3">
        <f>'Combined MOVES output'!AD36/454/2000</f>
        <v>1981.8563869983823</v>
      </c>
      <c r="J10" s="32"/>
      <c r="K10" s="32"/>
      <c r="L10" s="32"/>
      <c r="M10" s="32"/>
      <c r="P10" s="280" t="s">
        <v>404</v>
      </c>
      <c r="Q10" s="278" t="s">
        <v>489</v>
      </c>
      <c r="R10" s="281">
        <f>'ACC II - MY2026'!O90*'ACC II - MY2026'!M90</f>
        <v>178290245.67757139</v>
      </c>
      <c r="S10" s="279">
        <f>$R10*'GREET factors'!J3/454/2000</f>
        <v>1771.4970499116926</v>
      </c>
      <c r="T10" s="279">
        <f>$R10*'GREET factors'!K3/454/2000</f>
        <v>184.93179092434531</v>
      </c>
      <c r="U10" s="279">
        <f>$R10*'GREET factors'!L3/454/2000</f>
        <v>440.01159288752223</v>
      </c>
      <c r="V10" s="279">
        <f>$R10*'GREET factors'!M3/454/2000</f>
        <v>574.42685436881504</v>
      </c>
    </row>
    <row r="11" spans="1:22">
      <c r="A11">
        <v>2045</v>
      </c>
      <c r="B11" s="32" t="s">
        <v>109</v>
      </c>
      <c r="C11" s="3">
        <f>'Combined MOVES output'!C29/454/2000</f>
        <v>2733.2643213341958</v>
      </c>
      <c r="D11" s="3">
        <f>'Combined MOVES output'!D29/454/2000</f>
        <v>26527689.19742921</v>
      </c>
      <c r="E11" s="3">
        <f>'Combined MOVES output'!E29</f>
        <v>315437419.52728254</v>
      </c>
      <c r="F11" s="3">
        <f>'Combined MOVES output'!F29/454/2000</f>
        <v>556.86558856124111</v>
      </c>
      <c r="G11" s="3">
        <f>'Combined MOVES output'!G29/454/2000</f>
        <v>7978.7097579971369</v>
      </c>
      <c r="H11" s="3">
        <f>'Combined MOVES output'!H29/454/2000</f>
        <v>513.40732890811159</v>
      </c>
      <c r="I11" s="3">
        <f>'Combined MOVES output'!I29/454/2000</f>
        <v>2054.251910608165</v>
      </c>
      <c r="J11" s="32"/>
      <c r="K11" s="32"/>
      <c r="L11" s="32"/>
      <c r="M11" s="32"/>
      <c r="P11" s="204"/>
      <c r="Q11" s="278" t="s">
        <v>490</v>
      </c>
      <c r="R11" s="281">
        <f>R10</f>
        <v>178290245.67757139</v>
      </c>
      <c r="S11" s="279">
        <f>$R11*'GREET factors'!J4/454/2000</f>
        <v>77.967280901542424</v>
      </c>
      <c r="T11" s="279">
        <f>$R11*'GREET factors'!K4/454/2000</f>
        <v>36.788992537854092</v>
      </c>
      <c r="U11" s="279">
        <f>$R11*'GREET factors'!L4/454/2000</f>
        <v>380.15793284145144</v>
      </c>
      <c r="V11" s="279">
        <f>$R11*'GREET factors'!M4/454/2000</f>
        <v>61.724044878010986</v>
      </c>
    </row>
    <row r="12" spans="1:22">
      <c r="A12">
        <v>2050</v>
      </c>
      <c r="B12" s="32" t="s">
        <v>109</v>
      </c>
      <c r="C12" s="3">
        <f>'Combined MOVES output'!C34/454/2000</f>
        <v>2377.1296197170213</v>
      </c>
      <c r="D12" s="3">
        <f>'Combined MOVES output'!D34/454/2000</f>
        <v>26811364.089335553</v>
      </c>
      <c r="E12" s="3">
        <f>'Combined MOVES output'!E34</f>
        <v>318767038.11238909</v>
      </c>
      <c r="F12" s="3">
        <f>'Combined MOVES output'!F34/454/2000</f>
        <v>565.75328964796256</v>
      </c>
      <c r="G12" s="3">
        <f>'Combined MOVES output'!G34/454/2000</f>
        <v>7801.288922877402</v>
      </c>
      <c r="H12" s="3">
        <f>'Combined MOVES output'!H34/454/2000</f>
        <v>525.43273778333719</v>
      </c>
      <c r="I12" s="3">
        <f>'Combined MOVES output'!I34/454/2000</f>
        <v>2126.0671772494088</v>
      </c>
      <c r="J12" s="32"/>
      <c r="K12" s="32"/>
      <c r="L12" s="32"/>
      <c r="M12" s="32"/>
      <c r="P12" s="204"/>
      <c r="Q12" s="278" t="s">
        <v>491</v>
      </c>
      <c r="R12" s="281">
        <f t="shared" ref="R12:R13" si="1">R11</f>
        <v>178290245.67757139</v>
      </c>
      <c r="S12" s="279">
        <f>$R12*'GREET factors'!J5/454/2000</f>
        <v>27.656222460246166</v>
      </c>
      <c r="T12" s="279">
        <f>$R12*'GREET factors'!K5/454/2000</f>
        <v>13.688148208671967</v>
      </c>
      <c r="U12" s="279">
        <f>$R12*'GREET factors'!L5/454/2000</f>
        <v>17.17781193141121</v>
      </c>
      <c r="V12" s="279">
        <f>$R12*'GREET factors'!M5/454/2000</f>
        <v>67.563751653290524</v>
      </c>
    </row>
    <row r="13" spans="1:22" s="2" customFormat="1">
      <c r="A13"/>
      <c r="B13"/>
      <c r="C13"/>
      <c r="D13"/>
      <c r="E13"/>
      <c r="F13"/>
      <c r="G13"/>
      <c r="H13"/>
      <c r="I13"/>
      <c r="J13"/>
      <c r="K13"/>
      <c r="L13"/>
      <c r="M13"/>
      <c r="N13"/>
      <c r="P13" s="204"/>
      <c r="Q13" s="278" t="s">
        <v>492</v>
      </c>
      <c r="R13" s="281">
        <f t="shared" si="1"/>
        <v>178290245.67757139</v>
      </c>
      <c r="S13" s="279">
        <f>$R13*'GREET factors'!J6/454/2000</f>
        <v>0</v>
      </c>
      <c r="T13" s="279">
        <f>$R13*'GREET factors'!K6/454/2000</f>
        <v>0</v>
      </c>
      <c r="U13" s="279">
        <f>$R13*'GREET factors'!L6/454/2000</f>
        <v>3877.8128434871778</v>
      </c>
      <c r="V13" s="279">
        <f>$R13*'GREET factors'!M6/454/2000</f>
        <v>0</v>
      </c>
    </row>
    <row r="14" spans="1:22">
      <c r="A14" s="2" t="s">
        <v>110</v>
      </c>
      <c r="P14" s="2" t="s">
        <v>496</v>
      </c>
      <c r="Q14" s="234" t="s">
        <v>489</v>
      </c>
      <c r="R14" s="263">
        <f>'ACC II - MY2027'!O90*'ACC II - MY2027'!M90</f>
        <v>176426540.02633718</v>
      </c>
      <c r="S14" s="261">
        <f>$R14*'GREET factors'!J3/454/2000</f>
        <v>1752.9792165298495</v>
      </c>
      <c r="T14" s="261">
        <f>$R14*'GREET factors'!K3/454/2000</f>
        <v>182.99865979578172</v>
      </c>
      <c r="U14" s="261">
        <f>$R14*'GREET factors'!L3/454/2000</f>
        <v>435.41205863282124</v>
      </c>
      <c r="V14" s="261">
        <f>$R14*'GREET factors'!M3/454/2000</f>
        <v>568.42224895341894</v>
      </c>
    </row>
    <row r="15" spans="1:22">
      <c r="A15" s="2" t="s">
        <v>19</v>
      </c>
      <c r="B15" s="2" t="s">
        <v>20</v>
      </c>
      <c r="C15" s="2" t="s">
        <v>2</v>
      </c>
      <c r="D15" s="2" t="s">
        <v>47</v>
      </c>
      <c r="E15" s="2" t="s">
        <v>22</v>
      </c>
      <c r="F15" s="2" t="s">
        <v>24</v>
      </c>
      <c r="G15" s="2" t="s">
        <v>115</v>
      </c>
      <c r="H15" s="2" t="s">
        <v>116</v>
      </c>
      <c r="I15" s="2" t="s">
        <v>117</v>
      </c>
      <c r="J15" s="2" t="s">
        <v>52</v>
      </c>
      <c r="K15" s="2" t="s">
        <v>466</v>
      </c>
      <c r="L15" s="2" t="s">
        <v>465</v>
      </c>
      <c r="M15" s="2" t="s">
        <v>494</v>
      </c>
      <c r="N15" s="2" t="s">
        <v>495</v>
      </c>
      <c r="Q15" s="234" t="s">
        <v>490</v>
      </c>
      <c r="R15" s="263">
        <f>R14</f>
        <v>176426540.02633718</v>
      </c>
      <c r="S15" s="261">
        <f>$R15*'GREET factors'!J4/454/2000</f>
        <v>77.152272422108567</v>
      </c>
      <c r="T15" s="261">
        <f>$R15*'GREET factors'!K4/454/2000</f>
        <v>36.40442941699775</v>
      </c>
      <c r="U15" s="261">
        <f>$R15*'GREET factors'!L4/454/2000</f>
        <v>376.18406155586564</v>
      </c>
      <c r="V15" s="261">
        <f>$R15*'GREET factors'!M4/454/2000</f>
        <v>61.078830380610952</v>
      </c>
    </row>
    <row r="16" spans="1:22">
      <c r="A16">
        <v>2020</v>
      </c>
      <c r="B16" s="32" t="s">
        <v>109</v>
      </c>
      <c r="C16" s="3">
        <f>'BAU Scenario'!C10</f>
        <v>16911.590935043296</v>
      </c>
      <c r="D16" s="3">
        <f>'BAU Scenario'!D10</f>
        <v>31780244.814980075</v>
      </c>
      <c r="E16" s="3">
        <f>'BAU Scenario'!E10</f>
        <v>335464115.71543819</v>
      </c>
      <c r="F16" s="3">
        <f>'BAU Scenario'!F10</f>
        <v>759.98016243917039</v>
      </c>
      <c r="G16" s="3">
        <f>'BAU Scenario'!G10</f>
        <v>15089.652364901234</v>
      </c>
      <c r="H16" s="3">
        <f>'BAU Scenario'!H10</f>
        <v>512.27960739915045</v>
      </c>
      <c r="I16" s="3">
        <f>'BAU Scenario'!I10</f>
        <v>7738.1652087346429</v>
      </c>
      <c r="J16" s="3">
        <f>'BAU Scenario'!J10</f>
        <v>31759136.710095361</v>
      </c>
      <c r="K16" s="3">
        <f>C16+'BAU Scenario'!AD$10</f>
        <v>16908.965815368898</v>
      </c>
      <c r="L16" s="3">
        <f>F16+'BAU Scenario'!AE$10</f>
        <v>760.3316195441779</v>
      </c>
      <c r="Q16" s="234" t="s">
        <v>491</v>
      </c>
      <c r="R16" s="263">
        <f t="shared" ref="R16:R17" si="2">R15</f>
        <v>176426540.02633718</v>
      </c>
      <c r="S16" s="261">
        <f>$R16*'GREET factors'!J5/454/2000</f>
        <v>27.367126116836758</v>
      </c>
      <c r="T16" s="261">
        <f>$R16*'GREET factors'!K5/454/2000</f>
        <v>13.545063100036421</v>
      </c>
      <c r="U16" s="261">
        <f>$R16*'GREET factors'!L5/454/2000</f>
        <v>16.998248629724444</v>
      </c>
      <c r="V16" s="261">
        <f>$R16*'GREET factors'!M5/454/2000</f>
        <v>66.857493465713958</v>
      </c>
    </row>
    <row r="17" spans="1:22">
      <c r="A17">
        <v>2025</v>
      </c>
      <c r="B17" s="32" t="s">
        <v>109</v>
      </c>
      <c r="C17" s="3">
        <f>'BAU Scenario'!C15</f>
        <v>9687.8341795790166</v>
      </c>
      <c r="D17" s="3">
        <f>'BAU Scenario'!D15</f>
        <v>27823536.396510247</v>
      </c>
      <c r="E17" s="3">
        <f>'BAU Scenario'!E15</f>
        <v>327404720.48998964</v>
      </c>
      <c r="F17" s="3">
        <f>'BAU Scenario'!F15</f>
        <v>679.38640606960541</v>
      </c>
      <c r="G17" s="3">
        <f>'BAU Scenario'!G15</f>
        <v>12530.750657244324</v>
      </c>
      <c r="H17" s="3">
        <f>'BAU Scenario'!H15</f>
        <v>484.27366085089983</v>
      </c>
      <c r="I17" s="3">
        <f>'BAU Scenario'!I15</f>
        <v>2204.3633630046961</v>
      </c>
      <c r="J17" s="3">
        <f>'BAU Scenario'!J15</f>
        <v>27624262.910687033</v>
      </c>
      <c r="K17" s="3">
        <f>C17+'BAU Scenario'!AD$15</f>
        <v>9675.5722571458118</v>
      </c>
      <c r="L17" s="3">
        <f>F17+'BAU Scenario'!AE$15</f>
        <v>681.02806065862467</v>
      </c>
      <c r="Q17" s="234" t="s">
        <v>492</v>
      </c>
      <c r="R17" s="263">
        <f t="shared" si="2"/>
        <v>176426540.02633718</v>
      </c>
      <c r="S17" s="261">
        <f>$R17*'GREET factors'!J6/454/2000</f>
        <v>0</v>
      </c>
      <c r="T17" s="261">
        <f>$R17*'GREET factors'!K6/454/2000</f>
        <v>0</v>
      </c>
      <c r="U17" s="261">
        <f>$R17*'GREET factors'!L6/454/2000</f>
        <v>3837.2772455728341</v>
      </c>
      <c r="V17" s="261">
        <f>$R17*'GREET factors'!M6/454/2000</f>
        <v>0</v>
      </c>
    </row>
    <row r="18" spans="1:22">
      <c r="A18">
        <v>2026</v>
      </c>
      <c r="B18" s="32" t="s">
        <v>109</v>
      </c>
      <c r="C18" s="3">
        <f>'BAU Scenario'!C20</f>
        <v>8814.8801167661131</v>
      </c>
      <c r="D18" s="3">
        <f>'BAU Scenario'!D20</f>
        <v>27233011.871912435</v>
      </c>
      <c r="E18" s="3">
        <f>'BAU Scenario'!E20</f>
        <v>326172131.1756953</v>
      </c>
      <c r="F18" s="3">
        <f>'BAU Scenario'!F20</f>
        <v>669.03668054426339</v>
      </c>
      <c r="G18" s="3">
        <f>'BAU Scenario'!G20</f>
        <v>12060.386550453601</v>
      </c>
      <c r="H18" s="3">
        <f>'BAU Scenario'!H20</f>
        <v>479.95471873889807</v>
      </c>
      <c r="I18" s="3">
        <f>'BAU Scenario'!I20</f>
        <v>2261.0047127907178</v>
      </c>
      <c r="J18" s="3">
        <f>'BAU Scenario'!J20</f>
        <v>27023479.995044112</v>
      </c>
      <c r="K18" s="3">
        <f>C18+'BAU Scenario'!AD$20</f>
        <v>8788.2128105754746</v>
      </c>
      <c r="L18" s="3">
        <f>F18+'BAU Scenario'!AE$20</f>
        <v>669.48288562536675</v>
      </c>
      <c r="P18" s="204" t="s">
        <v>497</v>
      </c>
      <c r="Q18" s="278" t="s">
        <v>489</v>
      </c>
      <c r="R18" s="278"/>
      <c r="S18" s="279">
        <f>S10-S6</f>
        <v>1238.1057586392526</v>
      </c>
      <c r="T18" s="279">
        <f t="shared" ref="T18:V18" si="3">T10-T6</f>
        <v>129.24950414696758</v>
      </c>
      <c r="U18" s="279">
        <f t="shared" si="3"/>
        <v>307.52570942707945</v>
      </c>
      <c r="V18" s="279">
        <f t="shared" si="3"/>
        <v>401.46902663287744</v>
      </c>
    </row>
    <row r="19" spans="1:22">
      <c r="A19">
        <v>2027</v>
      </c>
      <c r="B19" s="32" t="s">
        <v>109</v>
      </c>
      <c r="C19" s="3">
        <f>'BAU Scenario'!C25</f>
        <v>7945.3031688236424</v>
      </c>
      <c r="D19" s="3">
        <f>'BAU Scenario'!D25</f>
        <v>26504728.002014671</v>
      </c>
      <c r="E19" s="3">
        <f>'BAU Scenario'!E25</f>
        <v>324939541.86140096</v>
      </c>
      <c r="F19" s="3">
        <f>'BAU Scenario'!F25</f>
        <v>658.6524708390657</v>
      </c>
      <c r="G19" s="3">
        <f>'BAU Scenario'!G25</f>
        <v>11596.558486224782</v>
      </c>
      <c r="H19" s="3">
        <f>'BAU Scenario'!H25</f>
        <v>473.06476269923996</v>
      </c>
      <c r="I19" s="3">
        <f>'BAU Scenario'!I25</f>
        <v>2248.7515829012441</v>
      </c>
      <c r="J19" s="3">
        <f>'BAU Scenario'!J25</f>
        <v>26234493.730158605</v>
      </c>
      <c r="K19" s="3">
        <f>C19+'BAU Scenario'!AD$25</f>
        <v>7898.9390259290712</v>
      </c>
      <c r="L19" s="3">
        <f>F19+'BAU Scenario'!AE$25</f>
        <v>657.05336846469959</v>
      </c>
      <c r="P19" s="204"/>
      <c r="Q19" s="278" t="s">
        <v>490</v>
      </c>
      <c r="R19" s="278"/>
      <c r="S19" s="279">
        <f t="shared" ref="S19:V19" si="4">S11-S7</f>
        <v>54.491617400354066</v>
      </c>
      <c r="T19" s="279">
        <f t="shared" si="4"/>
        <v>25.711961257809712</v>
      </c>
      <c r="U19" s="279">
        <f t="shared" si="4"/>
        <v>265.69376780325882</v>
      </c>
      <c r="V19" s="279">
        <f t="shared" si="4"/>
        <v>43.139160414510748</v>
      </c>
    </row>
    <row r="20" spans="1:22">
      <c r="A20">
        <v>2028</v>
      </c>
      <c r="B20" s="32" t="s">
        <v>109</v>
      </c>
      <c r="C20" s="3">
        <f>'BAU Scenario'!C30</f>
        <v>7074.0853678970598</v>
      </c>
      <c r="D20" s="3">
        <f>'BAU Scenario'!D30</f>
        <v>25648842.885745525</v>
      </c>
      <c r="E20" s="3">
        <f>'BAU Scenario'!E30</f>
        <v>323706952.54710668</v>
      </c>
      <c r="F20" s="3">
        <f>'BAU Scenario'!F30</f>
        <v>647.63147173149036</v>
      </c>
      <c r="G20" s="3">
        <f>'BAU Scenario'!G30</f>
        <v>11131.679745976337</v>
      </c>
      <c r="H20" s="3">
        <f>'BAU Scenario'!H30</f>
        <v>463.69303884869919</v>
      </c>
      <c r="I20" s="3">
        <f>'BAU Scenario'!I30</f>
        <v>2236.0762982517635</v>
      </c>
      <c r="J20" s="3">
        <f>'BAU Scenario'!J30</f>
        <v>25270062.78161912</v>
      </c>
      <c r="K20" s="3">
        <f>C20+'BAU Scenario'!AD$30</f>
        <v>7002.5635760288778</v>
      </c>
      <c r="L20" s="3">
        <f>F20+'BAU Scenario'!AE$30</f>
        <v>643.11044280280805</v>
      </c>
      <c r="P20" s="204"/>
      <c r="Q20" s="278" t="s">
        <v>491</v>
      </c>
      <c r="R20" s="278"/>
      <c r="S20" s="279">
        <f t="shared" ref="S20:V20" si="5">S12-S8</f>
        <v>19.32903489280206</v>
      </c>
      <c r="T20" s="279">
        <f t="shared" si="5"/>
        <v>9.5666967794889324</v>
      </c>
      <c r="U20" s="279">
        <f t="shared" si="5"/>
        <v>12.005635501432231</v>
      </c>
      <c r="V20" s="279">
        <f t="shared" si="5"/>
        <v>47.220552809490279</v>
      </c>
    </row>
    <row r="21" spans="1:22">
      <c r="A21">
        <v>2029</v>
      </c>
      <c r="B21" s="32" t="s">
        <v>109</v>
      </c>
      <c r="C21" s="3">
        <f>'BAU Scenario'!C35</f>
        <v>6200.2387782923652</v>
      </c>
      <c r="D21" s="3">
        <f>'BAU Scenario'!D35</f>
        <v>24716007.518084783</v>
      </c>
      <c r="E21" s="3">
        <f>'BAU Scenario'!E35</f>
        <v>322474363.23281235</v>
      </c>
      <c r="F21" s="3">
        <f>'BAU Scenario'!F35</f>
        <v>635.9399142142596</v>
      </c>
      <c r="G21" s="3">
        <f>'BAU Scenario'!G35</f>
        <v>10663.490479358341</v>
      </c>
      <c r="H21" s="3">
        <f>'BAU Scenario'!H35</f>
        <v>452.68266815351404</v>
      </c>
      <c r="I21" s="3">
        <f>'BAU Scenario'!I35</f>
        <v>2224.0673762635997</v>
      </c>
      <c r="J21" s="3">
        <f>'BAU Scenario'!J35</f>
        <v>24195069.726359405</v>
      </c>
      <c r="K21" s="3">
        <f>C21+'BAU Scenario'!AD$35</f>
        <v>6097.921476528174</v>
      </c>
      <c r="L21" s="3">
        <f>F21+'BAU Scenario'!AE$35</f>
        <v>627.59236050210541</v>
      </c>
      <c r="P21" s="204"/>
      <c r="Q21" s="278" t="s">
        <v>492</v>
      </c>
      <c r="R21" s="278"/>
      <c r="S21" s="279">
        <f t="shared" ref="S21:V21" si="6">S13-S9</f>
        <v>0</v>
      </c>
      <c r="T21" s="279">
        <f t="shared" si="6"/>
        <v>0</v>
      </c>
      <c r="U21" s="279">
        <f t="shared" si="6"/>
        <v>2710.2175601624972</v>
      </c>
      <c r="V21" s="279">
        <f t="shared" si="6"/>
        <v>0</v>
      </c>
    </row>
    <row r="22" spans="1:22">
      <c r="A22">
        <v>2030</v>
      </c>
      <c r="B22" s="32" t="s">
        <v>109</v>
      </c>
      <c r="C22" s="3">
        <f>'BAU Scenario'!C40</f>
        <v>5321.40601118207</v>
      </c>
      <c r="D22" s="3">
        <f>'BAU Scenario'!D40</f>
        <v>23802211.032546028</v>
      </c>
      <c r="E22" s="3">
        <f>'BAU Scenario'!E40</f>
        <v>321241773.91851801</v>
      </c>
      <c r="F22" s="3">
        <f>'BAU Scenario'!F40</f>
        <v>620.71528059123148</v>
      </c>
      <c r="G22" s="3">
        <f>'BAU Scenario'!G40</f>
        <v>10185.455933680492</v>
      </c>
      <c r="H22" s="3">
        <f>'BAU Scenario'!H40</f>
        <v>441.75584239748645</v>
      </c>
      <c r="I22" s="3">
        <f>'BAU Scenario'!I40</f>
        <v>2211.4369414458083</v>
      </c>
      <c r="J22" s="3">
        <f>'BAU Scenario'!J40</f>
        <v>23132755.732003957</v>
      </c>
      <c r="K22" s="3">
        <f>C22+'BAU Scenario'!AD$40</f>
        <v>5182.468482428043</v>
      </c>
      <c r="L22" s="3">
        <f>F22+'BAU Scenario'!AE$40</f>
        <v>607.60707134242955</v>
      </c>
      <c r="P22" s="69" t="s">
        <v>498</v>
      </c>
      <c r="Q22" s="234" t="s">
        <v>489</v>
      </c>
      <c r="R22" s="234"/>
      <c r="S22" s="261">
        <f>S14-S6</f>
        <v>1219.5879252574096</v>
      </c>
      <c r="T22" s="261">
        <f t="shared" ref="T22:U22" si="7">T14-T6</f>
        <v>127.31637301840401</v>
      </c>
      <c r="U22" s="261">
        <f t="shared" si="7"/>
        <v>302.92617517237846</v>
      </c>
      <c r="V22" s="261">
        <f>V14-V6</f>
        <v>395.46442121748134</v>
      </c>
    </row>
    <row r="23" spans="1:22">
      <c r="A23">
        <v>2031</v>
      </c>
      <c r="B23" s="32" t="s">
        <v>109</v>
      </c>
      <c r="C23" s="3">
        <f>'BAU Scenario'!C45</f>
        <v>4925.404023778281</v>
      </c>
      <c r="D23" s="3">
        <f>'BAU Scenario'!D45</f>
        <v>23137535.826884765</v>
      </c>
      <c r="E23" s="3">
        <f>'BAU Scenario'!E45</f>
        <v>319072521.27916521</v>
      </c>
      <c r="F23" s="3">
        <f>'BAU Scenario'!F45</f>
        <v>610.50259079854413</v>
      </c>
      <c r="G23" s="3">
        <f>'BAU Scenario'!G45</f>
        <v>9984.3156828805622</v>
      </c>
      <c r="H23" s="3">
        <f>'BAU Scenario'!H45</f>
        <v>432.1623915992198</v>
      </c>
      <c r="I23" s="3">
        <f>'BAU Scenario'!I45</f>
        <v>2204.1826838401626</v>
      </c>
      <c r="J23" s="3">
        <f>'BAU Scenario'!J45</f>
        <v>22340383.329178706</v>
      </c>
      <c r="K23" s="3">
        <f>C23+'BAU Scenario'!AD$45</f>
        <v>4761.8893794685773</v>
      </c>
      <c r="L23" s="3">
        <f>F23+'BAU Scenario'!AE$45</f>
        <v>594.50582075359125</v>
      </c>
      <c r="Q23" s="234" t="s">
        <v>490</v>
      </c>
      <c r="R23" s="234"/>
      <c r="S23" s="261">
        <f t="shared" ref="S23:V23" si="8">S15-S7</f>
        <v>53.676608920920209</v>
      </c>
      <c r="T23" s="261">
        <f t="shared" si="8"/>
        <v>25.32739813695337</v>
      </c>
      <c r="U23" s="261">
        <f t="shared" si="8"/>
        <v>261.71989651767302</v>
      </c>
      <c r="V23" s="261">
        <f t="shared" si="8"/>
        <v>42.493945917110715</v>
      </c>
    </row>
    <row r="24" spans="1:22">
      <c r="A24">
        <v>2032</v>
      </c>
      <c r="B24" s="32" t="s">
        <v>109</v>
      </c>
      <c r="C24" s="3">
        <f>'BAU Scenario'!C50</f>
        <v>4527.5549181626229</v>
      </c>
      <c r="D24" s="3">
        <f>'BAU Scenario'!D50</f>
        <v>22480290.118729092</v>
      </c>
      <c r="E24" s="3">
        <f>'BAU Scenario'!E50</f>
        <v>316903268.63981247</v>
      </c>
      <c r="F24" s="3">
        <f>'BAU Scenario'!F50</f>
        <v>597.06756538267848</v>
      </c>
      <c r="G24" s="3">
        <f>'BAU Scenario'!G50</f>
        <v>9778.7095844520263</v>
      </c>
      <c r="H24" s="3">
        <f>'BAU Scenario'!H50</f>
        <v>422.58416952578631</v>
      </c>
      <c r="I24" s="3">
        <f>'BAU Scenario'!I50</f>
        <v>2196.8953089740785</v>
      </c>
      <c r="J24" s="3">
        <f>'BAU Scenario'!J50</f>
        <v>21553453.191420671</v>
      </c>
      <c r="K24" s="3">
        <f>C24+'BAU Scenario'!AD$50</f>
        <v>4337.6927285826741</v>
      </c>
      <c r="L24" s="3">
        <f>F24+'BAU Scenario'!AE$50</f>
        <v>577.88924352215156</v>
      </c>
      <c r="Q24" s="234" t="s">
        <v>491</v>
      </c>
      <c r="R24" s="234"/>
      <c r="S24" s="261">
        <f t="shared" ref="S24:V24" si="9">S16-S8</f>
        <v>19.039938549392652</v>
      </c>
      <c r="T24" s="261">
        <f t="shared" si="9"/>
        <v>9.4236116708533864</v>
      </c>
      <c r="U24" s="261">
        <f t="shared" si="9"/>
        <v>11.826072199745465</v>
      </c>
      <c r="V24" s="261">
        <f t="shared" si="9"/>
        <v>46.514294621913713</v>
      </c>
    </row>
    <row r="25" spans="1:22">
      <c r="A25">
        <v>2033</v>
      </c>
      <c r="B25" s="32" t="s">
        <v>109</v>
      </c>
      <c r="C25" s="3">
        <f>'BAU Scenario'!C55</f>
        <v>4128.5947318163226</v>
      </c>
      <c r="D25" s="3">
        <f>'BAU Scenario'!D55</f>
        <v>21847758.723527268</v>
      </c>
      <c r="E25" s="3">
        <f>'BAU Scenario'!E55</f>
        <v>314734016.00045967</v>
      </c>
      <c r="F25" s="3">
        <f>'BAU Scenario'!F55</f>
        <v>583.21895360074427</v>
      </c>
      <c r="G25" s="3">
        <f>'BAU Scenario'!G55</f>
        <v>9568.5905707139464</v>
      </c>
      <c r="H25" s="3">
        <f>'BAU Scenario'!H55</f>
        <v>413.35357541831002</v>
      </c>
      <c r="I25" s="3">
        <f>'BAU Scenario'!I55</f>
        <v>2189.3804542183598</v>
      </c>
      <c r="J25" s="3">
        <f>'BAU Scenario'!J55</f>
        <v>20794183.645778246</v>
      </c>
      <c r="K25" s="3">
        <f>C25+'BAU Scenario'!AD$55</f>
        <v>3910.596323899621</v>
      </c>
      <c r="L25" s="3">
        <f>F25+'BAU Scenario'!AE$55</f>
        <v>560.56315399660423</v>
      </c>
      <c r="Q25" s="234" t="s">
        <v>492</v>
      </c>
      <c r="R25" s="234"/>
      <c r="S25" s="261">
        <f t="shared" ref="S25:V25" si="10">S17-S9</f>
        <v>0</v>
      </c>
      <c r="T25" s="261">
        <f t="shared" si="10"/>
        <v>0</v>
      </c>
      <c r="U25" s="261">
        <f t="shared" si="10"/>
        <v>2669.6819622481535</v>
      </c>
      <c r="V25" s="261">
        <f t="shared" si="10"/>
        <v>0</v>
      </c>
    </row>
    <row r="26" spans="1:22">
      <c r="A26">
        <v>2034</v>
      </c>
      <c r="B26" s="32" t="s">
        <v>109</v>
      </c>
      <c r="C26" s="3">
        <f>'BAU Scenario'!C60</f>
        <v>3728.5780643564499</v>
      </c>
      <c r="D26" s="3">
        <f>'BAU Scenario'!D60</f>
        <v>21241691.794263054</v>
      </c>
      <c r="E26" s="3">
        <f>'BAU Scenario'!E60</f>
        <v>312564763.36110693</v>
      </c>
      <c r="F26" s="3">
        <f>'BAU Scenario'!F60</f>
        <v>569.05685805630674</v>
      </c>
      <c r="G26" s="3">
        <f>'BAU Scenario'!G60</f>
        <v>9352.8300236874129</v>
      </c>
      <c r="H26" s="3">
        <f>'BAU Scenario'!H60</f>
        <v>404.51555914847143</v>
      </c>
      <c r="I26" s="3">
        <f>'BAU Scenario'!I60</f>
        <v>2181.8653905016317</v>
      </c>
      <c r="J26" s="3">
        <f>'BAU Scenario'!J60</f>
        <v>20064791.4492862</v>
      </c>
      <c r="K26" s="3">
        <f>C26+'BAU Scenario'!AD$60</f>
        <v>3480.6369623195587</v>
      </c>
      <c r="L26" s="3">
        <f>F26+'BAU Scenario'!AE$60</f>
        <v>542.62478995370566</v>
      </c>
    </row>
    <row r="27" spans="1:22">
      <c r="A27">
        <v>2035</v>
      </c>
      <c r="B27" s="32" t="s">
        <v>109</v>
      </c>
      <c r="C27" s="3">
        <f>'BAU Scenario'!C65</f>
        <v>3314.7804899098978</v>
      </c>
      <c r="D27" s="3">
        <f>'BAU Scenario'!D65</f>
        <v>20673268.61547273</v>
      </c>
      <c r="E27" s="3">
        <f>'BAU Scenario'!E65</f>
        <v>310395510.72175413</v>
      </c>
      <c r="F27" s="3">
        <f>'BAU Scenario'!F65</f>
        <v>550.55488981106384</v>
      </c>
      <c r="G27" s="3">
        <f>'BAU Scenario'!G65</f>
        <v>8989.2516603568401</v>
      </c>
      <c r="H27" s="3">
        <f>'BAU Scenario'!H65</f>
        <v>396.2874691697221</v>
      </c>
      <c r="I27" s="3">
        <f>'BAU Scenario'!I65</f>
        <v>2174.3501178692827</v>
      </c>
      <c r="J27" s="3">
        <f>'BAU Scenario'!J65</f>
        <v>19379633.776936736</v>
      </c>
      <c r="K27" s="3">
        <f>C27+'BAU Scenario'!AD$65</f>
        <v>3035.0721282292197</v>
      </c>
      <c r="L27" s="3">
        <f>F27+'BAU Scenario'!AE$65</f>
        <v>520.0448524815265</v>
      </c>
    </row>
    <row r="28" spans="1:22">
      <c r="A28">
        <v>2036</v>
      </c>
      <c r="B28" s="32" t="s">
        <v>109</v>
      </c>
      <c r="C28" s="3">
        <f>'BAU Scenario'!C70</f>
        <v>3246.820291020751</v>
      </c>
      <c r="D28" s="3">
        <f>'BAU Scenario'!D70</f>
        <v>20310032.752103943</v>
      </c>
      <c r="E28" s="3">
        <f>'BAU Scenario'!E70</f>
        <v>310737968.7658385</v>
      </c>
      <c r="F28" s="3">
        <f>'BAU Scenario'!F70</f>
        <v>539.66855148229354</v>
      </c>
      <c r="G28" s="3">
        <f>'BAU Scenario'!G70</f>
        <v>8757.9286248465269</v>
      </c>
      <c r="H28" s="3">
        <f>'BAU Scenario'!H70</f>
        <v>389.5356359007879</v>
      </c>
      <c r="I28" s="3">
        <f>'BAU Scenario'!I70</f>
        <v>2201.9916174369978</v>
      </c>
      <c r="J28" s="3">
        <f>'BAU Scenario'!J70</f>
        <v>18912659.424764797</v>
      </c>
      <c r="K28" s="3">
        <f>C28+'BAU Scenario'!AD$70</f>
        <v>2940.0449009603367</v>
      </c>
      <c r="L28" s="3">
        <f>F28+'BAU Scenario'!AE$70</f>
        <v>505.92469369899163</v>
      </c>
    </row>
    <row r="29" spans="1:22">
      <c r="A29">
        <v>2037</v>
      </c>
      <c r="B29" s="32" t="s">
        <v>109</v>
      </c>
      <c r="C29" s="3">
        <f>'BAU Scenario'!C75</f>
        <v>3176.4936403788683</v>
      </c>
      <c r="D29" s="3">
        <f>'BAU Scenario'!D75</f>
        <v>19984396.359592829</v>
      </c>
      <c r="E29" s="3">
        <f>'BAU Scenario'!E75</f>
        <v>311080426.80992287</v>
      </c>
      <c r="F29" s="3">
        <f>'BAU Scenario'!F75</f>
        <v>528.79824543109214</v>
      </c>
      <c r="G29" s="3">
        <f>'BAU Scenario'!G75</f>
        <v>8518.4657829276457</v>
      </c>
      <c r="H29" s="3">
        <f>'BAU Scenario'!H75</f>
        <v>383.50168760638519</v>
      </c>
      <c r="I29" s="3">
        <f>'BAU Scenario'!I75</f>
        <v>2229.486367006486</v>
      </c>
      <c r="J29" s="3">
        <f>'BAU Scenario'!J75</f>
        <v>18492519.116632525</v>
      </c>
      <c r="K29" s="3">
        <f>C29+'BAU Scenario'!AD$75</f>
        <v>2841.8445795749149</v>
      </c>
      <c r="L29" s="3">
        <f>F29+'BAU Scenario'!AE$75</f>
        <v>491.69223557923732</v>
      </c>
    </row>
    <row r="30" spans="1:22">
      <c r="A30">
        <v>2038</v>
      </c>
      <c r="B30" s="32" t="s">
        <v>109</v>
      </c>
      <c r="C30" s="3">
        <f>'BAU Scenario'!C80</f>
        <v>3103.481109101554</v>
      </c>
      <c r="D30" s="3">
        <f>'BAU Scenario'!D80</f>
        <v>19693906.602494232</v>
      </c>
      <c r="E30" s="3">
        <f>'BAU Scenario'!E80</f>
        <v>311422884.85400724</v>
      </c>
      <c r="F30" s="3">
        <f>'BAU Scenario'!F80</f>
        <v>517.63993174200289</v>
      </c>
      <c r="G30" s="3">
        <f>'BAU Scenario'!G80</f>
        <v>8270.2094499697778</v>
      </c>
      <c r="H30" s="3">
        <f>'BAU Scenario'!H80</f>
        <v>378.13906574071649</v>
      </c>
      <c r="I30" s="3">
        <f>'BAU Scenario'!I80</f>
        <v>2256.9820114180447</v>
      </c>
      <c r="J30" s="3">
        <f>'BAU Scenario'!J80</f>
        <v>18116055.262801781</v>
      </c>
      <c r="K30" s="3">
        <f>C30+'BAU Scenario'!AD$80</f>
        <v>2740.1518308564896</v>
      </c>
      <c r="L30" s="3">
        <f>F30+'BAU Scenario'!AE$80</f>
        <v>477.04346192555624</v>
      </c>
    </row>
    <row r="31" spans="1:22">
      <c r="A31">
        <v>2039</v>
      </c>
      <c r="B31" s="32" t="s">
        <v>109</v>
      </c>
      <c r="C31" s="3">
        <f>'BAU Scenario'!C85</f>
        <v>3028.4700417233958</v>
      </c>
      <c r="D31" s="3">
        <f>'BAU Scenario'!D85</f>
        <v>19436083.516129754</v>
      </c>
      <c r="E31" s="3">
        <f>'BAU Scenario'!E85</f>
        <v>311765342.89809161</v>
      </c>
      <c r="F31" s="3">
        <f>'BAU Scenario'!F85</f>
        <v>506.67503858575697</v>
      </c>
      <c r="G31" s="3">
        <f>'BAU Scenario'!G85</f>
        <v>8013.8542440972024</v>
      </c>
      <c r="H31" s="3">
        <f>'BAU Scenario'!H85</f>
        <v>373.40189253783154</v>
      </c>
      <c r="I31" s="3">
        <f>'BAU Scenario'!I85</f>
        <v>2284.47855057277</v>
      </c>
      <c r="J31" s="3">
        <f>'BAU Scenario'!J85</f>
        <v>17780075.90184826</v>
      </c>
      <c r="K31" s="3">
        <f>C31+'BAU Scenario'!AD$85</f>
        <v>2635.6543896487251</v>
      </c>
      <c r="L31" s="3">
        <f>F31+'BAU Scenario'!AE$85</f>
        <v>462.45987121308656</v>
      </c>
    </row>
    <row r="32" spans="1:22">
      <c r="A32">
        <v>2040</v>
      </c>
      <c r="B32" s="32" t="s">
        <v>109</v>
      </c>
      <c r="C32" s="3">
        <f>'BAU Scenario'!C90</f>
        <v>2950.0846488612106</v>
      </c>
      <c r="D32" s="3">
        <f>'BAU Scenario'!D90</f>
        <v>19213810.651803229</v>
      </c>
      <c r="E32" s="3">
        <f>'BAU Scenario'!E90</f>
        <v>312107800.94217598</v>
      </c>
      <c r="F32" s="3">
        <f>'BAU Scenario'!F90</f>
        <v>495.46462438819543</v>
      </c>
      <c r="G32" s="3">
        <f>'BAU Scenario'!G90</f>
        <v>7752.2899304697494</v>
      </c>
      <c r="H32" s="3">
        <f>'BAU Scenario'!H90</f>
        <v>369.34478130191059</v>
      </c>
      <c r="I32" s="3">
        <f>'BAU Scenario'!I90</f>
        <v>2311.9759843717602</v>
      </c>
      <c r="J32" s="3">
        <f>'BAU Scenario'!J90</f>
        <v>17481769.810189825</v>
      </c>
      <c r="K32" s="3">
        <f>C32+'BAU Scenario'!AD$90</f>
        <v>2536.2926124116584</v>
      </c>
      <c r="L32" s="3">
        <f>F32+'BAU Scenario'!AE$90</f>
        <v>448.5585940927192</v>
      </c>
      <c r="M32" s="3">
        <f>G32+'BAU Scenario'!AF90</f>
        <v>6337.7946884716439</v>
      </c>
      <c r="N32" s="3">
        <f>H32+'BAU Scenario'!AG90</f>
        <v>193.53515330313635</v>
      </c>
    </row>
    <row r="33" spans="1:18">
      <c r="A33">
        <v>2041</v>
      </c>
      <c r="B33" s="32" t="s">
        <v>109</v>
      </c>
      <c r="C33" s="3">
        <f>'BAU Scenario'!C95</f>
        <v>2851.6882468751369</v>
      </c>
      <c r="D33" s="3">
        <f>'BAU Scenario'!D95</f>
        <v>19047071.044659343</v>
      </c>
      <c r="E33" s="3">
        <f>'BAU Scenario'!E95</f>
        <v>312773724.65919727</v>
      </c>
      <c r="F33" s="3">
        <f>'BAU Scenario'!F95</f>
        <v>491.36011775125343</v>
      </c>
      <c r="G33" s="3">
        <f>'BAU Scenario'!G95</f>
        <v>7599.0604395592845</v>
      </c>
      <c r="H33" s="3">
        <f>'BAU Scenario'!H95</f>
        <v>366.35057488187357</v>
      </c>
      <c r="I33" s="3">
        <f>'BAU Scenario'!I95</f>
        <v>2328.8668865642585</v>
      </c>
      <c r="J33" s="3">
        <f>'BAU Scenario'!J95</f>
        <v>17222606.986775286</v>
      </c>
      <c r="K33" s="3">
        <f>C33+'BAU Scenario'!AD$95</f>
        <v>2421.9850193863349</v>
      </c>
      <c r="L33" s="3">
        <f>F33+'BAU Scenario'!AE$95</f>
        <v>441.97425280291071</v>
      </c>
      <c r="M33" s="3"/>
      <c r="N33" s="3"/>
    </row>
    <row r="34" spans="1:18">
      <c r="A34">
        <v>2042</v>
      </c>
      <c r="B34" s="32" t="s">
        <v>109</v>
      </c>
      <c r="C34" s="3">
        <f>'BAU Scenario'!C100</f>
        <v>2752.3588352881275</v>
      </c>
      <c r="D34" s="3">
        <f>'BAU Scenario'!D100</f>
        <v>18912265.606632445</v>
      </c>
      <c r="E34" s="3">
        <f>'BAU Scenario'!E100</f>
        <v>313439648.37621862</v>
      </c>
      <c r="F34" s="3">
        <f>'BAU Scenario'!F100</f>
        <v>487.43255767892009</v>
      </c>
      <c r="G34" s="3">
        <f>'BAU Scenario'!G100</f>
        <v>7444.1939299724754</v>
      </c>
      <c r="H34" s="3">
        <f>'BAU Scenario'!H100</f>
        <v>363.971648180969</v>
      </c>
      <c r="I34" s="3">
        <f>'BAU Scenario'!I100</f>
        <v>2345.7577887567568</v>
      </c>
      <c r="J34" s="3">
        <f>'BAU Scenario'!J100</f>
        <v>17004440.090129871</v>
      </c>
      <c r="K34" s="101">
        <f>C34+'BAU Scenario'!AD$100</f>
        <v>2306.6804234796859</v>
      </c>
      <c r="L34" s="101">
        <f>F34+'BAU Scenario'!AE$100</f>
        <v>435.55672465058132</v>
      </c>
      <c r="M34" s="3"/>
      <c r="N34" s="3"/>
    </row>
    <row r="35" spans="1:18">
      <c r="A35">
        <v>2043</v>
      </c>
      <c r="B35" s="32" t="s">
        <v>109</v>
      </c>
      <c r="C35" s="3">
        <f>'BAU Scenario'!C105</f>
        <v>2652.2584444194831</v>
      </c>
      <c r="D35" s="3">
        <f>'BAU Scenario'!D105</f>
        <v>18801507.035034537</v>
      </c>
      <c r="E35" s="3">
        <f>'BAU Scenario'!E105</f>
        <v>314105572.0932399</v>
      </c>
      <c r="F35" s="3">
        <f>'BAU Scenario'!F105</f>
        <v>483.60425485281485</v>
      </c>
      <c r="G35" s="3">
        <f>'BAU Scenario'!G105</f>
        <v>7287.4258499000898</v>
      </c>
      <c r="H35" s="3">
        <f>'BAU Scenario'!H105</f>
        <v>362.05655624780513</v>
      </c>
      <c r="I35" s="3">
        <f>'BAU Scenario'!I105</f>
        <v>2362.6486909492546</v>
      </c>
      <c r="J35" s="3">
        <f>'BAU Scenario'!J105</f>
        <v>16817113.429312512</v>
      </c>
      <c r="K35" s="101">
        <f>C35+'BAU Scenario'!AD$105</f>
        <v>2190.5408550110133</v>
      </c>
      <c r="L35" s="101">
        <f>F35+'BAU Scenario'!AE$105</f>
        <v>429.22832031735038</v>
      </c>
      <c r="M35" s="3"/>
      <c r="N35" s="3"/>
    </row>
    <row r="36" spans="1:18">
      <c r="A36">
        <v>2044</v>
      </c>
      <c r="B36" s="32" t="s">
        <v>109</v>
      </c>
      <c r="C36" s="3">
        <f>'BAU Scenario'!C110</f>
        <v>2553.8697023643981</v>
      </c>
      <c r="D36" s="3">
        <f>'BAU Scenario'!D110</f>
        <v>18722965.948098931</v>
      </c>
      <c r="E36" s="3">
        <f>'BAU Scenario'!E110</f>
        <v>314771495.81026125</v>
      </c>
      <c r="F36" s="3">
        <f>'BAU Scenario'!F110</f>
        <v>480.05582300811233</v>
      </c>
      <c r="G36" s="3">
        <f>'BAU Scenario'!G110</f>
        <v>7133.2932900610267</v>
      </c>
      <c r="H36" s="3">
        <f>'BAU Scenario'!H110</f>
        <v>360.80156261277295</v>
      </c>
      <c r="I36" s="3">
        <f>'BAU Scenario'!I110</f>
        <v>2379.5395931417529</v>
      </c>
      <c r="J36" s="3">
        <f>'BAU Scenario'!J110</f>
        <v>16671147.492360428</v>
      </c>
      <c r="K36" s="101">
        <f>C36+'BAU Scenario'!AD$110</f>
        <v>2076.0489420755102</v>
      </c>
      <c r="L36" s="101">
        <f>F36+'BAU Scenario'!AE$110</f>
        <v>423.16965353839254</v>
      </c>
      <c r="M36" s="3"/>
      <c r="N36" s="3"/>
    </row>
    <row r="37" spans="1:18">
      <c r="A37">
        <v>2045</v>
      </c>
      <c r="B37" s="32" t="s">
        <v>109</v>
      </c>
      <c r="C37" s="3">
        <f>'BAU Scenario'!C115</f>
        <v>2458.0809552583487</v>
      </c>
      <c r="D37" s="3">
        <f>'BAU Scenario'!D115</f>
        <v>18662838.207399156</v>
      </c>
      <c r="E37" s="3">
        <f>'BAU Scenario'!E115</f>
        <v>315437419.52728254</v>
      </c>
      <c r="F37" s="3">
        <f>'BAU Scenario'!F115</f>
        <v>476.73647869669855</v>
      </c>
      <c r="G37" s="3">
        <f>'BAU Scenario'!G115</f>
        <v>6981.6396306256675</v>
      </c>
      <c r="H37" s="3">
        <f>'BAU Scenario'!H115</f>
        <v>359.90083478668646</v>
      </c>
      <c r="I37" s="3">
        <f>'BAU Scenario'!I115</f>
        <v>2396.4304953342507</v>
      </c>
      <c r="J37" s="3">
        <f>'BAU Scenario'!J115</f>
        <v>16548768.070635688</v>
      </c>
      <c r="K37" s="101">
        <f>C37+'BAU Scenario'!AD$115</f>
        <v>1964.0930308086531</v>
      </c>
      <c r="L37" s="101">
        <f>F37+'BAU Scenario'!AE$115</f>
        <v>417.32994086559387</v>
      </c>
      <c r="M37" s="3"/>
      <c r="N37" s="3"/>
    </row>
    <row r="38" spans="1:18">
      <c r="A38">
        <v>2046</v>
      </c>
      <c r="B38" s="32" t="s">
        <v>109</v>
      </c>
      <c r="C38" s="3">
        <f>'BAU Scenario'!C120</f>
        <v>2363.7209840867781</v>
      </c>
      <c r="D38" s="3">
        <f>'BAU Scenario'!D120</f>
        <v>18618658.565167271</v>
      </c>
      <c r="E38" s="3">
        <f>'BAU Scenario'!E120</f>
        <v>316103343.24430382</v>
      </c>
      <c r="F38" s="3">
        <f>'BAU Scenario'!F120</f>
        <v>473.56812428809599</v>
      </c>
      <c r="G38" s="3">
        <f>'BAU Scenario'!G120</f>
        <v>6850.2084831720067</v>
      </c>
      <c r="H38" s="3">
        <f>'BAU Scenario'!H120</f>
        <v>359.97185608241045</v>
      </c>
      <c r="I38" s="3">
        <f>'BAU Scenario'!I120</f>
        <v>2413.1860153482185</v>
      </c>
      <c r="J38" s="3">
        <f>'BAU Scenario'!J120</f>
        <v>16446242.902838508</v>
      </c>
      <c r="K38" s="101">
        <f>C38+'BAU Scenario'!AD$120</f>
        <v>1853.2104242845478</v>
      </c>
      <c r="L38" s="101">
        <f>F38+'BAU Scenario'!AE$120</f>
        <v>411.58492872590818</v>
      </c>
      <c r="M38" s="3"/>
      <c r="N38" s="3"/>
    </row>
    <row r="39" spans="1:18">
      <c r="A39">
        <v>2047</v>
      </c>
      <c r="B39" s="32" t="s">
        <v>109</v>
      </c>
      <c r="C39" s="3">
        <f>'BAU Scenario'!C125</f>
        <v>2271.1775461879979</v>
      </c>
      <c r="D39" s="3">
        <f>'BAU Scenario'!D125</f>
        <v>18588266.288666323</v>
      </c>
      <c r="E39" s="3">
        <f>'BAU Scenario'!E125</f>
        <v>316769266.96132517</v>
      </c>
      <c r="F39" s="3">
        <f>'BAU Scenario'!F125</f>
        <v>470.676512363867</v>
      </c>
      <c r="G39" s="3">
        <f>'BAU Scenario'!G125</f>
        <v>6724.221744394813</v>
      </c>
      <c r="H39" s="3">
        <f>'BAU Scenario'!H125</f>
        <v>360.30324363246541</v>
      </c>
      <c r="I39" s="3">
        <f>'BAU Scenario'!I125</f>
        <v>2429.9415353621866</v>
      </c>
      <c r="J39" s="3">
        <f>'BAU Scenario'!J125</f>
        <v>16361345.486698041</v>
      </c>
      <c r="K39" s="101">
        <f>C39+'BAU Scenario'!AD$125</f>
        <v>1744.07912966046</v>
      </c>
      <c r="L39" s="101">
        <f>F39+'BAU Scenario'!AE$125</f>
        <v>406.10633117328769</v>
      </c>
      <c r="M39" s="3"/>
      <c r="N39" s="3"/>
    </row>
    <row r="40" spans="1:18">
      <c r="A40">
        <v>2048</v>
      </c>
      <c r="B40" s="32" t="s">
        <v>109</v>
      </c>
      <c r="C40" s="3">
        <f>'BAU Scenario'!C130</f>
        <v>2180.2603345247467</v>
      </c>
      <c r="D40" s="3">
        <f>'BAU Scenario'!D130</f>
        <v>18564393.28578319</v>
      </c>
      <c r="E40" s="3">
        <f>'BAU Scenario'!E130</f>
        <v>317435190.67834646</v>
      </c>
      <c r="F40" s="3">
        <f>'BAU Scenario'!F130</f>
        <v>468.00472375681954</v>
      </c>
      <c r="G40" s="3">
        <f>'BAU Scenario'!G130</f>
        <v>6605.6730697290759</v>
      </c>
      <c r="H40" s="3">
        <f>'BAU Scenario'!H130</f>
        <v>360.75452909022431</v>
      </c>
      <c r="I40" s="3">
        <f>'BAU Scenario'!I130</f>
        <v>2446.6970553761553</v>
      </c>
      <c r="J40" s="3">
        <f>'BAU Scenario'!J130</f>
        <v>16284717.426809432</v>
      </c>
      <c r="K40" s="101">
        <f>C40+'BAU Scenario'!AD$130</f>
        <v>1636.5088398991281</v>
      </c>
      <c r="L40" s="101">
        <f>F40+'BAU Scenario'!AE$130</f>
        <v>400.83722904054031</v>
      </c>
      <c r="M40" s="3"/>
      <c r="N40" s="3"/>
    </row>
    <row r="41" spans="1:18">
      <c r="A41">
        <v>2049</v>
      </c>
      <c r="B41" s="32" t="s">
        <v>109</v>
      </c>
      <c r="C41" s="3">
        <f>'BAU Scenario'!C135</f>
        <v>2093.0302343261269</v>
      </c>
      <c r="D41" s="3">
        <f>'BAU Scenario'!D135</f>
        <v>18554130.254228879</v>
      </c>
      <c r="E41" s="3">
        <f>'BAU Scenario'!E135</f>
        <v>318101114.3953678</v>
      </c>
      <c r="F41" s="3">
        <f>'BAU Scenario'!F135</f>
        <v>465.75001298868693</v>
      </c>
      <c r="G41" s="3">
        <f>'BAU Scenario'!G135</f>
        <v>6506.6697000852728</v>
      </c>
      <c r="H41" s="3">
        <f>'BAU Scenario'!H135</f>
        <v>361.46847779069276</v>
      </c>
      <c r="I41" s="3">
        <f>'BAU Scenario'!I135</f>
        <v>2463.4525753901239</v>
      </c>
      <c r="J41" s="3">
        <f>'BAU Scenario'!J135</f>
        <v>16225488.705545371</v>
      </c>
      <c r="K41" s="101">
        <f>C41+'BAU Scenario'!AD$135</f>
        <v>1532.5604402296544</v>
      </c>
      <c r="L41" s="101">
        <f>F41+'BAU Scenario'!AE$135</f>
        <v>395.97487684939938</v>
      </c>
      <c r="M41" s="3"/>
      <c r="N41" s="3"/>
    </row>
    <row r="42" spans="1:18">
      <c r="A42">
        <v>2050</v>
      </c>
      <c r="B42" s="32" t="s">
        <v>109</v>
      </c>
      <c r="C42" s="3">
        <f>'BAU Scenario'!C140</f>
        <v>2008.1816326295368</v>
      </c>
      <c r="D42" s="3">
        <f>'BAU Scenario'!D140</f>
        <v>18552483.809684064</v>
      </c>
      <c r="E42" s="3">
        <f>'BAU Scenario'!E140</f>
        <v>318767038.11238909</v>
      </c>
      <c r="F42" s="3">
        <f>'BAU Scenario'!F140</f>
        <v>463.68317698153282</v>
      </c>
      <c r="G42" s="3">
        <f>'BAU Scenario'!G140</f>
        <v>6426.4063524205148</v>
      </c>
      <c r="H42" s="3">
        <f>'BAU Scenario'!H140</f>
        <v>362.34866373216636</v>
      </c>
      <c r="I42" s="3">
        <f>'BAU Scenario'!I140</f>
        <v>2480.2080954040912</v>
      </c>
      <c r="J42" s="3">
        <f>'BAU Scenario'!J140</f>
        <v>16177229.841256296</v>
      </c>
      <c r="K42" s="101">
        <f>C42+'BAU Scenario'!AD$140</f>
        <v>1430.9283176894376</v>
      </c>
      <c r="L42" s="101">
        <f>F42+'BAU Scenario'!AE$140</f>
        <v>391.29007152192855</v>
      </c>
      <c r="M42" s="3">
        <f>G42+'BAU Scenario'!AF140</f>
        <v>4976.3972731983986</v>
      </c>
      <c r="N42" s="3">
        <f>H42+'BAU Scenario'!AG140</f>
        <v>145.94188351999324</v>
      </c>
    </row>
    <row r="43" spans="1:18" s="2" customFormat="1">
      <c r="A43"/>
      <c r="B43"/>
      <c r="C43" s="3"/>
      <c r="D43" s="3"/>
      <c r="E43" s="3"/>
      <c r="F43" s="3"/>
      <c r="G43" s="3"/>
      <c r="H43" s="3"/>
      <c r="I43" s="3"/>
      <c r="J43" s="3"/>
      <c r="K43"/>
      <c r="L43"/>
      <c r="M43"/>
      <c r="N43"/>
      <c r="P43"/>
      <c r="Q43"/>
      <c r="R43"/>
    </row>
    <row r="44" spans="1:18" hidden="1">
      <c r="A44" s="2" t="s">
        <v>144</v>
      </c>
      <c r="P44" s="2"/>
      <c r="Q44" s="2"/>
      <c r="R44" s="2"/>
    </row>
    <row r="45" spans="1:18" hidden="1">
      <c r="A45" s="2" t="s">
        <v>19</v>
      </c>
      <c r="B45" s="2" t="s">
        <v>20</v>
      </c>
      <c r="C45" s="2" t="s">
        <v>2</v>
      </c>
      <c r="D45" s="2" t="s">
        <v>47</v>
      </c>
      <c r="E45" s="2" t="s">
        <v>22</v>
      </c>
      <c r="F45" s="2" t="s">
        <v>24</v>
      </c>
      <c r="G45" s="2" t="s">
        <v>115</v>
      </c>
      <c r="H45" s="2" t="s">
        <v>116</v>
      </c>
      <c r="I45" s="2" t="s">
        <v>117</v>
      </c>
      <c r="J45" s="2" t="s">
        <v>52</v>
      </c>
      <c r="K45" s="2" t="s">
        <v>466</v>
      </c>
      <c r="L45" s="2" t="s">
        <v>465</v>
      </c>
      <c r="M45" s="2" t="s">
        <v>494</v>
      </c>
      <c r="N45" s="2" t="s">
        <v>495</v>
      </c>
    </row>
    <row r="46" spans="1:18" hidden="1">
      <c r="A46">
        <v>2020</v>
      </c>
      <c r="B46" s="32" t="s">
        <v>109</v>
      </c>
      <c r="C46" s="3">
        <f>'ACC II - MY2026'!C10</f>
        <v>16911.590935043296</v>
      </c>
      <c r="D46" s="3">
        <f>'ACC II - MY2026'!D10</f>
        <v>31780244.814980075</v>
      </c>
      <c r="E46" s="3">
        <f>'ACC II - MY2026'!E10</f>
        <v>335464115.71543819</v>
      </c>
      <c r="F46" s="3">
        <f>'ACC II - MY2026'!F10</f>
        <v>759.98016243917039</v>
      </c>
      <c r="G46" s="3">
        <f>'ACC II - MY2026'!G10</f>
        <v>15089.652364901234</v>
      </c>
      <c r="H46" s="3">
        <f>'ACC II - MY2026'!H10</f>
        <v>512.27960739915045</v>
      </c>
      <c r="I46" s="3">
        <f>'ACC II - MY2026'!I10</f>
        <v>7738.1652087346429</v>
      </c>
      <c r="J46" s="3">
        <f>'ACC II - MY2026'!J10</f>
        <v>31759136.710095361</v>
      </c>
      <c r="K46" s="3">
        <f>C46+'ACC II - MY2026'!AD$10</f>
        <v>16908.965815368898</v>
      </c>
      <c r="L46" s="3">
        <f>F46+'ACC II - MY2026'!AE$10</f>
        <v>760.3316195441779</v>
      </c>
    </row>
    <row r="47" spans="1:18" hidden="1">
      <c r="A47">
        <v>2025</v>
      </c>
      <c r="B47" s="32" t="s">
        <v>109</v>
      </c>
      <c r="C47" s="3">
        <f>'ACC II - MY2026'!C15</f>
        <v>9687.8341795790166</v>
      </c>
      <c r="D47" s="3">
        <f>'ACC II - MY2026'!D15</f>
        <v>27823536.396510247</v>
      </c>
      <c r="E47" s="3">
        <f>'ACC II - MY2026'!E15</f>
        <v>327404720.48998964</v>
      </c>
      <c r="F47" s="3">
        <f>'ACC II - MY2026'!F15</f>
        <v>679.38640606960541</v>
      </c>
      <c r="G47" s="3">
        <f>'ACC II - MY2026'!G15</f>
        <v>12530.750657244324</v>
      </c>
      <c r="H47" s="3">
        <f>'ACC II - MY2026'!H15</f>
        <v>484.27366085089983</v>
      </c>
      <c r="I47" s="3">
        <f>'ACC II - MY2026'!I15</f>
        <v>2204.3633630046961</v>
      </c>
      <c r="J47" s="3">
        <f>'ACC II - MY2026'!J15</f>
        <v>27624262.910687033</v>
      </c>
      <c r="K47" s="3">
        <f>C47+'ACC II - MY2026'!AD$15</f>
        <v>9675.5722571458118</v>
      </c>
      <c r="L47" s="3">
        <f>F47+'ACC II - MY2026'!AE$15</f>
        <v>681.02806065862467</v>
      </c>
    </row>
    <row r="48" spans="1:18" hidden="1">
      <c r="A48">
        <v>2026</v>
      </c>
      <c r="B48" s="32" t="s">
        <v>109</v>
      </c>
      <c r="C48" s="3">
        <f>'ACC II - MY2026'!C20</f>
        <v>8763.3145443445246</v>
      </c>
      <c r="D48" s="3">
        <f>'ACC II - MY2026'!D20</f>
        <v>26883659.670654576</v>
      </c>
      <c r="E48" s="3">
        <f>'ACC II - MY2026'!E20</f>
        <v>326172131.1756953</v>
      </c>
      <c r="F48" s="3">
        <f>'ACC II - MY2026'!F20</f>
        <v>666.22329737562336</v>
      </c>
      <c r="G48" s="3">
        <f>'ACC II - MY2026'!G20</f>
        <v>12022.169884915322</v>
      </c>
      <c r="H48" s="3">
        <f>'ACC II - MY2026'!H20</f>
        <v>472.65802813278958</v>
      </c>
      <c r="I48" s="3">
        <f>'ACC II - MY2026'!I20</f>
        <v>2226.6309454246298</v>
      </c>
      <c r="J48" s="3">
        <f>'ACC II - MY2026'!J20</f>
        <v>26606426.319579866</v>
      </c>
      <c r="K48" s="3">
        <f>C48+'ACC II - MY2026'!AD$20</f>
        <v>8732.6796047719999</v>
      </c>
      <c r="L48" s="3">
        <f>F48+'ACC II - MY2026'!AE$20</f>
        <v>666.73584452499313</v>
      </c>
    </row>
    <row r="49" spans="1:14" hidden="1">
      <c r="A49">
        <v>2027</v>
      </c>
      <c r="B49" s="32" t="s">
        <v>109</v>
      </c>
      <c r="C49" s="3">
        <f>'ACC II - MY2026'!C25</f>
        <v>7822.7672241211703</v>
      </c>
      <c r="D49" s="3">
        <f>'ACC II - MY2026'!D25</f>
        <v>25602924.468300216</v>
      </c>
      <c r="E49" s="3">
        <f>'ACC II - MY2026'!E25</f>
        <v>324939541.86140096</v>
      </c>
      <c r="F49" s="3">
        <f>'ACC II - MY2026'!F25</f>
        <v>651.54433949726013</v>
      </c>
      <c r="G49" s="3">
        <f>'ACC II - MY2026'!G25</f>
        <v>11493.637693471635</v>
      </c>
      <c r="H49" s="3">
        <f>'ACC II - MY2026'!H25</f>
        <v>456.15434825640091</v>
      </c>
      <c r="I49" s="3">
        <f>'ACC II - MY2026'!I25</f>
        <v>2168.3665611362071</v>
      </c>
      <c r="J49" s="3">
        <f>'ACC II - MY2026'!J25</f>
        <v>25149741.244796365</v>
      </c>
      <c r="K49" s="3">
        <f>C49+'ACC II - MY2026'!AD$25</f>
        <v>7761.9410323512993</v>
      </c>
      <c r="L49" s="3">
        <f>F49+'ACC II - MY2026'!AE$25</f>
        <v>649.4463627317175</v>
      </c>
    </row>
    <row r="50" spans="1:14" hidden="1">
      <c r="A50">
        <v>2028</v>
      </c>
      <c r="B50" s="32" t="s">
        <v>109</v>
      </c>
      <c r="C50" s="3">
        <f>'ACC II - MY2026'!C30</f>
        <v>6877.2062039517677</v>
      </c>
      <c r="D50" s="3">
        <f>'ACC II - MY2026'!D30</f>
        <v>24077394.585872218</v>
      </c>
      <c r="E50" s="3">
        <f>'ACC II - MY2026'!E30</f>
        <v>323706952.54710668</v>
      </c>
      <c r="F50" s="3">
        <f>'ACC II - MY2026'!F30</f>
        <v>635.32461592272114</v>
      </c>
      <c r="G50" s="3">
        <f>'ACC II - MY2026'!G30</f>
        <v>10947.112216904312</v>
      </c>
      <c r="H50" s="3">
        <f>'ACC II - MY2026'!H30</f>
        <v>435.27811716201938</v>
      </c>
      <c r="I50" s="3">
        <f>'ACC II - MY2026'!I30</f>
        <v>2099.0504480082</v>
      </c>
      <c r="J50" s="3">
        <f>'ACC II - MY2026'!J30</f>
        <v>23371475.899119742</v>
      </c>
      <c r="K50" s="3">
        <f>C50+'ACC II - MY2026'!AD$30</f>
        <v>6771.2117032348378</v>
      </c>
      <c r="L50" s="3">
        <f>F50+'ACC II - MY2026'!AE$30</f>
        <v>628.6280205850004</v>
      </c>
    </row>
    <row r="51" spans="1:14" hidden="1">
      <c r="A51">
        <v>2029</v>
      </c>
      <c r="B51" s="32" t="s">
        <v>109</v>
      </c>
      <c r="C51" s="3">
        <f>'ACC II - MY2026'!C35</f>
        <v>5922.8886011572977</v>
      </c>
      <c r="D51" s="3">
        <f>'ACC II - MY2026'!D35</f>
        <v>22392224.434719969</v>
      </c>
      <c r="E51" s="3">
        <f>'ACC II - MY2026'!E35</f>
        <v>322474363.23281235</v>
      </c>
      <c r="F51" s="3">
        <f>'ACC II - MY2026'!F35</f>
        <v>617.54014457674339</v>
      </c>
      <c r="G51" s="3">
        <f>'ACC II - MY2026'!G35</f>
        <v>10370.006571172153</v>
      </c>
      <c r="H51" s="3">
        <f>'ACC II - MY2026'!H35</f>
        <v>410.62413007357526</v>
      </c>
      <c r="I51" s="3">
        <f>'ACC II - MY2026'!I35</f>
        <v>2017.4303012934345</v>
      </c>
      <c r="J51" s="3">
        <f>'ACC II - MY2026'!J35</f>
        <v>21374449.315130513</v>
      </c>
      <c r="K51" s="3">
        <f>C51+'ACC II - MY2026'!AD$35</f>
        <v>5753.3786703236774</v>
      </c>
      <c r="L51" s="3">
        <f>F51+'ACC II - MY2026'!AE$35</f>
        <v>603.71674422327669</v>
      </c>
    </row>
    <row r="52" spans="1:14" hidden="1">
      <c r="A52">
        <v>2030</v>
      </c>
      <c r="B52" s="32" t="s">
        <v>109</v>
      </c>
      <c r="C52" s="3">
        <f>'ACC II - MY2026'!C40</f>
        <v>4972.9312735550284</v>
      </c>
      <c r="D52" s="3">
        <f>'ACC II - MY2026'!D40</f>
        <v>20651381.22589552</v>
      </c>
      <c r="E52" s="3">
        <f>'ACC II - MY2026'!E40</f>
        <v>321241773.91851801</v>
      </c>
      <c r="F52" s="3">
        <f>'ACC II - MY2026'!F40</f>
        <v>595.6281693274982</v>
      </c>
      <c r="G52" s="3">
        <f>'ACC II - MY2026'!G40</f>
        <v>9771.6684227021597</v>
      </c>
      <c r="H52" s="3">
        <f>'ACC II - MY2026'!H40</f>
        <v>384.78194198627688</v>
      </c>
      <c r="I52" s="3">
        <f>'ACC II - MY2026'!I40</f>
        <v>1926.2246681144341</v>
      </c>
      <c r="J52" s="3">
        <f>'ACC II - MY2026'!J40</f>
        <v>19286900.147081841</v>
      </c>
      <c r="K52" s="3">
        <f>C52+'ACC II - MY2026'!AD$40</f>
        <v>4717.2824232995672</v>
      </c>
      <c r="L52" s="3">
        <f>F52+'ACC II - MY2026'!AE$40</f>
        <v>571.51661096180214</v>
      </c>
    </row>
    <row r="53" spans="1:14" hidden="1">
      <c r="A53">
        <v>2031</v>
      </c>
      <c r="B53" s="32" t="s">
        <v>109</v>
      </c>
      <c r="C53" s="3">
        <f>'ACC II - MY2026'!C45</f>
        <v>4479.0662911186646</v>
      </c>
      <c r="D53" s="3">
        <f>'ACC II - MY2026'!D45</f>
        <v>19033291.456251636</v>
      </c>
      <c r="E53" s="3">
        <f>'ACC II - MY2026'!E45</f>
        <v>319072521.27916521</v>
      </c>
      <c r="F53" s="3">
        <f>'ACC II - MY2026'!F45</f>
        <v>577.92198032244983</v>
      </c>
      <c r="G53" s="3">
        <f>'ACC II - MY2026'!G45</f>
        <v>9425.7371896622062</v>
      </c>
      <c r="H53" s="3">
        <f>'ACC II - MY2026'!H45</f>
        <v>359.22418779382679</v>
      </c>
      <c r="I53" s="3">
        <f>'ACC II - MY2026'!I45</f>
        <v>1832.1717709439138</v>
      </c>
      <c r="J53" s="3">
        <f>'ACC II - MY2026'!J45</f>
        <v>17324950.885106537</v>
      </c>
      <c r="K53" s="3">
        <f>C53+'ACC II - MY2026'!AD$45</f>
        <v>4148.0007709096171</v>
      </c>
      <c r="L53" s="3">
        <f>F53+'ACC II - MY2026'!AE$45</f>
        <v>545.54480019384027</v>
      </c>
    </row>
    <row r="54" spans="1:14" hidden="1">
      <c r="A54">
        <v>2032</v>
      </c>
      <c r="B54" s="32" t="s">
        <v>109</v>
      </c>
      <c r="C54" s="3">
        <f>'ACC II - MY2026'!C50</f>
        <v>3986.1541995809007</v>
      </c>
      <c r="D54" s="3">
        <f>'ACC II - MY2026'!D50</f>
        <v>17397115.991778608</v>
      </c>
      <c r="E54" s="3">
        <f>'ACC II - MY2026'!E50</f>
        <v>316903268.63981247</v>
      </c>
      <c r="F54" s="3">
        <f>'ACC II - MY2026'!F50</f>
        <v>556.9435748913728</v>
      </c>
      <c r="G54" s="3">
        <f>'ACC II - MY2026'!G50</f>
        <v>9068.5062909445805</v>
      </c>
      <c r="H54" s="3">
        <f>'ACC II - MY2026'!H50</f>
        <v>333.863218277089</v>
      </c>
      <c r="I54" s="3">
        <f>'ACC II - MY2026'!I50</f>
        <v>1735.6602328359804</v>
      </c>
      <c r="J54" s="3">
        <f>'ACC II - MY2026'!J50</f>
        <v>15332601.820746636</v>
      </c>
      <c r="K54" s="3">
        <f>C54+'ACC II - MY2026'!AD$50</f>
        <v>3568.2073768080286</v>
      </c>
      <c r="L54" s="3">
        <f>F54+'ACC II - MY2026'!AE$50</f>
        <v>514.74060834978525</v>
      </c>
    </row>
    <row r="55" spans="1:14" hidden="1">
      <c r="A55">
        <v>2033</v>
      </c>
      <c r="B55" s="32" t="s">
        <v>109</v>
      </c>
      <c r="C55" s="3">
        <f>'ACC II - MY2026'!C55</f>
        <v>3502.4715044434324</v>
      </c>
      <c r="D55" s="3">
        <f>'ACC II - MY2026'!D55</f>
        <v>15804923.158088665</v>
      </c>
      <c r="E55" s="3">
        <f>'ACC II - MY2026'!E55</f>
        <v>314734016.00045967</v>
      </c>
      <c r="F55" s="3">
        <f>'ACC II - MY2026'!F55</f>
        <v>535.63931474109108</v>
      </c>
      <c r="G55" s="3">
        <f>'ACC II - MY2026'!G55</f>
        <v>8704.5009900516288</v>
      </c>
      <c r="H55" s="3">
        <f>'ACC II - MY2026'!H55</f>
        <v>309.50056395756002</v>
      </c>
      <c r="I55" s="3">
        <f>'ACC II - MY2026'!I55</f>
        <v>1639.3096022273467</v>
      </c>
      <c r="J55" s="3">
        <f>'ACC II - MY2026'!J55</f>
        <v>13387912.423212698</v>
      </c>
      <c r="K55" s="3">
        <f>C55+'ACC II - MY2026'!AD$55</f>
        <v>2985.3530090413306</v>
      </c>
      <c r="L55" s="3">
        <f>F55+'ACC II - MY2026'!AE$55</f>
        <v>481.91484120329244</v>
      </c>
    </row>
    <row r="56" spans="1:14" hidden="1">
      <c r="A56">
        <v>2034</v>
      </c>
      <c r="B56" s="32" t="s">
        <v>109</v>
      </c>
      <c r="C56" s="3">
        <f>'ACC II - MY2026'!C60</f>
        <v>3031.4016859276649</v>
      </c>
      <c r="D56" s="3">
        <f>'ACC II - MY2026'!D60</f>
        <v>14207042.013458094</v>
      </c>
      <c r="E56" s="3">
        <f>'ACC II - MY2026'!E60</f>
        <v>312564763.36110693</v>
      </c>
      <c r="F56" s="3">
        <f>'ACC II - MY2026'!F60</f>
        <v>514.25629890102277</v>
      </c>
      <c r="G56" s="3">
        <f>'ACC II - MY2026'!G60</f>
        <v>8327.6533928951503</v>
      </c>
      <c r="H56" s="3">
        <f>'ACC II - MY2026'!H60</f>
        <v>285.96864382184509</v>
      </c>
      <c r="I56" s="3">
        <f>'ACC II - MY2026'!I60</f>
        <v>1542.4501545429116</v>
      </c>
      <c r="J56" s="3">
        <f>'ACC II - MY2026'!J60</f>
        <v>11425248.61953605</v>
      </c>
      <c r="K56" s="3">
        <f>C56+'ACC II - MY2026'!AD$60</f>
        <v>2402.0920065509272</v>
      </c>
      <c r="L56" s="3">
        <f>F56+'ACC II - MY2026'!AE$60</f>
        <v>447.19428660717841</v>
      </c>
    </row>
    <row r="57" spans="1:14" hidden="1">
      <c r="A57">
        <v>2035</v>
      </c>
      <c r="B57" s="32" t="s">
        <v>109</v>
      </c>
      <c r="C57" s="3">
        <f>'ACC II - MY2026'!C65</f>
        <v>2568.016496905514</v>
      </c>
      <c r="D57" s="3">
        <f>'ACC II - MY2026'!D65</f>
        <v>12672711.931549774</v>
      </c>
      <c r="E57" s="3">
        <f>'ACC II - MY2026'!E65</f>
        <v>310395510.72175413</v>
      </c>
      <c r="F57" s="3">
        <f>'ACC II - MY2026'!F65</f>
        <v>489.26961266363259</v>
      </c>
      <c r="G57" s="3">
        <f>'ACC II - MY2026'!G65</f>
        <v>7825.8684312023561</v>
      </c>
      <c r="H57" s="3">
        <f>'ACC II - MY2026'!H65</f>
        <v>263.90875529872886</v>
      </c>
      <c r="I57" s="3">
        <f>'ACC II - MY2026'!I65</f>
        <v>1448.0145799027694</v>
      </c>
      <c r="J57" s="3">
        <f>'ACC II - MY2026'!J65</f>
        <v>9532791.4809628502</v>
      </c>
      <c r="K57" s="3">
        <f>C57+'ACC II - MY2026'!AD$65</f>
        <v>1813.1374254199914</v>
      </c>
      <c r="L57" s="3">
        <f>F57+'ACC II - MY2026'!AE$65</f>
        <v>406.99232814684854</v>
      </c>
    </row>
    <row r="58" spans="1:14" hidden="1">
      <c r="A58">
        <v>2036</v>
      </c>
      <c r="B58" s="32" t="s">
        <v>109</v>
      </c>
      <c r="C58" s="3">
        <f>'ACC II - MY2026'!C70</f>
        <v>2385.3191794159711</v>
      </c>
      <c r="D58" s="3">
        <f>'ACC II - MY2026'!D70</f>
        <v>11393462.539868349</v>
      </c>
      <c r="E58" s="3">
        <f>'ACC II - MY2026'!E70</f>
        <v>310737968.7658385</v>
      </c>
      <c r="F58" s="3">
        <f>'ACC II - MY2026'!F70</f>
        <v>471.94279101302089</v>
      </c>
      <c r="G58" s="3">
        <f>'ACC II - MY2026'!G70</f>
        <v>7440.4703932762268</v>
      </c>
      <c r="H58" s="3">
        <f>'ACC II - MY2026'!H70</f>
        <v>244.81886938493648</v>
      </c>
      <c r="I58" s="3">
        <f>'ACC II - MY2026'!I70</f>
        <v>1383.9275498617944</v>
      </c>
      <c r="J58" s="3">
        <f>'ACC II - MY2026'!J70</f>
        <v>7942402.4403802343</v>
      </c>
      <c r="K58" s="3">
        <f>C58+'ACC II - MY2026'!AD$70</f>
        <v>1515.2044288788256</v>
      </c>
      <c r="L58" s="3">
        <f>F58+'ACC II - MY2026'!AE$70</f>
        <v>376.33886267175228</v>
      </c>
    </row>
    <row r="59" spans="1:14" hidden="1">
      <c r="A59">
        <v>2037</v>
      </c>
      <c r="B59" s="32" t="s">
        <v>109</v>
      </c>
      <c r="C59" s="3">
        <f>'ACC II - MY2026'!C75</f>
        <v>2207.8962212038555</v>
      </c>
      <c r="D59" s="3">
        <f>'ACC II - MY2026'!D75</f>
        <v>10314360.193481546</v>
      </c>
      <c r="E59" s="3">
        <f>'ACC II - MY2026'!E75</f>
        <v>311080426.80992287</v>
      </c>
      <c r="F59" s="3">
        <f>'ACC II - MY2026'!F75</f>
        <v>455.96138552436383</v>
      </c>
      <c r="G59" s="3">
        <f>'ACC II - MY2026'!G75</f>
        <v>7068.0408420545918</v>
      </c>
      <c r="H59" s="3">
        <f>'ACC II - MY2026'!H75</f>
        <v>228.73663395333131</v>
      </c>
      <c r="I59" s="3">
        <f>'ACC II - MY2026'!I75</f>
        <v>1329.7600076204053</v>
      </c>
      <c r="J59" s="3">
        <f>'ACC II - MY2026'!J75</f>
        <v>6602516.9678638093</v>
      </c>
      <c r="K59" s="3">
        <f>C59+'ACC II - MY2026'!AD$75</f>
        <v>1218.8697545926207</v>
      </c>
      <c r="L59" s="3">
        <f>F59+'ACC II - MY2026'!AE$75</f>
        <v>346.44581124241319</v>
      </c>
    </row>
    <row r="60" spans="1:14" hidden="1">
      <c r="A60">
        <v>2038</v>
      </c>
      <c r="B60" s="32" t="s">
        <v>109</v>
      </c>
      <c r="C60" s="3">
        <f>'ACC II - MY2026'!C80</f>
        <v>2036.0809527062181</v>
      </c>
      <c r="D60" s="3">
        <f>'ACC II - MY2026'!D80</f>
        <v>9401461.6550396718</v>
      </c>
      <c r="E60" s="3">
        <f>'ACC II - MY2026'!E80</f>
        <v>311422884.85400724</v>
      </c>
      <c r="F60" s="3">
        <f>'ACC II - MY2026'!F80</f>
        <v>440.54152959975431</v>
      </c>
      <c r="G60" s="3">
        <f>'ACC II - MY2026'!G80</f>
        <v>6690.4059034028605</v>
      </c>
      <c r="H60" s="3">
        <f>'ACC II - MY2026'!H80</f>
        <v>215.048569436066</v>
      </c>
      <c r="I60" s="3">
        <f>'ACC II - MY2026'!I80</f>
        <v>1283.5509387204888</v>
      </c>
      <c r="J60" s="3">
        <f>'ACC II - MY2026'!J80</f>
        <v>5469374.0713164909</v>
      </c>
      <c r="K60" s="3">
        <f>C60+'ACC II - MY2026'!AD$80</f>
        <v>924.43641717099717</v>
      </c>
      <c r="L60" s="3">
        <f>F60+'ACC II - MY2026'!AE$80</f>
        <v>316.52454726822879</v>
      </c>
    </row>
    <row r="61" spans="1:14" hidden="1">
      <c r="A61">
        <v>2039</v>
      </c>
      <c r="B61" s="32" t="s">
        <v>109</v>
      </c>
      <c r="C61" s="3">
        <f>'ACC II - MY2026'!C85</f>
        <v>1870.8885630104694</v>
      </c>
      <c r="D61" s="3">
        <f>'ACC II - MY2026'!D85</f>
        <v>8642663.9654389005</v>
      </c>
      <c r="E61" s="3">
        <f>'ACC II - MY2026'!E85</f>
        <v>311765342.89809161</v>
      </c>
      <c r="F61" s="3">
        <f>'ACC II - MY2026'!F85</f>
        <v>426.51860216555747</v>
      </c>
      <c r="G61" s="3">
        <f>'ACC II - MY2026'!G85</f>
        <v>6309.3965521258024</v>
      </c>
      <c r="H61" s="3">
        <f>'ACC II - MY2026'!H85</f>
        <v>203.51884863464727</v>
      </c>
      <c r="I61" s="3">
        <f>'ACC II - MY2026'!I85</f>
        <v>1245.1314619301581</v>
      </c>
      <c r="J61" s="3">
        <f>'ACC II - MY2026'!J85</f>
        <v>4527358.5665489081</v>
      </c>
      <c r="K61" s="3">
        <f>C61+'ACC II - MY2026'!AD$85</f>
        <v>632.90197539657152</v>
      </c>
      <c r="L61" s="3">
        <f>F61+'ACC II - MY2026'!AE$85</f>
        <v>287.40769811524314</v>
      </c>
    </row>
    <row r="62" spans="1:14" hidden="1">
      <c r="A62">
        <v>2040</v>
      </c>
      <c r="B62" s="32" t="s">
        <v>109</v>
      </c>
      <c r="C62" s="3">
        <f>'ACC II - MY2026'!C90</f>
        <v>1688.3193576478229</v>
      </c>
      <c r="D62" s="3">
        <f>'ACC II - MY2026'!D90</f>
        <v>7776285.4328448465</v>
      </c>
      <c r="E62" s="3">
        <f>'ACC II - MY2026'!E90</f>
        <v>312107800.94217598</v>
      </c>
      <c r="F62" s="3">
        <f>'ACC II - MY2026'!F90</f>
        <v>411.37476901002532</v>
      </c>
      <c r="G62" s="3">
        <f>'ACC II - MY2026'!G90</f>
        <v>5882.9564867760037</v>
      </c>
      <c r="H62" s="3">
        <f>'ACC II - MY2026'!H90</f>
        <v>190.09902555171428</v>
      </c>
      <c r="I62" s="3">
        <f>'ACC II - MY2026'!I90</f>
        <v>1189.9569290753736</v>
      </c>
      <c r="J62" s="3">
        <f>'ACC II - MY2026'!J90</f>
        <v>3439484.2529779067</v>
      </c>
      <c r="K62" s="3">
        <f>C62+'ACC II - MY2026'!AD$90</f>
        <v>320.24209414886536</v>
      </c>
      <c r="L62" s="3">
        <f>F62+'ACC II - MY2026'!AE$90</f>
        <v>256.57356757827461</v>
      </c>
      <c r="M62" s="3">
        <f>G62+'ACC II - MY2026'!AF90</f>
        <v>1185.3545792004415</v>
      </c>
      <c r="N62" s="3">
        <f>H62+'ACC II - MY2026'!AG90</f>
        <v>-392.32015395681663</v>
      </c>
    </row>
    <row r="63" spans="1:14" hidden="1">
      <c r="C63" s="3"/>
      <c r="D63" s="3"/>
      <c r="E63" s="3"/>
      <c r="F63" s="3"/>
      <c r="G63" s="3"/>
      <c r="H63" s="3"/>
      <c r="I63" s="3"/>
      <c r="J63" s="3"/>
    </row>
    <row r="64" spans="1:14">
      <c r="A64" s="2" t="s">
        <v>147</v>
      </c>
    </row>
    <row r="65" spans="1:14">
      <c r="A65" s="2" t="s">
        <v>19</v>
      </c>
      <c r="B65" s="2" t="s">
        <v>20</v>
      </c>
      <c r="C65" s="2" t="s">
        <v>2</v>
      </c>
      <c r="D65" s="2" t="s">
        <v>47</v>
      </c>
      <c r="E65" s="2" t="s">
        <v>22</v>
      </c>
      <c r="F65" s="2" t="s">
        <v>24</v>
      </c>
      <c r="G65" s="2" t="s">
        <v>115</v>
      </c>
      <c r="H65" s="2" t="s">
        <v>116</v>
      </c>
      <c r="I65" s="2" t="s">
        <v>117</v>
      </c>
      <c r="J65" s="2" t="s">
        <v>52</v>
      </c>
      <c r="K65" s="2" t="s">
        <v>466</v>
      </c>
      <c r="L65" s="2" t="s">
        <v>465</v>
      </c>
      <c r="M65" s="2" t="s">
        <v>494</v>
      </c>
      <c r="N65" s="2" t="s">
        <v>495</v>
      </c>
    </row>
    <row r="66" spans="1:14">
      <c r="A66">
        <v>2020</v>
      </c>
      <c r="B66" s="32" t="s">
        <v>109</v>
      </c>
      <c r="C66" s="3">
        <f>'ACC II - MY2027'!C10</f>
        <v>16911.590935043296</v>
      </c>
      <c r="D66" s="3">
        <f>'ACC II - MY2027'!D10</f>
        <v>31780244.814980075</v>
      </c>
      <c r="E66" s="3">
        <f>'ACC II - MY2027'!E10</f>
        <v>335464115.71543819</v>
      </c>
      <c r="F66" s="3">
        <f>'ACC II - MY2027'!F10</f>
        <v>759.98016243917039</v>
      </c>
      <c r="G66" s="3">
        <f>'ACC II - MY2027'!G10</f>
        <v>15089.652364901234</v>
      </c>
      <c r="H66" s="3">
        <f>'ACC II - MY2027'!H10</f>
        <v>512.27960739915045</v>
      </c>
      <c r="I66" s="3">
        <f>'ACC II - MY2027'!I10</f>
        <v>7738.1652087346429</v>
      </c>
      <c r="J66" s="3">
        <f>'ACC II - MY2027'!J10</f>
        <v>31759136.710095361</v>
      </c>
      <c r="K66" s="3">
        <f>C66+'ACC II - MY2027'!AD$10</f>
        <v>16908.965815368898</v>
      </c>
      <c r="L66" s="3">
        <f>F66+'ACC II - MY2027'!AE$10</f>
        <v>760.3316195441779</v>
      </c>
    </row>
    <row r="67" spans="1:14">
      <c r="A67">
        <v>2025</v>
      </c>
      <c r="B67" s="32" t="s">
        <v>109</v>
      </c>
      <c r="C67" s="3">
        <f>'ACC II - MY2027'!C15</f>
        <v>9687.8341795790166</v>
      </c>
      <c r="D67" s="3">
        <f>'ACC II - MY2027'!D15</f>
        <v>27823536.396510247</v>
      </c>
      <c r="E67" s="3">
        <f>'ACC II - MY2027'!E15</f>
        <v>327404720.48998964</v>
      </c>
      <c r="F67" s="3">
        <f>'ACC II - MY2027'!F15</f>
        <v>679.38640606960541</v>
      </c>
      <c r="G67" s="3">
        <f>'ACC II - MY2027'!G15</f>
        <v>12530.750657244324</v>
      </c>
      <c r="H67" s="3">
        <f>'ACC II - MY2027'!H15</f>
        <v>484.27366085089983</v>
      </c>
      <c r="I67" s="3">
        <f>'ACC II - MY2027'!I15</f>
        <v>2204.3633630046961</v>
      </c>
      <c r="J67" s="3">
        <f>'ACC II - MY2027'!J15</f>
        <v>27624262.910687033</v>
      </c>
      <c r="K67" s="3">
        <f>C67+'ACC II - MY2027'!AD$15</f>
        <v>9675.5722571458118</v>
      </c>
      <c r="L67" s="3">
        <f>F67+'ACC II - MY2027'!AE$15</f>
        <v>681.02806065862467</v>
      </c>
    </row>
    <row r="68" spans="1:14">
      <c r="A68">
        <v>2026</v>
      </c>
      <c r="B68" s="32" t="s">
        <v>109</v>
      </c>
      <c r="C68" s="3">
        <f>'ACC II - MY2027'!C20</f>
        <v>8814.8801167661131</v>
      </c>
      <c r="D68" s="3">
        <f>'ACC II - MY2027'!D20</f>
        <v>27233011.871912435</v>
      </c>
      <c r="E68" s="3">
        <f>'ACC II - MY2027'!E20</f>
        <v>326172131.1756953</v>
      </c>
      <c r="F68" s="3">
        <f>'ACC II - MY2027'!F20</f>
        <v>669.03668054426339</v>
      </c>
      <c r="G68" s="3">
        <f>'ACC II - MY2027'!G20</f>
        <v>12060.386550453601</v>
      </c>
      <c r="H68" s="3">
        <f>'ACC II - MY2027'!H20</f>
        <v>479.95471873889807</v>
      </c>
      <c r="I68" s="3">
        <f>'ACC II - MY2027'!I20</f>
        <v>2261.0047127907178</v>
      </c>
      <c r="J68" s="3">
        <f>J18</f>
        <v>27023479.995044112</v>
      </c>
      <c r="K68" s="3">
        <f>C68+'ACC II - MY2027'!AD$20</f>
        <v>8788.2128105754746</v>
      </c>
      <c r="L68" s="3">
        <f>F68+'ACC II - MY2027'!AE$20</f>
        <v>669.48288562536675</v>
      </c>
    </row>
    <row r="69" spans="1:14">
      <c r="A69">
        <v>2027</v>
      </c>
      <c r="B69" s="32" t="s">
        <v>109</v>
      </c>
      <c r="C69" s="3">
        <f>'ACC II - MY2027'!C25</f>
        <v>7831.6463884888117</v>
      </c>
      <c r="D69" s="3">
        <f>'ACC II - MY2027'!D25</f>
        <v>25668270.6964834</v>
      </c>
      <c r="E69" s="3">
        <f>'ACC II - MY2027'!E25</f>
        <v>324939541.86140096</v>
      </c>
      <c r="F69" s="3">
        <f>'ACC II - MY2027'!F25</f>
        <v>652.05940686532028</v>
      </c>
      <c r="G69" s="3">
        <f>'ACC II - MY2027'!G25</f>
        <v>11501.095510342611</v>
      </c>
      <c r="H69" s="3">
        <f>'ACC II - MY2027'!H25</f>
        <v>457.3797058421074</v>
      </c>
      <c r="I69" s="3">
        <f>'ACC II - MY2027'!I25</f>
        <v>2174.1913974540826</v>
      </c>
      <c r="J69" s="3">
        <f>'ACC II - MY2027'!J25</f>
        <v>25204419.941440385</v>
      </c>
      <c r="K69" s="3">
        <f>C69+'ACC II - MY2027'!AD$25</f>
        <v>7776.3960412607767</v>
      </c>
      <c r="L69" s="3">
        <f>F69+'ACC II - MY2027'!AE$25</f>
        <v>650.1537484408849</v>
      </c>
    </row>
    <row r="70" spans="1:14">
      <c r="A70">
        <v>2028</v>
      </c>
      <c r="B70" s="32" t="s">
        <v>109</v>
      </c>
      <c r="C70" s="3">
        <f>'ACC II - MY2027'!C30</f>
        <v>6891.0522402437273</v>
      </c>
      <c r="D70" s="3">
        <f>'ACC II - MY2027'!D30</f>
        <v>24187910.750990793</v>
      </c>
      <c r="E70" s="3">
        <f>'ACC II - MY2027'!E30</f>
        <v>323706952.54710668</v>
      </c>
      <c r="F70" s="3">
        <f>'ACC II - MY2027'!F30</f>
        <v>636.19012738037588</v>
      </c>
      <c r="G70" s="3">
        <f>'ACC II - MY2027'!G30</f>
        <v>10960.092405638548</v>
      </c>
      <c r="H70" s="3">
        <f>'ACC II - MY2027'!H30</f>
        <v>437.27647000455937</v>
      </c>
      <c r="I70" s="3">
        <f>'ACC II - MY2027'!I30</f>
        <v>2108.6871452461883</v>
      </c>
      <c r="J70" s="3">
        <f>'ACC II - MY2027'!J30</f>
        <v>23487684.262717947</v>
      </c>
      <c r="K70" s="3">
        <f>C70+'ACC II - MY2027'!AD$30</f>
        <v>6792.2724386819682</v>
      </c>
      <c r="L70" s="3">
        <f>F70+'ACC II - MY2027'!AE$30</f>
        <v>629.9493473953271</v>
      </c>
    </row>
    <row r="71" spans="1:14">
      <c r="A71">
        <v>2029</v>
      </c>
      <c r="B71" s="32" t="s">
        <v>109</v>
      </c>
      <c r="C71" s="3">
        <f>'ACC II - MY2027'!C35</f>
        <v>5941.7930724259513</v>
      </c>
      <c r="D71" s="3">
        <f>'ACC II - MY2027'!D35</f>
        <v>22550615.862437207</v>
      </c>
      <c r="E71" s="3">
        <f>'ACC II - MY2027'!E35</f>
        <v>322474363.23281235</v>
      </c>
      <c r="F71" s="3">
        <f>'ACC II - MY2027'!F35</f>
        <v>618.79429166276759</v>
      </c>
      <c r="G71" s="3">
        <f>'ACC II - MY2027'!G35</f>
        <v>10390.010734022988</v>
      </c>
      <c r="H71" s="3">
        <f>'ACC II - MY2027'!H35</f>
        <v>413.49088297399453</v>
      </c>
      <c r="I71" s="3">
        <f>'ACC II - MY2027'!I35</f>
        <v>2031.5148953151993</v>
      </c>
      <c r="J71" s="3">
        <f>'ACC II - MY2027'!J35</f>
        <v>21555737.201106645</v>
      </c>
      <c r="K71" s="3">
        <f>C71+'ACC II - MY2027'!AD$35</f>
        <v>5781.1718982339635</v>
      </c>
      <c r="L71" s="3">
        <f>F71+'ACC II - MY2027'!AE$35</f>
        <v>605.69576236020362</v>
      </c>
    </row>
    <row r="72" spans="1:14">
      <c r="A72">
        <v>2030</v>
      </c>
      <c r="B72" s="32" t="s">
        <v>109</v>
      </c>
      <c r="C72" s="3">
        <f>'ACC II - MY2027'!C40</f>
        <v>4995.8240994985263</v>
      </c>
      <c r="D72" s="3">
        <f>'ACC II - MY2027'!D40</f>
        <v>20858372.983267713</v>
      </c>
      <c r="E72" s="3">
        <f>'ACC II - MY2027'!E40</f>
        <v>321241773.91851801</v>
      </c>
      <c r="F72" s="3">
        <f>'ACC II - MY2027'!F40</f>
        <v>597.2762511238908</v>
      </c>
      <c r="G72" s="3">
        <f>'ACC II - MY2027'!G40</f>
        <v>9798.8519296930117</v>
      </c>
      <c r="H72" s="3">
        <f>'ACC II - MY2027'!H40</f>
        <v>388.52480608689336</v>
      </c>
      <c r="I72" s="3">
        <f>'ACC II - MY2027'!I40</f>
        <v>1944.9615067581369</v>
      </c>
      <c r="J72" s="3">
        <f>'ACC II - MY2027'!J40</f>
        <v>19534269.667618349</v>
      </c>
      <c r="K72" s="3">
        <f>C72+'ACC II - MY2027'!AD$40</f>
        <v>4750.7743278398348</v>
      </c>
      <c r="L72" s="3">
        <f>F72+'ACC II - MY2027'!AE$40</f>
        <v>574.16434639228396</v>
      </c>
    </row>
    <row r="73" spans="1:14">
      <c r="A73">
        <v>2031</v>
      </c>
      <c r="B73" s="32" t="s">
        <v>109</v>
      </c>
      <c r="C73" s="3">
        <f>'ACC II - MY2027'!C45</f>
        <v>4507.1358672503484</v>
      </c>
      <c r="D73" s="3">
        <f>'ACC II - MY2027'!D45</f>
        <v>19291401.831859022</v>
      </c>
      <c r="E73" s="3">
        <f>'ACC II - MY2027'!E45</f>
        <v>319072521.27916521</v>
      </c>
      <c r="F73" s="3">
        <f>'ACC II - MY2027'!F45</f>
        <v>579.97093083516154</v>
      </c>
      <c r="G73" s="3">
        <f>'ACC II - MY2027'!G45</f>
        <v>9460.8654353686288</v>
      </c>
      <c r="H73" s="3">
        <f>'ACC II - MY2027'!H45</f>
        <v>363.81117274897309</v>
      </c>
      <c r="I73" s="3">
        <f>'ACC II - MY2027'!I45</f>
        <v>1855.5670339415908</v>
      </c>
      <c r="J73" s="3">
        <f>'ACC II - MY2027'!J45</f>
        <v>17639463.01004051</v>
      </c>
      <c r="K73" s="3">
        <f>C73+'ACC II - MY2027'!AD$45</f>
        <v>4187.1818936898626</v>
      </c>
      <c r="L73" s="3">
        <f>F73+'ACC II - MY2027'!AE$45</f>
        <v>548.68042547449761</v>
      </c>
    </row>
    <row r="74" spans="1:14">
      <c r="A74">
        <v>2032</v>
      </c>
      <c r="B74" s="32" t="s">
        <v>109</v>
      </c>
      <c r="C74" s="3">
        <f>'ACC II - MY2027'!C50</f>
        <v>4018.5722630876239</v>
      </c>
      <c r="D74" s="3">
        <f>'ACC II - MY2027'!D50</f>
        <v>17701486.961390346</v>
      </c>
      <c r="E74" s="3">
        <f>'ACC II - MY2027'!E50</f>
        <v>316903268.63981247</v>
      </c>
      <c r="F74" s="3">
        <f>'ACC II - MY2027'!F50</f>
        <v>559.3461244766371</v>
      </c>
      <c r="G74" s="3">
        <f>'ACC II - MY2027'!G50</f>
        <v>9111.0319372568374</v>
      </c>
      <c r="H74" s="3">
        <f>'ACC II - MY2027'!H50</f>
        <v>339.17566307674065</v>
      </c>
      <c r="I74" s="3">
        <f>'ACC II - MY2027'!I50</f>
        <v>1763.2781274500526</v>
      </c>
      <c r="J74" s="3">
        <f>'ACC II - MY2027'!J50</f>
        <v>15708002.834241232</v>
      </c>
      <c r="K74" s="3">
        <f>C74+'ACC II - MY2027'!AD$50</f>
        <v>3612.2509057456637</v>
      </c>
      <c r="L74" s="3">
        <f>F74+'ACC II - MY2027'!AE$50</f>
        <v>518.31706117316025</v>
      </c>
    </row>
    <row r="75" spans="1:14">
      <c r="A75">
        <v>2033</v>
      </c>
      <c r="B75" s="32" t="s">
        <v>109</v>
      </c>
      <c r="C75" s="3">
        <f>'ACC II - MY2027'!C55</f>
        <v>3537.9273211634941</v>
      </c>
      <c r="D75" s="3">
        <f>'ACC II - MY2027'!D55</f>
        <v>16147114.057437079</v>
      </c>
      <c r="E75" s="3">
        <f>'ACC II - MY2027'!E55</f>
        <v>314734016.00045967</v>
      </c>
      <c r="F75" s="3">
        <f>'ACC II - MY2027'!F55</f>
        <v>538.33363253871187</v>
      </c>
      <c r="G75" s="3">
        <f>'ACC II - MY2027'!G55</f>
        <v>8753.432255435644</v>
      </c>
      <c r="H75" s="3">
        <f>'ACC II - MY2027'!H55</f>
        <v>315.38150428879271</v>
      </c>
      <c r="I75" s="3">
        <f>'ACC II - MY2027'!I55</f>
        <v>1670.4587601863536</v>
      </c>
      <c r="J75" s="3">
        <f>'ACC II - MY2027'!J55</f>
        <v>13813335.483831212</v>
      </c>
      <c r="K75" s="3">
        <f>C75+'ACC II - MY2027'!AD$55</f>
        <v>3032.9495950364658</v>
      </c>
      <c r="L75" s="3">
        <f>F75+'ACC II - MY2027'!AE$55</f>
        <v>485.87048777458244</v>
      </c>
    </row>
    <row r="76" spans="1:14">
      <c r="A76">
        <v>2034</v>
      </c>
      <c r="B76" s="32" t="s">
        <v>109</v>
      </c>
      <c r="C76" s="3">
        <f>'ACC II - MY2027'!C60</f>
        <v>3068.47679379389</v>
      </c>
      <c r="D76" s="3">
        <f>'ACC II - MY2027'!D60</f>
        <v>14581137.303393543</v>
      </c>
      <c r="E76" s="3">
        <f>'ACC II - MY2027'!E60</f>
        <v>312564763.36110693</v>
      </c>
      <c r="F76" s="3">
        <f>'ACC II - MY2027'!F60</f>
        <v>517.17053510390519</v>
      </c>
      <c r="G76" s="3">
        <f>'ACC II - MY2027'!G60</f>
        <v>8382.1712098272383</v>
      </c>
      <c r="H76" s="3">
        <f>'ACC II - MY2027'!H60</f>
        <v>292.27284432107632</v>
      </c>
      <c r="I76" s="3">
        <f>'ACC II - MY2027'!I60</f>
        <v>1576.4535854937769</v>
      </c>
      <c r="J76" s="3">
        <f>'ACC II - MY2027'!J60</f>
        <v>11893073.919676863</v>
      </c>
      <c r="K76" s="3">
        <f>C76+'ACC II - MY2027'!AD$60</f>
        <v>2451.8223136053093</v>
      </c>
      <c r="L76" s="3">
        <f>F76+'ACC II - MY2027'!AE$60</f>
        <v>451.45711659679193</v>
      </c>
    </row>
    <row r="77" spans="1:14">
      <c r="A77">
        <v>2035</v>
      </c>
      <c r="B77" s="32" t="s">
        <v>109</v>
      </c>
      <c r="C77" s="3">
        <f>'ACC II - MY2027'!C65</f>
        <v>2605.0485964831446</v>
      </c>
      <c r="D77" s="3">
        <f>'ACC II - MY2027'!D65</f>
        <v>13069460.321363706</v>
      </c>
      <c r="E77" s="3">
        <f>'ACC II - MY2027'!E65</f>
        <v>310395510.72175413</v>
      </c>
      <c r="F77" s="3">
        <f>'ACC II - MY2027'!F65</f>
        <v>492.30875556182667</v>
      </c>
      <c r="G77" s="3">
        <f>'ACC II - MY2027'!G65</f>
        <v>7883.5607195191296</v>
      </c>
      <c r="H77" s="3">
        <f>'ACC II - MY2027'!H65</f>
        <v>270.47342868945634</v>
      </c>
      <c r="I77" s="3">
        <f>'ACC II - MY2027'!I65</f>
        <v>1484.0336303935844</v>
      </c>
      <c r="J77" s="3">
        <f>'ACC II - MY2027'!J65</f>
        <v>10031089.243994072</v>
      </c>
      <c r="K77" s="3">
        <f>C77+'ACC II - MY2027'!AD$65</f>
        <v>1863.3305166072419</v>
      </c>
      <c r="L77" s="3">
        <f>F77+'ACC II - MY2027'!AE$65</f>
        <v>411.46594007735632</v>
      </c>
    </row>
    <row r="78" spans="1:14">
      <c r="A78">
        <v>2036</v>
      </c>
      <c r="B78" s="32" t="s">
        <v>109</v>
      </c>
      <c r="C78" s="3">
        <f>'ACC II - MY2027'!C70</f>
        <v>2424.8751031683951</v>
      </c>
      <c r="D78" s="3">
        <f>'ACC II - MY2027'!D70</f>
        <v>11802867.898372553</v>
      </c>
      <c r="E78" s="3">
        <f>'ACC II - MY2027'!E70</f>
        <v>310737968.7658385</v>
      </c>
      <c r="F78" s="3">
        <f>'ACC II - MY2027'!F70</f>
        <v>475.05242718308591</v>
      </c>
      <c r="G78" s="3">
        <f>'ACC II - MY2027'!G70</f>
        <v>7500.9616412305359</v>
      </c>
      <c r="H78" s="3">
        <f>'ACC II - MY2027'!H70</f>
        <v>251.46355655351724</v>
      </c>
      <c r="I78" s="3">
        <f>'ACC II - MY2027'!I70</f>
        <v>1421.4890566848376</v>
      </c>
      <c r="J78" s="3">
        <f>'ACC II - MY2027'!J70</f>
        <v>8457467.3178691007</v>
      </c>
      <c r="K78" s="3">
        <f>C78+'ACC II - MY2027'!AD$70</f>
        <v>1568.1471976787884</v>
      </c>
      <c r="L78" s="3">
        <f>F78+'ACC II - MY2027'!AE$70</f>
        <v>380.91937952031458</v>
      </c>
    </row>
    <row r="79" spans="1:14">
      <c r="A79">
        <v>2037</v>
      </c>
      <c r="B79" s="32" t="s">
        <v>109</v>
      </c>
      <c r="C79" s="3">
        <f>'ACC II - MY2027'!C75</f>
        <v>2248.7875638064797</v>
      </c>
      <c r="D79" s="3">
        <f>'ACC II - MY2027'!D75</f>
        <v>10722600.762803955</v>
      </c>
      <c r="E79" s="3">
        <f>'ACC II - MY2027'!E75</f>
        <v>311080426.80992287</v>
      </c>
      <c r="F79" s="3">
        <f>'ACC II - MY2027'!F75</f>
        <v>459.03634415380373</v>
      </c>
      <c r="G79" s="3">
        <f>'ACC II - MY2027'!G75</f>
        <v>7129.2735296526525</v>
      </c>
      <c r="H79" s="3">
        <f>'ACC II - MY2027'!H75</f>
        <v>235.27036066636634</v>
      </c>
      <c r="I79" s="3">
        <f>'ACC II - MY2027'!I75</f>
        <v>1367.74381604476</v>
      </c>
      <c r="J79" s="3">
        <f>'ACC II - MY2027'!J75</f>
        <v>7116554.068103048</v>
      </c>
      <c r="K79" s="3">
        <f>C79+'ACC II - MY2027'!AD$75</f>
        <v>1273.3749246179332</v>
      </c>
      <c r="L79" s="3">
        <f>F79+'ACC II - MY2027'!AE$75</f>
        <v>351.02823825485757</v>
      </c>
    </row>
    <row r="80" spans="1:14">
      <c r="A80">
        <v>2038</v>
      </c>
      <c r="B80" s="32" t="s">
        <v>109</v>
      </c>
      <c r="C80" s="3">
        <f>'ACC II - MY2027'!C80</f>
        <v>2077.2296048004555</v>
      </c>
      <c r="D80" s="3">
        <f>'ACC II - MY2027'!D80</f>
        <v>9798239.0339864288</v>
      </c>
      <c r="E80" s="3">
        <f>'ACC II - MY2027'!E80</f>
        <v>311422884.85400724</v>
      </c>
      <c r="F80" s="3">
        <f>'ACC II - MY2027'!F80</f>
        <v>443.51370016555853</v>
      </c>
      <c r="G80" s="3">
        <f>'ACC II - MY2027'!G80</f>
        <v>6751.3078867175864</v>
      </c>
      <c r="H80" s="3">
        <f>'ACC II - MY2027'!H80</f>
        <v>221.33576552846668</v>
      </c>
      <c r="I80" s="3">
        <f>'ACC II - MY2027'!I80</f>
        <v>1321.0770495310976</v>
      </c>
      <c r="J80" s="3">
        <f>'ACC II - MY2027'!J80</f>
        <v>5969125.112356225</v>
      </c>
      <c r="K80" s="3">
        <f>C80+'ACC II - MY2027'!AD$80</f>
        <v>979.42697389653495</v>
      </c>
      <c r="L80" s="3">
        <f>F80+'ACC II - MY2027'!AE$80</f>
        <v>321.04094459647399</v>
      </c>
    </row>
    <row r="81" spans="1:18">
      <c r="A81">
        <v>2039</v>
      </c>
      <c r="B81" s="32" t="s">
        <v>109</v>
      </c>
      <c r="C81" s="3">
        <f>'ACC II - MY2027'!C85</f>
        <v>1910.826734771518</v>
      </c>
      <c r="D81" s="3">
        <f>'ACC II - MY2027'!D85</f>
        <v>9015051.958709009</v>
      </c>
      <c r="E81" s="3">
        <f>'ACC II - MY2027'!E85</f>
        <v>311765342.89809161</v>
      </c>
      <c r="F81" s="3">
        <f>'ACC II - MY2027'!F85</f>
        <v>429.28411075771544</v>
      </c>
      <c r="G81" s="3">
        <f>'ACC II - MY2027'!G85</f>
        <v>6368.2027142087363</v>
      </c>
      <c r="H81" s="3">
        <f>'ACC II - MY2027'!H85</f>
        <v>209.38005003728108</v>
      </c>
      <c r="I81" s="3">
        <f>'ACC II - MY2027'!I85</f>
        <v>1280.990382713607</v>
      </c>
      <c r="J81" s="3">
        <f>'ACC II - MY2027'!J85</f>
        <v>4996181.3996377988</v>
      </c>
      <c r="K81" s="3">
        <f>C81+'ACC II - MY2027'!AD$85</f>
        <v>686.91105663171265</v>
      </c>
      <c r="L81" s="3">
        <f>F81+'ACC II - MY2027'!AE$85</f>
        <v>291.75433606480709</v>
      </c>
    </row>
    <row r="82" spans="1:18">
      <c r="A82">
        <v>2040</v>
      </c>
      <c r="B82" s="32" t="s">
        <v>109</v>
      </c>
      <c r="C82" s="3">
        <f>'ACC II - MY2027'!C90</f>
        <v>1726.3293047464406</v>
      </c>
      <c r="D82" s="3">
        <f>'ACC II - MY2027'!D90</f>
        <v>8120834.2419927372</v>
      </c>
      <c r="E82" s="3">
        <f>'ACC II - MY2027'!E90</f>
        <v>312107800.94217598</v>
      </c>
      <c r="F82" s="3">
        <f>'ACC II - MY2027'!F90</f>
        <v>413.9079270994992</v>
      </c>
      <c r="G82" s="3">
        <f>'ACC II - MY2027'!G90</f>
        <v>5939.2690718496879</v>
      </c>
      <c r="H82" s="3">
        <f>'ACC II - MY2027'!H90</f>
        <v>195.49869991362735</v>
      </c>
      <c r="I82" s="3">
        <f>'ACC II - MY2027'!I90</f>
        <v>1223.757101922452</v>
      </c>
      <c r="J82" s="3">
        <f>'ACC II - MY2027'!J90</f>
        <v>3872938.4605682781</v>
      </c>
      <c r="K82" s="3">
        <f>C82+'ACC II - MY2027'!AD$90</f>
        <v>372.55284226785398</v>
      </c>
      <c r="L82" s="3">
        <f>F82+'ACC II - MY2027'!AE$90</f>
        <v>260.7248953709186</v>
      </c>
      <c r="M82" s="3">
        <f>G82+'ACC II - MY2027'!AF90</f>
        <v>1290.7721906827483</v>
      </c>
      <c r="N82" s="3">
        <f>H82+'ACC II - MY2027'!AG90</f>
        <v>-380.83232871423093</v>
      </c>
    </row>
    <row r="83" spans="1:18">
      <c r="A83">
        <v>2041</v>
      </c>
      <c r="B83" s="32" t="s">
        <v>109</v>
      </c>
      <c r="C83" s="3">
        <f>'ACC II - MY2027'!C95</f>
        <v>1501.9328556938544</v>
      </c>
      <c r="D83" s="3">
        <f>'ACC II - MY2027'!D95</f>
        <v>6984965.2555380305</v>
      </c>
      <c r="E83" s="3">
        <f>'ACC II - MY2027'!E95</f>
        <v>312773724.65919727</v>
      </c>
      <c r="F83" s="3">
        <f>'ACC II - MY2027'!F95</f>
        <v>402.70651349658618</v>
      </c>
      <c r="G83" s="3">
        <f>'ACC II - MY2027'!G95</f>
        <v>5537.7553855413034</v>
      </c>
      <c r="H83" s="3">
        <f>'ACC II - MY2027'!H95</f>
        <v>177.77257211175541</v>
      </c>
      <c r="I83" s="3">
        <f>'ACC II - MY2027'!I95</f>
        <v>1130.0887317125605</v>
      </c>
      <c r="J83" s="3">
        <f>'ACC II - MY2027'!J95</f>
        <v>2367097.9666314553</v>
      </c>
      <c r="K83" s="3">
        <f>C83+'ACC II - MY2027'!AD$95</f>
        <v>-12.468050757018318</v>
      </c>
      <c r="L83" s="3">
        <f>F83+'ACC II - MY2027'!AE$95</f>
        <v>228.91540605632696</v>
      </c>
      <c r="M83" s="3"/>
      <c r="N83" s="3"/>
    </row>
    <row r="84" spans="1:18">
      <c r="A84">
        <v>2042</v>
      </c>
      <c r="B84" s="32" t="s">
        <v>109</v>
      </c>
      <c r="C84" s="3">
        <f>'ACC II - MY2027'!C100</f>
        <v>1284.9186632812023</v>
      </c>
      <c r="D84" s="3">
        <f>'ACC II - MY2027'!D100</f>
        <v>5938546.6645786092</v>
      </c>
      <c r="E84" s="3">
        <f>'ACC II - MY2027'!E100</f>
        <v>313439648.37621862</v>
      </c>
      <c r="F84" s="3">
        <f>'ACC II - MY2027'!F100</f>
        <v>391.97791925501201</v>
      </c>
      <c r="G84" s="3">
        <f>'ACC II - MY2027'!G100</f>
        <v>5131.155797555085</v>
      </c>
      <c r="H84" s="3">
        <f>'ACC II - MY2027'!H100</f>
        <v>161.31051031557962</v>
      </c>
      <c r="I84" s="3">
        <f>'ACC II - MY2027'!I100</f>
        <v>1039.6287399642663</v>
      </c>
      <c r="J84" s="3">
        <f>'ACC II - MY2027'!J100</f>
        <v>963303.03937801905</v>
      </c>
      <c r="K84" s="3">
        <f>C84+'ACC II - MY2027'!AD$100</f>
        <v>-401.62369868414589</v>
      </c>
      <c r="L84" s="3">
        <f>F84+'ACC II - MY2027'!AE$100</f>
        <v>195.90844737149831</v>
      </c>
      <c r="M84" s="3"/>
      <c r="N84" s="3"/>
    </row>
    <row r="85" spans="1:18">
      <c r="A85">
        <v>2043</v>
      </c>
      <c r="B85" s="32" t="s">
        <v>109</v>
      </c>
      <c r="C85" s="3">
        <f>'ACC II - MY2027'!C105</f>
        <v>1084.7381721717977</v>
      </c>
      <c r="D85" s="3">
        <f>'ACC II - MY2027'!D105</f>
        <v>4987587.0234886119</v>
      </c>
      <c r="E85" s="3">
        <f>'ACC II - MY2027'!E105</f>
        <v>314105572.0932399</v>
      </c>
      <c r="F85" s="3">
        <f>'ACC II - MY2027'!F105</f>
        <v>381.9416928806753</v>
      </c>
      <c r="G85" s="3">
        <f>'ACC II - MY2027'!G105</f>
        <v>4728.4842841528134</v>
      </c>
      <c r="H85" s="3">
        <f>'ACC II - MY2027'!H105</f>
        <v>146.17500653716942</v>
      </c>
      <c r="I85" s="3">
        <f>'ACC II - MY2027'!I105</f>
        <v>953.88464007861955</v>
      </c>
      <c r="J85" s="3">
        <f>'ACC II - MY2027'!J105</f>
        <v>-332999.0379943233</v>
      </c>
      <c r="K85" s="3">
        <f>C85+'ACC II - MY2027'!AD$105</f>
        <v>-782.35378764220809</v>
      </c>
      <c r="L85" s="3">
        <f>F85+'ACC II - MY2027'!AE$105</f>
        <v>162.27405664583256</v>
      </c>
      <c r="M85" s="3"/>
      <c r="N85" s="3"/>
    </row>
    <row r="86" spans="1:18">
      <c r="A86">
        <v>2044</v>
      </c>
      <c r="B86" s="32" t="s">
        <v>109</v>
      </c>
      <c r="C86" s="3">
        <f>'ACC II - MY2027'!C110</f>
        <v>892.23775092092308</v>
      </c>
      <c r="D86" s="3">
        <f>'ACC II - MY2027'!D110</f>
        <v>4130980.5654360848</v>
      </c>
      <c r="E86" s="3">
        <f>'ACC II - MY2027'!E110</f>
        <v>314771495.81026125</v>
      </c>
      <c r="F86" s="3">
        <f>'ACC II - MY2027'!F110</f>
        <v>372.69988089064748</v>
      </c>
      <c r="G86" s="3">
        <f>'ACC II - MY2027'!G110</f>
        <v>4332.6613731146299</v>
      </c>
      <c r="H86" s="3">
        <f>'ACC II - MY2027'!H110</f>
        <v>132.44945118359385</v>
      </c>
      <c r="I86" s="3">
        <f>'ACC II - MY2027'!I110</f>
        <v>873.52369235581546</v>
      </c>
      <c r="J86" s="3">
        <f>'ACC II - MY2027'!J110</f>
        <v>-1523286.5880077854</v>
      </c>
      <c r="K86" s="3">
        <f>C86+'ACC II - MY2027'!AD$110</f>
        <v>-1163.8403714463025</v>
      </c>
      <c r="L86" s="3">
        <f>F86+'ACC II - MY2027'!AE$110</f>
        <v>128.10977752135341</v>
      </c>
      <c r="M86" s="3"/>
      <c r="N86" s="3"/>
    </row>
    <row r="87" spans="1:18">
      <c r="A87">
        <v>2045</v>
      </c>
      <c r="B87" s="32" t="s">
        <v>109</v>
      </c>
      <c r="C87" s="3">
        <f>'ACC II - MY2027'!C115</f>
        <v>715.95522237697526</v>
      </c>
      <c r="D87" s="3">
        <f>'ACC II - MY2027'!D115</f>
        <v>3362573.6633085143</v>
      </c>
      <c r="E87" s="3">
        <f>'ACC II - MY2027'!E115</f>
        <v>315437419.52728254</v>
      </c>
      <c r="F87" s="3">
        <f>'ACC II - MY2027'!F115</f>
        <v>364.2653960030072</v>
      </c>
      <c r="G87" s="3">
        <f>'ACC II - MY2027'!G115</f>
        <v>3942.9358897786237</v>
      </c>
      <c r="H87" s="3">
        <f>'ACC II - MY2027'!H115</f>
        <v>119.98515563803643</v>
      </c>
      <c r="I87" s="3">
        <f>'ACC II - MY2027'!I115</f>
        <v>798.93142267602605</v>
      </c>
      <c r="J87" s="3">
        <f>'ACC II - MY2027'!J115</f>
        <v>-2615537.5444254819</v>
      </c>
      <c r="K87" s="3">
        <f>C87+'ACC II - MY2027'!AD$115</f>
        <v>-1537.5740433169735</v>
      </c>
      <c r="L87" s="3">
        <f>F87+'ACC II - MY2027'!AE$115</f>
        <v>93.424020866341948</v>
      </c>
      <c r="M87" s="3"/>
      <c r="N87" s="3"/>
    </row>
    <row r="88" spans="1:18">
      <c r="A88">
        <v>2046</v>
      </c>
      <c r="B88" s="32" t="s">
        <v>109</v>
      </c>
      <c r="C88" s="3">
        <f>'ACC II - MY2027'!C120</f>
        <v>552.89358426741933</v>
      </c>
      <c r="D88" s="3">
        <f>'ACC II - MY2027'!D120</f>
        <v>2681508.1477759001</v>
      </c>
      <c r="E88" s="3">
        <f>'ACC II - MY2027'!E120</f>
        <v>316103343.24430382</v>
      </c>
      <c r="F88" s="3">
        <f>'ACC II - MY2027'!F120</f>
        <v>356.55903970686904</v>
      </c>
      <c r="G88" s="3">
        <f>'ACC II - MY2027'!G120</f>
        <v>3541.7914877151238</v>
      </c>
      <c r="H88" s="3">
        <f>'ACC II - MY2027'!H120</f>
        <v>109.01361291052321</v>
      </c>
      <c r="I88" s="3">
        <f>'ACC II - MY2027'!I120</f>
        <v>730.80748317733048</v>
      </c>
      <c r="J88" s="3">
        <f>'ACC II - MY2027'!J120</f>
        <v>-3613651.7549080593</v>
      </c>
      <c r="K88" s="3">
        <f>C88+'ACC II - MY2027'!AD$120</f>
        <v>-1907.9486320428593</v>
      </c>
      <c r="L88" s="3">
        <f>F88+'ACC II - MY2027'!AE$120</f>
        <v>57.914320575979332</v>
      </c>
      <c r="M88" s="3"/>
      <c r="N88" s="3"/>
    </row>
    <row r="89" spans="1:18">
      <c r="A89">
        <v>2047</v>
      </c>
      <c r="B89" s="32" t="s">
        <v>109</v>
      </c>
      <c r="C89" s="3">
        <f>'ACC II - MY2027'!C125</f>
        <v>411.98784245837965</v>
      </c>
      <c r="D89" s="3">
        <f>'ACC II - MY2027'!D125</f>
        <v>2084355.009804277</v>
      </c>
      <c r="E89" s="3">
        <f>'ACC II - MY2027'!E125</f>
        <v>316769266.96132517</v>
      </c>
      <c r="F89" s="3">
        <f>'ACC II - MY2027'!F125</f>
        <v>349.69633146252016</v>
      </c>
      <c r="G89" s="3">
        <f>'ACC II - MY2027'!G125</f>
        <v>3154.8187316873168</v>
      </c>
      <c r="H89" s="3">
        <f>'ACC II - MY2027'!H125</f>
        <v>99.266722428399603</v>
      </c>
      <c r="I89" s="3">
        <f>'ACC II - MY2027'!I125</f>
        <v>669.47033136923642</v>
      </c>
      <c r="J89" s="3">
        <f>'ACC II - MY2027'!J125</f>
        <v>-4535595.8583258716</v>
      </c>
      <c r="K89" s="3">
        <f>C89+'ACC II - MY2027'!AD$125</f>
        <v>-2171.7757324346376</v>
      </c>
      <c r="L89" s="3">
        <f>F89+'ACC II - MY2027'!AE$125</f>
        <v>33.283293115340769</v>
      </c>
      <c r="M89" s="3"/>
      <c r="N89" s="3"/>
    </row>
    <row r="90" spans="1:18">
      <c r="A90">
        <v>2048</v>
      </c>
      <c r="B90" s="32" t="s">
        <v>109</v>
      </c>
      <c r="C90" s="3">
        <f>'ACC II - MY2027'!C130</f>
        <v>288.74996559884761</v>
      </c>
      <c r="D90" s="3">
        <f>'ACC II - MY2027'!D130</f>
        <v>1561207.3481070912</v>
      </c>
      <c r="E90" s="3">
        <f>'ACC II - MY2027'!E130</f>
        <v>317435190.67834646</v>
      </c>
      <c r="F90" s="3">
        <f>'ACC II - MY2027'!F130</f>
        <v>343.55812146718819</v>
      </c>
      <c r="G90" s="3">
        <f>'ACC II - MY2027'!G130</f>
        <v>2776.3750127870831</v>
      </c>
      <c r="H90" s="3">
        <f>'ACC II - MY2027'!H130</f>
        <v>90.622137615753445</v>
      </c>
      <c r="I90" s="3">
        <f>'ACC II - MY2027'!I130</f>
        <v>614.61436898801492</v>
      </c>
      <c r="J90" s="3">
        <f>'ACC II - MY2027'!J130</f>
        <v>-5366263.9657672569</v>
      </c>
      <c r="K90" s="3">
        <f>C90+'ACC II - MY2027'!AD$130</f>
        <v>-2433.2400947153774</v>
      </c>
      <c r="L90" s="3">
        <f>F90+'ACC II - MY2027'!AE$130</f>
        <v>7.3882933932804349</v>
      </c>
      <c r="M90" s="3"/>
      <c r="N90" s="3"/>
    </row>
    <row r="91" spans="1:18">
      <c r="A91">
        <v>2049</v>
      </c>
      <c r="B91" s="32" t="s">
        <v>109</v>
      </c>
      <c r="C91" s="3">
        <f>'ACC II - MY2027'!C135</f>
        <v>204.92641159107686</v>
      </c>
      <c r="D91" s="3">
        <f>'ACC II - MY2027'!D135</f>
        <v>1107835.6174488296</v>
      </c>
      <c r="E91" s="3">
        <f>'ACC II - MY2027'!E135</f>
        <v>318101114.3953678</v>
      </c>
      <c r="F91" s="3">
        <f>'ACC II - MY2027'!F135</f>
        <v>338.24665469236527</v>
      </c>
      <c r="G91" s="3">
        <f>'ACC II - MY2027'!G135</f>
        <v>2431.0915498746613</v>
      </c>
      <c r="H91" s="3">
        <f>'ACC II - MY2027'!H135</f>
        <v>83.057024002103631</v>
      </c>
      <c r="I91" s="3">
        <f>'ACC II - MY2027'!I135</f>
        <v>566.04393537380213</v>
      </c>
      <c r="J91" s="3">
        <f>'ACC II - MY2027'!J135</f>
        <v>-6114242.8308317028</v>
      </c>
      <c r="K91" s="3">
        <f>C91+'ACC II - MY2027'!AD$135</f>
        <v>-2651.9334197464273</v>
      </c>
      <c r="L91" s="3">
        <f>F91+'ACC II - MY2027'!AE$135</f>
        <v>-17.382104166958925</v>
      </c>
      <c r="M91" s="3"/>
      <c r="N91" s="3"/>
    </row>
    <row r="92" spans="1:18">
      <c r="A92">
        <v>2050</v>
      </c>
      <c r="B92" s="32" t="s">
        <v>109</v>
      </c>
      <c r="C92" s="3">
        <f>'ACC II - MY2027'!C140</f>
        <v>134.52031417617692</v>
      </c>
      <c r="D92" s="3">
        <f>'ACC II - MY2027'!D140</f>
        <v>719528.46758725168</v>
      </c>
      <c r="E92" s="3">
        <f>'ACC II - MY2027'!E140</f>
        <v>318767038.11238909</v>
      </c>
      <c r="F92" s="3">
        <f>'ACC II - MY2027'!F140</f>
        <v>333.54848993369671</v>
      </c>
      <c r="G92" s="3">
        <f>'ACC II - MY2027'!G140</f>
        <v>2105.2685814635984</v>
      </c>
      <c r="H92" s="3">
        <f>'ACC II - MY2027'!H140</f>
        <v>76.492085832793023</v>
      </c>
      <c r="I92" s="3">
        <f>'ACC II - MY2027'!I140</f>
        <v>523.5738654664076</v>
      </c>
      <c r="J92" s="3">
        <f>'ACC II - MY2027'!J140</f>
        <v>-6784483.4572275598</v>
      </c>
      <c r="K92" s="3">
        <f>C92+'ACC II - MY2027'!AD$140</f>
        <v>-2853.679046125676</v>
      </c>
      <c r="L92" s="3">
        <f>F92+'ACC II - MY2027'!AE$140</f>
        <v>-41.200386904025265</v>
      </c>
      <c r="M92" s="3">
        <f>G92+'ACC II - MY2027'!AF140</f>
        <v>-5400.8229225982304</v>
      </c>
      <c r="N92" s="3">
        <f>H92+'ACC II - MY2027'!AG140</f>
        <v>-1043.755447543612</v>
      </c>
    </row>
    <row r="93" spans="1:18">
      <c r="C93" s="3"/>
      <c r="D93" s="3"/>
      <c r="E93" s="3"/>
      <c r="F93" s="3"/>
      <c r="G93" s="3"/>
      <c r="H93" s="3"/>
      <c r="I93" s="3"/>
      <c r="J93" s="3"/>
    </row>
    <row r="94" spans="1:18" s="2" customFormat="1" hidden="1">
      <c r="A94" s="4" t="s">
        <v>112</v>
      </c>
      <c r="J94"/>
      <c r="K94"/>
      <c r="L94"/>
      <c r="M94"/>
      <c r="N94"/>
      <c r="P94"/>
      <c r="Q94"/>
      <c r="R94"/>
    </row>
    <row r="95" spans="1:18" hidden="1">
      <c r="A95" s="2" t="s">
        <v>19</v>
      </c>
      <c r="B95" s="2" t="s">
        <v>20</v>
      </c>
      <c r="C95" s="2" t="s">
        <v>2</v>
      </c>
      <c r="D95" s="2" t="s">
        <v>47</v>
      </c>
      <c r="E95" s="2" t="s">
        <v>22</v>
      </c>
      <c r="F95" s="2" t="s">
        <v>24</v>
      </c>
      <c r="G95" s="2" t="s">
        <v>115</v>
      </c>
      <c r="H95" s="2" t="s">
        <v>116</v>
      </c>
      <c r="I95" s="2" t="s">
        <v>117</v>
      </c>
      <c r="J95" s="2" t="s">
        <v>52</v>
      </c>
      <c r="K95" s="2" t="s">
        <v>466</v>
      </c>
      <c r="L95" s="2" t="s">
        <v>465</v>
      </c>
      <c r="M95" s="2" t="s">
        <v>494</v>
      </c>
      <c r="N95" s="2" t="s">
        <v>495</v>
      </c>
      <c r="P95" s="2"/>
      <c r="Q95" s="2"/>
      <c r="R95" s="2"/>
    </row>
    <row r="96" spans="1:18" hidden="1">
      <c r="A96">
        <v>2026</v>
      </c>
      <c r="B96" s="32" t="s">
        <v>109</v>
      </c>
      <c r="C96" s="3">
        <f t="shared" ref="C96:L96" si="11">C48-C18</f>
        <v>-51.565572421588513</v>
      </c>
      <c r="D96" s="3">
        <f t="shared" si="11"/>
        <v>-349352.20125785843</v>
      </c>
      <c r="E96" s="3">
        <f t="shared" si="11"/>
        <v>0</v>
      </c>
      <c r="F96" s="3">
        <f t="shared" si="11"/>
        <v>-2.8133831686400299</v>
      </c>
      <c r="G96" s="3">
        <f t="shared" si="11"/>
        <v>-38.216665538278903</v>
      </c>
      <c r="H96" s="3">
        <f t="shared" si="11"/>
        <v>-7.2966906061084842</v>
      </c>
      <c r="I96" s="3">
        <f t="shared" si="11"/>
        <v>-34.373767366088032</v>
      </c>
      <c r="J96" s="3">
        <f t="shared" si="11"/>
        <v>-417053.67546424642</v>
      </c>
      <c r="K96" s="3">
        <f t="shared" si="11"/>
        <v>-55.53320580347463</v>
      </c>
      <c r="L96" s="3">
        <f t="shared" si="11"/>
        <v>-2.7470411003736217</v>
      </c>
      <c r="M96" s="117"/>
      <c r="N96" s="2"/>
    </row>
    <row r="97" spans="1:14" hidden="1">
      <c r="A97">
        <v>2027</v>
      </c>
      <c r="B97" s="32" t="s">
        <v>109</v>
      </c>
      <c r="C97" s="3">
        <f t="shared" ref="C97:I110" si="12">C49-C19</f>
        <v>-122.53594470247208</v>
      </c>
      <c r="D97" s="3">
        <f t="shared" si="12"/>
        <v>-901803.53371445462</v>
      </c>
      <c r="E97" s="3">
        <f t="shared" si="12"/>
        <v>0</v>
      </c>
      <c r="F97" s="3">
        <f t="shared" si="12"/>
        <v>-7.1081313418055743</v>
      </c>
      <c r="G97" s="3">
        <f t="shared" si="12"/>
        <v>-102.92079275314609</v>
      </c>
      <c r="H97" s="3">
        <f t="shared" si="12"/>
        <v>-16.910414442839055</v>
      </c>
      <c r="I97" s="3">
        <f t="shared" si="12"/>
        <v>-80.385021765036981</v>
      </c>
      <c r="J97" s="3">
        <f t="shared" ref="J97:L97" si="13">J49-J19</f>
        <v>-1084752.4853622392</v>
      </c>
      <c r="K97" s="3">
        <f t="shared" si="13"/>
        <v>-136.99799357777192</v>
      </c>
      <c r="L97" s="3">
        <f t="shared" si="13"/>
        <v>-7.6070057329820884</v>
      </c>
    </row>
    <row r="98" spans="1:14" hidden="1">
      <c r="A98">
        <v>2028</v>
      </c>
      <c r="B98" s="32" t="s">
        <v>109</v>
      </c>
      <c r="C98" s="3">
        <f t="shared" si="12"/>
        <v>-196.87916394529202</v>
      </c>
      <c r="D98" s="3">
        <f t="shared" si="12"/>
        <v>-1571448.2998733073</v>
      </c>
      <c r="E98" s="3">
        <f t="shared" si="12"/>
        <v>0</v>
      </c>
      <c r="F98" s="3">
        <f t="shared" si="12"/>
        <v>-12.306855808769228</v>
      </c>
      <c r="G98" s="3">
        <f t="shared" si="12"/>
        <v>-184.56752907202463</v>
      </c>
      <c r="H98" s="3">
        <f t="shared" si="12"/>
        <v>-28.414921686679804</v>
      </c>
      <c r="I98" s="3">
        <f t="shared" si="12"/>
        <v>-137.02585024356358</v>
      </c>
      <c r="J98" s="3">
        <f t="shared" ref="J98:L98" si="14">J50-J20</f>
        <v>-1898586.8824993782</v>
      </c>
      <c r="K98" s="3">
        <f t="shared" si="14"/>
        <v>-231.35187279403999</v>
      </c>
      <c r="L98" s="3">
        <f t="shared" si="14"/>
        <v>-14.482422217807652</v>
      </c>
    </row>
    <row r="99" spans="1:14" hidden="1">
      <c r="A99">
        <v>2029</v>
      </c>
      <c r="B99" s="32" t="s">
        <v>109</v>
      </c>
      <c r="C99" s="3">
        <f t="shared" si="12"/>
        <v>-277.3501771350675</v>
      </c>
      <c r="D99" s="3">
        <f t="shared" si="12"/>
        <v>-2323783.0833648145</v>
      </c>
      <c r="E99" s="3">
        <f t="shared" si="12"/>
        <v>0</v>
      </c>
      <c r="F99" s="3">
        <f t="shared" si="12"/>
        <v>-18.399769637516215</v>
      </c>
      <c r="G99" s="3">
        <f t="shared" si="12"/>
        <v>-293.48390818618827</v>
      </c>
      <c r="H99" s="3">
        <f t="shared" si="12"/>
        <v>-42.058538079938785</v>
      </c>
      <c r="I99" s="3">
        <f t="shared" si="12"/>
        <v>-206.63707497016526</v>
      </c>
      <c r="J99" s="3">
        <f t="shared" ref="J99:L99" si="15">J51-J21</f>
        <v>-2820620.4112288915</v>
      </c>
      <c r="K99" s="3">
        <f t="shared" si="15"/>
        <v>-344.54280620449663</v>
      </c>
      <c r="L99" s="3">
        <f t="shared" si="15"/>
        <v>-23.875616278828716</v>
      </c>
    </row>
    <row r="100" spans="1:14" hidden="1">
      <c r="A100">
        <v>2030</v>
      </c>
      <c r="B100" s="32" t="s">
        <v>109</v>
      </c>
      <c r="C100" s="3">
        <f t="shared" si="12"/>
        <v>-348.47473762704158</v>
      </c>
      <c r="D100" s="3">
        <f t="shared" si="12"/>
        <v>-3150829.8066505082</v>
      </c>
      <c r="E100" s="3">
        <f t="shared" si="12"/>
        <v>0</v>
      </c>
      <c r="F100" s="3">
        <f t="shared" si="12"/>
        <v>-25.087111263733277</v>
      </c>
      <c r="G100" s="3">
        <f t="shared" si="12"/>
        <v>-413.78751097833265</v>
      </c>
      <c r="H100" s="3">
        <f t="shared" si="12"/>
        <v>-56.97390041120957</v>
      </c>
      <c r="I100" s="3">
        <f t="shared" si="12"/>
        <v>-285.21227333137426</v>
      </c>
      <c r="J100" s="3">
        <f t="shared" ref="J100:L100" si="16">J52-J22</f>
        <v>-3845855.5849221162</v>
      </c>
      <c r="K100" s="3">
        <f t="shared" si="16"/>
        <v>-465.18605912847579</v>
      </c>
      <c r="L100" s="3">
        <f t="shared" si="16"/>
        <v>-36.090460380627405</v>
      </c>
    </row>
    <row r="101" spans="1:14" hidden="1">
      <c r="A101">
        <v>2031</v>
      </c>
      <c r="B101" s="32" t="s">
        <v>109</v>
      </c>
      <c r="C101" s="3">
        <f t="shared" si="12"/>
        <v>-446.33773265961645</v>
      </c>
      <c r="D101" s="3">
        <f t="shared" si="12"/>
        <v>-4104244.370633129</v>
      </c>
      <c r="E101" s="3">
        <f t="shared" si="12"/>
        <v>0</v>
      </c>
      <c r="F101" s="3">
        <f t="shared" si="12"/>
        <v>-32.580610476094307</v>
      </c>
      <c r="G101" s="3">
        <f t="shared" si="12"/>
        <v>-558.57849321835602</v>
      </c>
      <c r="H101" s="3">
        <f t="shared" si="12"/>
        <v>-72.938203805393016</v>
      </c>
      <c r="I101" s="3">
        <f t="shared" si="12"/>
        <v>-372.01091289624878</v>
      </c>
      <c r="J101" s="3">
        <f t="shared" ref="J101:L101" si="17">J53-J23</f>
        <v>-5015432.4440721683</v>
      </c>
      <c r="K101" s="3">
        <f t="shared" si="17"/>
        <v>-613.88860855896019</v>
      </c>
      <c r="L101" s="3">
        <f t="shared" si="17"/>
        <v>-48.961020559750978</v>
      </c>
    </row>
    <row r="102" spans="1:14" hidden="1">
      <c r="A102">
        <v>2032</v>
      </c>
      <c r="B102" s="32" t="s">
        <v>109</v>
      </c>
      <c r="C102" s="3">
        <f t="shared" si="12"/>
        <v>-541.40071858172223</v>
      </c>
      <c r="D102" s="3">
        <f t="shared" si="12"/>
        <v>-5083174.1269504838</v>
      </c>
      <c r="E102" s="3">
        <f t="shared" si="12"/>
        <v>0</v>
      </c>
      <c r="F102" s="3">
        <f t="shared" si="12"/>
        <v>-40.123990491305676</v>
      </c>
      <c r="G102" s="3">
        <f t="shared" si="12"/>
        <v>-710.20329350744578</v>
      </c>
      <c r="H102" s="3">
        <f t="shared" si="12"/>
        <v>-88.720951248697304</v>
      </c>
      <c r="I102" s="3">
        <f t="shared" si="12"/>
        <v>-461.23507613809807</v>
      </c>
      <c r="J102" s="3">
        <f t="shared" ref="J102:L102" si="18">J54-J24</f>
        <v>-6220851.3706740346</v>
      </c>
      <c r="K102" s="3">
        <f t="shared" si="18"/>
        <v>-769.48535177464555</v>
      </c>
      <c r="L102" s="3">
        <f t="shared" si="18"/>
        <v>-63.148635172366312</v>
      </c>
    </row>
    <row r="103" spans="1:14" hidden="1">
      <c r="A103">
        <v>2033</v>
      </c>
      <c r="B103" s="32" t="s">
        <v>109</v>
      </c>
      <c r="C103" s="3">
        <f t="shared" si="12"/>
        <v>-626.12322737289014</v>
      </c>
      <c r="D103" s="3">
        <f t="shared" si="12"/>
        <v>-6042835.5654386021</v>
      </c>
      <c r="E103" s="3">
        <f t="shared" si="12"/>
        <v>0</v>
      </c>
      <c r="F103" s="3">
        <f t="shared" si="12"/>
        <v>-47.579638859653187</v>
      </c>
      <c r="G103" s="3">
        <f t="shared" si="12"/>
        <v>-864.08958066231753</v>
      </c>
      <c r="H103" s="3">
        <f t="shared" si="12"/>
        <v>-103.85301146075</v>
      </c>
      <c r="I103" s="3">
        <f t="shared" si="12"/>
        <v>-550.07085199101311</v>
      </c>
      <c r="J103" s="3">
        <f t="shared" ref="J103:L103" si="19">J55-J25</f>
        <v>-7406271.2225655485</v>
      </c>
      <c r="K103" s="3">
        <f t="shared" si="19"/>
        <v>-925.24331485829043</v>
      </c>
      <c r="L103" s="3">
        <f t="shared" si="19"/>
        <v>-78.648312793311788</v>
      </c>
    </row>
    <row r="104" spans="1:14" hidden="1">
      <c r="A104">
        <v>2034</v>
      </c>
      <c r="B104" s="32" t="s">
        <v>109</v>
      </c>
      <c r="C104" s="3">
        <f t="shared" si="12"/>
        <v>-697.17637842878503</v>
      </c>
      <c r="D104" s="3">
        <f t="shared" si="12"/>
        <v>-7034649.7808049601</v>
      </c>
      <c r="E104" s="3">
        <f t="shared" si="12"/>
        <v>0</v>
      </c>
      <c r="F104" s="3">
        <f t="shared" si="12"/>
        <v>-54.800559155283963</v>
      </c>
      <c r="G104" s="3">
        <f t="shared" si="12"/>
        <v>-1025.1766307922626</v>
      </c>
      <c r="H104" s="3">
        <f t="shared" si="12"/>
        <v>-118.54691532662633</v>
      </c>
      <c r="I104" s="3">
        <f t="shared" si="12"/>
        <v>-639.41523595872013</v>
      </c>
      <c r="J104" s="3">
        <f t="shared" ref="J104:L104" si="20">J56-J26</f>
        <v>-8639542.8297501504</v>
      </c>
      <c r="K104" s="3">
        <f t="shared" si="20"/>
        <v>-1078.5449557686316</v>
      </c>
      <c r="L104" s="3">
        <f t="shared" si="20"/>
        <v>-95.430503346527246</v>
      </c>
    </row>
    <row r="105" spans="1:14" hidden="1">
      <c r="A105">
        <v>2035</v>
      </c>
      <c r="B105" s="32" t="s">
        <v>109</v>
      </c>
      <c r="C105" s="3">
        <f t="shared" si="12"/>
        <v>-746.76399300438379</v>
      </c>
      <c r="D105" s="3">
        <f t="shared" si="12"/>
        <v>-8000556.6839229558</v>
      </c>
      <c r="E105" s="3">
        <f t="shared" si="12"/>
        <v>0</v>
      </c>
      <c r="F105" s="3">
        <f t="shared" si="12"/>
        <v>-61.285277147431259</v>
      </c>
      <c r="G105" s="3">
        <f t="shared" si="12"/>
        <v>-1163.3832291544841</v>
      </c>
      <c r="H105" s="3">
        <f t="shared" si="12"/>
        <v>-132.37871387099324</v>
      </c>
      <c r="I105" s="3">
        <f t="shared" si="12"/>
        <v>-726.33553796651336</v>
      </c>
      <c r="J105" s="3">
        <f t="shared" ref="J105:L105" si="21">J57-J27</f>
        <v>-9846842.2959738858</v>
      </c>
      <c r="K105" s="3">
        <f t="shared" si="21"/>
        <v>-1221.9347028092284</v>
      </c>
      <c r="L105" s="3">
        <f t="shared" si="21"/>
        <v>-113.05252433467797</v>
      </c>
      <c r="M105" s="3"/>
    </row>
    <row r="106" spans="1:14" hidden="1">
      <c r="A106">
        <v>2036</v>
      </c>
      <c r="B106" s="32" t="s">
        <v>109</v>
      </c>
      <c r="C106" s="3">
        <f t="shared" si="12"/>
        <v>-861.50111160477991</v>
      </c>
      <c r="D106" s="3">
        <f t="shared" si="12"/>
        <v>-8916570.2122355942</v>
      </c>
      <c r="E106" s="3">
        <f t="shared" si="12"/>
        <v>0</v>
      </c>
      <c r="F106" s="3">
        <f t="shared" si="12"/>
        <v>-67.725760469272643</v>
      </c>
      <c r="G106" s="3">
        <f t="shared" si="12"/>
        <v>-1317.4582315703001</v>
      </c>
      <c r="H106" s="3">
        <f t="shared" si="12"/>
        <v>-144.71676651585142</v>
      </c>
      <c r="I106" s="3">
        <f t="shared" si="12"/>
        <v>-818.06406757520335</v>
      </c>
      <c r="J106" s="3">
        <f t="shared" ref="J106:L106" si="22">J58-J28</f>
        <v>-10970256.984384563</v>
      </c>
      <c r="K106" s="3">
        <f t="shared" si="22"/>
        <v>-1424.8404720815111</v>
      </c>
      <c r="L106" s="3">
        <f t="shared" si="22"/>
        <v>-129.58583102723935</v>
      </c>
    </row>
    <row r="107" spans="1:14" hidden="1">
      <c r="A107">
        <v>2037</v>
      </c>
      <c r="B107" s="32" t="s">
        <v>109</v>
      </c>
      <c r="C107" s="3">
        <f t="shared" si="12"/>
        <v>-968.59741917501287</v>
      </c>
      <c r="D107" s="3">
        <f t="shared" si="12"/>
        <v>-9670036.166111283</v>
      </c>
      <c r="E107" s="3">
        <f t="shared" si="12"/>
        <v>0</v>
      </c>
      <c r="F107" s="3">
        <f t="shared" si="12"/>
        <v>-72.836859906728307</v>
      </c>
      <c r="G107" s="3">
        <f t="shared" si="12"/>
        <v>-1450.4249408730539</v>
      </c>
      <c r="H107" s="3">
        <f t="shared" si="12"/>
        <v>-154.76505365305388</v>
      </c>
      <c r="I107" s="3">
        <f t="shared" si="12"/>
        <v>-899.72635938608073</v>
      </c>
      <c r="J107" s="3">
        <f t="shared" ref="J107:L107" si="23">J59-J29</f>
        <v>-11890002.148768716</v>
      </c>
      <c r="K107" s="3">
        <f t="shared" si="23"/>
        <v>-1622.9748249822942</v>
      </c>
      <c r="L107" s="3">
        <f t="shared" si="23"/>
        <v>-145.24642433682413</v>
      </c>
    </row>
    <row r="108" spans="1:14" hidden="1">
      <c r="A108">
        <v>2038</v>
      </c>
      <c r="B108" s="32" t="s">
        <v>109</v>
      </c>
      <c r="C108" s="3">
        <f t="shared" si="12"/>
        <v>-1067.4001563953359</v>
      </c>
      <c r="D108" s="3">
        <f t="shared" si="12"/>
        <v>-10292444.947454561</v>
      </c>
      <c r="E108" s="3">
        <f t="shared" si="12"/>
        <v>0</v>
      </c>
      <c r="F108" s="3">
        <f t="shared" si="12"/>
        <v>-77.098402142248574</v>
      </c>
      <c r="G108" s="3">
        <f t="shared" si="12"/>
        <v>-1579.8035465669172</v>
      </c>
      <c r="H108" s="3">
        <f t="shared" si="12"/>
        <v>-163.09049630465049</v>
      </c>
      <c r="I108" s="3">
        <f t="shared" si="12"/>
        <v>-973.43107269755592</v>
      </c>
      <c r="J108" s="3">
        <f t="shared" ref="J108:L108" si="24">J60-J30</f>
        <v>-12646681.191485289</v>
      </c>
      <c r="K108" s="3">
        <f t="shared" si="24"/>
        <v>-1815.7154136854924</v>
      </c>
      <c r="L108" s="3">
        <f t="shared" si="24"/>
        <v>-160.51891465732746</v>
      </c>
    </row>
    <row r="109" spans="1:14" hidden="1">
      <c r="A109">
        <v>2039</v>
      </c>
      <c r="B109" s="32" t="s">
        <v>109</v>
      </c>
      <c r="C109" s="3">
        <f t="shared" si="12"/>
        <v>-1157.5814787129264</v>
      </c>
      <c r="D109" s="3">
        <f t="shared" si="12"/>
        <v>-10793419.550690854</v>
      </c>
      <c r="E109" s="3">
        <f t="shared" si="12"/>
        <v>0</v>
      </c>
      <c r="F109" s="3">
        <f t="shared" si="12"/>
        <v>-80.156436420199498</v>
      </c>
      <c r="G109" s="3">
        <f t="shared" si="12"/>
        <v>-1704.4576919714</v>
      </c>
      <c r="H109" s="3">
        <f t="shared" si="12"/>
        <v>-169.88304390318427</v>
      </c>
      <c r="I109" s="3">
        <f t="shared" si="12"/>
        <v>-1039.3470886426119</v>
      </c>
      <c r="J109" s="3">
        <f t="shared" ref="J109:L109" si="25">J61-J31</f>
        <v>-13252717.335299352</v>
      </c>
      <c r="K109" s="3">
        <f t="shared" si="25"/>
        <v>-2002.7524142521536</v>
      </c>
      <c r="L109" s="3">
        <f t="shared" si="25"/>
        <v>-175.05217309784342</v>
      </c>
    </row>
    <row r="110" spans="1:14" hidden="1">
      <c r="A110">
        <v>2040</v>
      </c>
      <c r="B110" s="32" t="s">
        <v>109</v>
      </c>
      <c r="C110" s="3">
        <f t="shared" si="12"/>
        <v>-1261.7652912133876</v>
      </c>
      <c r="D110" s="3">
        <f t="shared" si="12"/>
        <v>-11437525.218958382</v>
      </c>
      <c r="E110" s="3">
        <f t="shared" si="12"/>
        <v>0</v>
      </c>
      <c r="F110" s="3">
        <f t="shared" si="12"/>
        <v>-84.089855378170114</v>
      </c>
      <c r="G110" s="3">
        <f t="shared" si="12"/>
        <v>-1869.3334436937457</v>
      </c>
      <c r="H110" s="3">
        <f t="shared" si="12"/>
        <v>-179.24575575019631</v>
      </c>
      <c r="I110" s="3">
        <f t="shared" si="12"/>
        <v>-1122.0190552963866</v>
      </c>
      <c r="J110" s="3">
        <f t="shared" ref="J110:N110" si="26">J62-J32</f>
        <v>-14042285.557211917</v>
      </c>
      <c r="K110" s="3">
        <f t="shared" si="26"/>
        <v>-2216.050518262793</v>
      </c>
      <c r="L110" s="3">
        <f t="shared" si="26"/>
        <v>-191.9850265144446</v>
      </c>
      <c r="M110" s="3">
        <f t="shared" si="26"/>
        <v>-5152.4401092712023</v>
      </c>
      <c r="N110" s="3">
        <f t="shared" si="26"/>
        <v>-585.85530725995295</v>
      </c>
    </row>
    <row r="111" spans="1:14" hidden="1">
      <c r="C111" s="3"/>
      <c r="D111" s="3"/>
      <c r="E111" s="3"/>
      <c r="F111" s="3"/>
      <c r="G111" s="3"/>
      <c r="H111" s="3"/>
      <c r="I111" s="3"/>
      <c r="J111" s="3"/>
    </row>
    <row r="112" spans="1:14">
      <c r="A112" s="4" t="s">
        <v>148</v>
      </c>
      <c r="B112" s="2"/>
      <c r="C112" s="2"/>
      <c r="D112" s="2"/>
      <c r="E112" s="2"/>
      <c r="F112" s="2"/>
      <c r="G112" s="2"/>
      <c r="H112" s="2"/>
      <c r="I112" s="2"/>
    </row>
    <row r="113" spans="1:19">
      <c r="A113" s="2" t="s">
        <v>19</v>
      </c>
      <c r="B113" s="2" t="s">
        <v>20</v>
      </c>
      <c r="C113" s="2" t="s">
        <v>2</v>
      </c>
      <c r="D113" s="2" t="s">
        <v>47</v>
      </c>
      <c r="E113" s="2" t="s">
        <v>22</v>
      </c>
      <c r="F113" s="2" t="s">
        <v>24</v>
      </c>
      <c r="G113" s="2" t="s">
        <v>115</v>
      </c>
      <c r="H113" s="2" t="s">
        <v>116</v>
      </c>
      <c r="I113" s="2" t="s">
        <v>117</v>
      </c>
      <c r="J113" s="2" t="s">
        <v>52</v>
      </c>
      <c r="K113" s="2" t="s">
        <v>466</v>
      </c>
      <c r="L113" s="2" t="s">
        <v>465</v>
      </c>
      <c r="M113" s="2" t="s">
        <v>494</v>
      </c>
      <c r="N113" s="2" t="s">
        <v>495</v>
      </c>
    </row>
    <row r="114" spans="1:19">
      <c r="A114">
        <v>2026</v>
      </c>
      <c r="B114" s="32" t="s">
        <v>109</v>
      </c>
      <c r="C114" s="3">
        <f t="shared" ref="C114:J114" si="27">C68-C18</f>
        <v>0</v>
      </c>
      <c r="D114" s="3">
        <f t="shared" si="27"/>
        <v>0</v>
      </c>
      <c r="E114" s="3">
        <f t="shared" si="27"/>
        <v>0</v>
      </c>
      <c r="F114" s="3">
        <f t="shared" si="27"/>
        <v>0</v>
      </c>
      <c r="G114" s="3">
        <f t="shared" si="27"/>
        <v>0</v>
      </c>
      <c r="H114" s="3">
        <f t="shared" si="27"/>
        <v>0</v>
      </c>
      <c r="I114" s="3">
        <f t="shared" si="27"/>
        <v>0</v>
      </c>
      <c r="J114" s="3">
        <f t="shared" si="27"/>
        <v>0</v>
      </c>
      <c r="K114" s="3">
        <f t="shared" ref="K114:L114" si="28">K68-K18</f>
        <v>0</v>
      </c>
      <c r="L114" s="3">
        <f t="shared" si="28"/>
        <v>0</v>
      </c>
      <c r="M114" s="2"/>
    </row>
    <row r="115" spans="1:19">
      <c r="A115">
        <v>2027</v>
      </c>
      <c r="B115" s="32" t="s">
        <v>109</v>
      </c>
      <c r="C115" s="3">
        <f t="shared" ref="C115:I128" si="29">C69-C19</f>
        <v>-113.65678033483073</v>
      </c>
      <c r="D115" s="3">
        <f t="shared" si="29"/>
        <v>-836457.3055312708</v>
      </c>
      <c r="E115" s="3">
        <f t="shared" si="29"/>
        <v>0</v>
      </c>
      <c r="F115" s="3">
        <f t="shared" si="29"/>
        <v>-6.5930639737454158</v>
      </c>
      <c r="G115" s="3">
        <f t="shared" si="29"/>
        <v>-95.462975882170213</v>
      </c>
      <c r="H115" s="3">
        <f t="shared" si="29"/>
        <v>-15.685056857132565</v>
      </c>
      <c r="I115" s="3">
        <f t="shared" si="29"/>
        <v>-74.56018544716153</v>
      </c>
      <c r="J115" s="3">
        <f t="shared" ref="J115:L115" si="30">J69-J19</f>
        <v>-1030073.7887182198</v>
      </c>
      <c r="K115" s="3">
        <f t="shared" si="30"/>
        <v>-122.54298466829459</v>
      </c>
      <c r="L115" s="3">
        <f t="shared" si="30"/>
        <v>-6.8996200238146912</v>
      </c>
    </row>
    <row r="116" spans="1:19">
      <c r="A116">
        <v>2028</v>
      </c>
      <c r="B116" s="32" t="s">
        <v>109</v>
      </c>
      <c r="C116" s="3">
        <f t="shared" si="29"/>
        <v>-183.03312765333249</v>
      </c>
      <c r="D116" s="3">
        <f t="shared" si="29"/>
        <v>-1460932.1347547323</v>
      </c>
      <c r="E116" s="3">
        <f t="shared" si="29"/>
        <v>0</v>
      </c>
      <c r="F116" s="3">
        <f t="shared" si="29"/>
        <v>-11.441344351114481</v>
      </c>
      <c r="G116" s="3">
        <f t="shared" si="29"/>
        <v>-171.58734033778819</v>
      </c>
      <c r="H116" s="3">
        <f t="shared" si="29"/>
        <v>-26.416568844139817</v>
      </c>
      <c r="I116" s="3">
        <f t="shared" si="29"/>
        <v>-127.38915300557528</v>
      </c>
      <c r="J116" s="3">
        <f t="shared" ref="J116:L116" si="31">J70-J20</f>
        <v>-1782378.518901173</v>
      </c>
      <c r="K116" s="3">
        <f t="shared" si="31"/>
        <v>-210.29113734690964</v>
      </c>
      <c r="L116" s="3">
        <f t="shared" si="31"/>
        <v>-13.161095407480957</v>
      </c>
    </row>
    <row r="117" spans="1:19">
      <c r="A117">
        <v>2029</v>
      </c>
      <c r="B117" s="32" t="s">
        <v>109</v>
      </c>
      <c r="C117" s="3">
        <f t="shared" si="29"/>
        <v>-258.44570586641385</v>
      </c>
      <c r="D117" s="3">
        <f t="shared" si="29"/>
        <v>-2165391.6556475759</v>
      </c>
      <c r="E117" s="3">
        <f t="shared" si="29"/>
        <v>0</v>
      </c>
      <c r="F117" s="3">
        <f t="shared" si="29"/>
        <v>-17.145622551492011</v>
      </c>
      <c r="G117" s="3">
        <f t="shared" si="29"/>
        <v>-273.47974533535307</v>
      </c>
      <c r="H117" s="3">
        <f t="shared" si="29"/>
        <v>-39.191785179519513</v>
      </c>
      <c r="I117" s="3">
        <f t="shared" si="29"/>
        <v>-192.55248094840044</v>
      </c>
      <c r="J117" s="3">
        <f t="shared" ref="J117:L117" si="32">J71-J21</f>
        <v>-2639332.5252527595</v>
      </c>
      <c r="K117" s="3">
        <f t="shared" si="32"/>
        <v>-316.74957829421055</v>
      </c>
      <c r="L117" s="3">
        <f t="shared" si="32"/>
        <v>-21.896598141901791</v>
      </c>
    </row>
    <row r="118" spans="1:19">
      <c r="A118">
        <v>2030</v>
      </c>
      <c r="B118" s="32" t="s">
        <v>109</v>
      </c>
      <c r="C118" s="3">
        <f t="shared" si="29"/>
        <v>-325.58191168354369</v>
      </c>
      <c r="D118" s="3">
        <f t="shared" si="29"/>
        <v>-2943838.0492783152</v>
      </c>
      <c r="E118" s="3">
        <f t="shared" si="29"/>
        <v>0</v>
      </c>
      <c r="F118" s="3">
        <f t="shared" si="29"/>
        <v>-23.439029467340674</v>
      </c>
      <c r="G118" s="3">
        <f t="shared" si="29"/>
        <v>-386.60400398748061</v>
      </c>
      <c r="H118" s="3">
        <f t="shared" si="29"/>
        <v>-53.231036310593083</v>
      </c>
      <c r="I118" s="3">
        <f t="shared" si="29"/>
        <v>-266.4754346876714</v>
      </c>
      <c r="J118" s="3">
        <f t="shared" ref="J118:L118" si="33">J72-J22</f>
        <v>-3598486.0643856078</v>
      </c>
      <c r="K118" s="3">
        <f t="shared" si="33"/>
        <v>-431.69415458820822</v>
      </c>
      <c r="L118" s="3">
        <f t="shared" si="33"/>
        <v>-33.442724950145589</v>
      </c>
    </row>
    <row r="119" spans="1:19">
      <c r="A119">
        <v>2031</v>
      </c>
      <c r="B119" s="32" t="s">
        <v>109</v>
      </c>
      <c r="C119" s="3">
        <f t="shared" si="29"/>
        <v>-418.26815652793266</v>
      </c>
      <c r="D119" s="3">
        <f t="shared" si="29"/>
        <v>-3846133.9950257428</v>
      </c>
      <c r="E119" s="3">
        <f t="shared" si="29"/>
        <v>0</v>
      </c>
      <c r="F119" s="3">
        <f t="shared" si="29"/>
        <v>-30.531659963382594</v>
      </c>
      <c r="G119" s="3">
        <f t="shared" si="29"/>
        <v>-523.45024751193341</v>
      </c>
      <c r="H119" s="3">
        <f t="shared" si="29"/>
        <v>-68.35121885024671</v>
      </c>
      <c r="I119" s="3">
        <f t="shared" si="29"/>
        <v>-348.61564989857175</v>
      </c>
      <c r="J119" s="3">
        <f t="shared" ref="J119:L119" si="34">J73-J23</f>
        <v>-4700920.3191381954</v>
      </c>
      <c r="K119" s="3">
        <f t="shared" si="34"/>
        <v>-574.70748577871473</v>
      </c>
      <c r="L119" s="3">
        <f t="shared" si="34"/>
        <v>-45.825395279093641</v>
      </c>
    </row>
    <row r="120" spans="1:19">
      <c r="A120">
        <v>2032</v>
      </c>
      <c r="B120" s="32" t="s">
        <v>109</v>
      </c>
      <c r="C120" s="3">
        <f t="shared" si="29"/>
        <v>-508.982655074999</v>
      </c>
      <c r="D120" s="3">
        <f t="shared" si="29"/>
        <v>-4778803.1573387459</v>
      </c>
      <c r="E120" s="3">
        <f t="shared" si="29"/>
        <v>0</v>
      </c>
      <c r="F120" s="3">
        <f t="shared" si="29"/>
        <v>-37.72144090604138</v>
      </c>
      <c r="G120" s="3">
        <f t="shared" si="29"/>
        <v>-667.67764719518891</v>
      </c>
      <c r="H120" s="3">
        <f t="shared" si="29"/>
        <v>-83.40850644904566</v>
      </c>
      <c r="I120" s="3">
        <f t="shared" si="29"/>
        <v>-433.61718152402591</v>
      </c>
      <c r="J120" s="3">
        <f t="shared" ref="J120:L120" si="35">J74-J24</f>
        <v>-5845450.3571794387</v>
      </c>
      <c r="K120" s="3">
        <f t="shared" si="35"/>
        <v>-725.44182283701048</v>
      </c>
      <c r="L120" s="3">
        <f t="shared" si="35"/>
        <v>-59.572182348991305</v>
      </c>
    </row>
    <row r="121" spans="1:19">
      <c r="A121">
        <v>2033</v>
      </c>
      <c r="B121" s="32" t="s">
        <v>109</v>
      </c>
      <c r="C121" s="3">
        <f t="shared" si="29"/>
        <v>-590.66741065282849</v>
      </c>
      <c r="D121" s="3">
        <f t="shared" si="29"/>
        <v>-5700644.6660901885</v>
      </c>
      <c r="E121" s="3">
        <f t="shared" si="29"/>
        <v>0</v>
      </c>
      <c r="F121" s="3">
        <f t="shared" si="29"/>
        <v>-44.885321062032403</v>
      </c>
      <c r="G121" s="3">
        <f t="shared" si="29"/>
        <v>-815.15831527830233</v>
      </c>
      <c r="H121" s="3">
        <f t="shared" si="29"/>
        <v>-97.972071129517303</v>
      </c>
      <c r="I121" s="3">
        <f t="shared" si="29"/>
        <v>-518.92169403200614</v>
      </c>
      <c r="J121" s="3">
        <f t="shared" ref="J121:L121" si="36">J75-J25</f>
        <v>-6980848.1619470343</v>
      </c>
      <c r="K121" s="3">
        <f t="shared" si="36"/>
        <v>-877.6467288631552</v>
      </c>
      <c r="L121" s="3">
        <f t="shared" si="36"/>
        <v>-74.692666222021785</v>
      </c>
    </row>
    <row r="122" spans="1:19">
      <c r="A122">
        <v>2034</v>
      </c>
      <c r="B122" s="32" t="s">
        <v>109</v>
      </c>
      <c r="C122" s="3">
        <f t="shared" si="29"/>
        <v>-660.10127056255988</v>
      </c>
      <c r="D122" s="3">
        <f t="shared" si="29"/>
        <v>-6660554.4908695109</v>
      </c>
      <c r="E122" s="3">
        <f t="shared" si="29"/>
        <v>0</v>
      </c>
      <c r="F122" s="3">
        <f t="shared" si="29"/>
        <v>-51.886322952401542</v>
      </c>
      <c r="G122" s="3">
        <f t="shared" si="29"/>
        <v>-970.65881386017463</v>
      </c>
      <c r="H122" s="3">
        <f t="shared" si="29"/>
        <v>-112.2427148273951</v>
      </c>
      <c r="I122" s="3">
        <f t="shared" si="29"/>
        <v>-605.41180500785481</v>
      </c>
      <c r="J122" s="3">
        <f t="shared" ref="J122:L122" si="37">J76-J26</f>
        <v>-8171717.5296093374</v>
      </c>
      <c r="K122" s="3">
        <f t="shared" si="37"/>
        <v>-1028.8146487142494</v>
      </c>
      <c r="L122" s="3">
        <f t="shared" si="37"/>
        <v>-91.167673356913724</v>
      </c>
    </row>
    <row r="123" spans="1:19">
      <c r="A123">
        <v>2035</v>
      </c>
      <c r="B123" s="32" t="s">
        <v>109</v>
      </c>
      <c r="C123" s="3">
        <f t="shared" si="29"/>
        <v>-709.73189342675323</v>
      </c>
      <c r="D123" s="3">
        <f t="shared" si="29"/>
        <v>-7603808.2941090241</v>
      </c>
      <c r="E123" s="3">
        <f t="shared" si="29"/>
        <v>0</v>
      </c>
      <c r="F123" s="3">
        <f t="shared" si="29"/>
        <v>-58.246134249237173</v>
      </c>
      <c r="G123" s="3">
        <f t="shared" si="29"/>
        <v>-1105.6909408377105</v>
      </c>
      <c r="H123" s="3">
        <f t="shared" si="29"/>
        <v>-125.81404048026576</v>
      </c>
      <c r="I123" s="3">
        <f t="shared" si="29"/>
        <v>-690.3164874756983</v>
      </c>
      <c r="J123" s="3">
        <f t="shared" ref="J123:L123" si="38">J77-J27</f>
        <v>-9348544.5329426639</v>
      </c>
      <c r="K123" s="3">
        <f t="shared" si="38"/>
        <v>-1171.7416116219779</v>
      </c>
      <c r="L123" s="3">
        <f t="shared" si="38"/>
        <v>-108.57891240417018</v>
      </c>
    </row>
    <row r="124" spans="1:19">
      <c r="A124">
        <v>2036</v>
      </c>
      <c r="B124" s="32" t="s">
        <v>109</v>
      </c>
      <c r="C124" s="3">
        <f t="shared" si="29"/>
        <v>-821.94518785235596</v>
      </c>
      <c r="D124" s="3">
        <f t="shared" si="29"/>
        <v>-8507164.8537313901</v>
      </c>
      <c r="E124" s="3">
        <f t="shared" si="29"/>
        <v>0</v>
      </c>
      <c r="F124" s="3">
        <f t="shared" si="29"/>
        <v>-64.616124299207627</v>
      </c>
      <c r="G124" s="3">
        <f t="shared" si="29"/>
        <v>-1256.966983615991</v>
      </c>
      <c r="H124" s="3">
        <f t="shared" si="29"/>
        <v>-138.07207934727066</v>
      </c>
      <c r="I124" s="3">
        <f t="shared" si="29"/>
        <v>-780.50256075216021</v>
      </c>
      <c r="J124" s="3">
        <f t="shared" ref="J124:L124" si="39">J78-J28</f>
        <v>-10455192.106895696</v>
      </c>
      <c r="K124" s="3">
        <f t="shared" si="39"/>
        <v>-1371.8977032815483</v>
      </c>
      <c r="L124" s="3">
        <f t="shared" si="39"/>
        <v>-125.00531417867705</v>
      </c>
    </row>
    <row r="125" spans="1:19">
      <c r="A125">
        <v>2037</v>
      </c>
      <c r="B125" s="32" t="s">
        <v>109</v>
      </c>
      <c r="C125" s="3">
        <f t="shared" si="29"/>
        <v>-927.70607657238861</v>
      </c>
      <c r="D125" s="3">
        <f t="shared" si="29"/>
        <v>-9261795.5967888739</v>
      </c>
      <c r="E125" s="3">
        <f t="shared" si="29"/>
        <v>0</v>
      </c>
      <c r="F125" s="3">
        <f t="shared" si="29"/>
        <v>-69.761901277288416</v>
      </c>
      <c r="G125" s="3">
        <f t="shared" si="29"/>
        <v>-1389.1922532749932</v>
      </c>
      <c r="H125" s="3">
        <f t="shared" si="29"/>
        <v>-148.23132694001885</v>
      </c>
      <c r="I125" s="3">
        <f t="shared" si="29"/>
        <v>-861.74255096172601</v>
      </c>
      <c r="J125" s="3">
        <f t="shared" ref="J125:L125" si="40">J79-J29</f>
        <v>-11375965.048529476</v>
      </c>
      <c r="K125" s="3">
        <f t="shared" si="40"/>
        <v>-1568.4696549569817</v>
      </c>
      <c r="L125" s="3">
        <f t="shared" si="40"/>
        <v>-140.66399732437975</v>
      </c>
    </row>
    <row r="126" spans="1:19">
      <c r="A126">
        <v>2038</v>
      </c>
      <c r="B126" s="32" t="s">
        <v>109</v>
      </c>
      <c r="C126" s="3">
        <f t="shared" si="29"/>
        <v>-1026.2515043010985</v>
      </c>
      <c r="D126" s="3">
        <f t="shared" si="29"/>
        <v>-9895667.5685078036</v>
      </c>
      <c r="E126" s="3">
        <f t="shared" si="29"/>
        <v>0</v>
      </c>
      <c r="F126" s="3">
        <f t="shared" si="29"/>
        <v>-74.126231576444354</v>
      </c>
      <c r="G126" s="3">
        <f t="shared" si="29"/>
        <v>-1518.9015632521914</v>
      </c>
      <c r="H126" s="3">
        <f t="shared" si="29"/>
        <v>-156.80330021224981</v>
      </c>
      <c r="I126" s="3">
        <f t="shared" si="29"/>
        <v>-935.90496188694715</v>
      </c>
      <c r="J126" s="3">
        <f t="shared" ref="J126:L126" si="41">J80-J30</f>
        <v>-12146930.150445556</v>
      </c>
      <c r="K126" s="3">
        <f t="shared" si="41"/>
        <v>-1760.7248569599546</v>
      </c>
      <c r="L126" s="3">
        <f t="shared" si="41"/>
        <v>-156.00251732908225</v>
      </c>
    </row>
    <row r="127" spans="1:19">
      <c r="A127">
        <v>2039</v>
      </c>
      <c r="B127" s="32" t="s">
        <v>109</v>
      </c>
      <c r="C127" s="3">
        <f t="shared" si="29"/>
        <v>-1117.6433069518778</v>
      </c>
      <c r="D127" s="3">
        <f t="shared" si="29"/>
        <v>-10421031.557420745</v>
      </c>
      <c r="E127" s="3">
        <f t="shared" si="29"/>
        <v>0</v>
      </c>
      <c r="F127" s="3">
        <f t="shared" si="29"/>
        <v>-77.390927828041526</v>
      </c>
      <c r="G127" s="3">
        <f t="shared" si="29"/>
        <v>-1645.651529888466</v>
      </c>
      <c r="H127" s="3">
        <f t="shared" si="29"/>
        <v>-164.02184250055046</v>
      </c>
      <c r="I127" s="3">
        <f t="shared" si="29"/>
        <v>-1003.488167859163</v>
      </c>
      <c r="J127" s="3">
        <f t="shared" ref="J127:L127" si="42">J81-J31</f>
        <v>-12783894.502210461</v>
      </c>
      <c r="K127" s="3">
        <f t="shared" si="42"/>
        <v>-1948.7433330170124</v>
      </c>
      <c r="L127" s="3">
        <f t="shared" si="42"/>
        <v>-170.70553514827947</v>
      </c>
      <c r="S127" s="6"/>
    </row>
    <row r="128" spans="1:19">
      <c r="A128">
        <v>2040</v>
      </c>
      <c r="B128" s="32" t="s">
        <v>109</v>
      </c>
      <c r="C128" s="3">
        <f t="shared" si="29"/>
        <v>-1223.75534411477</v>
      </c>
      <c r="D128" s="3">
        <f t="shared" si="29"/>
        <v>-11092976.409810491</v>
      </c>
      <c r="E128" s="3">
        <f t="shared" si="29"/>
        <v>0</v>
      </c>
      <c r="F128" s="3">
        <f t="shared" si="29"/>
        <v>-81.556697288696228</v>
      </c>
      <c r="G128" s="3">
        <f t="shared" si="29"/>
        <v>-1813.0208586200615</v>
      </c>
      <c r="H128" s="3">
        <f t="shared" si="29"/>
        <v>-173.84608138828324</v>
      </c>
      <c r="I128" s="3">
        <f t="shared" si="29"/>
        <v>-1088.2188824493082</v>
      </c>
      <c r="J128" s="3">
        <f t="shared" ref="J128:N128" si="43">J82-J32</f>
        <v>-13608831.349621546</v>
      </c>
      <c r="K128" s="3">
        <f t="shared" si="43"/>
        <v>-2163.7397701438044</v>
      </c>
      <c r="L128" s="3">
        <f t="shared" si="43"/>
        <v>-187.8336987218006</v>
      </c>
      <c r="M128" s="3">
        <f t="shared" si="43"/>
        <v>-5047.0224977888956</v>
      </c>
      <c r="N128" s="3">
        <f t="shared" si="43"/>
        <v>-574.36748201736725</v>
      </c>
    </row>
    <row r="129" spans="1:18">
      <c r="A129">
        <v>2041</v>
      </c>
      <c r="B129" s="32" t="s">
        <v>109</v>
      </c>
      <c r="C129" s="3">
        <f t="shared" ref="C129:L129" si="44">C83-C33</f>
        <v>-1349.7553911812824</v>
      </c>
      <c r="D129" s="3">
        <f t="shared" si="44"/>
        <v>-12062105.789121311</v>
      </c>
      <c r="E129" s="3">
        <f t="shared" si="44"/>
        <v>0</v>
      </c>
      <c r="F129" s="3">
        <f t="shared" si="44"/>
        <v>-88.653604254667243</v>
      </c>
      <c r="G129" s="3">
        <f t="shared" si="44"/>
        <v>-2061.3050540179811</v>
      </c>
      <c r="H129" s="3">
        <f t="shared" si="44"/>
        <v>-188.57800277011816</v>
      </c>
      <c r="I129" s="3">
        <f t="shared" si="44"/>
        <v>-1198.778154851698</v>
      </c>
      <c r="J129" s="3">
        <f t="shared" si="44"/>
        <v>-14855509.020143831</v>
      </c>
      <c r="K129" s="3">
        <f t="shared" si="44"/>
        <v>-2434.4530701433532</v>
      </c>
      <c r="L129" s="3">
        <f t="shared" si="44"/>
        <v>-213.05884674658375</v>
      </c>
    </row>
    <row r="130" spans="1:18">
      <c r="A130">
        <v>2042</v>
      </c>
      <c r="B130" s="32" t="s">
        <v>109</v>
      </c>
      <c r="C130" s="3">
        <f t="shared" ref="C130:L130" si="45">C84-C34</f>
        <v>-1467.4401720069252</v>
      </c>
      <c r="D130" s="3">
        <f t="shared" si="45"/>
        <v>-12973718.942053836</v>
      </c>
      <c r="E130" s="3">
        <f t="shared" si="45"/>
        <v>0</v>
      </c>
      <c r="F130" s="3">
        <f t="shared" si="45"/>
        <v>-95.454638423908079</v>
      </c>
      <c r="G130" s="3">
        <f t="shared" si="45"/>
        <v>-2313.0381324173904</v>
      </c>
      <c r="H130" s="3">
        <f t="shared" si="45"/>
        <v>-202.66113786538938</v>
      </c>
      <c r="I130" s="3">
        <f t="shared" si="45"/>
        <v>-1306.1290487924905</v>
      </c>
      <c r="J130" s="3">
        <f t="shared" si="45"/>
        <v>-16041137.050751852</v>
      </c>
      <c r="K130" s="3">
        <f t="shared" si="45"/>
        <v>-2708.3041221638318</v>
      </c>
      <c r="L130" s="3">
        <f t="shared" si="45"/>
        <v>-239.648277279083</v>
      </c>
    </row>
    <row r="131" spans="1:18">
      <c r="A131">
        <v>2043</v>
      </c>
      <c r="B131" s="32" t="s">
        <v>109</v>
      </c>
      <c r="C131" s="3">
        <f t="shared" ref="C131:L131" si="46">C85-C35</f>
        <v>-1567.5202722476854</v>
      </c>
      <c r="D131" s="3">
        <f t="shared" si="46"/>
        <v>-13813920.011545926</v>
      </c>
      <c r="E131" s="3">
        <f t="shared" si="46"/>
        <v>0</v>
      </c>
      <c r="F131" s="3">
        <f t="shared" si="46"/>
        <v>-101.66256197213954</v>
      </c>
      <c r="G131" s="3">
        <f t="shared" si="46"/>
        <v>-2558.9415657472764</v>
      </c>
      <c r="H131" s="3">
        <f t="shared" si="46"/>
        <v>-215.88154971063571</v>
      </c>
      <c r="I131" s="3">
        <f t="shared" si="46"/>
        <v>-1408.7640508706349</v>
      </c>
      <c r="J131" s="3">
        <f t="shared" si="46"/>
        <v>-17150112.467306837</v>
      </c>
      <c r="K131" s="3">
        <f t="shared" si="46"/>
        <v>-2972.8946426532211</v>
      </c>
      <c r="L131" s="3">
        <f t="shared" si="46"/>
        <v>-266.95426367151782</v>
      </c>
    </row>
    <row r="132" spans="1:18">
      <c r="A132">
        <v>2044</v>
      </c>
      <c r="B132" s="32" t="s">
        <v>109</v>
      </c>
      <c r="C132" s="3">
        <f t="shared" ref="C132:L132" si="47">C86-C36</f>
        <v>-1661.6319514434749</v>
      </c>
      <c r="D132" s="3">
        <f t="shared" si="47"/>
        <v>-14591985.382662848</v>
      </c>
      <c r="E132" s="3">
        <f t="shared" si="47"/>
        <v>0</v>
      </c>
      <c r="F132" s="3">
        <f t="shared" si="47"/>
        <v>-107.35594211746485</v>
      </c>
      <c r="G132" s="3">
        <f t="shared" si="47"/>
        <v>-2800.6319169463968</v>
      </c>
      <c r="H132" s="3">
        <f t="shared" si="47"/>
        <v>-228.3521114291791</v>
      </c>
      <c r="I132" s="3">
        <f t="shared" si="47"/>
        <v>-1506.0159007859374</v>
      </c>
      <c r="J132" s="3">
        <f t="shared" si="47"/>
        <v>-18194434.080368213</v>
      </c>
      <c r="K132" s="3">
        <f t="shared" si="47"/>
        <v>-3239.8893135218127</v>
      </c>
      <c r="L132" s="3">
        <f t="shared" si="47"/>
        <v>-295.05987601703913</v>
      </c>
      <c r="Q132" s="3"/>
      <c r="R132" s="3"/>
    </row>
    <row r="133" spans="1:18">
      <c r="A133">
        <v>2045</v>
      </c>
      <c r="B133" s="32" t="s">
        <v>109</v>
      </c>
      <c r="C133" s="3">
        <f t="shared" ref="C133:L133" si="48">C87-C37</f>
        <v>-1742.1257328813736</v>
      </c>
      <c r="D133" s="3">
        <f t="shared" si="48"/>
        <v>-15300264.544090642</v>
      </c>
      <c r="E133" s="3">
        <f t="shared" si="48"/>
        <v>0</v>
      </c>
      <c r="F133" s="3">
        <f t="shared" si="48"/>
        <v>-112.47108269369136</v>
      </c>
      <c r="G133" s="3">
        <f t="shared" si="48"/>
        <v>-3038.7037408470437</v>
      </c>
      <c r="H133" s="3">
        <f t="shared" si="48"/>
        <v>-239.91567914865004</v>
      </c>
      <c r="I133" s="3">
        <f t="shared" si="48"/>
        <v>-1597.4990726582246</v>
      </c>
      <c r="J133" s="3">
        <f t="shared" si="48"/>
        <v>-19164305.615061171</v>
      </c>
      <c r="K133" s="3">
        <f t="shared" si="48"/>
        <v>-3501.6670741256266</v>
      </c>
      <c r="L133" s="3">
        <f t="shared" si="48"/>
        <v>-323.90591999925192</v>
      </c>
    </row>
    <row r="134" spans="1:18">
      <c r="A134">
        <v>2046</v>
      </c>
      <c r="B134" s="32" t="s">
        <v>109</v>
      </c>
      <c r="C134" s="3">
        <f t="shared" ref="C134:L134" si="49">C88-C38</f>
        <v>-1810.8273998193588</v>
      </c>
      <c r="D134" s="3">
        <f t="shared" si="49"/>
        <v>-15937150.417391371</v>
      </c>
      <c r="E134" s="3">
        <f t="shared" si="49"/>
        <v>0</v>
      </c>
      <c r="F134" s="3">
        <f t="shared" si="49"/>
        <v>-117.00908458122694</v>
      </c>
      <c r="G134" s="3">
        <f t="shared" si="49"/>
        <v>-3308.4169954568829</v>
      </c>
      <c r="H134" s="3">
        <f t="shared" si="49"/>
        <v>-250.95824317188726</v>
      </c>
      <c r="I134" s="3">
        <f t="shared" si="49"/>
        <v>-1682.3785321708879</v>
      </c>
      <c r="J134" s="3">
        <f t="shared" si="49"/>
        <v>-20059894.657746568</v>
      </c>
      <c r="K134" s="3">
        <f t="shared" si="49"/>
        <v>-3761.1590563274071</v>
      </c>
      <c r="L134" s="3">
        <f t="shared" si="49"/>
        <v>-353.67060814992885</v>
      </c>
    </row>
    <row r="135" spans="1:18">
      <c r="A135">
        <v>2047</v>
      </c>
      <c r="B135" s="32" t="s">
        <v>109</v>
      </c>
      <c r="C135" s="3">
        <f t="shared" ref="C135:L135" si="50">C89-C39</f>
        <v>-1859.1897037296183</v>
      </c>
      <c r="D135" s="3">
        <f t="shared" si="50"/>
        <v>-16503911.278862046</v>
      </c>
      <c r="E135" s="3">
        <f t="shared" si="50"/>
        <v>0</v>
      </c>
      <c r="F135" s="3">
        <f t="shared" si="50"/>
        <v>-120.98018090134684</v>
      </c>
      <c r="G135" s="3">
        <f t="shared" si="50"/>
        <v>-3569.4030127074961</v>
      </c>
      <c r="H135" s="3">
        <f t="shared" si="50"/>
        <v>-261.03652120406582</v>
      </c>
      <c r="I135" s="3">
        <f t="shared" si="50"/>
        <v>-1760.4712039929502</v>
      </c>
      <c r="J135" s="3">
        <f t="shared" si="50"/>
        <v>-20896941.345023911</v>
      </c>
      <c r="K135" s="3">
        <f t="shared" si="50"/>
        <v>-3915.8548620950978</v>
      </c>
      <c r="L135" s="3">
        <f t="shared" si="50"/>
        <v>-372.82303805794692</v>
      </c>
    </row>
    <row r="136" spans="1:18">
      <c r="A136">
        <v>2048</v>
      </c>
      <c r="B136" s="32" t="s">
        <v>109</v>
      </c>
      <c r="C136" s="3">
        <f t="shared" ref="C136:L136" si="51">C90-C40</f>
        <v>-1891.510368925899</v>
      </c>
      <c r="D136" s="3">
        <f t="shared" si="51"/>
        <v>-17003185.937676098</v>
      </c>
      <c r="E136" s="3">
        <f t="shared" si="51"/>
        <v>0</v>
      </c>
      <c r="F136" s="3">
        <f t="shared" si="51"/>
        <v>-124.44660228963136</v>
      </c>
      <c r="G136" s="3">
        <f t="shared" si="51"/>
        <v>-3829.2980569419929</v>
      </c>
      <c r="H136" s="3">
        <f t="shared" si="51"/>
        <v>-270.13239147447086</v>
      </c>
      <c r="I136" s="3">
        <f t="shared" si="51"/>
        <v>-1832.0826863881402</v>
      </c>
      <c r="J136" s="3">
        <f t="shared" si="51"/>
        <v>-21650981.392576687</v>
      </c>
      <c r="K136" s="3">
        <f t="shared" si="51"/>
        <v>-4069.7489346145057</v>
      </c>
      <c r="L136" s="3">
        <f t="shared" si="51"/>
        <v>-393.44893564725987</v>
      </c>
    </row>
    <row r="137" spans="1:18">
      <c r="A137">
        <v>2049</v>
      </c>
      <c r="B137" s="32" t="s">
        <v>109</v>
      </c>
      <c r="C137" s="3">
        <f t="shared" ref="C137:L137" si="52">C91-C41</f>
        <v>-1888.10382273505</v>
      </c>
      <c r="D137" s="3">
        <f t="shared" si="52"/>
        <v>-17446294.63678005</v>
      </c>
      <c r="E137" s="3">
        <f t="shared" si="52"/>
        <v>0</v>
      </c>
      <c r="F137" s="3">
        <f t="shared" si="52"/>
        <v>-127.50335829632166</v>
      </c>
      <c r="G137" s="3">
        <f t="shared" si="52"/>
        <v>-4075.5781502106115</v>
      </c>
      <c r="H137" s="3">
        <f t="shared" si="52"/>
        <v>-278.41145378858914</v>
      </c>
      <c r="I137" s="3">
        <f t="shared" si="52"/>
        <v>-1897.4086400163219</v>
      </c>
      <c r="J137" s="3">
        <f t="shared" si="52"/>
        <v>-22339731.536377072</v>
      </c>
      <c r="K137" s="3">
        <f t="shared" si="52"/>
        <v>-4184.4938599760817</v>
      </c>
      <c r="L137" s="3">
        <f t="shared" si="52"/>
        <v>-413.3569810163583</v>
      </c>
    </row>
    <row r="138" spans="1:18">
      <c r="A138">
        <v>2050</v>
      </c>
      <c r="B138" s="32" t="s">
        <v>109</v>
      </c>
      <c r="C138" s="3">
        <f t="shared" ref="C138:N138" si="53">C92-C42</f>
        <v>-1873.6613184533599</v>
      </c>
      <c r="D138" s="3">
        <f t="shared" si="53"/>
        <v>-17832955.342096813</v>
      </c>
      <c r="E138" s="3">
        <f t="shared" si="53"/>
        <v>0</v>
      </c>
      <c r="F138" s="3">
        <f t="shared" si="53"/>
        <v>-130.13468704783611</v>
      </c>
      <c r="G138" s="3">
        <f t="shared" si="53"/>
        <v>-4321.1377709569169</v>
      </c>
      <c r="H138" s="3">
        <f t="shared" si="53"/>
        <v>-285.85657789937335</v>
      </c>
      <c r="I138" s="3">
        <f t="shared" si="53"/>
        <v>-1956.6342299376836</v>
      </c>
      <c r="J138" s="3">
        <f t="shared" si="53"/>
        <v>-22961713.298483856</v>
      </c>
      <c r="K138" s="3">
        <f t="shared" si="53"/>
        <v>-4284.6073638151138</v>
      </c>
      <c r="L138" s="3">
        <f t="shared" si="53"/>
        <v>-432.49045842595382</v>
      </c>
      <c r="M138" s="3">
        <f t="shared" si="53"/>
        <v>-10377.220195796628</v>
      </c>
      <c r="N138" s="3">
        <f t="shared" si="53"/>
        <v>-1189.6973310636054</v>
      </c>
      <c r="O138" t="s">
        <v>615</v>
      </c>
    </row>
    <row r="139" spans="1:18">
      <c r="C139" s="9"/>
      <c r="D139" s="9"/>
      <c r="F139" s="9"/>
      <c r="J139" s="9"/>
      <c r="K139" s="9"/>
      <c r="L139" s="9"/>
    </row>
    <row r="141" spans="1:18">
      <c r="A141" s="299" t="s">
        <v>630</v>
      </c>
    </row>
    <row r="142" spans="1:18" ht="16" thickBot="1"/>
    <row r="143" spans="1:18" ht="20" thickTop="1" thickBot="1">
      <c r="A143" s="300" t="s">
        <v>631</v>
      </c>
      <c r="B143" s="301" t="s">
        <v>632</v>
      </c>
      <c r="C143" s="301" t="s">
        <v>633</v>
      </c>
      <c r="D143" s="301" t="s">
        <v>634</v>
      </c>
      <c r="H143" s="314" t="s">
        <v>641</v>
      </c>
      <c r="I143" s="315"/>
      <c r="J143" s="315"/>
      <c r="K143" s="315"/>
      <c r="L143" s="316"/>
    </row>
    <row r="144" spans="1:18" ht="16" thickTop="1">
      <c r="A144" s="311" t="s">
        <v>635</v>
      </c>
      <c r="B144" s="302">
        <f>D144-C144</f>
        <v>0.59388685958510923</v>
      </c>
      <c r="C144" s="302">
        <f>(D22-D72)*E144</f>
        <v>2.6706057207345482</v>
      </c>
      <c r="D144" s="303">
        <f>(J22-J72)*E144</f>
        <v>3.2644925803196574</v>
      </c>
      <c r="E144" s="224">
        <f>Tables!T4</f>
        <v>9.0718499999999998E-7</v>
      </c>
      <c r="F144" s="224" t="s">
        <v>638</v>
      </c>
      <c r="H144" s="76"/>
      <c r="J144" s="2" t="s">
        <v>642</v>
      </c>
      <c r="K144" s="7" t="s">
        <v>640</v>
      </c>
      <c r="L144" s="307" t="s">
        <v>49</v>
      </c>
    </row>
    <row r="145" spans="1:12" ht="16" thickBot="1">
      <c r="A145" s="312"/>
      <c r="B145" s="305">
        <f>(L145-L146)/L145</f>
        <v>0.29806669372076378</v>
      </c>
      <c r="C145" s="305">
        <f>D144/(D16*E144)</f>
        <v>0.11323028143223773</v>
      </c>
      <c r="D145" s="306">
        <f>D144/(J16*E144)</f>
        <v>0.1133055377806207</v>
      </c>
      <c r="H145" s="308">
        <v>2020</v>
      </c>
      <c r="I145" t="s">
        <v>48</v>
      </c>
      <c r="J145" s="59">
        <f>'BAU Scenario'!D10*'GREET factors'!V1*E144</f>
        <v>8.2916694564765852</v>
      </c>
      <c r="K145" s="59">
        <f>'BAU Scenario'!W10*'Emissions Summary'!E144</f>
        <v>3.6037036007142476E-2</v>
      </c>
      <c r="L145" s="103">
        <f>J145+K145</f>
        <v>8.3277064924837276</v>
      </c>
    </row>
    <row r="146" spans="1:12" ht="16" thickTop="1">
      <c r="A146" s="311" t="s">
        <v>636</v>
      </c>
      <c r="B146" s="302">
        <f>D146-C146</f>
        <v>2.2823458635724911</v>
      </c>
      <c r="C146" s="302">
        <f>(D32-D82)*E144</f>
        <v>10.063381804333931</v>
      </c>
      <c r="D146" s="303">
        <f>(J32-J82)*E144</f>
        <v>12.345727667906422</v>
      </c>
      <c r="H146" s="309">
        <v>2030</v>
      </c>
      <c r="I146" t="s">
        <v>639</v>
      </c>
      <c r="J146" s="59">
        <f>'ACC II - MY2027'!D40*'GREET factors'!V1*'Emissions Summary'!E144</f>
        <v>5.4420831300718771</v>
      </c>
      <c r="K146" s="59">
        <f>'ACC II - MY2027'!W40*'Emissions Summary'!E144</f>
        <v>0.40341142192028762</v>
      </c>
      <c r="L146" s="103">
        <f t="shared" ref="L146:L148" si="54">J146+K146</f>
        <v>5.8454945519921644</v>
      </c>
    </row>
    <row r="147" spans="1:12" ht="16" thickBot="1">
      <c r="A147" s="312"/>
      <c r="B147" s="305">
        <f>(L145-L147)/L145</f>
        <v>0.64008172132031349</v>
      </c>
      <c r="C147" s="305">
        <f>C146/(D16*E144)</f>
        <v>0.34905257887068442</v>
      </c>
      <c r="D147" s="306">
        <f>D146/(J16*E144)</f>
        <v>0.42850129944796866</v>
      </c>
      <c r="H147" s="309">
        <v>2040</v>
      </c>
      <c r="I147" t="s">
        <v>639</v>
      </c>
      <c r="J147" s="59">
        <f>'ACC II - MY2027'!D90*'GREET factors'!V1*'Emissions Summary'!E144</f>
        <v>2.1187776758000596</v>
      </c>
      <c r="K147" s="59">
        <f>'ACC II - MY2027'!W90*'Emissions Summary'!E144</f>
        <v>0.87851611032433297</v>
      </c>
      <c r="L147" s="103">
        <f t="shared" si="54"/>
        <v>2.9972937861243927</v>
      </c>
    </row>
    <row r="148" spans="1:12" ht="17" thickTop="1" thickBot="1">
      <c r="A148" s="311" t="s">
        <v>637</v>
      </c>
      <c r="B148" s="302">
        <f>D148-C148</f>
        <v>4.6527322866649783</v>
      </c>
      <c r="C148" s="304">
        <f>(D42-D92)*E144</f>
        <v>16.177789592020098</v>
      </c>
      <c r="D148" s="303">
        <f>(J42-J92)*E144</f>
        <v>20.830521878685076</v>
      </c>
      <c r="H148" s="310">
        <v>2050</v>
      </c>
      <c r="I148" s="73" t="s">
        <v>639</v>
      </c>
      <c r="J148" s="176">
        <f>'ACC II - MY2027'!D140*'GREET factors'!V1*'Emissions Summary'!E144</f>
        <v>0.18772958649287735</v>
      </c>
      <c r="K148" s="73">
        <f>'ACC II - MY2027'!W140*'Emissions Summary'!E144</f>
        <v>0</v>
      </c>
      <c r="L148" s="104">
        <f t="shared" si="54"/>
        <v>0.18772958649287735</v>
      </c>
    </row>
    <row r="149" spans="1:12" ht="16" thickBot="1">
      <c r="A149" s="312"/>
      <c r="B149" s="305">
        <f>(L145-L148)/L145</f>
        <v>0.97745722827019488</v>
      </c>
      <c r="C149" s="305">
        <f>C148/(D16*E144)</f>
        <v>0.56113335331170877</v>
      </c>
      <c r="D149" s="306">
        <f>D148/(J16*E144)</f>
        <v>0.72299551175095245</v>
      </c>
    </row>
    <row r="150" spans="1:12" ht="16" thickTop="1"/>
  </sheetData>
  <sheetProtection algorithmName="SHA-512" hashValue="mkoTQkDKfF0ploVY4dr/dsYttN58yLCQhiXOM4rMr5ORW0xzwVYfyGlKA0F37QPC6nqrSZPjNQ5vGiS4z7F04w==" saltValue="+smXw0cwr7dyUlENw5zqdw==" spinCount="100000" sheet="1" objects="1" scenarios="1"/>
  <mergeCells count="5">
    <mergeCell ref="A148:A149"/>
    <mergeCell ref="S4:V4"/>
    <mergeCell ref="A144:A145"/>
    <mergeCell ref="A146:A147"/>
    <mergeCell ref="H143:L143"/>
  </mergeCells>
  <phoneticPr fontId="34" type="noConversion"/>
  <pageMargins left="0.7" right="0.7" top="0.75" bottom="0.75" header="0.3" footer="0.3"/>
  <pageSetup orientation="portrait" horizontalDpi="360" verticalDpi="36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dimension ref="A1:AH141"/>
  <sheetViews>
    <sheetView topLeftCell="B1" workbookViewId="0">
      <selection activeCell="D10" sqref="D10"/>
    </sheetView>
  </sheetViews>
  <sheetFormatPr baseColWidth="10" defaultColWidth="8.83203125" defaultRowHeight="15"/>
  <cols>
    <col min="3" max="3" width="12.6640625" customWidth="1"/>
    <col min="4" max="4" width="16.6640625" bestFit="1" customWidth="1"/>
    <col min="5" max="5" width="15.1640625" customWidth="1"/>
    <col min="6" max="6" width="11" customWidth="1"/>
    <col min="7" max="7" width="11.6640625" customWidth="1"/>
    <col min="8" max="8" width="11.5" bestFit="1" customWidth="1"/>
    <col min="9" max="10" width="11.6640625" customWidth="1"/>
    <col min="13" max="13" width="12.33203125" customWidth="1"/>
    <col min="15" max="15" width="24" customWidth="1"/>
    <col min="16" max="19" width="9.1640625" bestFit="1" customWidth="1"/>
    <col min="20" max="20" width="10.5" bestFit="1" customWidth="1"/>
    <col min="21" max="22" width="9.1640625" bestFit="1" customWidth="1"/>
    <col min="24" max="28" width="10.33203125" customWidth="1"/>
    <col min="29" max="29" width="15" customWidth="1"/>
    <col min="30" max="30" width="12.5" customWidth="1"/>
  </cols>
  <sheetData>
    <row r="1" spans="1:34">
      <c r="A1" s="2" t="s">
        <v>606</v>
      </c>
      <c r="D1" s="6"/>
      <c r="F1" s="29"/>
      <c r="AH1" s="2"/>
    </row>
    <row r="2" spans="1:34">
      <c r="A2" s="28" t="s">
        <v>299</v>
      </c>
      <c r="D2" s="6"/>
      <c r="F2" s="29"/>
      <c r="AH2" s="28"/>
    </row>
    <row r="3" spans="1:34">
      <c r="A3" t="s">
        <v>300</v>
      </c>
      <c r="D3" s="6"/>
    </row>
    <row r="4" spans="1:34">
      <c r="A4" s="28" t="s">
        <v>214</v>
      </c>
      <c r="D4" s="6"/>
      <c r="L4" s="319" t="s">
        <v>164</v>
      </c>
      <c r="M4" s="319" t="s">
        <v>272</v>
      </c>
      <c r="AH4" s="28"/>
    </row>
    <row r="5" spans="1:34" ht="15" customHeight="1">
      <c r="F5" s="6"/>
      <c r="L5" s="319"/>
      <c r="M5" s="319"/>
    </row>
    <row r="6" spans="1:34">
      <c r="A6" t="s">
        <v>0</v>
      </c>
      <c r="B6" t="s">
        <v>1</v>
      </c>
      <c r="C6" t="s">
        <v>2</v>
      </c>
      <c r="D6" t="s">
        <v>47</v>
      </c>
      <c r="E6" t="s">
        <v>22</v>
      </c>
      <c r="F6" t="s">
        <v>24</v>
      </c>
      <c r="G6" t="s">
        <v>115</v>
      </c>
      <c r="H6" t="s">
        <v>116</v>
      </c>
      <c r="I6" t="s">
        <v>117</v>
      </c>
      <c r="J6" t="s">
        <v>52</v>
      </c>
      <c r="L6" s="319"/>
      <c r="M6" s="319"/>
    </row>
    <row r="7" spans="1:34">
      <c r="A7">
        <v>2020</v>
      </c>
      <c r="B7">
        <v>20</v>
      </c>
      <c r="C7" s="3"/>
      <c r="D7" s="3"/>
      <c r="E7" s="3"/>
      <c r="F7" s="3"/>
      <c r="G7" s="3"/>
      <c r="H7" s="3"/>
      <c r="I7" s="3"/>
      <c r="J7" s="3"/>
      <c r="P7" s="318" t="s">
        <v>628</v>
      </c>
      <c r="Q7" s="318"/>
      <c r="R7" s="318"/>
      <c r="S7" s="318"/>
      <c r="T7" s="318"/>
      <c r="U7" s="318"/>
      <c r="V7" s="318"/>
      <c r="W7" s="318"/>
      <c r="X7" s="313" t="s">
        <v>629</v>
      </c>
      <c r="Y7" s="313"/>
      <c r="Z7" s="313"/>
      <c r="AA7" s="313"/>
      <c r="AB7" s="313"/>
      <c r="AC7" s="313" t="s">
        <v>414</v>
      </c>
      <c r="AD7" s="313"/>
      <c r="AE7" s="313"/>
      <c r="AF7" s="313"/>
      <c r="AG7" s="313"/>
      <c r="AH7" s="32" t="s">
        <v>19</v>
      </c>
    </row>
    <row r="8" spans="1:34">
      <c r="A8">
        <v>2020</v>
      </c>
      <c r="B8">
        <v>30</v>
      </c>
      <c r="C8" s="3"/>
      <c r="D8" s="3"/>
      <c r="E8" s="3"/>
      <c r="F8" s="3"/>
      <c r="G8" s="3"/>
      <c r="H8" s="3"/>
      <c r="I8" s="3"/>
      <c r="J8" s="3"/>
      <c r="O8" t="s">
        <v>17</v>
      </c>
      <c r="P8" s="62"/>
    </row>
    <row r="9" spans="1:34">
      <c r="A9">
        <v>2020</v>
      </c>
      <c r="B9">
        <v>41</v>
      </c>
      <c r="C9" s="3"/>
      <c r="D9" s="3"/>
      <c r="E9" s="3"/>
      <c r="F9" s="3"/>
      <c r="G9" s="3"/>
      <c r="H9" s="3"/>
      <c r="I9" s="3"/>
      <c r="J9" s="3"/>
      <c r="L9" s="223"/>
      <c r="O9" t="s">
        <v>142</v>
      </c>
      <c r="P9" t="s">
        <v>8</v>
      </c>
      <c r="Q9" t="s">
        <v>10</v>
      </c>
      <c r="R9" t="s">
        <v>14</v>
      </c>
      <c r="S9" t="s">
        <v>15</v>
      </c>
      <c r="T9" s="28" t="s">
        <v>16</v>
      </c>
      <c r="U9" t="s">
        <v>115</v>
      </c>
      <c r="V9" t="s">
        <v>116</v>
      </c>
      <c r="W9" t="s">
        <v>47</v>
      </c>
      <c r="X9" s="32" t="s">
        <v>47</v>
      </c>
      <c r="Y9" t="s">
        <v>8</v>
      </c>
      <c r="Z9" t="s">
        <v>10</v>
      </c>
      <c r="AA9" t="s">
        <v>115</v>
      </c>
      <c r="AB9" t="s">
        <v>116</v>
      </c>
      <c r="AC9" s="32" t="s">
        <v>47</v>
      </c>
      <c r="AD9" t="s">
        <v>8</v>
      </c>
      <c r="AE9" t="s">
        <v>10</v>
      </c>
      <c r="AF9" t="s">
        <v>115</v>
      </c>
      <c r="AG9" t="s">
        <v>116</v>
      </c>
    </row>
    <row r="10" spans="1:34">
      <c r="A10">
        <v>2020</v>
      </c>
      <c r="B10" s="8" t="s">
        <v>109</v>
      </c>
      <c r="C10" s="3">
        <f>'Combined MOVES output'!C8*(1-'BAU Scenario'!$L$10)/454/2000</f>
        <v>16911.590935043296</v>
      </c>
      <c r="D10" s="3">
        <f>'Combined MOVES output'!D8*(1-'BAU Scenario'!$L$10)/454/2000</f>
        <v>31780244.814980075</v>
      </c>
      <c r="E10" s="3">
        <f>'Combined MOVES output'!E8</f>
        <v>335464115.71543819</v>
      </c>
      <c r="F10" s="3">
        <f>'Combined MOVES output'!F8*(1-'BAU Scenario'!$L$10*'Combined MOVES output'!E41)/454/2000</f>
        <v>759.98016243917039</v>
      </c>
      <c r="G10" s="3">
        <f>'Combined MOVES output'!G8*(1-'BAU Scenario'!$L$10)/454/2000</f>
        <v>15089.652364901234</v>
      </c>
      <c r="H10" s="3">
        <f>'Combined MOVES output'!H8*(1-'BAU Scenario'!$L$10)/454/2000</f>
        <v>512.27960739915045</v>
      </c>
      <c r="I10" s="3">
        <f>'Combined MOVES output'!AB8*(1-'BAU Scenario'!$L$10)/454/2000</f>
        <v>7738.1652087346429</v>
      </c>
      <c r="J10" s="3">
        <f>D10+AC10</f>
        <v>31759136.710095361</v>
      </c>
      <c r="L10" s="124">
        <f>'Fleet ZEV fractions'!AA12</f>
        <v>6.5935775352025808E-3</v>
      </c>
      <c r="M10" s="41">
        <f>'ZEV efficiency'!K44</f>
        <v>4.5885492022606078</v>
      </c>
      <c r="O10" s="3">
        <f>E10*L10/M10</f>
        <v>482049.67621534644</v>
      </c>
      <c r="P10" s="3">
        <f>$O10*'GREET factors'!B96/454/2000</f>
        <v>20.662857672339104</v>
      </c>
      <c r="Q10" s="3">
        <f>$O10*'GREET factors'!C96/454/2000</f>
        <v>3.2719929536032435</v>
      </c>
      <c r="R10" s="3">
        <f>$O10*'GREET factors'!D96/454/2000</f>
        <v>2.8250000723901119</v>
      </c>
      <c r="S10" s="3">
        <f>$O10*'GREET factors'!E96/454/2000</f>
        <v>0.3228571511302985</v>
      </c>
      <c r="T10" s="101">
        <f>$O10*'GREET factors'!F96/454/2000</f>
        <v>39557.18458507421</v>
      </c>
      <c r="U10" s="3">
        <f>$O10*'GREET factors'!G96/454/2000</f>
        <v>0.71271759215396924</v>
      </c>
      <c r="V10" s="3">
        <f>$O10*'GREET factors'!H96/454/2000</f>
        <v>4.9235715547370518</v>
      </c>
      <c r="W10" s="3">
        <f>$O10*'GREET factors'!I96/454/2000</f>
        <v>39724.021017920793</v>
      </c>
      <c r="X10" s="3">
        <f>('Combined MOVES output'!V16/454/2000-'BAU Scenario'!D10)*'GREET factors'!$V$1</f>
        <v>60665.28946978943</v>
      </c>
      <c r="Y10" s="261">
        <f>O10*M10*'GREET factors'!$J$7/454/2000</f>
        <v>23.287977346737826</v>
      </c>
      <c r="Z10" s="261">
        <f>O10*M10*'GREET factors'!K$7/454/2000</f>
        <v>2.920535848595704</v>
      </c>
      <c r="AA10" s="317" t="s">
        <v>613</v>
      </c>
      <c r="AB10" s="317"/>
      <c r="AC10" s="3">
        <f>T10-X10</f>
        <v>-21108.10488471522</v>
      </c>
      <c r="AD10" s="261">
        <f>P10-Y10</f>
        <v>-2.6251196743987215</v>
      </c>
      <c r="AE10" s="261">
        <f>Q10-Z10</f>
        <v>0.35145710500753946</v>
      </c>
      <c r="AF10" s="317" t="s">
        <v>493</v>
      </c>
      <c r="AG10" s="317"/>
      <c r="AH10">
        <v>2020</v>
      </c>
    </row>
    <row r="11" spans="1:34">
      <c r="C11" s="3"/>
      <c r="D11" s="3"/>
      <c r="E11" s="3"/>
      <c r="F11" s="3"/>
      <c r="G11" s="3"/>
      <c r="H11" s="3"/>
      <c r="L11" s="41"/>
      <c r="M11" s="41"/>
      <c r="T11" s="28"/>
    </row>
    <row r="12" spans="1:34">
      <c r="A12">
        <v>2025</v>
      </c>
      <c r="B12">
        <v>20</v>
      </c>
      <c r="C12" s="3"/>
      <c r="D12" s="3"/>
      <c r="E12" s="3"/>
      <c r="F12" s="3"/>
      <c r="G12" s="3"/>
      <c r="H12" s="3"/>
      <c r="I12" s="3"/>
      <c r="J12" s="3"/>
      <c r="L12" s="41"/>
      <c r="M12" s="41"/>
      <c r="T12" s="28"/>
    </row>
    <row r="13" spans="1:34">
      <c r="A13">
        <v>2025</v>
      </c>
      <c r="B13">
        <v>30</v>
      </c>
      <c r="C13" s="3"/>
      <c r="D13" s="3"/>
      <c r="E13" s="3"/>
      <c r="F13" s="3"/>
      <c r="G13" s="3"/>
      <c r="H13" s="3"/>
      <c r="I13" s="3"/>
      <c r="J13" s="3"/>
      <c r="L13" s="41"/>
      <c r="M13" s="41"/>
      <c r="O13" t="s">
        <v>17</v>
      </c>
      <c r="T13" s="28"/>
    </row>
    <row r="14" spans="1:34">
      <c r="A14">
        <v>2025</v>
      </c>
      <c r="B14">
        <v>41</v>
      </c>
      <c r="C14" s="3"/>
      <c r="D14" s="3"/>
      <c r="E14" s="3"/>
      <c r="F14" s="3"/>
      <c r="G14" s="3"/>
      <c r="H14" s="3"/>
      <c r="I14" s="3"/>
      <c r="J14" s="3"/>
      <c r="L14" s="41"/>
      <c r="M14" s="41"/>
      <c r="O14" t="s">
        <v>142</v>
      </c>
      <c r="P14" t="s">
        <v>8</v>
      </c>
      <c r="Q14" t="s">
        <v>10</v>
      </c>
      <c r="R14" t="s">
        <v>14</v>
      </c>
      <c r="S14" t="s">
        <v>15</v>
      </c>
      <c r="T14" s="28" t="s">
        <v>16</v>
      </c>
      <c r="U14" t="s">
        <v>115</v>
      </c>
      <c r="V14" t="s">
        <v>116</v>
      </c>
      <c r="W14" t="s">
        <v>47</v>
      </c>
      <c r="X14" t="s">
        <v>47</v>
      </c>
      <c r="Y14" t="s">
        <v>8</v>
      </c>
      <c r="Z14" t="s">
        <v>10</v>
      </c>
      <c r="AC14" s="32" t="s">
        <v>47</v>
      </c>
      <c r="AD14" t="s">
        <v>8</v>
      </c>
      <c r="AE14" t="s">
        <v>10</v>
      </c>
    </row>
    <row r="15" spans="1:34">
      <c r="A15">
        <v>2025</v>
      </c>
      <c r="B15" s="8" t="s">
        <v>109</v>
      </c>
      <c r="C15" s="3">
        <f>'Combined MOVES output'!C9*(1+'Federal GHG Rule'!D9)/454/2000</f>
        <v>9687.8341795790166</v>
      </c>
      <c r="D15" s="3">
        <f>'Combined MOVES output'!D9*(1+'Federal GHG Rule'!J9)/454/2000</f>
        <v>27823536.396510247</v>
      </c>
      <c r="E15" s="3">
        <f>'Combined MOVES output'!E9</f>
        <v>327404720.48998964</v>
      </c>
      <c r="F15" s="3">
        <f>'Combined MOVES output'!F9*(1+'Federal GHG Rule'!C9)/454/2000</f>
        <v>679.38640606960541</v>
      </c>
      <c r="G15" s="3">
        <f>'Combined MOVES output'!G9*(1+'Federal GHG Rule'!F9)/454/2000</f>
        <v>12530.750657244324</v>
      </c>
      <c r="H15" s="3">
        <f>'Combined MOVES output'!H9*(1+'Federal GHG Rule'!E9)/454/2000</f>
        <v>484.27366085089983</v>
      </c>
      <c r="I15" s="3">
        <f>'Combined MOVES output'!I9*(1-'Federal GHG Rule'!H9)/454/2000</f>
        <v>2204.3633630046961</v>
      </c>
      <c r="J15" s="3">
        <f>D15+AC15</f>
        <v>27624262.910687033</v>
      </c>
      <c r="L15" s="41">
        <f>'Fleet ZEV fractions'!AA17</f>
        <v>3.1556709314336143E-2</v>
      </c>
      <c r="M15" s="41">
        <f>'ZEV efficiency'!K44</f>
        <v>4.5885492022606078</v>
      </c>
      <c r="O15" s="3">
        <f>E15*L15/M15</f>
        <v>2251651.913758269</v>
      </c>
      <c r="P15" s="3">
        <f>$O15*'GREET factors'!B97/454/2000</f>
        <v>96.516117149828091</v>
      </c>
      <c r="Q15" s="3">
        <f>$O15*'GREET factors'!C97/454/2000</f>
        <v>15.283464670336331</v>
      </c>
      <c r="R15" s="3">
        <f>$O15*'GREET factors'!D97/454/2000</f>
        <v>13.19556289157806</v>
      </c>
      <c r="S15" s="3">
        <f>$O15*'GREET factors'!E97/454/2000</f>
        <v>1.5080643304660639</v>
      </c>
      <c r="T15" s="101">
        <f>$O15*'GREET factors'!F97/454/2000</f>
        <v>184771.43491344567</v>
      </c>
      <c r="U15" s="3">
        <f>$O15*'GREET factors'!G97/454/2000</f>
        <v>3.3291007328169235</v>
      </c>
      <c r="V15" s="3">
        <f>$O15*'GREET factors'!H97/454/2000</f>
        <v>22.997981039607474</v>
      </c>
      <c r="W15" s="3">
        <f>$O15*'GREET factors'!I97/454/2000</f>
        <v>185550.72715621404</v>
      </c>
      <c r="X15" s="3">
        <f>('Combined MOVES output'!D9/454/2000-'BAU Scenario'!D15)*'GREET factors'!$V$1</f>
        <v>384044.92073666136</v>
      </c>
      <c r="Y15" s="261">
        <f>O15*M15*'GREET factors'!$J$7/454/2000</f>
        <v>108.77803958303352</v>
      </c>
      <c r="Z15" s="261">
        <f>O15*M15*'GREET factors'!K$7/454/2000</f>
        <v>13.641810081317081</v>
      </c>
      <c r="AA15" s="261"/>
      <c r="AB15" s="261"/>
      <c r="AC15" s="3">
        <f>T15-X15</f>
        <v>-199273.48582321568</v>
      </c>
      <c r="AD15" s="261">
        <f>P15-Y15</f>
        <v>-12.261922433205427</v>
      </c>
      <c r="AE15" s="261">
        <f>Q15-Z15</f>
        <v>1.6416545890192502</v>
      </c>
      <c r="AF15" s="261"/>
      <c r="AG15" s="261"/>
      <c r="AH15">
        <v>2025</v>
      </c>
    </row>
    <row r="16" spans="1:34">
      <c r="C16" s="3"/>
      <c r="D16" s="3"/>
      <c r="E16" s="3"/>
      <c r="F16" s="3"/>
      <c r="G16" s="3"/>
      <c r="H16" s="3"/>
      <c r="L16" s="41"/>
      <c r="M16" s="41"/>
      <c r="O16" s="6"/>
    </row>
    <row r="17" spans="1:34">
      <c r="A17">
        <v>2026</v>
      </c>
      <c r="B17">
        <v>20</v>
      </c>
      <c r="C17" s="3"/>
      <c r="D17" s="3"/>
      <c r="E17" s="3"/>
      <c r="F17" s="3"/>
      <c r="G17" s="3"/>
      <c r="H17" s="3"/>
      <c r="I17" s="3"/>
      <c r="J17" s="3"/>
      <c r="L17" s="41"/>
      <c r="M17" s="41"/>
    </row>
    <row r="18" spans="1:34">
      <c r="A18">
        <v>2026</v>
      </c>
      <c r="B18">
        <v>30</v>
      </c>
      <c r="C18" s="3"/>
      <c r="D18" s="3"/>
      <c r="E18" s="3"/>
      <c r="F18" s="3"/>
      <c r="G18" s="3"/>
      <c r="H18" s="3"/>
      <c r="I18" s="3"/>
      <c r="J18" s="3"/>
      <c r="L18" s="41"/>
      <c r="M18" s="41"/>
      <c r="O18" t="s">
        <v>17</v>
      </c>
    </row>
    <row r="19" spans="1:34">
      <c r="A19">
        <v>2026</v>
      </c>
      <c r="B19">
        <v>41</v>
      </c>
      <c r="C19" s="3"/>
      <c r="D19" s="3"/>
      <c r="E19" s="3"/>
      <c r="F19" s="3"/>
      <c r="G19" s="3"/>
      <c r="H19" s="3"/>
      <c r="I19" s="3"/>
      <c r="J19" s="3"/>
      <c r="L19" s="41"/>
      <c r="M19" s="41"/>
      <c r="O19" t="s">
        <v>142</v>
      </c>
      <c r="P19" t="s">
        <v>8</v>
      </c>
      <c r="Q19" t="s">
        <v>10</v>
      </c>
      <c r="R19" t="s">
        <v>14</v>
      </c>
      <c r="S19" t="s">
        <v>15</v>
      </c>
      <c r="T19" t="s">
        <v>16</v>
      </c>
      <c r="U19" t="s">
        <v>115</v>
      </c>
      <c r="V19" t="s">
        <v>116</v>
      </c>
      <c r="W19" t="s">
        <v>47</v>
      </c>
      <c r="X19" t="s">
        <v>47</v>
      </c>
      <c r="Y19" t="s">
        <v>8</v>
      </c>
      <c r="Z19" t="s">
        <v>10</v>
      </c>
      <c r="AC19" s="32" t="s">
        <v>47</v>
      </c>
      <c r="AD19" t="s">
        <v>8</v>
      </c>
      <c r="AE19" t="s">
        <v>10</v>
      </c>
    </row>
    <row r="20" spans="1:34">
      <c r="A20">
        <v>2026</v>
      </c>
      <c r="B20" s="8" t="s">
        <v>109</v>
      </c>
      <c r="C20" s="3">
        <f>'Combined MOVES output'!C10*(1+'Federal GHG Rule'!D10)/454/2000</f>
        <v>8814.8801167661131</v>
      </c>
      <c r="D20" s="3">
        <f>'Combined MOVES output'!D10*(1+'Federal GHG Rule'!J10)/454/2000</f>
        <v>27233011.871912435</v>
      </c>
      <c r="E20" s="3">
        <f>'Combined MOVES output'!E10</f>
        <v>326172131.1756953</v>
      </c>
      <c r="F20" s="3">
        <f>'Combined MOVES output'!F10*(1+'Federal GHG Rule'!C10)/454/2000</f>
        <v>669.03668054426339</v>
      </c>
      <c r="G20" s="3">
        <f>'Combined MOVES output'!G10*(1+'Federal GHG Rule'!F10)/454/2000</f>
        <v>12060.386550453601</v>
      </c>
      <c r="H20" s="3">
        <f>'Combined MOVES output'!H10*(1+'Federal GHG Rule'!E10)/454/2000</f>
        <v>479.95471873889807</v>
      </c>
      <c r="I20" s="3">
        <f>'Combined MOVES output'!I10*(1-'Federal GHG Rule'!H10)/454/2000</f>
        <v>2261.0047127907178</v>
      </c>
      <c r="J20" s="3">
        <f>D20+AC20</f>
        <v>27023479.995044112</v>
      </c>
      <c r="L20" s="41">
        <f>'Fleet ZEV fractions'!AA18</f>
        <v>4.1272974516832185E-2</v>
      </c>
      <c r="M20" s="41">
        <f>'ZEV efficiency'!K45</f>
        <v>4.5196744686874846</v>
      </c>
      <c r="O20" s="3">
        <f>E20*L20/M20</f>
        <v>2978553.9094422245</v>
      </c>
      <c r="P20" s="3">
        <f>$O20*'GREET factors'!B98/454/2000</f>
        <v>115.06772452039853</v>
      </c>
      <c r="Q20" s="3">
        <f>$O20*'GREET factors'!C98/454/2000</f>
        <v>18.221138130468578</v>
      </c>
      <c r="R20" s="3">
        <f>$O20*'GREET factors'!D98/454/2000</f>
        <v>15.731915461773241</v>
      </c>
      <c r="S20" s="3">
        <f>$O20*'GREET factors'!E98/454/2000</f>
        <v>1.797933195631227</v>
      </c>
      <c r="T20" s="3">
        <f>$O20*'GREET factors'!F98/454/2000</f>
        <v>220286.8204784281</v>
      </c>
      <c r="U20" s="3">
        <f>$O20*'GREET factors'!G98/454/2000</f>
        <v>3.9689956179004549</v>
      </c>
      <c r="V20" s="3">
        <f>$O20*'GREET factors'!H98/454/2000</f>
        <v>27.418481233376212</v>
      </c>
      <c r="W20" s="3">
        <f>$O20*'GREET factors'!I98/454/2000</f>
        <v>221215.90245727051</v>
      </c>
      <c r="X20" s="3">
        <f>('Combined MOVES output'!D10/454/2000-D20)*'GREET factors'!V1</f>
        <v>429818.69734675071</v>
      </c>
      <c r="Y20" s="261">
        <f>O20*M20*'GREET factors'!$J$7/454/2000</f>
        <v>141.73503071103787</v>
      </c>
      <c r="Z20" s="261">
        <f>O20*M20*'GREET factors'!K$7/454/2000</f>
        <v>17.774933049365242</v>
      </c>
      <c r="AA20" s="261"/>
      <c r="AB20" s="261"/>
      <c r="AC20" s="3">
        <f>T20-X20</f>
        <v>-209531.87686832261</v>
      </c>
      <c r="AD20" s="261">
        <f>P20-Y20</f>
        <v>-26.667306190639337</v>
      </c>
      <c r="AE20" s="261">
        <f>Q20-Z20</f>
        <v>0.44620508110333645</v>
      </c>
      <c r="AF20" s="261"/>
      <c r="AG20" s="261"/>
      <c r="AH20">
        <v>2026</v>
      </c>
    </row>
    <row r="21" spans="1:34">
      <c r="L21" s="41"/>
      <c r="M21" s="41"/>
    </row>
    <row r="22" spans="1:34">
      <c r="A22">
        <v>2027</v>
      </c>
      <c r="B22">
        <v>20</v>
      </c>
      <c r="C22" s="3"/>
      <c r="D22" s="3"/>
      <c r="E22" s="3"/>
      <c r="F22" s="3"/>
      <c r="G22" s="3"/>
      <c r="H22" s="3"/>
      <c r="I22" s="3"/>
      <c r="J22" s="3"/>
      <c r="L22" s="41"/>
      <c r="M22" s="41"/>
    </row>
    <row r="23" spans="1:34">
      <c r="A23">
        <v>2027</v>
      </c>
      <c r="B23">
        <v>30</v>
      </c>
      <c r="C23" s="3"/>
      <c r="D23" s="3"/>
      <c r="E23" s="3"/>
      <c r="F23" s="3"/>
      <c r="G23" s="3"/>
      <c r="H23" s="3"/>
      <c r="I23" s="3"/>
      <c r="J23" s="3"/>
      <c r="L23" s="41"/>
      <c r="M23" s="41"/>
      <c r="O23" t="s">
        <v>17</v>
      </c>
    </row>
    <row r="24" spans="1:34">
      <c r="A24">
        <v>2027</v>
      </c>
      <c r="B24">
        <v>41</v>
      </c>
      <c r="C24" s="3"/>
      <c r="D24" s="3"/>
      <c r="E24" s="3"/>
      <c r="F24" s="3"/>
      <c r="G24" s="3"/>
      <c r="H24" s="3"/>
      <c r="I24" s="3"/>
      <c r="J24" s="3"/>
      <c r="L24" s="41"/>
      <c r="M24" s="41"/>
      <c r="O24" t="s">
        <v>142</v>
      </c>
      <c r="P24" t="s">
        <v>8</v>
      </c>
      <c r="Q24" t="s">
        <v>10</v>
      </c>
      <c r="R24" t="s">
        <v>14</v>
      </c>
      <c r="S24" t="s">
        <v>15</v>
      </c>
      <c r="T24" t="s">
        <v>16</v>
      </c>
      <c r="U24" t="s">
        <v>115</v>
      </c>
      <c r="V24" t="s">
        <v>116</v>
      </c>
      <c r="W24" t="s">
        <v>47</v>
      </c>
      <c r="X24" t="s">
        <v>47</v>
      </c>
      <c r="Y24" t="s">
        <v>8</v>
      </c>
      <c r="Z24" t="s">
        <v>10</v>
      </c>
      <c r="AC24" s="32" t="s">
        <v>47</v>
      </c>
      <c r="AD24" t="s">
        <v>8</v>
      </c>
      <c r="AE24" t="s">
        <v>10</v>
      </c>
    </row>
    <row r="25" spans="1:34">
      <c r="A25">
        <v>2027</v>
      </c>
      <c r="B25" s="8" t="s">
        <v>109</v>
      </c>
      <c r="C25" s="3">
        <f>'Combined MOVES output'!C11*(1+'Federal GHG Rule'!D11)/454/2000</f>
        <v>7945.3031688236424</v>
      </c>
      <c r="D25" s="3">
        <f>'Combined MOVES output'!D11*(1+'Federal GHG Rule'!J11)/454/2000</f>
        <v>26504728.002014671</v>
      </c>
      <c r="E25" s="3">
        <f>'Combined MOVES output'!E11</f>
        <v>324939541.86140096</v>
      </c>
      <c r="F25" s="3">
        <f>'Combined MOVES output'!F11*(1+'Federal GHG Rule'!C11)/454/2000</f>
        <v>658.6524708390657</v>
      </c>
      <c r="G25" s="3">
        <f>'Combined MOVES output'!G11*(1+'Federal GHG Rule'!F11)/454/2000</f>
        <v>11596.558486224782</v>
      </c>
      <c r="H25" s="3">
        <f>'Combined MOVES output'!H11*(1+'Federal GHG Rule'!E11)/454/2000</f>
        <v>473.06476269923996</v>
      </c>
      <c r="I25" s="3">
        <f>'Combined MOVES output'!I11*(1-'Federal GHG Rule'!H11)/454/2000</f>
        <v>2248.7515829012441</v>
      </c>
      <c r="J25" s="3">
        <f>D25+AC25</f>
        <v>26234493.730158605</v>
      </c>
      <c r="L25" s="41">
        <f>'Fleet ZEV fractions'!AA19</f>
        <v>5.0956927319338742E-2</v>
      </c>
      <c r="M25" s="41">
        <f>'ZEV efficiency'!K46</f>
        <v>4.4510976554340083</v>
      </c>
      <c r="O25" s="3">
        <f>E25*L25/M25</f>
        <v>3719963.4561143192</v>
      </c>
      <c r="P25" s="3">
        <f>$O25*'GREET factors'!B99/454/2000</f>
        <v>127.96515365803889</v>
      </c>
      <c r="Q25" s="3">
        <f>$O25*'GREET factors'!C99/454/2000</f>
        <v>20.263464411138308</v>
      </c>
      <c r="R25" s="3">
        <f>$O25*'GREET factors'!D99/454/2000</f>
        <v>17.495235851685006</v>
      </c>
      <c r="S25" s="3">
        <f>$O25*'GREET factors'!E99/454/2000</f>
        <v>1.9994555259068576</v>
      </c>
      <c r="T25" s="3">
        <f>$O25*'GREET factors'!F99/454/2000</f>
        <v>244977.78980904151</v>
      </c>
      <c r="U25" s="3">
        <f>$O25*'GREET factors'!G99/454/2000</f>
        <v>4.4138626728703443</v>
      </c>
      <c r="V25" s="3">
        <f>$O25*'GREET factors'!H99/454/2000</f>
        <v>30.491696770079582</v>
      </c>
      <c r="W25" s="3">
        <f>$O25*'GREET factors'!I99/454/2000</f>
        <v>246011.00845205388</v>
      </c>
      <c r="X25" s="3">
        <f>('Combined MOVES output'!D11/454/2000-D25)*'GREET factors'!V1</f>
        <v>515212.06166510616</v>
      </c>
      <c r="Y25" s="261">
        <f>O25*M25*'GREET factors'!$J$7/454/2000</f>
        <v>174.32929655261029</v>
      </c>
      <c r="Z25" s="261">
        <f>O25*M25*'GREET factors'!K$7/454/2000</f>
        <v>21.862566785504427</v>
      </c>
      <c r="AA25" s="261"/>
      <c r="AB25" s="261"/>
      <c r="AC25" s="3">
        <f>T25-X25</f>
        <v>-270234.27185606468</v>
      </c>
      <c r="AD25" s="261">
        <f>P25-Y25</f>
        <v>-46.364142894571401</v>
      </c>
      <c r="AE25" s="261">
        <f>Q25-Z25</f>
        <v>-1.5991023743661188</v>
      </c>
      <c r="AF25" s="261"/>
      <c r="AG25" s="261"/>
      <c r="AH25">
        <v>2027</v>
      </c>
    </row>
    <row r="26" spans="1:34">
      <c r="L26" s="41"/>
      <c r="M26" s="41"/>
      <c r="X26" s="3"/>
      <c r="Y26" s="3"/>
      <c r="Z26" s="3"/>
      <c r="AA26" s="3"/>
      <c r="AB26" s="3"/>
    </row>
    <row r="27" spans="1:34">
      <c r="A27">
        <v>2028</v>
      </c>
      <c r="B27">
        <v>20</v>
      </c>
      <c r="C27" s="3"/>
      <c r="D27" s="3"/>
      <c r="E27" s="3"/>
      <c r="F27" s="3"/>
      <c r="G27" s="3"/>
      <c r="H27" s="3"/>
      <c r="I27" s="3"/>
      <c r="J27" s="3"/>
      <c r="L27" s="41"/>
      <c r="M27" s="41"/>
      <c r="X27" s="3"/>
      <c r="Y27" s="3"/>
      <c r="Z27" s="3"/>
      <c r="AA27" s="3"/>
      <c r="AB27" s="3"/>
    </row>
    <row r="28" spans="1:34">
      <c r="A28">
        <v>2028</v>
      </c>
      <c r="B28">
        <v>30</v>
      </c>
      <c r="C28" s="3"/>
      <c r="D28" s="3"/>
      <c r="E28" s="3"/>
      <c r="F28" s="3"/>
      <c r="G28" s="3"/>
      <c r="H28" s="3"/>
      <c r="I28" s="3"/>
      <c r="J28" s="3"/>
      <c r="L28" s="41"/>
      <c r="M28" s="41"/>
      <c r="O28" t="s">
        <v>17</v>
      </c>
      <c r="X28" s="3"/>
      <c r="Y28" s="3"/>
      <c r="Z28" s="3"/>
      <c r="AA28" s="3"/>
      <c r="AB28" s="3"/>
    </row>
    <row r="29" spans="1:34">
      <c r="A29">
        <v>2028</v>
      </c>
      <c r="B29">
        <v>41</v>
      </c>
      <c r="C29" s="3"/>
      <c r="D29" s="3"/>
      <c r="E29" s="3"/>
      <c r="F29" s="3"/>
      <c r="G29" s="3"/>
      <c r="H29" s="3"/>
      <c r="I29" s="3"/>
      <c r="J29" s="3"/>
      <c r="L29" s="41"/>
      <c r="M29" s="41"/>
      <c r="O29" t="s">
        <v>142</v>
      </c>
      <c r="P29" t="s">
        <v>8</v>
      </c>
      <c r="Q29" t="s">
        <v>10</v>
      </c>
      <c r="R29" t="s">
        <v>14</v>
      </c>
      <c r="S29" t="s">
        <v>15</v>
      </c>
      <c r="T29" t="s">
        <v>16</v>
      </c>
      <c r="U29" t="s">
        <v>115</v>
      </c>
      <c r="V29" t="s">
        <v>116</v>
      </c>
      <c r="W29" t="s">
        <v>47</v>
      </c>
      <c r="X29" t="s">
        <v>47</v>
      </c>
      <c r="Y29" t="s">
        <v>8</v>
      </c>
      <c r="Z29" t="s">
        <v>10</v>
      </c>
      <c r="AC29" s="32" t="s">
        <v>47</v>
      </c>
      <c r="AD29" t="s">
        <v>8</v>
      </c>
      <c r="AE29" t="s">
        <v>10</v>
      </c>
    </row>
    <row r="30" spans="1:34">
      <c r="A30">
        <v>2028</v>
      </c>
      <c r="B30" s="8" t="s">
        <v>109</v>
      </c>
      <c r="C30" s="3">
        <f>'Combined MOVES output'!C12*(1+'Federal GHG Rule'!D12)/454/2000</f>
        <v>7074.0853678970598</v>
      </c>
      <c r="D30" s="3">
        <f>'Combined MOVES output'!D12*(1+'Federal GHG Rule'!J12)/454/2000</f>
        <v>25648842.885745525</v>
      </c>
      <c r="E30" s="3">
        <f>'Combined MOVES output'!E12</f>
        <v>323706952.54710668</v>
      </c>
      <c r="F30" s="3">
        <f>'Combined MOVES output'!F12*(1+'Federal GHG Rule'!C12)/454/2000</f>
        <v>647.63147173149036</v>
      </c>
      <c r="G30" s="3">
        <f>'Combined MOVES output'!G12*(1+'Federal GHG Rule'!F12)/454/2000</f>
        <v>11131.679745976337</v>
      </c>
      <c r="H30" s="3">
        <f>'Combined MOVES output'!H12*(1+'Federal GHG Rule'!E12)/454/2000</f>
        <v>463.69303884869919</v>
      </c>
      <c r="I30" s="3">
        <f>'Combined MOVES output'!I12*(1-'Federal GHG Rule'!H12)/454/2000</f>
        <v>2236.0762982517635</v>
      </c>
      <c r="J30" s="3">
        <f>D30+AC30</f>
        <v>25270062.78161912</v>
      </c>
      <c r="L30" s="41">
        <f>'Fleet ZEV fractions'!AA20</f>
        <v>6.0608707551614648E-2</v>
      </c>
      <c r="M30" s="41">
        <f>'ZEV efficiency'!K47</f>
        <v>4.3828360072396775</v>
      </c>
      <c r="O30" s="3">
        <f>E30*L30/M30</f>
        <v>4476430.3266068082</v>
      </c>
      <c r="P30" s="3">
        <f>$O30*'GREET factors'!B100/454/2000</f>
        <v>135.0407797772383</v>
      </c>
      <c r="Q30" s="3">
        <f>$O30*'GREET factors'!C100/454/2000</f>
        <v>21.383899888722024</v>
      </c>
      <c r="R30" s="3">
        <f>$O30*'GREET factors'!D100/454/2000</f>
        <v>18.462606610169299</v>
      </c>
      <c r="S30" s="3">
        <f>$O30*'GREET factors'!E100/454/2000</f>
        <v>2.1100121840193484</v>
      </c>
      <c r="T30" s="3">
        <f>$O30*'GREET factors'!F100/454/2000</f>
        <v>258523.44031346455</v>
      </c>
      <c r="U30" s="3">
        <f>$O30*'GREET factors'!G100/454/2000</f>
        <v>4.6579200675746781</v>
      </c>
      <c r="V30" s="3">
        <f>$O30*'GREET factors'!H100/454/2000</f>
        <v>32.177685806295059</v>
      </c>
      <c r="W30" s="3">
        <f>$O30*'GREET factors'!I100/454/2000</f>
        <v>259613.78910955656</v>
      </c>
      <c r="X30" s="3">
        <f>('Combined MOVES output'!D12/454/2000-D30)*'GREET factors'!V1</f>
        <v>637303.54443987075</v>
      </c>
      <c r="Y30" s="261">
        <f>O30*M30*'GREET factors'!$J$7/454/2000</f>
        <v>206.56257164542043</v>
      </c>
      <c r="Z30" s="261">
        <f>O30*M30*'GREET factors'!K$7/454/2000</f>
        <v>25.904928817404372</v>
      </c>
      <c r="AA30" s="261"/>
      <c r="AB30" s="261"/>
      <c r="AC30" s="3">
        <f>T30-X30</f>
        <v>-378780.10412640619</v>
      </c>
      <c r="AD30" s="261">
        <f>P30-Y30</f>
        <v>-71.521791868182135</v>
      </c>
      <c r="AE30" s="261">
        <f>Q30-Z30</f>
        <v>-4.5210289286823482</v>
      </c>
      <c r="AF30" s="261"/>
      <c r="AG30" s="261"/>
      <c r="AH30">
        <v>2028</v>
      </c>
    </row>
    <row r="31" spans="1:34">
      <c r="L31" s="41"/>
      <c r="M31" s="41"/>
      <c r="X31" s="3"/>
      <c r="Y31" s="3"/>
      <c r="Z31" s="3"/>
      <c r="AA31" s="3"/>
      <c r="AB31" s="3"/>
    </row>
    <row r="32" spans="1:34">
      <c r="A32">
        <v>2029</v>
      </c>
      <c r="B32">
        <v>20</v>
      </c>
      <c r="C32" s="3"/>
      <c r="D32" s="3"/>
      <c r="E32" s="3"/>
      <c r="F32" s="3"/>
      <c r="G32" s="3"/>
      <c r="H32" s="3"/>
      <c r="I32" s="3"/>
      <c r="J32" s="3"/>
      <c r="L32" s="41"/>
      <c r="M32" s="41"/>
      <c r="X32" s="3"/>
      <c r="Y32" s="3"/>
      <c r="Z32" s="3"/>
      <c r="AA32" s="3"/>
      <c r="AB32" s="3"/>
    </row>
    <row r="33" spans="1:34">
      <c r="A33">
        <v>2029</v>
      </c>
      <c r="B33">
        <v>30</v>
      </c>
      <c r="C33" s="3"/>
      <c r="D33" s="3"/>
      <c r="E33" s="3"/>
      <c r="F33" s="3"/>
      <c r="G33" s="3"/>
      <c r="H33" s="3"/>
      <c r="I33" s="3"/>
      <c r="J33" s="3"/>
      <c r="L33" s="41"/>
      <c r="M33" s="41"/>
      <c r="O33" t="s">
        <v>17</v>
      </c>
      <c r="X33" s="3"/>
      <c r="Y33" s="3"/>
      <c r="Z33" s="3"/>
      <c r="AA33" s="3"/>
      <c r="AB33" s="3"/>
    </row>
    <row r="34" spans="1:34">
      <c r="A34">
        <v>2029</v>
      </c>
      <c r="B34">
        <v>41</v>
      </c>
      <c r="C34" s="3"/>
      <c r="D34" s="3"/>
      <c r="E34" s="3"/>
      <c r="F34" s="3"/>
      <c r="G34" s="3"/>
      <c r="H34" s="3"/>
      <c r="I34" s="3"/>
      <c r="J34" s="3"/>
      <c r="L34" s="41"/>
      <c r="M34" s="41"/>
      <c r="O34" t="s">
        <v>142</v>
      </c>
      <c r="P34" t="s">
        <v>8</v>
      </c>
      <c r="Q34" t="s">
        <v>10</v>
      </c>
      <c r="R34" t="s">
        <v>14</v>
      </c>
      <c r="S34" t="s">
        <v>15</v>
      </c>
      <c r="T34" t="s">
        <v>16</v>
      </c>
      <c r="U34" t="s">
        <v>115</v>
      </c>
      <c r="V34" t="s">
        <v>116</v>
      </c>
      <c r="W34" t="s">
        <v>47</v>
      </c>
      <c r="X34" t="s">
        <v>47</v>
      </c>
      <c r="Y34" t="s">
        <v>8</v>
      </c>
      <c r="Z34" t="s">
        <v>10</v>
      </c>
      <c r="AC34" s="32" t="s">
        <v>47</v>
      </c>
      <c r="AD34" t="s">
        <v>8</v>
      </c>
      <c r="AE34" t="s">
        <v>10</v>
      </c>
    </row>
    <row r="35" spans="1:34">
      <c r="A35">
        <v>2029</v>
      </c>
      <c r="B35" s="8" t="s">
        <v>109</v>
      </c>
      <c r="C35" s="3">
        <f>'Combined MOVES output'!C13*(1+'Federal GHG Rule'!D13)/454/2000</f>
        <v>6200.2387782923652</v>
      </c>
      <c r="D35" s="3">
        <f>'Combined MOVES output'!D13*(1+'Federal GHG Rule'!J13)/454/2000</f>
        <v>24716007.518084783</v>
      </c>
      <c r="E35" s="3">
        <f>'Combined MOVES output'!E13</f>
        <v>322474363.23281235</v>
      </c>
      <c r="F35" s="3">
        <f>'Combined MOVES output'!F13*(1+'Federal GHG Rule'!C13)/454/2000</f>
        <v>635.9399142142596</v>
      </c>
      <c r="G35" s="3">
        <f>'Combined MOVES output'!G13*(1+'Federal GHG Rule'!F13)/454/2000</f>
        <v>10663.490479358341</v>
      </c>
      <c r="H35" s="3">
        <f>'Combined MOVES output'!H13*(1+'Federal GHG Rule'!E13)/454/2000</f>
        <v>452.68266815351404</v>
      </c>
      <c r="I35" s="3">
        <f>'Combined MOVES output'!I13*(1-'Federal GHG Rule'!H13)/454/2000</f>
        <v>2224.0673762635997</v>
      </c>
      <c r="J35" s="3">
        <f>D35+AC35</f>
        <v>24195069.726359405</v>
      </c>
      <c r="L35" s="41">
        <f>'Fleet ZEV fractions'!AA21</f>
        <v>7.0228453938106311E-2</v>
      </c>
      <c r="M35" s="41">
        <f>'ZEV efficiency'!K48</f>
        <v>4.3148690137751311</v>
      </c>
      <c r="O35" s="3">
        <f>E35*L35/M35</f>
        <v>5248566.2698487565</v>
      </c>
      <c r="P35" s="3">
        <f>$O35*'GREET factors'!B101/454/2000</f>
        <v>136.1192777518097</v>
      </c>
      <c r="Q35" s="3">
        <f>$O35*'GREET factors'!C101/454/2000</f>
        <v>21.554681579678395</v>
      </c>
      <c r="R35" s="3">
        <f>$O35*'GREET factors'!D101/454/2000</f>
        <v>18.610057505130232</v>
      </c>
      <c r="S35" s="3">
        <f>$O35*'GREET factors'!E101/454/2000</f>
        <v>2.1268637148720266</v>
      </c>
      <c r="T35" s="3">
        <f>$O35*'GREET factors'!F101/454/2000</f>
        <v>260588.12778947913</v>
      </c>
      <c r="U35" s="3">
        <f>$O35*'GREET factors'!G101/454/2000</f>
        <v>4.695120366379836</v>
      </c>
      <c r="V35" s="3">
        <f>$O35*'GREET factors'!H101/454/2000</f>
        <v>32.434671651798404</v>
      </c>
      <c r="W35" s="3">
        <f>$O35*'GREET factors'!I101/454/2000</f>
        <v>261687.18461413926</v>
      </c>
      <c r="X35" s="3">
        <f>('Combined MOVES output'!D13/454/2000-D35)*'GREET factors'!V1</f>
        <v>781525.91951485875</v>
      </c>
      <c r="Y35" s="261">
        <f>O35*M35*'GREET factors'!$J$7/454/2000</f>
        <v>238.4365795160013</v>
      </c>
      <c r="Z35" s="261">
        <f>O35*M35*'GREET factors'!K$7/454/2000</f>
        <v>29.902235291832604</v>
      </c>
      <c r="AA35" s="261"/>
      <c r="AB35" s="261"/>
      <c r="AC35" s="3">
        <f>T35-X35</f>
        <v>-520937.79172537965</v>
      </c>
      <c r="AD35" s="261">
        <f>P35-Y35</f>
        <v>-102.3173017641916</v>
      </c>
      <c r="AE35" s="261">
        <f>Q35-Z35</f>
        <v>-8.3475537121542089</v>
      </c>
      <c r="AF35" s="261"/>
      <c r="AG35" s="261"/>
      <c r="AH35">
        <v>2029</v>
      </c>
    </row>
    <row r="36" spans="1:34">
      <c r="C36" s="3"/>
      <c r="D36" s="3"/>
      <c r="E36" s="3"/>
      <c r="F36" s="3"/>
      <c r="G36" s="3"/>
      <c r="H36" s="3"/>
      <c r="L36" s="41"/>
      <c r="M36" s="41"/>
    </row>
    <row r="37" spans="1:34">
      <c r="A37">
        <v>2030</v>
      </c>
      <c r="B37">
        <v>20</v>
      </c>
      <c r="C37" s="3"/>
      <c r="D37" s="3"/>
      <c r="E37" s="3"/>
      <c r="F37" s="3"/>
      <c r="G37" s="3"/>
      <c r="H37" s="3"/>
      <c r="I37" s="3"/>
      <c r="J37" s="3"/>
      <c r="L37" s="41"/>
      <c r="M37" s="41"/>
    </row>
    <row r="38" spans="1:34">
      <c r="A38">
        <v>2030</v>
      </c>
      <c r="B38">
        <v>30</v>
      </c>
      <c r="C38" s="3"/>
      <c r="D38" s="3"/>
      <c r="E38" s="3"/>
      <c r="F38" s="3"/>
      <c r="G38" s="3"/>
      <c r="H38" s="3"/>
      <c r="I38" s="3"/>
      <c r="J38" s="3"/>
      <c r="L38" s="41"/>
      <c r="M38" s="41"/>
      <c r="O38" t="s">
        <v>17</v>
      </c>
    </row>
    <row r="39" spans="1:34">
      <c r="A39">
        <v>2030</v>
      </c>
      <c r="B39">
        <v>41</v>
      </c>
      <c r="C39" s="3"/>
      <c r="D39" s="3"/>
      <c r="E39" s="3"/>
      <c r="F39" s="3"/>
      <c r="G39" s="3"/>
      <c r="H39" s="3"/>
      <c r="I39" s="3"/>
      <c r="J39" s="3"/>
      <c r="L39" s="41"/>
      <c r="M39" s="41"/>
      <c r="O39" t="s">
        <v>142</v>
      </c>
      <c r="P39" t="s">
        <v>8</v>
      </c>
      <c r="Q39" t="s">
        <v>10</v>
      </c>
      <c r="R39" t="s">
        <v>14</v>
      </c>
      <c r="S39" t="s">
        <v>15</v>
      </c>
      <c r="T39" t="s">
        <v>16</v>
      </c>
      <c r="U39" t="s">
        <v>115</v>
      </c>
      <c r="V39" t="s">
        <v>116</v>
      </c>
      <c r="W39" t="s">
        <v>47</v>
      </c>
      <c r="X39" t="s">
        <v>47</v>
      </c>
      <c r="Y39" t="s">
        <v>8</v>
      </c>
      <c r="Z39" t="s">
        <v>10</v>
      </c>
      <c r="AC39" s="32" t="s">
        <v>47</v>
      </c>
      <c r="AD39" t="s">
        <v>8</v>
      </c>
      <c r="AE39" t="s">
        <v>10</v>
      </c>
    </row>
    <row r="40" spans="1:34">
      <c r="A40">
        <v>2030</v>
      </c>
      <c r="B40" s="8" t="s">
        <v>109</v>
      </c>
      <c r="C40" s="3">
        <f>'Combined MOVES output'!C14*(1+'Federal GHG Rule'!D14)/454/2000</f>
        <v>5321.40601118207</v>
      </c>
      <c r="D40" s="3">
        <f>'Combined MOVES output'!D14*(1+'Federal GHG Rule'!J14)/454/2000</f>
        <v>23802211.032546028</v>
      </c>
      <c r="E40" s="3">
        <f>'Combined MOVES output'!E14</f>
        <v>321241773.91851801</v>
      </c>
      <c r="F40" s="3">
        <f>'Combined MOVES output'!F14*(1+'Federal GHG Rule'!C15)/454/2000</f>
        <v>620.71528059123148</v>
      </c>
      <c r="G40" s="3">
        <f>'Combined MOVES output'!G14*(1+'Federal GHG Rule'!F14)/454/2000</f>
        <v>10185.455933680492</v>
      </c>
      <c r="H40" s="3">
        <f>'Combined MOVES output'!H14*(1+'Federal GHG Rule'!E14)/454/2000</f>
        <v>441.75584239748645</v>
      </c>
      <c r="I40" s="3">
        <f>'Combined MOVES output'!I14*(1-'Federal GHG Rule'!H14)/454/2000</f>
        <v>2211.4369414458083</v>
      </c>
      <c r="J40" s="3">
        <f>D40+AC40</f>
        <v>23132755.732003957</v>
      </c>
      <c r="L40" s="41">
        <f>'Fleet ZEV fractions'!AA22</f>
        <v>7.9816304108847519E-2</v>
      </c>
      <c r="M40" s="41">
        <f>'ZEV efficiency'!K49</f>
        <v>4.2471919475656934</v>
      </c>
      <c r="O40" s="3">
        <f>E40*L40/M40</f>
        <v>6037007.8480305094</v>
      </c>
      <c r="P40" s="3">
        <f>$O40*'GREET factors'!B102/454/2000</f>
        <v>131.01550403430701</v>
      </c>
      <c r="Q40" s="3">
        <f>$O40*'GREET factors'!C102/454/2000</f>
        <v>20.746491739470116</v>
      </c>
      <c r="R40" s="3">
        <f>$O40*'GREET factors'!D102/454/2000</f>
        <v>17.912275942190416</v>
      </c>
      <c r="S40" s="3">
        <f>$O40*'GREET factors'!E102/454/2000</f>
        <v>2.0471172505360471</v>
      </c>
      <c r="T40" s="3">
        <f>$O40*'GREET factors'!F102/454/2000</f>
        <v>250817.41154949015</v>
      </c>
      <c r="U40" s="3">
        <f>$O40*'GREET factors'!G102/454/2000</f>
        <v>4.5190774698686367</v>
      </c>
      <c r="V40" s="3">
        <f>$O40*'GREET factors'!H102/454/2000</f>
        <v>31.218538070674718</v>
      </c>
      <c r="W40" s="3">
        <f>$O40*'GREET factors'!I102/454/2000</f>
        <v>251875.2593887047</v>
      </c>
      <c r="X40" s="3">
        <f>('Combined MOVES output'!D14/454/2000-D40)*'GREET factors'!V1</f>
        <v>920272.71209156199</v>
      </c>
      <c r="Y40" s="261">
        <f>O40*M40*'GREET factors'!$J$7/454/2000</f>
        <v>269.95303278833416</v>
      </c>
      <c r="Z40" s="261">
        <f>O40*M40*'GREET factors'!K$7/454/2000</f>
        <v>33.854700988272022</v>
      </c>
      <c r="AA40" s="261"/>
      <c r="AB40" s="261"/>
      <c r="AC40" s="3">
        <f>T40-X40</f>
        <v>-669455.30054207181</v>
      </c>
      <c r="AD40" s="261">
        <f>P40-Y40</f>
        <v>-138.93752875402714</v>
      </c>
      <c r="AE40" s="261">
        <f>Q40-Z40</f>
        <v>-13.108209248801906</v>
      </c>
      <c r="AF40" s="261"/>
      <c r="AG40" s="261"/>
      <c r="AH40">
        <v>2030</v>
      </c>
    </row>
    <row r="41" spans="1:34">
      <c r="A41" s="6"/>
      <c r="C41" s="3"/>
      <c r="D41" s="3"/>
      <c r="E41" s="3"/>
      <c r="F41" s="3"/>
      <c r="G41" s="3"/>
      <c r="H41" s="3"/>
      <c r="L41" s="41"/>
      <c r="M41" s="41"/>
      <c r="AH41" s="6"/>
    </row>
    <row r="42" spans="1:34">
      <c r="A42">
        <v>2031</v>
      </c>
      <c r="B42">
        <v>20</v>
      </c>
      <c r="C42" s="3"/>
      <c r="D42" s="3"/>
      <c r="E42" s="3"/>
      <c r="F42" s="3"/>
      <c r="G42" s="3"/>
      <c r="H42" s="3"/>
      <c r="I42" s="3"/>
      <c r="J42" s="3"/>
      <c r="L42" s="41"/>
      <c r="M42" s="41"/>
    </row>
    <row r="43" spans="1:34">
      <c r="A43">
        <v>2031</v>
      </c>
      <c r="B43">
        <v>30</v>
      </c>
      <c r="C43" s="3"/>
      <c r="D43" s="3"/>
      <c r="E43" s="3"/>
      <c r="F43" s="3"/>
      <c r="G43" s="3"/>
      <c r="H43" s="3"/>
      <c r="I43" s="3"/>
      <c r="J43" s="3"/>
      <c r="L43" s="41"/>
      <c r="M43" s="41"/>
      <c r="O43" t="s">
        <v>17</v>
      </c>
    </row>
    <row r="44" spans="1:34">
      <c r="A44">
        <v>2031</v>
      </c>
      <c r="B44">
        <v>41</v>
      </c>
      <c r="C44" s="3"/>
      <c r="D44" s="3"/>
      <c r="E44" s="3"/>
      <c r="F44" s="3"/>
      <c r="G44" s="3"/>
      <c r="H44" s="3"/>
      <c r="I44" s="3"/>
      <c r="J44" s="3"/>
      <c r="L44" s="41"/>
      <c r="M44" s="41"/>
      <c r="O44" t="s">
        <v>142</v>
      </c>
      <c r="P44" t="s">
        <v>8</v>
      </c>
      <c r="Q44" t="s">
        <v>10</v>
      </c>
      <c r="R44" t="s">
        <v>14</v>
      </c>
      <c r="S44" t="s">
        <v>15</v>
      </c>
      <c r="T44" t="s">
        <v>16</v>
      </c>
      <c r="U44" t="s">
        <v>115</v>
      </c>
      <c r="V44" t="s">
        <v>116</v>
      </c>
      <c r="W44" t="s">
        <v>47</v>
      </c>
      <c r="X44" t="s">
        <v>47</v>
      </c>
      <c r="Y44" t="s">
        <v>8</v>
      </c>
      <c r="Z44" t="s">
        <v>10</v>
      </c>
      <c r="AC44" s="32" t="s">
        <v>47</v>
      </c>
      <c r="AD44" t="s">
        <v>8</v>
      </c>
      <c r="AE44" t="s">
        <v>10</v>
      </c>
    </row>
    <row r="45" spans="1:34">
      <c r="A45">
        <v>2031</v>
      </c>
      <c r="B45" s="8" t="s">
        <v>109</v>
      </c>
      <c r="C45" s="3">
        <f>'Combined MOVES output'!C15*(1+'Federal GHG Rule'!D15)/454/2000</f>
        <v>4925.404023778281</v>
      </c>
      <c r="D45" s="3">
        <f>'Combined MOVES output'!D15*(1+'Federal GHG Rule'!J15)/454/2000</f>
        <v>23137535.826884765</v>
      </c>
      <c r="E45" s="3">
        <f>'Combined MOVES output'!E15</f>
        <v>319072521.27916521</v>
      </c>
      <c r="F45" s="3">
        <f>'Combined MOVES output'!F15*(1+'Federal GHG Rule'!C15)/454/2000</f>
        <v>610.50259079854413</v>
      </c>
      <c r="G45" s="3">
        <f>'Combined MOVES output'!G15*(1+'Federal GHG Rule'!F15)/454/2000</f>
        <v>9984.3156828805622</v>
      </c>
      <c r="H45" s="3">
        <f>'Combined MOVES output'!H15*(1+'Federal GHG Rule'!E15)/454/2000</f>
        <v>432.1623915992198</v>
      </c>
      <c r="I45" s="3">
        <f>'Combined MOVES output'!I15*(1-'Federal GHG Rule'!H15)/454/2000</f>
        <v>2204.1826838401626</v>
      </c>
      <c r="J45" s="3">
        <f>D45+AC45</f>
        <v>22340383.329178706</v>
      </c>
      <c r="L45" s="41">
        <f>'Fleet ZEV fractions'!AA23</f>
        <v>8.942486763721301E-2</v>
      </c>
      <c r="M45" s="41">
        <f>'ZEV efficiency'!K50</f>
        <v>4.2093733769317128</v>
      </c>
      <c r="O45" s="3">
        <f>E45*L45/M45</f>
        <v>6778447.8655251544</v>
      </c>
      <c r="P45" s="3">
        <f>$O45*'GREET factors'!B103/454/2000</f>
        <v>136.89390747337717</v>
      </c>
      <c r="Q45" s="3">
        <f>$O45*'GREET factors'!C103/454/2000</f>
        <v>21.677345299809097</v>
      </c>
      <c r="R45" s="3">
        <f>$O45*'GREET factors'!D103/454/2000</f>
        <v>18.715963912375784</v>
      </c>
      <c r="S45" s="3">
        <f>$O45*'GREET factors'!E103/454/2000</f>
        <v>2.1389673042715183</v>
      </c>
      <c r="T45" s="3">
        <f>$O45*'GREET factors'!F103/454/2000</f>
        <v>262071.08679578092</v>
      </c>
      <c r="U45" s="3">
        <f>$O45*'GREET factors'!G103/454/2000</f>
        <v>4.7218394310281644</v>
      </c>
      <c r="V45" s="3">
        <f>$O45*'GREET factors'!H103/454/2000</f>
        <v>32.619251390140647</v>
      </c>
      <c r="W45" s="3">
        <f>$O45*'GREET factors'!I103/454/2000</f>
        <v>263176.3981502633</v>
      </c>
      <c r="X45" s="3">
        <f>('Combined MOVES output'!D15/454/2000-D45)*'GREET factors'!V1</f>
        <v>1059223.5845018411</v>
      </c>
      <c r="Y45" s="261">
        <f>O45*M45*'GREET factors'!$J$7/454/2000</f>
        <v>300.40855178308067</v>
      </c>
      <c r="Z45" s="261">
        <f>O45*M45*'GREET factors'!K$7/454/2000</f>
        <v>37.674115344762029</v>
      </c>
      <c r="AA45" s="261"/>
      <c r="AB45" s="261"/>
      <c r="AC45" s="3">
        <f>T45-X45</f>
        <v>-797152.49770606018</v>
      </c>
      <c r="AD45" s="261">
        <f>P45-Y45</f>
        <v>-163.5146443097035</v>
      </c>
      <c r="AE45" s="261">
        <f>Q45-Z45</f>
        <v>-15.996770044952932</v>
      </c>
      <c r="AF45" s="261"/>
      <c r="AG45" s="261"/>
      <c r="AH45">
        <v>2031</v>
      </c>
    </row>
    <row r="46" spans="1:34">
      <c r="L46" s="41"/>
      <c r="M46" s="41"/>
    </row>
    <row r="47" spans="1:34">
      <c r="A47">
        <v>2032</v>
      </c>
      <c r="B47">
        <v>20</v>
      </c>
      <c r="C47" s="3"/>
      <c r="D47" s="3"/>
      <c r="E47" s="3"/>
      <c r="F47" s="3"/>
      <c r="G47" s="3"/>
      <c r="H47" s="3"/>
      <c r="I47" s="3"/>
      <c r="J47" s="3"/>
      <c r="L47" s="41"/>
      <c r="M47" s="41"/>
    </row>
    <row r="48" spans="1:34">
      <c r="A48">
        <v>2032</v>
      </c>
      <c r="B48">
        <v>30</v>
      </c>
      <c r="C48" s="3"/>
      <c r="D48" s="3"/>
      <c r="E48" s="3"/>
      <c r="F48" s="3"/>
      <c r="G48" s="3"/>
      <c r="H48" s="3"/>
      <c r="I48" s="3"/>
      <c r="J48" s="3"/>
      <c r="L48" s="41"/>
      <c r="M48" s="41"/>
      <c r="O48" t="s">
        <v>17</v>
      </c>
    </row>
    <row r="49" spans="1:34">
      <c r="A49">
        <v>2032</v>
      </c>
      <c r="B49">
        <v>41</v>
      </c>
      <c r="C49" s="3"/>
      <c r="D49" s="3"/>
      <c r="E49" s="3"/>
      <c r="F49" s="3"/>
      <c r="G49" s="3"/>
      <c r="H49" s="3"/>
      <c r="I49" s="3"/>
      <c r="J49" s="3"/>
      <c r="L49" s="41"/>
      <c r="M49" s="41"/>
      <c r="O49" t="s">
        <v>142</v>
      </c>
      <c r="P49" t="s">
        <v>8</v>
      </c>
      <c r="Q49" t="s">
        <v>10</v>
      </c>
      <c r="R49" t="s">
        <v>14</v>
      </c>
      <c r="S49" t="s">
        <v>15</v>
      </c>
      <c r="T49" t="s">
        <v>16</v>
      </c>
      <c r="U49" t="s">
        <v>115</v>
      </c>
      <c r="V49" t="s">
        <v>116</v>
      </c>
      <c r="W49" t="s">
        <v>47</v>
      </c>
      <c r="X49" t="s">
        <v>47</v>
      </c>
      <c r="Y49" t="s">
        <v>8</v>
      </c>
      <c r="Z49" t="s">
        <v>10</v>
      </c>
      <c r="AC49" s="32" t="s">
        <v>47</v>
      </c>
      <c r="AD49" t="s">
        <v>8</v>
      </c>
      <c r="AE49" t="s">
        <v>10</v>
      </c>
    </row>
    <row r="50" spans="1:34">
      <c r="A50">
        <v>2032</v>
      </c>
      <c r="B50" s="8" t="s">
        <v>109</v>
      </c>
      <c r="C50" s="3">
        <f>'Combined MOVES output'!C16*(1+'Federal GHG Rule'!D16)/454/2000</f>
        <v>4527.5549181626229</v>
      </c>
      <c r="D50" s="3">
        <f>'Combined MOVES output'!D16*(1+'Federal GHG Rule'!J16)/454/2000</f>
        <v>22480290.118729092</v>
      </c>
      <c r="E50" s="3">
        <f>'Combined MOVES output'!E16</f>
        <v>316903268.63981247</v>
      </c>
      <c r="F50" s="3">
        <f>'Combined MOVES output'!F16*(1+'Federal GHG Rule'!C16)/454/2000</f>
        <v>597.06756538267848</v>
      </c>
      <c r="G50" s="3">
        <f>'Combined MOVES output'!G16*(1+'Federal GHG Rule'!F16)/454/2000</f>
        <v>9778.7095844520263</v>
      </c>
      <c r="H50" s="3">
        <f>'Combined MOVES output'!H16*(1+'Federal GHG Rule'!E16)/454/2000</f>
        <v>422.58416952578631</v>
      </c>
      <c r="I50" s="3">
        <f>'Combined MOVES output'!I16*(1-'Federal GHG Rule'!H16)/454/2000</f>
        <v>2196.8953089740785</v>
      </c>
      <c r="J50" s="3">
        <f>D50+AC50</f>
        <v>21553453.191420671</v>
      </c>
      <c r="L50" s="41">
        <f>'Fleet ZEV fractions'!AA24</f>
        <v>9.9049964049773065E-2</v>
      </c>
      <c r="M50" s="41">
        <f>'ZEV efficiency'!K51</f>
        <v>4.1717928268709157</v>
      </c>
      <c r="O50" s="3">
        <f>E50*L50/M50</f>
        <v>7524164.9498622753</v>
      </c>
      <c r="P50" s="3">
        <f>$O50*'GREET factors'!B104/454/2000</f>
        <v>140.61814561640526</v>
      </c>
      <c r="Q50" s="3">
        <f>$O50*'GREET factors'!C104/454/2000</f>
        <v>22.267083716187056</v>
      </c>
      <c r="R50" s="3">
        <f>$O50*'GREET factors'!D104/454/2000</f>
        <v>19.22513709599291</v>
      </c>
      <c r="S50" s="3">
        <f>$O50*'GREET factors'!E104/454/2000</f>
        <v>2.1971585252563322</v>
      </c>
      <c r="T50" s="3">
        <f>$O50*'GREET factors'!F104/454/2000</f>
        <v>269200.80612108763</v>
      </c>
      <c r="U50" s="3">
        <f>$O50*'GREET factors'!G104/454/2000</f>
        <v>4.8502984314238482</v>
      </c>
      <c r="V50" s="3">
        <f>$O50*'GREET factors'!H104/454/2000</f>
        <v>33.506667510159069</v>
      </c>
      <c r="W50" s="3">
        <f>$O50*'GREET factors'!I104/454/2000</f>
        <v>270336.18778901384</v>
      </c>
      <c r="X50" s="3">
        <f>('Combined MOVES output'!D16/454/2000-D50)*'GREET factors'!V1</f>
        <v>1196037.7334295101</v>
      </c>
      <c r="Y50" s="261">
        <f>O50*M50*'GREET factors'!$J$7/454/2000</f>
        <v>330.48033519635379</v>
      </c>
      <c r="Z50" s="261">
        <f>O50*M50*'GREET factors'!K$7/454/2000</f>
        <v>41.445405576713945</v>
      </c>
      <c r="AA50" s="261"/>
      <c r="AB50" s="261"/>
      <c r="AC50" s="3">
        <f>T50-X50</f>
        <v>-926836.92730842251</v>
      </c>
      <c r="AD50" s="261">
        <f>P50-Y50</f>
        <v>-189.86218957994853</v>
      </c>
      <c r="AE50" s="261">
        <f>Q50-Z50</f>
        <v>-19.178321860526889</v>
      </c>
      <c r="AF50" s="261"/>
      <c r="AG50" s="261"/>
      <c r="AH50">
        <v>2032</v>
      </c>
    </row>
    <row r="51" spans="1:34">
      <c r="A51" s="6"/>
      <c r="C51" s="3"/>
      <c r="D51" s="3"/>
      <c r="E51" s="3"/>
      <c r="F51" s="3"/>
      <c r="G51" s="3"/>
      <c r="H51" s="3"/>
      <c r="L51" s="41"/>
      <c r="M51" s="41"/>
      <c r="X51" s="3"/>
      <c r="Y51" s="3"/>
      <c r="Z51" s="3"/>
      <c r="AA51" s="3"/>
      <c r="AB51" s="3"/>
      <c r="AH51" s="6"/>
    </row>
    <row r="52" spans="1:34">
      <c r="A52">
        <v>2033</v>
      </c>
      <c r="B52">
        <v>20</v>
      </c>
      <c r="C52" s="3"/>
      <c r="D52" s="3"/>
      <c r="E52" s="3"/>
      <c r="F52" s="3"/>
      <c r="G52" s="3"/>
      <c r="H52" s="3"/>
      <c r="I52" s="3"/>
      <c r="J52" s="3"/>
      <c r="L52" s="41"/>
      <c r="M52" s="41"/>
      <c r="X52" s="3"/>
      <c r="Y52" s="3"/>
      <c r="Z52" s="3"/>
      <c r="AA52" s="3"/>
      <c r="AB52" s="3"/>
    </row>
    <row r="53" spans="1:34">
      <c r="A53">
        <v>2033</v>
      </c>
      <c r="B53">
        <v>30</v>
      </c>
      <c r="C53" s="3"/>
      <c r="D53" s="3"/>
      <c r="E53" s="3"/>
      <c r="F53" s="3"/>
      <c r="G53" s="3"/>
      <c r="H53" s="3"/>
      <c r="I53" s="3"/>
      <c r="J53" s="3"/>
      <c r="L53" s="41"/>
      <c r="M53" s="41"/>
      <c r="O53" t="s">
        <v>17</v>
      </c>
      <c r="X53" s="3"/>
      <c r="Y53" s="3"/>
      <c r="Z53" s="3"/>
      <c r="AA53" s="3"/>
      <c r="AB53" s="3"/>
    </row>
    <row r="54" spans="1:34">
      <c r="A54">
        <v>2033</v>
      </c>
      <c r="B54">
        <v>41</v>
      </c>
      <c r="C54" s="3"/>
      <c r="D54" s="3"/>
      <c r="E54" s="3"/>
      <c r="F54" s="3"/>
      <c r="G54" s="3"/>
      <c r="H54" s="3"/>
      <c r="I54" s="3"/>
      <c r="J54" s="3"/>
      <c r="L54" s="41"/>
      <c r="M54" s="41"/>
      <c r="O54" t="s">
        <v>142</v>
      </c>
      <c r="P54" t="s">
        <v>8</v>
      </c>
      <c r="Q54" t="s">
        <v>10</v>
      </c>
      <c r="R54" t="s">
        <v>14</v>
      </c>
      <c r="S54" t="s">
        <v>15</v>
      </c>
      <c r="T54" t="s">
        <v>16</v>
      </c>
      <c r="U54" t="s">
        <v>115</v>
      </c>
      <c r="V54" t="s">
        <v>116</v>
      </c>
      <c r="W54" t="s">
        <v>47</v>
      </c>
      <c r="X54" t="s">
        <v>47</v>
      </c>
      <c r="Y54" t="s">
        <v>8</v>
      </c>
      <c r="Z54" t="s">
        <v>10</v>
      </c>
      <c r="AC54" s="32" t="s">
        <v>47</v>
      </c>
      <c r="AD54" t="s">
        <v>8</v>
      </c>
      <c r="AE54" t="s">
        <v>10</v>
      </c>
    </row>
    <row r="55" spans="1:34">
      <c r="A55">
        <v>2033</v>
      </c>
      <c r="B55" s="8" t="s">
        <v>109</v>
      </c>
      <c r="C55" s="3">
        <f>'Combined MOVES output'!C17*(1+'Federal GHG Rule'!D17)/454/2000</f>
        <v>4128.5947318163226</v>
      </c>
      <c r="D55" s="3">
        <f>'Combined MOVES output'!D17*(1+'Federal GHG Rule'!J17)/454/2000</f>
        <v>21847758.723527268</v>
      </c>
      <c r="E55" s="3">
        <f>'Combined MOVES output'!E17</f>
        <v>314734016.00045967</v>
      </c>
      <c r="F55" s="3">
        <f>'Combined MOVES output'!F17*(1+'Federal GHG Rule'!C17)/454/2000</f>
        <v>583.21895360074427</v>
      </c>
      <c r="G55" s="3">
        <f>'Combined MOVES output'!G17*(1+'Federal GHG Rule'!F17)/454/2000</f>
        <v>9568.5905707139464</v>
      </c>
      <c r="H55" s="3">
        <f>'Combined MOVES output'!H17*(1+'Federal GHG Rule'!E17)/454/2000</f>
        <v>413.35357541831002</v>
      </c>
      <c r="I55" s="3">
        <f>'Combined MOVES output'!I17*(1-'Federal GHG Rule'!H17)/454/2000</f>
        <v>2189.3804542183598</v>
      </c>
      <c r="J55" s="3">
        <f>D55+AC55</f>
        <v>20794183.645778246</v>
      </c>
      <c r="L55" s="41">
        <f>'Fleet ZEV fractions'!AA25</f>
        <v>0.10869151335170305</v>
      </c>
      <c r="M55" s="41">
        <f>'ZEV efficiency'!K52</f>
        <v>4.1344371829035831</v>
      </c>
      <c r="O55" s="3">
        <f>E55*L55/M55</f>
        <v>8274141.0714394804</v>
      </c>
      <c r="P55" s="3">
        <f>$O55*'GREET factors'!B105/454/2000</f>
        <v>142.16857725815743</v>
      </c>
      <c r="Q55" s="3">
        <f>$O55*'GREET factors'!C105/454/2000</f>
        <v>22.512596775769701</v>
      </c>
      <c r="R55" s="3">
        <f>$O55*'GREET factors'!D105/454/2000</f>
        <v>19.437110172013714</v>
      </c>
      <c r="S55" s="3">
        <f>$O55*'GREET factors'!E105/454/2000</f>
        <v>2.2213840196587098</v>
      </c>
      <c r="T55" s="3">
        <f>$O55*'GREET factors'!F105/454/2000</f>
        <v>272168.96820262936</v>
      </c>
      <c r="U55" s="3">
        <f>$O55*'GREET factors'!G105/454/2000</f>
        <v>4.9037769930067503</v>
      </c>
      <c r="V55" s="3">
        <f>$O55*'GREET factors'!H105/454/2000</f>
        <v>33.876106299795325</v>
      </c>
      <c r="W55" s="3">
        <f>$O55*'GREET factors'!I105/454/2000</f>
        <v>273316.86839478795</v>
      </c>
      <c r="X55" s="3">
        <f>('Combined MOVES output'!D17/454/2000-D55)*'GREET factors'!V1</f>
        <v>1325744.0459516526</v>
      </c>
      <c r="Y55" s="261">
        <f>O55*M55*'GREET factors'!$J$7/454/2000</f>
        <v>360.16698517485901</v>
      </c>
      <c r="Z55" s="261">
        <f>O55*M55*'GREET factors'!K$7/454/2000</f>
        <v>45.168396379909765</v>
      </c>
      <c r="AA55" s="261"/>
      <c r="AB55" s="261"/>
      <c r="AC55" s="3">
        <f>T55-X55</f>
        <v>-1053575.0777490232</v>
      </c>
      <c r="AD55" s="261">
        <f>P55-Y55</f>
        <v>-217.99840791670158</v>
      </c>
      <c r="AE55" s="261">
        <f>Q55-Z55</f>
        <v>-22.655799604140064</v>
      </c>
      <c r="AF55" s="261"/>
      <c r="AG55" s="261"/>
      <c r="AH55">
        <v>2033</v>
      </c>
    </row>
    <row r="56" spans="1:34">
      <c r="L56" s="41"/>
      <c r="M56" s="41"/>
      <c r="X56" s="3"/>
      <c r="Y56" s="3"/>
      <c r="Z56" s="3"/>
      <c r="AA56" s="3"/>
      <c r="AB56" s="3"/>
    </row>
    <row r="57" spans="1:34">
      <c r="A57">
        <v>2034</v>
      </c>
      <c r="B57">
        <v>20</v>
      </c>
      <c r="C57" s="3"/>
      <c r="D57" s="3"/>
      <c r="E57" s="3"/>
      <c r="F57" s="3"/>
      <c r="G57" s="3"/>
      <c r="H57" s="3"/>
      <c r="I57" s="3"/>
      <c r="J57" s="3"/>
      <c r="L57" s="41"/>
      <c r="M57" s="41"/>
      <c r="X57" s="3"/>
      <c r="Y57" s="3"/>
      <c r="Z57" s="3"/>
      <c r="AA57" s="3"/>
      <c r="AB57" s="3"/>
    </row>
    <row r="58" spans="1:34">
      <c r="A58">
        <v>2034</v>
      </c>
      <c r="B58">
        <v>30</v>
      </c>
      <c r="C58" s="3"/>
      <c r="D58" s="3"/>
      <c r="E58" s="3"/>
      <c r="F58" s="3"/>
      <c r="G58" s="3"/>
      <c r="H58" s="3"/>
      <c r="I58" s="3"/>
      <c r="J58" s="3"/>
      <c r="L58" s="41"/>
      <c r="M58" s="41"/>
      <c r="O58" t="s">
        <v>17</v>
      </c>
      <c r="X58" s="3"/>
      <c r="Y58" s="3"/>
      <c r="Z58" s="3"/>
      <c r="AA58" s="3"/>
      <c r="AB58" s="3"/>
    </row>
    <row r="59" spans="1:34">
      <c r="A59">
        <v>2034</v>
      </c>
      <c r="B59">
        <v>41</v>
      </c>
      <c r="C59" s="3"/>
      <c r="D59" s="3"/>
      <c r="E59" s="3"/>
      <c r="F59" s="3"/>
      <c r="G59" s="3"/>
      <c r="H59" s="3"/>
      <c r="I59" s="3"/>
      <c r="J59" s="3"/>
      <c r="L59" s="41"/>
      <c r="M59" s="41"/>
      <c r="O59" t="s">
        <v>142</v>
      </c>
      <c r="P59" t="s">
        <v>8</v>
      </c>
      <c r="Q59" t="s">
        <v>10</v>
      </c>
      <c r="R59" t="s">
        <v>14</v>
      </c>
      <c r="S59" t="s">
        <v>15</v>
      </c>
      <c r="T59" t="s">
        <v>16</v>
      </c>
      <c r="U59" t="s">
        <v>115</v>
      </c>
      <c r="V59" t="s">
        <v>116</v>
      </c>
      <c r="W59" t="s">
        <v>47</v>
      </c>
      <c r="X59" t="s">
        <v>47</v>
      </c>
      <c r="Y59" t="s">
        <v>8</v>
      </c>
      <c r="Z59" t="s">
        <v>10</v>
      </c>
      <c r="AC59" s="32" t="s">
        <v>47</v>
      </c>
      <c r="AD59" t="s">
        <v>8</v>
      </c>
      <c r="AE59" t="s">
        <v>10</v>
      </c>
    </row>
    <row r="60" spans="1:34">
      <c r="A60">
        <v>2034</v>
      </c>
      <c r="B60" s="8" t="s">
        <v>109</v>
      </c>
      <c r="C60" s="3">
        <f>'Combined MOVES output'!C18*(1+'Federal GHG Rule'!D18)/454/2000</f>
        <v>3728.5780643564499</v>
      </c>
      <c r="D60" s="3">
        <f>'Combined MOVES output'!D18*(1+'Federal GHG Rule'!J18)/454/2000</f>
        <v>21241691.794263054</v>
      </c>
      <c r="E60" s="3">
        <f>'Combined MOVES output'!E18</f>
        <v>312564763.36110693</v>
      </c>
      <c r="F60" s="3">
        <f>'Combined MOVES output'!F18*(1+'Federal GHG Rule'!C18)/454/2000</f>
        <v>569.05685805630674</v>
      </c>
      <c r="G60" s="3">
        <f>'Combined MOVES output'!G18*(1+'Federal GHG Rule'!F18)/454/2000</f>
        <v>9352.8300236874129</v>
      </c>
      <c r="H60" s="3">
        <f>'Combined MOVES output'!H18*(1+'Federal GHG Rule'!E18)/454/2000</f>
        <v>404.51555914847143</v>
      </c>
      <c r="I60" s="3">
        <f>'Combined MOVES output'!I18*(1-'Federal GHG Rule'!H18)/454/2000</f>
        <v>2181.8653905016317</v>
      </c>
      <c r="J60" s="3">
        <f>D60+AC60</f>
        <v>20064791.4492862</v>
      </c>
      <c r="L60" s="41">
        <f>'Fleet ZEV fractions'!AA26</f>
        <v>0.11834943615596882</v>
      </c>
      <c r="M60" s="41">
        <f>'ZEV efficiency'!K53</f>
        <v>4.0972869571642612</v>
      </c>
      <c r="O60" s="3">
        <f>E60*L60/M60</f>
        <v>9028379.9725887291</v>
      </c>
      <c r="P60" s="3">
        <f>$O60*'GREET factors'!B106/454/2000</f>
        <v>141.52601113650999</v>
      </c>
      <c r="Q60" s="3">
        <f>$O60*'GREET factors'!C106/454/2000</f>
        <v>22.410845514855335</v>
      </c>
      <c r="R60" s="3">
        <f>$O60*'GREET factors'!D106/454/2000</f>
        <v>19.349259335069728</v>
      </c>
      <c r="S60" s="3">
        <f>$O60*'GREET factors'!E106/454/2000</f>
        <v>2.2113439240079686</v>
      </c>
      <c r="T60" s="3">
        <f>$O60*'GREET factors'!F106/454/2000</f>
        <v>270938.83309328533</v>
      </c>
      <c r="U60" s="3">
        <f>$O60*'GREET factors'!G106/454/2000</f>
        <v>4.881613157477199</v>
      </c>
      <c r="V60" s="3">
        <f>$O60*'GREET factors'!H106/454/2000</f>
        <v>33.722994841121519</v>
      </c>
      <c r="W60" s="3">
        <f>$O60*'GREET factors'!I106/454/2000</f>
        <v>272081.54506601644</v>
      </c>
      <c r="X60" s="3">
        <f>('Combined MOVES output'!D18/454/2000-D60)*'GREET factors'!V1</f>
        <v>1447839.1780701403</v>
      </c>
      <c r="Y60" s="261">
        <f>O60*M60*'GREET factors'!$J$7/454/2000</f>
        <v>389.46711317340095</v>
      </c>
      <c r="Z60" s="261">
        <f>O60*M60*'GREET factors'!K$7/454/2000</f>
        <v>48.842913617456418</v>
      </c>
      <c r="AA60" s="261"/>
      <c r="AB60" s="261"/>
      <c r="AC60" s="3">
        <f>T60-X60</f>
        <v>-1176900.344976855</v>
      </c>
      <c r="AD60" s="261">
        <f>P60-Y60</f>
        <v>-247.94110203689095</v>
      </c>
      <c r="AE60" s="261">
        <f>Q60-Z60</f>
        <v>-26.432068102601082</v>
      </c>
      <c r="AF60" s="261"/>
      <c r="AG60" s="261"/>
      <c r="AH60">
        <v>2034</v>
      </c>
    </row>
    <row r="61" spans="1:34">
      <c r="L61" s="41"/>
      <c r="M61" s="41"/>
    </row>
    <row r="62" spans="1:34">
      <c r="A62">
        <v>2035</v>
      </c>
      <c r="B62">
        <v>20</v>
      </c>
      <c r="C62" s="3"/>
      <c r="D62" s="3"/>
      <c r="E62" s="3"/>
      <c r="F62" s="3"/>
      <c r="G62" s="3"/>
      <c r="H62" s="3"/>
      <c r="I62" s="3"/>
      <c r="J62" s="3"/>
      <c r="L62" s="41"/>
      <c r="M62" s="41"/>
    </row>
    <row r="63" spans="1:34">
      <c r="A63">
        <v>2035</v>
      </c>
      <c r="B63">
        <v>30</v>
      </c>
      <c r="C63" s="3"/>
      <c r="D63" s="3"/>
      <c r="E63" s="3"/>
      <c r="F63" s="3"/>
      <c r="G63" s="3"/>
      <c r="H63" s="3"/>
      <c r="I63" s="3"/>
      <c r="J63" s="3"/>
      <c r="L63" s="41"/>
      <c r="M63" s="41"/>
      <c r="O63" t="s">
        <v>17</v>
      </c>
    </row>
    <row r="64" spans="1:34">
      <c r="A64">
        <v>2035</v>
      </c>
      <c r="B64">
        <v>41</v>
      </c>
      <c r="C64" s="3"/>
      <c r="D64" s="3"/>
      <c r="E64" s="3"/>
      <c r="F64" s="3"/>
      <c r="G64" s="3"/>
      <c r="H64" s="3"/>
      <c r="I64" s="3"/>
      <c r="J64" s="3"/>
      <c r="L64" s="41"/>
      <c r="M64" s="41"/>
      <c r="O64" t="s">
        <v>142</v>
      </c>
      <c r="P64" t="s">
        <v>8</v>
      </c>
      <c r="Q64" t="s">
        <v>10</v>
      </c>
      <c r="R64" t="s">
        <v>14</v>
      </c>
      <c r="S64" t="s">
        <v>15</v>
      </c>
      <c r="T64" t="s">
        <v>16</v>
      </c>
      <c r="U64" t="s">
        <v>115</v>
      </c>
      <c r="V64" t="s">
        <v>116</v>
      </c>
      <c r="W64" t="s">
        <v>47</v>
      </c>
      <c r="X64" t="s">
        <v>47</v>
      </c>
      <c r="Y64" t="s">
        <v>8</v>
      </c>
      <c r="Z64" t="s">
        <v>10</v>
      </c>
      <c r="AC64" s="32" t="s">
        <v>47</v>
      </c>
      <c r="AD64" t="s">
        <v>8</v>
      </c>
      <c r="AE64" t="s">
        <v>10</v>
      </c>
    </row>
    <row r="65" spans="1:34">
      <c r="A65">
        <v>2035</v>
      </c>
      <c r="B65" s="8" t="s">
        <v>109</v>
      </c>
      <c r="C65" s="3">
        <f>'Combined MOVES output'!C19*(1+'Federal GHG Rule'!D19)/454/2000</f>
        <v>3314.7804899098978</v>
      </c>
      <c r="D65" s="3">
        <f>'Combined MOVES output'!D19*(1+'Federal GHG Rule'!J19)/454/2000</f>
        <v>20673268.61547273</v>
      </c>
      <c r="E65" s="3">
        <f>'Combined MOVES output'!E19</f>
        <v>310395510.72175413</v>
      </c>
      <c r="F65" s="3">
        <f>'Combined MOVES output'!F19*(1+'Federal GHG Rule'!C19)/454/2000</f>
        <v>550.55488981106384</v>
      </c>
      <c r="G65" s="3">
        <f>'Combined MOVES output'!G19*(1+'Federal GHG Rule'!F19)/454/2000</f>
        <v>8989.2516603568401</v>
      </c>
      <c r="H65" s="3">
        <f>'Combined MOVES output'!H19*(1+'Federal GHG Rule'!E19)/454/2000</f>
        <v>396.2874691697221</v>
      </c>
      <c r="I65" s="3">
        <f>'Combined MOVES output'!I19*(1-'Federal GHG Rule'!H19)/454/2000</f>
        <v>2174.3501178692827</v>
      </c>
      <c r="J65" s="3">
        <f>D65+AC65</f>
        <v>19379633.776936736</v>
      </c>
      <c r="L65" s="41">
        <f>'Fleet ZEV fractions'!AA27</f>
        <v>0.12802365367756524</v>
      </c>
      <c r="M65" s="41">
        <f>'ZEV efficiency'!K54</f>
        <v>4.0603357356974987</v>
      </c>
      <c r="O65" s="3">
        <f>E65*L65/M65</f>
        <v>9786867.3810261935</v>
      </c>
      <c r="P65" s="3">
        <f>$O65*'GREET factors'!B107/454/2000</f>
        <v>138.67097818596935</v>
      </c>
      <c r="Q65" s="3">
        <f>$O65*'GREET factors'!C107/454/2000</f>
        <v>21.958746979182816</v>
      </c>
      <c r="R65" s="3">
        <f>$O65*'GREET factors'!D107/454/2000</f>
        <v>18.958922798862996</v>
      </c>
      <c r="S65" s="3">
        <f>$O65*'GREET factors'!E107/454/2000</f>
        <v>2.166734034155771</v>
      </c>
      <c r="T65" s="3">
        <f>$O65*'GREET factors'!F107/454/2000</f>
        <v>265473.12901634187</v>
      </c>
      <c r="U65" s="3">
        <f>$O65*'GREET factors'!G107/454/2000</f>
        <v>4.7831353843493529</v>
      </c>
      <c r="V65" s="3">
        <f>$O65*'GREET factors'!H107/454/2000</f>
        <v>33.042694020875494</v>
      </c>
      <c r="W65" s="3">
        <f>$O65*'GREET factors'!I107/454/2000</f>
        <v>266592.78882849182</v>
      </c>
      <c r="X65" s="3">
        <f>('Combined MOVES output'!D19/454/2000-D65)*'GREET factors'!V1</f>
        <v>1559107.9675523362</v>
      </c>
      <c r="Y65" s="261">
        <f>O65*M65*'GREET factors'!$J$7/454/2000</f>
        <v>418.37933986664729</v>
      </c>
      <c r="Z65" s="261">
        <f>O65*M65*'GREET factors'!K$7/454/2000</f>
        <v>52.468784308720195</v>
      </c>
      <c r="AA65" s="261"/>
      <c r="AB65" s="261"/>
      <c r="AC65" s="3">
        <f>T65-X65</f>
        <v>-1293634.8385359943</v>
      </c>
      <c r="AD65" s="261">
        <f>P65-Y65</f>
        <v>-279.70836168067797</v>
      </c>
      <c r="AE65" s="261">
        <f>Q65-Z65</f>
        <v>-30.510037329537379</v>
      </c>
      <c r="AF65" s="261"/>
      <c r="AG65" s="261"/>
      <c r="AH65">
        <v>2035</v>
      </c>
    </row>
    <row r="66" spans="1:34">
      <c r="A66" s="6"/>
      <c r="C66" s="3"/>
      <c r="D66" s="3"/>
      <c r="E66" s="3"/>
      <c r="F66" s="3"/>
      <c r="G66" s="3"/>
      <c r="H66" s="3"/>
      <c r="L66" s="41"/>
      <c r="M66" s="41"/>
      <c r="AH66" s="6"/>
    </row>
    <row r="67" spans="1:34">
      <c r="A67">
        <v>2036</v>
      </c>
      <c r="B67">
        <v>20</v>
      </c>
      <c r="C67" s="3"/>
      <c r="D67" s="3"/>
      <c r="E67" s="3"/>
      <c r="F67" s="3"/>
      <c r="G67" s="3"/>
      <c r="H67" s="3"/>
      <c r="I67" s="3"/>
      <c r="J67" s="3"/>
      <c r="L67" s="41"/>
      <c r="M67" s="41"/>
    </row>
    <row r="68" spans="1:34">
      <c r="A68">
        <v>2036</v>
      </c>
      <c r="B68">
        <v>30</v>
      </c>
      <c r="C68" s="3"/>
      <c r="D68" s="3"/>
      <c r="E68" s="3"/>
      <c r="F68" s="3"/>
      <c r="G68" s="3"/>
      <c r="H68" s="3"/>
      <c r="I68" s="3"/>
      <c r="J68" s="3"/>
      <c r="L68" s="41"/>
      <c r="M68" s="41"/>
      <c r="O68" t="s">
        <v>17</v>
      </c>
    </row>
    <row r="69" spans="1:34">
      <c r="A69">
        <v>2036</v>
      </c>
      <c r="B69">
        <v>41</v>
      </c>
      <c r="C69" s="3"/>
      <c r="D69" s="3"/>
      <c r="E69" s="3"/>
      <c r="F69" s="3"/>
      <c r="G69" s="3"/>
      <c r="H69" s="3"/>
      <c r="I69" s="3"/>
      <c r="J69" s="3"/>
      <c r="L69" s="41"/>
      <c r="M69" s="41"/>
      <c r="O69" t="s">
        <v>142</v>
      </c>
      <c r="P69" t="s">
        <v>8</v>
      </c>
      <c r="Q69" t="s">
        <v>10</v>
      </c>
      <c r="R69" t="s">
        <v>14</v>
      </c>
      <c r="S69" t="s">
        <v>15</v>
      </c>
      <c r="T69" t="s">
        <v>16</v>
      </c>
      <c r="U69" t="s">
        <v>115</v>
      </c>
      <c r="V69" t="s">
        <v>116</v>
      </c>
      <c r="W69" t="s">
        <v>47</v>
      </c>
      <c r="X69" t="s">
        <v>47</v>
      </c>
      <c r="Y69" t="s">
        <v>8</v>
      </c>
      <c r="Z69" t="s">
        <v>10</v>
      </c>
      <c r="AC69" s="32" t="s">
        <v>47</v>
      </c>
      <c r="AD69" t="s">
        <v>8</v>
      </c>
      <c r="AE69" t="s">
        <v>10</v>
      </c>
    </row>
    <row r="70" spans="1:34">
      <c r="A70">
        <v>2036</v>
      </c>
      <c r="B70" t="s">
        <v>109</v>
      </c>
      <c r="C70" s="3">
        <f>'Combined MOVES output'!C20*(1+'Federal GHG Rule'!D20)/454/2000</f>
        <v>3246.820291020751</v>
      </c>
      <c r="D70" s="3">
        <f>'Combined MOVES output'!D20*(1+'Federal GHG Rule'!J20)/454/2000</f>
        <v>20310032.752103943</v>
      </c>
      <c r="E70" s="3">
        <f>'Combined MOVES output'!E20</f>
        <v>310737968.7658385</v>
      </c>
      <c r="F70" s="3">
        <f>'Combined MOVES output'!F20*(1+'Federal GHG Rule'!C20)/454/2000</f>
        <v>539.66855148229354</v>
      </c>
      <c r="G70" s="3">
        <f>'Combined MOVES output'!G20*(1+'Federal GHG Rule'!F20)/454/2000</f>
        <v>8757.9286248465269</v>
      </c>
      <c r="H70" s="3">
        <f>'Combined MOVES output'!H20*(1+'Federal GHG Rule'!E20)/454/2000</f>
        <v>389.5356359007879</v>
      </c>
      <c r="I70" s="3">
        <f>'Combined MOVES output'!I20*(1-'Federal GHG Rule'!H20)/454/2000</f>
        <v>2201.9916174369978</v>
      </c>
      <c r="J70" s="3">
        <f>D70+AC70</f>
        <v>18912659.424764797</v>
      </c>
      <c r="L70" s="41">
        <f>'Fleet ZEV fractions'!AA28</f>
        <v>0.13764651179196724</v>
      </c>
      <c r="M70" s="41">
        <f>'ZEV efficiency'!K55</f>
        <v>4.0592416995872931</v>
      </c>
      <c r="O70" s="3">
        <f>E70*L70/M70</f>
        <v>10536942.770933695</v>
      </c>
      <c r="P70" s="3">
        <f>$O70*'GREET factors'!B108/454/2000</f>
        <v>143.54759464793676</v>
      </c>
      <c r="Q70" s="3">
        <f>$O70*'GREET factors'!C108/454/2000</f>
        <v>22.730966144315197</v>
      </c>
      <c r="R70" s="3">
        <f>$O70*'GREET factors'!D108/454/2000</f>
        <v>19.625647705772604</v>
      </c>
      <c r="S70" s="3">
        <f>$O70*'GREET factors'!E108/454/2000</f>
        <v>2.2429311663740119</v>
      </c>
      <c r="T70" s="3">
        <f>$O70*'GREET factors'!F108/454/2000</f>
        <v>274808.97309926822</v>
      </c>
      <c r="U70" s="3">
        <f>$O70*'GREET factors'!G108/454/2000</f>
        <v>4.9513430155370077</v>
      </c>
      <c r="V70" s="3">
        <f>$O70*'GREET factors'!H108/454/2000</f>
        <v>34.204700287203671</v>
      </c>
      <c r="W70" s="3">
        <f>$O70*'GREET factors'!I108/454/2000</f>
        <v>275968.00777949201</v>
      </c>
      <c r="X70" s="3">
        <f>('Combined MOVES output'!D20/454/2000-D70)*'GREET factors'!V1</f>
        <v>1672182.3004384162</v>
      </c>
      <c r="Y70" s="261">
        <f>O70*M70*'GREET factors'!$J$7/454/2000</f>
        <v>450.32298470835127</v>
      </c>
      <c r="Z70" s="261">
        <f>O70*M70*'GREET factors'!K$7/454/2000</f>
        <v>56.47482392761713</v>
      </c>
      <c r="AA70" s="261"/>
      <c r="AB70" s="261"/>
      <c r="AC70" s="3">
        <f>T70-X70</f>
        <v>-1397373.3273391479</v>
      </c>
      <c r="AD70" s="261">
        <f>P70-Y70</f>
        <v>-306.77539006041451</v>
      </c>
      <c r="AE70" s="261">
        <f>Q70-Z70</f>
        <v>-33.743857783301934</v>
      </c>
      <c r="AF70" s="261"/>
      <c r="AG70" s="261"/>
      <c r="AH70">
        <v>2036</v>
      </c>
    </row>
    <row r="71" spans="1:34">
      <c r="L71" s="41"/>
      <c r="M71" s="41"/>
    </row>
    <row r="72" spans="1:34">
      <c r="A72">
        <v>2037</v>
      </c>
      <c r="B72">
        <v>20</v>
      </c>
      <c r="C72" s="3"/>
      <c r="D72" s="3"/>
      <c r="E72" s="3"/>
      <c r="F72" s="3"/>
      <c r="G72" s="3"/>
      <c r="H72" s="3"/>
      <c r="I72" s="3"/>
      <c r="J72" s="3"/>
      <c r="L72" s="41"/>
      <c r="M72" s="41"/>
    </row>
    <row r="73" spans="1:34">
      <c r="A73">
        <v>2037</v>
      </c>
      <c r="B73">
        <v>30</v>
      </c>
      <c r="C73" s="3"/>
      <c r="D73" s="3"/>
      <c r="E73" s="3"/>
      <c r="F73" s="3"/>
      <c r="G73" s="3"/>
      <c r="H73" s="3"/>
      <c r="I73" s="3"/>
      <c r="J73" s="3"/>
      <c r="L73" s="41"/>
      <c r="M73" s="41"/>
      <c r="O73" t="s">
        <v>17</v>
      </c>
    </row>
    <row r="74" spans="1:34">
      <c r="A74">
        <v>2037</v>
      </c>
      <c r="B74">
        <v>41</v>
      </c>
      <c r="C74" s="3"/>
      <c r="D74" s="3"/>
      <c r="E74" s="3"/>
      <c r="F74" s="3"/>
      <c r="G74" s="3"/>
      <c r="H74" s="3"/>
      <c r="I74" s="3"/>
      <c r="J74" s="3"/>
      <c r="L74" s="41"/>
      <c r="M74" s="41"/>
      <c r="O74" t="s">
        <v>142</v>
      </c>
      <c r="P74" t="s">
        <v>8</v>
      </c>
      <c r="Q74" t="s">
        <v>10</v>
      </c>
      <c r="R74" t="s">
        <v>14</v>
      </c>
      <c r="S74" t="s">
        <v>15</v>
      </c>
      <c r="T74" t="s">
        <v>16</v>
      </c>
      <c r="U74" t="s">
        <v>115</v>
      </c>
      <c r="V74" t="s">
        <v>116</v>
      </c>
      <c r="W74" t="s">
        <v>47</v>
      </c>
      <c r="X74" t="s">
        <v>47</v>
      </c>
      <c r="Y74" t="s">
        <v>8</v>
      </c>
      <c r="Z74" t="s">
        <v>10</v>
      </c>
      <c r="AC74" s="32" t="s">
        <v>47</v>
      </c>
      <c r="AD74" t="s">
        <v>8</v>
      </c>
      <c r="AE74" t="s">
        <v>10</v>
      </c>
    </row>
    <row r="75" spans="1:34">
      <c r="A75">
        <v>2037</v>
      </c>
      <c r="B75" t="s">
        <v>109</v>
      </c>
      <c r="C75" s="3">
        <f>'Combined MOVES output'!C21*(1+'Federal GHG Rule'!D21)/454/2000</f>
        <v>3176.4936403788683</v>
      </c>
      <c r="D75" s="3">
        <f>'Combined MOVES output'!D21*(1+'Federal GHG Rule'!J21)/454/2000</f>
        <v>19984396.359592829</v>
      </c>
      <c r="E75" s="3">
        <f>'Combined MOVES output'!E21</f>
        <v>311080426.80992287</v>
      </c>
      <c r="F75" s="3">
        <f>'Combined MOVES output'!F21*(1+'Federal GHG Rule'!C21)/454/2000</f>
        <v>528.79824543109214</v>
      </c>
      <c r="G75" s="3">
        <f>'Combined MOVES output'!G21*(1+'Federal GHG Rule'!F21)/454/2000</f>
        <v>8518.4657829276457</v>
      </c>
      <c r="H75" s="3">
        <f>'Combined MOVES output'!H21*(1+'Federal GHG Rule'!E21)/454/2000</f>
        <v>383.50168760638519</v>
      </c>
      <c r="I75" s="3">
        <f>'Combined MOVES output'!I21*(1-'Federal GHG Rule'!H21)/454/2000</f>
        <v>2229.486367006486</v>
      </c>
      <c r="J75" s="3">
        <f>D75+AC75</f>
        <v>18492519.116632525</v>
      </c>
      <c r="L75" s="41">
        <f>'Fleet ZEV fractions'!AA29</f>
        <v>0.14724263430826065</v>
      </c>
      <c r="M75" s="41">
        <f>'ZEV efficiency'!K56</f>
        <v>4.0583052188942919</v>
      </c>
      <c r="O75" s="3">
        <f>E75*L75/M75</f>
        <v>11286559.057209294</v>
      </c>
      <c r="P75" s="3">
        <f>$O75*'GREET factors'!B109/454/2000</f>
        <v>147.59939588861204</v>
      </c>
      <c r="Q75" s="3">
        <f>$O75*'GREET factors'!C109/454/2000</f>
        <v>23.372574643929362</v>
      </c>
      <c r="R75" s="3">
        <f>$O75*'GREET factors'!D109/454/2000</f>
        <v>20.17960490664618</v>
      </c>
      <c r="S75" s="3">
        <f>$O75*'GREET factors'!E109/454/2000</f>
        <v>2.3062405607595631</v>
      </c>
      <c r="T75" s="3">
        <f>$O75*'GREET factors'!F109/454/2000</f>
        <v>282565.78254552337</v>
      </c>
      <c r="U75" s="3">
        <f>$O75*'GREET factors'!G109/454/2000</f>
        <v>5.0911005490753807</v>
      </c>
      <c r="V75" s="3">
        <f>$O75*'GREET factors'!H109/454/2000</f>
        <v>35.17016855158333</v>
      </c>
      <c r="W75" s="3">
        <f>$O75*'GREET factors'!I109/454/2000</f>
        <v>283757.53235529584</v>
      </c>
      <c r="X75" s="3">
        <f>('Combined MOVES output'!D21/454/2000-D75)*'GREET factors'!V1</f>
        <v>1774443.0255058289</v>
      </c>
      <c r="Y75" s="261">
        <f>O75*M75*'GREET factors'!$J$7/454/2000</f>
        <v>482.24845669256575</v>
      </c>
      <c r="Z75" s="261">
        <f>O75*M75*'GREET factors'!K$7/454/2000</f>
        <v>60.478584495784176</v>
      </c>
      <c r="AA75" s="261"/>
      <c r="AB75" s="261"/>
      <c r="AC75" s="3">
        <f>T75-X75</f>
        <v>-1491877.2429603054</v>
      </c>
      <c r="AD75" s="261">
        <f>P75-Y75</f>
        <v>-334.64906080395372</v>
      </c>
      <c r="AE75" s="261">
        <f>Q75-Z75</f>
        <v>-37.106009851854814</v>
      </c>
      <c r="AF75" s="261"/>
      <c r="AG75" s="261"/>
      <c r="AH75">
        <v>2037</v>
      </c>
    </row>
    <row r="76" spans="1:34">
      <c r="C76" s="3"/>
      <c r="D76" s="3"/>
      <c r="E76" s="3"/>
      <c r="F76" s="3"/>
      <c r="G76" s="3"/>
      <c r="H76" s="3"/>
      <c r="L76" s="41"/>
      <c r="M76" s="41"/>
      <c r="X76" s="3"/>
      <c r="Y76" s="3"/>
      <c r="Z76" s="3"/>
      <c r="AA76" s="3"/>
      <c r="AB76" s="3"/>
    </row>
    <row r="77" spans="1:34">
      <c r="A77">
        <v>2038</v>
      </c>
      <c r="B77">
        <v>20</v>
      </c>
      <c r="C77" s="3"/>
      <c r="D77" s="3"/>
      <c r="E77" s="3"/>
      <c r="F77" s="3"/>
      <c r="G77" s="3"/>
      <c r="H77" s="3"/>
      <c r="I77" s="3"/>
      <c r="J77" s="3"/>
      <c r="L77" s="41"/>
      <c r="M77" s="41"/>
      <c r="X77" s="3"/>
      <c r="Y77" s="3"/>
      <c r="Z77" s="3"/>
      <c r="AA77" s="3"/>
      <c r="AB77" s="3"/>
    </row>
    <row r="78" spans="1:34">
      <c r="A78">
        <v>2038</v>
      </c>
      <c r="B78">
        <v>30</v>
      </c>
      <c r="C78" s="3"/>
      <c r="D78" s="3"/>
      <c r="E78" s="3"/>
      <c r="F78" s="3"/>
      <c r="G78" s="3"/>
      <c r="H78" s="3"/>
      <c r="I78" s="3"/>
      <c r="J78" s="3"/>
      <c r="L78" s="41"/>
      <c r="M78" s="41"/>
      <c r="O78" t="s">
        <v>17</v>
      </c>
      <c r="X78" s="3"/>
      <c r="Y78" s="3"/>
      <c r="Z78" s="3"/>
      <c r="AA78" s="3"/>
      <c r="AB78" s="3"/>
    </row>
    <row r="79" spans="1:34">
      <c r="A79">
        <v>2038</v>
      </c>
      <c r="B79">
        <v>41</v>
      </c>
      <c r="C79" s="3"/>
      <c r="D79" s="3"/>
      <c r="E79" s="3"/>
      <c r="F79" s="3"/>
      <c r="G79" s="3"/>
      <c r="H79" s="3"/>
      <c r="I79" s="3"/>
      <c r="J79" s="3"/>
      <c r="L79" s="41"/>
      <c r="M79" s="41"/>
      <c r="O79" t="s">
        <v>142</v>
      </c>
      <c r="P79" t="s">
        <v>8</v>
      </c>
      <c r="Q79" t="s">
        <v>10</v>
      </c>
      <c r="R79" t="s">
        <v>14</v>
      </c>
      <c r="S79" t="s">
        <v>15</v>
      </c>
      <c r="T79" t="s">
        <v>16</v>
      </c>
      <c r="U79" t="s">
        <v>115</v>
      </c>
      <c r="V79" t="s">
        <v>116</v>
      </c>
      <c r="W79" t="s">
        <v>47</v>
      </c>
      <c r="X79" t="s">
        <v>47</v>
      </c>
      <c r="Y79" t="s">
        <v>8</v>
      </c>
      <c r="Z79" t="s">
        <v>10</v>
      </c>
      <c r="AC79" s="32" t="s">
        <v>47</v>
      </c>
      <c r="AD79" t="s">
        <v>8</v>
      </c>
      <c r="AE79" t="s">
        <v>10</v>
      </c>
    </row>
    <row r="80" spans="1:34">
      <c r="A80">
        <v>2038</v>
      </c>
      <c r="B80" t="s">
        <v>109</v>
      </c>
      <c r="C80" s="3">
        <f>'Combined MOVES output'!C22*(1+'Federal GHG Rule'!D22)/454/2000</f>
        <v>3103.481109101554</v>
      </c>
      <c r="D80" s="3">
        <f>'Combined MOVES output'!D22*(1+'Federal GHG Rule'!J22)/454/2000</f>
        <v>19693906.602494232</v>
      </c>
      <c r="E80" s="3">
        <f>'Combined MOVES output'!E22</f>
        <v>311422884.85400724</v>
      </c>
      <c r="F80" s="3">
        <f>'Combined MOVES output'!F22*(1+'Federal GHG Rule'!C22)/454/2000</f>
        <v>517.63993174200289</v>
      </c>
      <c r="G80" s="3">
        <f>'Combined MOVES output'!G22*(1+'Federal GHG Rule'!F22)/454/2000</f>
        <v>8270.2094499697778</v>
      </c>
      <c r="H80" s="3">
        <f>'Combined MOVES output'!H22*(1+'Federal GHG Rule'!E22)/454/2000</f>
        <v>378.13906574071649</v>
      </c>
      <c r="I80" s="3">
        <f>'Combined MOVES output'!I22*(1-'Federal GHG Rule'!H22)/454/2000</f>
        <v>2256.9820114180447</v>
      </c>
      <c r="J80" s="3">
        <f>D80+AC80</f>
        <v>18116055.262801781</v>
      </c>
      <c r="L80" s="41">
        <f>'Fleet ZEV fractions'!AA30</f>
        <v>0.1568121887698001</v>
      </c>
      <c r="M80" s="41">
        <f>'ZEV efficiency'!K57</f>
        <v>4.0575094521576283</v>
      </c>
      <c r="O80" s="3">
        <f>E80*L80/M80</f>
        <v>12035684.644183336</v>
      </c>
      <c r="P80" s="3">
        <f>$O80*'GREET factors'!B110/454/2000</f>
        <v>150.82673772570919</v>
      </c>
      <c r="Q80" s="3">
        <f>$O80*'GREET factors'!C110/454/2000</f>
        <v>23.883628822267283</v>
      </c>
      <c r="R80" s="3">
        <f>$O80*'GREET factors'!D110/454/2000</f>
        <v>20.620843048436804</v>
      </c>
      <c r="S80" s="3">
        <f>$O80*'GREET factors'!E110/454/2000</f>
        <v>2.3566677769642062</v>
      </c>
      <c r="T80" s="3">
        <f>$O80*'GREET factors'!F110/454/2000</f>
        <v>288744.23853615264</v>
      </c>
      <c r="U80" s="3">
        <f>$O80*'GREET factors'!G110/454/2000</f>
        <v>5.2024202580754011</v>
      </c>
      <c r="V80" s="3">
        <f>$O80*'GREET factors'!H110/454/2000</f>
        <v>35.93918359870414</v>
      </c>
      <c r="W80" s="3">
        <f>$O80*'GREET factors'!I110/454/2000</f>
        <v>289962.04660989891</v>
      </c>
      <c r="X80" s="3">
        <f>('Combined MOVES output'!D22/454/2000-D80)*'GREET factors'!V1</f>
        <v>1866595.5782286033</v>
      </c>
      <c r="Y80" s="261">
        <f>O80*M80*'GREET factors'!$J$7/454/2000</f>
        <v>514.15601597077364</v>
      </c>
      <c r="Z80" s="261">
        <f>O80*M80*'GREET factors'!K$7/454/2000</f>
        <v>64.480098638713898</v>
      </c>
      <c r="AA80" s="261"/>
      <c r="AB80" s="261"/>
      <c r="AC80" s="3">
        <f>T80-X80</f>
        <v>-1577851.3396924506</v>
      </c>
      <c r="AD80" s="261">
        <f>P80-Y80</f>
        <v>-363.32927824506442</v>
      </c>
      <c r="AE80" s="261">
        <f>Q80-Z80</f>
        <v>-40.596469816446614</v>
      </c>
      <c r="AF80" s="261"/>
      <c r="AG80" s="261"/>
      <c r="AH80">
        <v>2038</v>
      </c>
    </row>
    <row r="81" spans="1:34">
      <c r="L81" s="41"/>
      <c r="M81" s="41"/>
      <c r="X81" s="3"/>
      <c r="Y81" s="3"/>
      <c r="Z81" s="3"/>
      <c r="AA81" s="3"/>
      <c r="AB81" s="3"/>
    </row>
    <row r="82" spans="1:34">
      <c r="A82">
        <v>2039</v>
      </c>
      <c r="B82">
        <v>20</v>
      </c>
      <c r="C82" s="3"/>
      <c r="D82" s="3"/>
      <c r="E82" s="3"/>
      <c r="F82" s="3"/>
      <c r="G82" s="3"/>
      <c r="H82" s="3"/>
      <c r="I82" s="3"/>
      <c r="J82" s="3"/>
      <c r="L82" s="41"/>
      <c r="M82" s="41"/>
      <c r="X82" s="3"/>
      <c r="Y82" s="3"/>
      <c r="Z82" s="3"/>
      <c r="AA82" s="3"/>
      <c r="AB82" s="3"/>
    </row>
    <row r="83" spans="1:34">
      <c r="A83">
        <v>2039</v>
      </c>
      <c r="B83">
        <v>30</v>
      </c>
      <c r="C83" s="3"/>
      <c r="D83" s="3"/>
      <c r="E83" s="3"/>
      <c r="F83" s="3"/>
      <c r="G83" s="3"/>
      <c r="H83" s="3"/>
      <c r="I83" s="3"/>
      <c r="J83" s="3"/>
      <c r="L83" s="41"/>
      <c r="M83" s="41"/>
      <c r="O83" t="s">
        <v>17</v>
      </c>
      <c r="X83" s="3"/>
      <c r="Y83" s="3"/>
      <c r="Z83" s="3"/>
      <c r="AA83" s="3"/>
      <c r="AB83" s="3"/>
    </row>
    <row r="84" spans="1:34">
      <c r="A84">
        <v>2039</v>
      </c>
      <c r="B84">
        <v>41</v>
      </c>
      <c r="C84" s="3"/>
      <c r="D84" s="3"/>
      <c r="E84" s="3"/>
      <c r="F84" s="3"/>
      <c r="G84" s="3"/>
      <c r="H84" s="3"/>
      <c r="I84" s="3"/>
      <c r="J84" s="3"/>
      <c r="L84" s="41"/>
      <c r="M84" s="41"/>
      <c r="O84" t="s">
        <v>142</v>
      </c>
      <c r="P84" t="s">
        <v>8</v>
      </c>
      <c r="Q84" t="s">
        <v>10</v>
      </c>
      <c r="R84" t="s">
        <v>14</v>
      </c>
      <c r="S84" t="s">
        <v>15</v>
      </c>
      <c r="T84" t="s">
        <v>16</v>
      </c>
      <c r="U84" t="s">
        <v>115</v>
      </c>
      <c r="V84" t="s">
        <v>116</v>
      </c>
      <c r="W84" t="s">
        <v>47</v>
      </c>
      <c r="X84" t="s">
        <v>47</v>
      </c>
      <c r="Y84" t="s">
        <v>8</v>
      </c>
      <c r="Z84" t="s">
        <v>10</v>
      </c>
      <c r="AC84" s="32" t="s">
        <v>47</v>
      </c>
      <c r="AD84" t="s">
        <v>8</v>
      </c>
      <c r="AE84" t="s">
        <v>10</v>
      </c>
    </row>
    <row r="85" spans="1:34">
      <c r="A85">
        <v>2039</v>
      </c>
      <c r="B85" t="s">
        <v>109</v>
      </c>
      <c r="C85" s="3">
        <f>'Combined MOVES output'!C23*(1+'Federal GHG Rule'!D23)/454/2000</f>
        <v>3028.4700417233958</v>
      </c>
      <c r="D85" s="3">
        <f>'Combined MOVES output'!D23*(1+'Federal GHG Rule'!J23)/454/2000</f>
        <v>19436083.516129754</v>
      </c>
      <c r="E85" s="3">
        <f>'Combined MOVES output'!E23</f>
        <v>311765342.89809161</v>
      </c>
      <c r="F85" s="3">
        <f>'Combined MOVES output'!F23*(1+'Federal GHG Rule'!C23)/454/2000</f>
        <v>506.67503858575697</v>
      </c>
      <c r="G85" s="3">
        <f>'Combined MOVES output'!G23*(1+'Federal GHG Rule'!F23)/454/2000</f>
        <v>8013.8542440972024</v>
      </c>
      <c r="H85" s="3">
        <f>'Combined MOVES output'!H23*(1+'Federal GHG Rule'!E23)/454/2000</f>
        <v>373.40189253783154</v>
      </c>
      <c r="I85" s="3">
        <f>'Combined MOVES output'!I23*(1-'Federal GHG Rule'!H23)/454/2000</f>
        <v>2284.47855057277</v>
      </c>
      <c r="J85" s="3">
        <f>D85+AC85</f>
        <v>17780075.90184826</v>
      </c>
      <c r="L85" s="41">
        <f>'Fleet ZEV fractions'!AA31</f>
        <v>0.16635534132293822</v>
      </c>
      <c r="M85" s="41">
        <f>'ZEV efficiency'!K58</f>
        <v>4.0568355972737384</v>
      </c>
      <c r="O85" s="3">
        <f>E85*L85/M85</f>
        <v>12784306.582531534</v>
      </c>
      <c r="P85" s="3">
        <f>$O85*'GREET factors'!B111/454/2000</f>
        <v>153.23026845060409</v>
      </c>
      <c r="Q85" s="3">
        <f>$O85*'GREET factors'!C111/454/2000</f>
        <v>24.264231337192072</v>
      </c>
      <c r="R85" s="3">
        <f>$O85*'GREET factors'!D111/454/2000</f>
        <v>20.949450764731033</v>
      </c>
      <c r="S85" s="3">
        <f>$O85*'GREET factors'!E111/454/2000</f>
        <v>2.3942229445406888</v>
      </c>
      <c r="T85" s="3">
        <f>$O85*'GREET factors'!F111/454/2000</f>
        <v>293345.58216675039</v>
      </c>
      <c r="U85" s="3">
        <f>$O85*'GREET factors'!G111/454/2000</f>
        <v>5.2853245038520358</v>
      </c>
      <c r="V85" s="3">
        <f>$O85*'GREET factors'!H111/454/2000</f>
        <v>36.511899904245503</v>
      </c>
      <c r="W85" s="3">
        <f>$O85*'GREET factors'!I111/454/2000</f>
        <v>294582.79687334178</v>
      </c>
      <c r="X85" s="3">
        <f>('Combined MOVES output'!D23/454/2000-D85)*'GREET factors'!V1</f>
        <v>1949353.1964482432</v>
      </c>
      <c r="Y85" s="261">
        <f>O85*M85*'GREET factors'!$J$7/454/2000</f>
        <v>546.04592052527471</v>
      </c>
      <c r="Z85" s="261">
        <f>O85*M85*'GREET factors'!K$7/454/2000</f>
        <v>68.479398709862508</v>
      </c>
      <c r="AA85" s="261"/>
      <c r="AB85" s="261"/>
      <c r="AC85" s="3">
        <f>T85-X85</f>
        <v>-1656007.6142814928</v>
      </c>
      <c r="AD85" s="261">
        <f>P85-Y85</f>
        <v>-392.81565207467065</v>
      </c>
      <c r="AE85" s="261">
        <f>Q85-Z85</f>
        <v>-44.215167372670436</v>
      </c>
      <c r="AF85" s="261"/>
      <c r="AG85" s="261"/>
      <c r="AH85">
        <v>2039</v>
      </c>
    </row>
    <row r="86" spans="1:34">
      <c r="L86" s="41"/>
      <c r="M86" s="41"/>
    </row>
    <row r="87" spans="1:34">
      <c r="A87">
        <v>2040</v>
      </c>
      <c r="B87">
        <v>20</v>
      </c>
      <c r="C87" s="3"/>
      <c r="D87" s="3"/>
      <c r="E87" s="3"/>
      <c r="F87" s="3"/>
      <c r="G87" s="3"/>
      <c r="H87" s="3"/>
      <c r="I87" s="3"/>
      <c r="J87" s="3"/>
      <c r="L87" s="41"/>
      <c r="M87" s="41"/>
    </row>
    <row r="88" spans="1:34">
      <c r="A88">
        <v>2040</v>
      </c>
      <c r="B88">
        <v>30</v>
      </c>
      <c r="C88" s="3"/>
      <c r="D88" s="3"/>
      <c r="E88" s="3"/>
      <c r="F88" s="3"/>
      <c r="G88" s="3"/>
      <c r="H88" s="3"/>
      <c r="I88" s="3"/>
      <c r="J88" s="3"/>
      <c r="L88" s="41"/>
      <c r="M88" s="41"/>
      <c r="O88" t="s">
        <v>17</v>
      </c>
    </row>
    <row r="89" spans="1:34">
      <c r="A89">
        <v>2040</v>
      </c>
      <c r="B89">
        <v>41</v>
      </c>
      <c r="C89" s="3"/>
      <c r="D89" s="3"/>
      <c r="E89" s="3"/>
      <c r="F89" s="3"/>
      <c r="G89" s="3"/>
      <c r="H89" s="3"/>
      <c r="I89" s="3"/>
      <c r="J89" s="3"/>
      <c r="L89" s="41"/>
      <c r="M89" s="41"/>
      <c r="O89" t="s">
        <v>142</v>
      </c>
      <c r="P89" t="s">
        <v>8</v>
      </c>
      <c r="Q89" t="s">
        <v>10</v>
      </c>
      <c r="R89" t="s">
        <v>14</v>
      </c>
      <c r="S89" t="s">
        <v>15</v>
      </c>
      <c r="T89" t="s">
        <v>16</v>
      </c>
      <c r="U89" t="s">
        <v>115</v>
      </c>
      <c r="V89" t="s">
        <v>116</v>
      </c>
      <c r="W89" t="s">
        <v>47</v>
      </c>
      <c r="X89" t="s">
        <v>47</v>
      </c>
      <c r="Y89" t="s">
        <v>8</v>
      </c>
      <c r="Z89" t="s">
        <v>10</v>
      </c>
      <c r="AA89" t="s">
        <v>115</v>
      </c>
      <c r="AB89" t="s">
        <v>116</v>
      </c>
      <c r="AC89" s="32" t="s">
        <v>47</v>
      </c>
      <c r="AD89" t="s">
        <v>8</v>
      </c>
      <c r="AE89" t="s">
        <v>10</v>
      </c>
      <c r="AF89" t="s">
        <v>115</v>
      </c>
      <c r="AG89" t="s">
        <v>116</v>
      </c>
    </row>
    <row r="90" spans="1:34">
      <c r="A90">
        <v>2040</v>
      </c>
      <c r="B90" s="8" t="s">
        <v>109</v>
      </c>
      <c r="C90" s="3">
        <f>'Combined MOVES output'!C24*(1+'Federal GHG Rule'!D24)/454/2000</f>
        <v>2950.0846488612106</v>
      </c>
      <c r="D90" s="3">
        <f>'Combined MOVES output'!D24*(1+'Federal GHG Rule'!J24)/454/2000</f>
        <v>19213810.651803229</v>
      </c>
      <c r="E90" s="3">
        <f>'Combined MOVES output'!E24</f>
        <v>312107800.94217598</v>
      </c>
      <c r="F90" s="3">
        <f>'Combined MOVES output'!F24*(1+'Federal GHG Rule'!C24)/454/2000</f>
        <v>495.46462438819543</v>
      </c>
      <c r="G90" s="3">
        <f>'Combined MOVES output'!G24*(1+'Federal GHG Rule'!F24)/454/2000</f>
        <v>7752.2899304697494</v>
      </c>
      <c r="H90" s="3">
        <f>'Combined MOVES output'!H24*(1+'Federal GHG Rule'!E24)/454/2000</f>
        <v>369.34478130191059</v>
      </c>
      <c r="I90" s="3">
        <f>'Combined MOVES output'!I24*(1-'Federal GHG Rule'!H24)/454/2000</f>
        <v>2311.9759843717602</v>
      </c>
      <c r="J90" s="3">
        <f>D90+AC90</f>
        <v>17481769.810189825</v>
      </c>
      <c r="L90" s="41">
        <f>'Fleet ZEV fractions'!AA32</f>
        <v>0.17200000000000001</v>
      </c>
      <c r="M90" s="41">
        <f>'ZEV efficiency'!K59</f>
        <v>4.0562696752233567</v>
      </c>
      <c r="O90" s="3">
        <f>E90*L90/M90</f>
        <v>13234460.73863377</v>
      </c>
      <c r="P90" s="3">
        <f>$O90*'GREET factors'!B112/454/2000</f>
        <v>151.40210589152039</v>
      </c>
      <c r="Q90" s="3">
        <f>$O90*'GREET factors'!C112/454/2000</f>
        <v>23.974739191128901</v>
      </c>
      <c r="R90" s="3">
        <f>$O90*'GREET factors'!D112/454/2000</f>
        <v>20.699506664856305</v>
      </c>
      <c r="S90" s="3">
        <f>$O90*'GREET factors'!E112/454/2000</f>
        <v>2.3656579045550061</v>
      </c>
      <c r="T90" s="3">
        <f>$O90*'GREET factors'!F112/454/2000</f>
        <v>289845.72919636453</v>
      </c>
      <c r="U90" s="3">
        <f>$O90*'GREET factors'!G112/454/2000</f>
        <v>5.2222662551897292</v>
      </c>
      <c r="V90" s="3">
        <f>$O90*'GREET factors'!H112/454/2000</f>
        <v>36.076283044463842</v>
      </c>
      <c r="W90" s="3">
        <f>$O90*'GREET factors'!I112/454/2000</f>
        <v>291068.18291854335</v>
      </c>
      <c r="X90" s="3">
        <f>('Combined MOVES output'!D24/454/2000-D90)*'GREET factors'!V1</f>
        <v>2021886.570809769</v>
      </c>
      <c r="Y90" s="261">
        <f>O90*M90*'GREET factors'!$J$7/454/2000</f>
        <v>565.19414234107251</v>
      </c>
      <c r="Z90" s="261">
        <f>O90*M90*'GREET factors'!K$7/454/2000</f>
        <v>70.880769486605118</v>
      </c>
      <c r="AA90" s="261">
        <f>O90*M90*'GREET factors'!L7/454/2000</f>
        <v>1419.7175082532949</v>
      </c>
      <c r="AB90" s="261">
        <f>O90*M90*'GREET factors'!M7/454/2000</f>
        <v>211.88591104323808</v>
      </c>
      <c r="AC90" s="3">
        <f>T90-X90</f>
        <v>-1732040.8416134045</v>
      </c>
      <c r="AD90" s="261">
        <f>P90-Y90</f>
        <v>-413.79203644955214</v>
      </c>
      <c r="AE90" s="261">
        <f>Q90-Z90</f>
        <v>-46.906030295476214</v>
      </c>
      <c r="AF90" s="261">
        <f>U90-AA90</f>
        <v>-1414.4952419981053</v>
      </c>
      <c r="AG90" s="261">
        <f>V90-AB90</f>
        <v>-175.80962799877423</v>
      </c>
      <c r="AH90">
        <v>2040</v>
      </c>
    </row>
    <row r="92" spans="1:34">
      <c r="A92">
        <v>2041</v>
      </c>
      <c r="B92">
        <v>20</v>
      </c>
      <c r="C92" s="3"/>
      <c r="D92" s="3"/>
      <c r="E92" s="3"/>
      <c r="F92" s="3"/>
      <c r="G92" s="3"/>
      <c r="H92" s="3"/>
      <c r="I92" s="3"/>
      <c r="J92" s="3"/>
      <c r="L92" s="41"/>
      <c r="M92" s="41"/>
    </row>
    <row r="93" spans="1:34">
      <c r="A93">
        <v>2041</v>
      </c>
      <c r="B93">
        <v>30</v>
      </c>
      <c r="C93" s="3"/>
      <c r="D93" s="3"/>
      <c r="E93" s="3"/>
      <c r="F93" s="3"/>
      <c r="G93" s="3"/>
      <c r="H93" s="3"/>
      <c r="I93" s="3"/>
      <c r="J93" s="3"/>
      <c r="L93" s="41"/>
      <c r="M93" s="41"/>
      <c r="O93" t="s">
        <v>17</v>
      </c>
    </row>
    <row r="94" spans="1:34">
      <c r="A94">
        <v>2041</v>
      </c>
      <c r="B94">
        <v>41</v>
      </c>
      <c r="C94" s="3"/>
      <c r="D94" s="3"/>
      <c r="E94" s="3"/>
      <c r="F94" s="3"/>
      <c r="G94" s="3"/>
      <c r="H94" s="3"/>
      <c r="I94" s="3"/>
      <c r="J94" s="3"/>
      <c r="L94" s="41"/>
      <c r="M94" s="41"/>
      <c r="O94" t="s">
        <v>142</v>
      </c>
      <c r="P94" t="s">
        <v>8</v>
      </c>
      <c r="Q94" t="s">
        <v>10</v>
      </c>
      <c r="R94" t="s">
        <v>14</v>
      </c>
      <c r="S94" t="s">
        <v>15</v>
      </c>
      <c r="T94" t="s">
        <v>16</v>
      </c>
      <c r="U94" t="s">
        <v>115</v>
      </c>
      <c r="V94" t="s">
        <v>116</v>
      </c>
      <c r="W94" t="s">
        <v>47</v>
      </c>
      <c r="X94" t="s">
        <v>47</v>
      </c>
      <c r="Y94" t="s">
        <v>8</v>
      </c>
      <c r="Z94" t="s">
        <v>10</v>
      </c>
      <c r="AC94" s="32" t="s">
        <v>47</v>
      </c>
      <c r="AD94" t="s">
        <v>8</v>
      </c>
      <c r="AE94" t="s">
        <v>10</v>
      </c>
    </row>
    <row r="95" spans="1:34">
      <c r="A95">
        <v>2041</v>
      </c>
      <c r="B95" s="8" t="s">
        <v>109</v>
      </c>
      <c r="C95" s="3">
        <f>'Combined MOVES output'!C25*(1+'Federal GHG Rule'!D25)/454/2000</f>
        <v>2851.6882468751369</v>
      </c>
      <c r="D95" s="3">
        <f>'Combined MOVES output'!D25*(1+'Federal GHG Rule'!J25)/454/2000</f>
        <v>19047071.044659343</v>
      </c>
      <c r="E95" s="3">
        <f>'Combined MOVES output'!E25</f>
        <v>312773724.65919727</v>
      </c>
      <c r="F95" s="3">
        <f>'Combined MOVES output'!F25*(1+'Federal GHG Rule'!C25)/454/2000</f>
        <v>491.36011775125343</v>
      </c>
      <c r="G95" s="3">
        <f>'Combined MOVES output'!G25*(1+'Federal GHG Rule'!F25)/454/2000</f>
        <v>7599.0604395592845</v>
      </c>
      <c r="H95" s="3">
        <f>'Combined MOVES output'!H25*(1+'Federal GHG Rule'!E25)/454/2000</f>
        <v>366.35057488187357</v>
      </c>
      <c r="I95" s="3">
        <f>'Combined MOVES output'!I25*(1-'Federal GHG Rule'!H25)/454/2000</f>
        <v>2328.8668865642585</v>
      </c>
      <c r="J95" s="3">
        <f>D95+AC95</f>
        <v>17222606.986775286</v>
      </c>
      <c r="L95" s="41">
        <f>L90</f>
        <v>0.17200000000000001</v>
      </c>
      <c r="M95" s="41">
        <f>M90</f>
        <v>4.0562696752233567</v>
      </c>
      <c r="O95" s="3">
        <f>E95*L95/M95</f>
        <v>13262698.229850711</v>
      </c>
      <c r="P95" s="101">
        <f>$O95*'GREET factors'!B113/454/2000</f>
        <v>136.69683211217315</v>
      </c>
      <c r="Q95" s="101">
        <f>$O95*'GREET factors'!C113/454/2000</f>
        <v>21.646138135562332</v>
      </c>
      <c r="R95" s="101">
        <f>$O95*'GREET factors'!D113/454/2000</f>
        <v>18.689020015336176</v>
      </c>
      <c r="S95" s="101">
        <f>$O95*'GREET factors'!E113/454/2000</f>
        <v>2.1358880017527055</v>
      </c>
      <c r="T95" s="101">
        <f>$O95*'GREET factors'!F113/454/2000</f>
        <v>261693.80372274542</v>
      </c>
      <c r="U95" s="101">
        <f>$O95*'GREET factors'!G113/454/2000</f>
        <v>4.715041771230208</v>
      </c>
      <c r="V95" s="101">
        <f>$O95*'GREET factors'!H113/454/2000</f>
        <v>32.572292026728761</v>
      </c>
      <c r="W95" s="101">
        <f>$O95*'GREET factors'!I113/454/2000</f>
        <v>262797.52384765114</v>
      </c>
      <c r="X95" s="101">
        <f>('Combined MOVES output'!D25/454/2000-D95)*'GREET factors'!V1</f>
        <v>2086157.8616068026</v>
      </c>
      <c r="Y95" s="261">
        <f>O95*M95*'GREET factors'!$J$7/454/2000</f>
        <v>566.40005960097528</v>
      </c>
      <c r="Z95" s="261">
        <f>O95*M95*'GREET factors'!K$7/454/2000</f>
        <v>71.032003083905025</v>
      </c>
      <c r="AA95" s="261"/>
      <c r="AB95" s="261"/>
      <c r="AC95" s="3">
        <f>T95-X95</f>
        <v>-1824464.0578840571</v>
      </c>
      <c r="AD95" s="261">
        <f>P95-Y95</f>
        <v>-429.7032274888021</v>
      </c>
      <c r="AE95" s="261">
        <f>Q95-Z95</f>
        <v>-49.385864948342693</v>
      </c>
      <c r="AF95" s="261"/>
      <c r="AG95" s="261"/>
      <c r="AH95">
        <v>2041</v>
      </c>
    </row>
    <row r="96" spans="1:34">
      <c r="L96" s="41"/>
      <c r="M96" s="41"/>
      <c r="P96" s="6"/>
      <c r="Q96" s="6"/>
      <c r="R96" s="6"/>
      <c r="S96" s="6"/>
      <c r="T96" s="6"/>
      <c r="U96" s="6"/>
      <c r="V96" s="6"/>
      <c r="W96" s="6"/>
      <c r="X96" s="28"/>
    </row>
    <row r="97" spans="1:34">
      <c r="A97">
        <v>2042</v>
      </c>
      <c r="B97">
        <v>20</v>
      </c>
      <c r="C97" s="3"/>
      <c r="D97" s="3"/>
      <c r="E97" s="3"/>
      <c r="F97" s="3"/>
      <c r="G97" s="3"/>
      <c r="H97" s="3"/>
      <c r="I97" s="3"/>
      <c r="J97" s="3"/>
      <c r="L97" s="41"/>
      <c r="M97" s="41"/>
      <c r="P97" s="6"/>
      <c r="Q97" s="6"/>
      <c r="R97" s="6"/>
      <c r="S97" s="6"/>
      <c r="T97" s="6"/>
      <c r="U97" s="6"/>
      <c r="V97" s="6"/>
      <c r="W97" s="6"/>
      <c r="X97" s="28"/>
    </row>
    <row r="98" spans="1:34">
      <c r="A98">
        <v>2042</v>
      </c>
      <c r="B98">
        <v>30</v>
      </c>
      <c r="C98" s="3"/>
      <c r="D98" s="3"/>
      <c r="E98" s="3"/>
      <c r="F98" s="3"/>
      <c r="G98" s="3"/>
      <c r="H98" s="3"/>
      <c r="I98" s="3"/>
      <c r="J98" s="3"/>
      <c r="L98" s="41"/>
      <c r="M98" s="41"/>
      <c r="O98" t="s">
        <v>17</v>
      </c>
      <c r="P98" s="6"/>
      <c r="Q98" s="6"/>
      <c r="R98" s="6"/>
      <c r="S98" s="6"/>
      <c r="T98" s="6"/>
      <c r="U98" s="6"/>
      <c r="V98" s="6"/>
      <c r="W98" s="6"/>
      <c r="X98" s="28"/>
    </row>
    <row r="99" spans="1:34">
      <c r="A99">
        <v>2042</v>
      </c>
      <c r="B99">
        <v>41</v>
      </c>
      <c r="C99" s="3"/>
      <c r="D99" s="3"/>
      <c r="E99" s="3"/>
      <c r="F99" s="3"/>
      <c r="G99" s="3"/>
      <c r="H99" s="3"/>
      <c r="I99" s="3"/>
      <c r="J99" s="3"/>
      <c r="L99" s="41"/>
      <c r="M99" s="41"/>
      <c r="O99" t="s">
        <v>142</v>
      </c>
      <c r="P99" s="28" t="s">
        <v>8</v>
      </c>
      <c r="Q99" s="28" t="s">
        <v>10</v>
      </c>
      <c r="R99" s="28" t="s">
        <v>14</v>
      </c>
      <c r="S99" s="28" t="s">
        <v>15</v>
      </c>
      <c r="T99" s="28" t="s">
        <v>16</v>
      </c>
      <c r="U99" s="28" t="s">
        <v>115</v>
      </c>
      <c r="V99" s="28" t="s">
        <v>116</v>
      </c>
      <c r="W99" s="28" t="s">
        <v>47</v>
      </c>
      <c r="X99" s="28" t="s">
        <v>47</v>
      </c>
      <c r="Y99" t="s">
        <v>8</v>
      </c>
      <c r="Z99" t="s">
        <v>10</v>
      </c>
      <c r="AC99" s="32" t="s">
        <v>47</v>
      </c>
      <c r="AD99" t="s">
        <v>8</v>
      </c>
      <c r="AE99" t="s">
        <v>10</v>
      </c>
    </row>
    <row r="100" spans="1:34">
      <c r="A100">
        <v>2042</v>
      </c>
      <c r="B100" s="8" t="s">
        <v>109</v>
      </c>
      <c r="C100" s="3">
        <f>'Combined MOVES output'!C26*(1+'Federal GHG Rule'!D26)/454/2000</f>
        <v>2752.3588352881275</v>
      </c>
      <c r="D100" s="3">
        <f>'Combined MOVES output'!D26*(1+'Federal GHG Rule'!J26)/454/2000</f>
        <v>18912265.606632445</v>
      </c>
      <c r="E100" s="3">
        <f>'Combined MOVES output'!E26</f>
        <v>313439648.37621862</v>
      </c>
      <c r="F100" s="3">
        <f>'Combined MOVES output'!F26*(1+'Federal GHG Rule'!C26)/454/2000</f>
        <v>487.43255767892009</v>
      </c>
      <c r="G100" s="3">
        <f>'Combined MOVES output'!G26*(1+'Federal GHG Rule'!F26)/454/2000</f>
        <v>7444.1939299724754</v>
      </c>
      <c r="H100" s="3">
        <f>'Combined MOVES output'!H26*(1+'Federal GHG Rule'!E26)/454/2000</f>
        <v>363.971648180969</v>
      </c>
      <c r="I100" s="3">
        <f>'Combined MOVES output'!I26*(1-'Federal GHG Rule'!H26)/454/2000</f>
        <v>2345.7577887567568</v>
      </c>
      <c r="J100" s="3">
        <f>D100+AC100</f>
        <v>17004440.090129871</v>
      </c>
      <c r="L100" s="41">
        <f>L95</f>
        <v>0.17200000000000001</v>
      </c>
      <c r="M100" s="41">
        <f>M95</f>
        <v>4.0562696752233567</v>
      </c>
      <c r="O100" s="3">
        <f>E100*L100/M100</f>
        <v>13290935.721067654</v>
      </c>
      <c r="P100" s="101">
        <f>$O100*'GREET factors'!B114/454/2000</f>
        <v>121.92756505243652</v>
      </c>
      <c r="Q100" s="101">
        <f>$O100*'GREET factors'!C114/454/2000</f>
        <v>19.307403652866153</v>
      </c>
      <c r="R100" s="101">
        <f>$O100*'GREET factors'!D114/454/2000</f>
        <v>16.669784284512811</v>
      </c>
      <c r="S100" s="101">
        <f>$O100*'GREET factors'!E114/454/2000</f>
        <v>1.9051182039443206</v>
      </c>
      <c r="T100" s="101">
        <f>$O100*'GREET factors'!F114/454/2000</f>
        <v>233419.36886321707</v>
      </c>
      <c r="U100" s="101">
        <f>$O100*'GREET factors'!G114/454/2000</f>
        <v>4.2056099867396348</v>
      </c>
      <c r="V100" s="101">
        <f>$O100*'GREET factors'!H114/454/2000</f>
        <v>29.053052610150896</v>
      </c>
      <c r="W100" s="101">
        <f>$O100*'GREET factors'!I114/454/2000</f>
        <v>234403.83869510525</v>
      </c>
      <c r="X100" s="101">
        <f>('Combined MOVES output'!D26/454/2000-D100)*'GREET factors'!V1</f>
        <v>2141244.8853657912</v>
      </c>
      <c r="Y100" s="261">
        <f>O100*M100*'GREET factors'!$J$7/454/2000</f>
        <v>567.60597686087795</v>
      </c>
      <c r="Z100" s="261">
        <f>O100*M100*'GREET factors'!K$7/454/2000</f>
        <v>71.183236681204946</v>
      </c>
      <c r="AA100" s="261"/>
      <c r="AB100" s="261"/>
      <c r="AC100" s="3">
        <f>T100-X100</f>
        <v>-1907825.5165025741</v>
      </c>
      <c r="AD100" s="261">
        <f>P100-Y100</f>
        <v>-445.67841180844141</v>
      </c>
      <c r="AE100" s="261">
        <f>Q100-Z100</f>
        <v>-51.875833028338789</v>
      </c>
      <c r="AF100" s="261"/>
      <c r="AG100" s="261"/>
      <c r="AH100">
        <v>2042</v>
      </c>
    </row>
    <row r="101" spans="1:34">
      <c r="A101" s="6"/>
      <c r="C101" s="3"/>
      <c r="D101" s="3"/>
      <c r="E101" s="3"/>
      <c r="F101" s="3"/>
      <c r="G101" s="3"/>
      <c r="H101" s="3"/>
      <c r="L101" s="41"/>
      <c r="M101" s="41"/>
      <c r="P101" s="28"/>
      <c r="Q101" s="28"/>
      <c r="R101" s="28"/>
      <c r="S101" s="28"/>
      <c r="T101" s="28"/>
      <c r="U101" s="28"/>
      <c r="V101" s="28"/>
      <c r="W101" s="28"/>
      <c r="X101" s="101"/>
      <c r="Y101" s="3"/>
      <c r="Z101" s="3"/>
      <c r="AA101" s="3"/>
      <c r="AB101" s="3"/>
      <c r="AH101" s="6"/>
    </row>
    <row r="102" spans="1:34">
      <c r="A102">
        <v>2043</v>
      </c>
      <c r="B102">
        <v>20</v>
      </c>
      <c r="C102" s="3"/>
      <c r="D102" s="3"/>
      <c r="E102" s="3"/>
      <c r="F102" s="3"/>
      <c r="G102" s="3"/>
      <c r="H102" s="3"/>
      <c r="I102" s="3"/>
      <c r="J102" s="3"/>
      <c r="L102" s="41"/>
      <c r="M102" s="41"/>
      <c r="P102" s="28"/>
      <c r="Q102" s="28"/>
      <c r="R102" s="28"/>
      <c r="S102" s="28"/>
      <c r="T102" s="28"/>
      <c r="U102" s="28"/>
      <c r="V102" s="28"/>
      <c r="W102" s="28"/>
      <c r="X102" s="101"/>
      <c r="Y102" s="3"/>
      <c r="Z102" s="3"/>
      <c r="AA102" s="3"/>
      <c r="AB102" s="3"/>
    </row>
    <row r="103" spans="1:34">
      <c r="A103">
        <v>2043</v>
      </c>
      <c r="B103">
        <v>30</v>
      </c>
      <c r="C103" s="3"/>
      <c r="D103" s="3"/>
      <c r="E103" s="3"/>
      <c r="F103" s="3"/>
      <c r="G103" s="3"/>
      <c r="H103" s="3"/>
      <c r="I103" s="3"/>
      <c r="J103" s="3"/>
      <c r="L103" s="41"/>
      <c r="M103" s="41"/>
      <c r="O103" t="s">
        <v>17</v>
      </c>
      <c r="P103" s="28"/>
      <c r="Q103" s="28"/>
      <c r="R103" s="28"/>
      <c r="S103" s="28"/>
      <c r="T103" s="28"/>
      <c r="U103" s="28"/>
      <c r="V103" s="28"/>
      <c r="W103" s="28"/>
      <c r="X103" s="101"/>
      <c r="Y103" s="3"/>
      <c r="Z103" s="3"/>
      <c r="AA103" s="3"/>
      <c r="AB103" s="3"/>
    </row>
    <row r="104" spans="1:34">
      <c r="A104">
        <v>2043</v>
      </c>
      <c r="B104">
        <v>41</v>
      </c>
      <c r="C104" s="3"/>
      <c r="D104" s="3"/>
      <c r="E104" s="3"/>
      <c r="F104" s="3"/>
      <c r="G104" s="3"/>
      <c r="H104" s="3"/>
      <c r="I104" s="3"/>
      <c r="J104" s="3"/>
      <c r="L104" s="41"/>
      <c r="M104" s="41"/>
      <c r="O104" t="s">
        <v>142</v>
      </c>
      <c r="P104" s="28" t="s">
        <v>8</v>
      </c>
      <c r="Q104" s="28" t="s">
        <v>10</v>
      </c>
      <c r="R104" s="28" t="s">
        <v>14</v>
      </c>
      <c r="S104" s="28" t="s">
        <v>15</v>
      </c>
      <c r="T104" s="28" t="s">
        <v>16</v>
      </c>
      <c r="U104" s="28" t="s">
        <v>115</v>
      </c>
      <c r="V104" s="28" t="s">
        <v>116</v>
      </c>
      <c r="W104" s="28" t="s">
        <v>47</v>
      </c>
      <c r="X104" s="28" t="s">
        <v>47</v>
      </c>
      <c r="Y104" t="s">
        <v>8</v>
      </c>
      <c r="Z104" t="s">
        <v>10</v>
      </c>
      <c r="AC104" s="32" t="s">
        <v>47</v>
      </c>
      <c r="AD104" t="s">
        <v>8</v>
      </c>
      <c r="AE104" t="s">
        <v>10</v>
      </c>
    </row>
    <row r="105" spans="1:34">
      <c r="A105">
        <v>2043</v>
      </c>
      <c r="B105" s="8" t="s">
        <v>109</v>
      </c>
      <c r="C105" s="3">
        <f>'Combined MOVES output'!C27*(1+'Federal GHG Rule'!D27)/454/2000</f>
        <v>2652.2584444194831</v>
      </c>
      <c r="D105" s="3">
        <f>'Combined MOVES output'!D27*(1+'Federal GHG Rule'!J27)/454/2000</f>
        <v>18801507.035034537</v>
      </c>
      <c r="E105" s="3">
        <f>'Combined MOVES output'!E27</f>
        <v>314105572.0932399</v>
      </c>
      <c r="F105" s="3">
        <f>'Combined MOVES output'!F27*(1+'Federal GHG Rule'!C27)/454/2000</f>
        <v>483.60425485281485</v>
      </c>
      <c r="G105" s="3">
        <f>'Combined MOVES output'!G27*(1+'Federal GHG Rule'!F27)/454/2000</f>
        <v>7287.4258499000898</v>
      </c>
      <c r="H105" s="3">
        <f>'Combined MOVES output'!H27*(1+'Federal GHG Rule'!E27)/454/2000</f>
        <v>362.05655624780513</v>
      </c>
      <c r="I105" s="3">
        <f>'Combined MOVES output'!I27*(1-'Federal GHG Rule'!H27)/454/2000</f>
        <v>2362.6486909492546</v>
      </c>
      <c r="J105" s="3">
        <f>D105+AC105</f>
        <v>16817113.429312512</v>
      </c>
      <c r="L105" s="41">
        <f>L100</f>
        <v>0.17200000000000001</v>
      </c>
      <c r="M105" s="41">
        <f>M100</f>
        <v>4.0562696752233567</v>
      </c>
      <c r="O105" s="3">
        <f>E105*L105/M105</f>
        <v>13319173.212284595</v>
      </c>
      <c r="P105" s="101">
        <f>$O105*'GREET factors'!B115/454/2000</f>
        <v>107.09430471231052</v>
      </c>
      <c r="Q105" s="101">
        <f>$O105*'GREET factors'!C115/454/2000</f>
        <v>16.958535743040372</v>
      </c>
      <c r="R105" s="101">
        <f>$O105*'GREET factors'!D115/454/2000</f>
        <v>14.641799472386202</v>
      </c>
      <c r="S105" s="101">
        <f>$O105*'GREET factors'!E115/454/2000</f>
        <v>1.6733485111298518</v>
      </c>
      <c r="T105" s="101">
        <f>$O105*'GREET factors'!F115/454/2000</f>
        <v>205022.42461777944</v>
      </c>
      <c r="U105" s="101">
        <f>$O105*'GREET factors'!G115/454/2000</f>
        <v>3.6939709017180125</v>
      </c>
      <c r="V105" s="101">
        <f>$O105*'GREET factors'!H115/454/2000</f>
        <v>25.518564794730235</v>
      </c>
      <c r="W105" s="101">
        <f>$O105*'GREET factors'!I115/454/2000</f>
        <v>205887.12746090582</v>
      </c>
      <c r="X105" s="101">
        <f>('Combined MOVES output'!D27/454/2000-D105)*'GREET factors'!V1</f>
        <v>2189416.0303398035</v>
      </c>
      <c r="Y105" s="261">
        <f>O105*M105*'GREET factors'!$J$7/454/2000</f>
        <v>568.81189412078061</v>
      </c>
      <c r="Z105" s="261">
        <f>O105*M105*'GREET factors'!K$7/454/2000</f>
        <v>71.334470278504838</v>
      </c>
      <c r="AA105" s="261"/>
      <c r="AB105" s="261"/>
      <c r="AC105" s="3">
        <f>T105-X105</f>
        <v>-1984393.6057220241</v>
      </c>
      <c r="AD105" s="261">
        <f>P105-Y105</f>
        <v>-461.71758940847008</v>
      </c>
      <c r="AE105" s="261">
        <f>Q105-Z105</f>
        <v>-54.375934535464467</v>
      </c>
      <c r="AF105" s="261"/>
      <c r="AG105" s="261"/>
      <c r="AH105">
        <v>2043</v>
      </c>
    </row>
    <row r="106" spans="1:34">
      <c r="L106" s="41"/>
      <c r="M106" s="41"/>
      <c r="P106" s="6"/>
      <c r="Q106" s="6"/>
      <c r="R106" s="6"/>
      <c r="S106" s="6"/>
      <c r="T106" s="6"/>
      <c r="U106" s="6"/>
      <c r="V106" s="6"/>
      <c r="W106" s="6"/>
      <c r="X106" s="101"/>
      <c r="Y106" s="3"/>
      <c r="Z106" s="3"/>
      <c r="AA106" s="3"/>
      <c r="AB106" s="3"/>
    </row>
    <row r="107" spans="1:34">
      <c r="A107">
        <v>2044</v>
      </c>
      <c r="B107">
        <v>20</v>
      </c>
      <c r="C107" s="3"/>
      <c r="D107" s="3"/>
      <c r="E107" s="3"/>
      <c r="F107" s="3"/>
      <c r="G107" s="3"/>
      <c r="H107" s="3"/>
      <c r="I107" s="3"/>
      <c r="J107" s="3"/>
      <c r="L107" s="41"/>
      <c r="M107" s="41"/>
      <c r="P107" s="6"/>
      <c r="Q107" s="6"/>
      <c r="R107" s="6"/>
      <c r="S107" s="6"/>
      <c r="T107" s="6"/>
      <c r="U107" s="6"/>
      <c r="V107" s="6"/>
      <c r="W107" s="6"/>
      <c r="X107" s="101"/>
      <c r="Y107" s="3"/>
      <c r="Z107" s="3"/>
      <c r="AA107" s="3"/>
      <c r="AB107" s="3"/>
    </row>
    <row r="108" spans="1:34">
      <c r="A108">
        <v>2044</v>
      </c>
      <c r="B108">
        <v>30</v>
      </c>
      <c r="C108" s="3"/>
      <c r="D108" s="3"/>
      <c r="E108" s="3"/>
      <c r="F108" s="3"/>
      <c r="G108" s="3"/>
      <c r="H108" s="3"/>
      <c r="I108" s="3"/>
      <c r="J108" s="3"/>
      <c r="L108" s="41"/>
      <c r="M108" s="41"/>
      <c r="O108" t="s">
        <v>17</v>
      </c>
      <c r="P108" s="6"/>
      <c r="Q108" s="6"/>
      <c r="R108" s="6"/>
      <c r="S108" s="6"/>
      <c r="T108" s="6"/>
      <c r="U108" s="6"/>
      <c r="V108" s="6"/>
      <c r="W108" s="6"/>
      <c r="X108" s="101"/>
      <c r="Y108" s="3"/>
      <c r="Z108" s="3"/>
      <c r="AA108" s="3"/>
      <c r="AB108" s="3"/>
    </row>
    <row r="109" spans="1:34">
      <c r="A109">
        <v>2044</v>
      </c>
      <c r="B109">
        <v>41</v>
      </c>
      <c r="C109" s="3"/>
      <c r="D109" s="3"/>
      <c r="E109" s="3"/>
      <c r="F109" s="3"/>
      <c r="G109" s="3"/>
      <c r="H109" s="3"/>
      <c r="I109" s="3"/>
      <c r="J109" s="3"/>
      <c r="L109" s="41"/>
      <c r="M109" s="41"/>
      <c r="O109" t="s">
        <v>142</v>
      </c>
      <c r="P109" s="28" t="s">
        <v>8</v>
      </c>
      <c r="Q109" s="28" t="s">
        <v>10</v>
      </c>
      <c r="R109" s="28" t="s">
        <v>14</v>
      </c>
      <c r="S109" s="28" t="s">
        <v>15</v>
      </c>
      <c r="T109" s="28" t="s">
        <v>16</v>
      </c>
      <c r="U109" s="28" t="s">
        <v>115</v>
      </c>
      <c r="V109" s="28" t="s">
        <v>116</v>
      </c>
      <c r="W109" s="28" t="s">
        <v>47</v>
      </c>
      <c r="X109" s="28" t="s">
        <v>47</v>
      </c>
      <c r="Y109" t="s">
        <v>8</v>
      </c>
      <c r="Z109" t="s">
        <v>10</v>
      </c>
      <c r="AC109" s="32" t="s">
        <v>47</v>
      </c>
      <c r="AD109" t="s">
        <v>8</v>
      </c>
      <c r="AE109" t="s">
        <v>10</v>
      </c>
    </row>
    <row r="110" spans="1:34">
      <c r="A110">
        <v>2044</v>
      </c>
      <c r="B110" s="8" t="s">
        <v>109</v>
      </c>
      <c r="C110" s="3">
        <f>'Combined MOVES output'!C28*(1+'Federal GHG Rule'!D28)/454/2000</f>
        <v>2553.8697023643981</v>
      </c>
      <c r="D110" s="3">
        <f>'Combined MOVES output'!D28*(1+'Federal GHG Rule'!J28)/454/2000</f>
        <v>18722965.948098931</v>
      </c>
      <c r="E110" s="3">
        <f>'Combined MOVES output'!E28</f>
        <v>314771495.81026125</v>
      </c>
      <c r="F110" s="3">
        <f>'Combined MOVES output'!F28*(1+'Federal GHG Rule'!C28)/454/2000</f>
        <v>480.05582300811233</v>
      </c>
      <c r="G110" s="3">
        <f>'Combined MOVES output'!G28*(1+'Federal GHG Rule'!F28)/454/2000</f>
        <v>7133.2932900610267</v>
      </c>
      <c r="H110" s="3">
        <f>'Combined MOVES output'!H28*(1+'Federal GHG Rule'!E28)/454/2000</f>
        <v>360.80156261277295</v>
      </c>
      <c r="I110" s="3">
        <f>'Combined MOVES output'!I28*(1-'Federal GHG Rule'!H28)/454/2000</f>
        <v>2379.5395931417529</v>
      </c>
      <c r="J110" s="3">
        <f>D110+AC110</f>
        <v>16671147.492360428</v>
      </c>
      <c r="L110" s="41">
        <f>L105</f>
        <v>0.17200000000000001</v>
      </c>
      <c r="M110" s="41">
        <f>M105</f>
        <v>4.0562696752233567</v>
      </c>
      <c r="O110" s="3">
        <f>E110*L110/M110</f>
        <v>13347410.703501537</v>
      </c>
      <c r="P110" s="101">
        <f>$O110*'GREET factors'!B116/454/2000</f>
        <v>92.197051091795061</v>
      </c>
      <c r="Q110" s="101">
        <f>$O110*'GREET factors'!C116/454/2000</f>
        <v>14.599534406084979</v>
      </c>
      <c r="R110" s="101">
        <f>$O110*'GREET factors'!D116/454/2000</f>
        <v>12.605065578956358</v>
      </c>
      <c r="S110" s="101">
        <f>$O110*'GREET factors'!E116/454/2000</f>
        <v>1.4405789233092978</v>
      </c>
      <c r="T110" s="101">
        <f>$O110*'GREET factors'!F116/454/2000</f>
        <v>176502.97098643257</v>
      </c>
      <c r="U110" s="101">
        <f>$O110*'GREET factors'!G116/454/2000</f>
        <v>3.1801245161653391</v>
      </c>
      <c r="V110" s="101">
        <f>$O110*'GREET factors'!H116/454/2000</f>
        <v>21.968828580466795</v>
      </c>
      <c r="W110" s="101">
        <f>$O110*'GREET factors'!I116/454/2000</f>
        <v>177247.39014505266</v>
      </c>
      <c r="X110" s="101">
        <f>('Combined MOVES output'!D28/454/2000-D110)*'GREET factors'!V1</f>
        <v>2228321.4267249354</v>
      </c>
      <c r="Y110" s="261">
        <f>O110*M110*'GREET factors'!$J$7/454/2000</f>
        <v>570.01781138068316</v>
      </c>
      <c r="Z110" s="261">
        <f>O110*M110*'GREET factors'!K$7/454/2000</f>
        <v>71.485703875804774</v>
      </c>
      <c r="AA110" s="261"/>
      <c r="AB110" s="261"/>
      <c r="AC110" s="3">
        <f>T110-X110</f>
        <v>-2051818.4557385028</v>
      </c>
      <c r="AD110" s="261">
        <f>P110-Y110</f>
        <v>-477.8207602888881</v>
      </c>
      <c r="AE110" s="261">
        <f>Q110-Z110</f>
        <v>-56.886169469719796</v>
      </c>
      <c r="AF110" s="261"/>
      <c r="AG110" s="261"/>
      <c r="AH110">
        <v>2044</v>
      </c>
    </row>
    <row r="111" spans="1:34">
      <c r="L111" s="41"/>
      <c r="M111" s="41"/>
      <c r="P111" s="28"/>
      <c r="Q111" s="28"/>
      <c r="R111" s="28"/>
      <c r="S111" s="28"/>
      <c r="T111" s="28"/>
      <c r="U111" s="28"/>
      <c r="V111" s="28"/>
      <c r="W111" s="28"/>
      <c r="X111" s="28"/>
    </row>
    <row r="112" spans="1:34">
      <c r="A112">
        <v>2045</v>
      </c>
      <c r="B112">
        <v>20</v>
      </c>
      <c r="C112" s="3"/>
      <c r="D112" s="3"/>
      <c r="E112" s="3"/>
      <c r="F112" s="3"/>
      <c r="G112" s="3"/>
      <c r="H112" s="3"/>
      <c r="I112" s="3"/>
      <c r="J112" s="3"/>
      <c r="L112" s="41"/>
      <c r="M112" s="41"/>
      <c r="P112" s="28"/>
      <c r="Q112" s="28"/>
      <c r="R112" s="28"/>
      <c r="S112" s="28"/>
      <c r="T112" s="28"/>
      <c r="U112" s="28"/>
      <c r="V112" s="28"/>
      <c r="W112" s="28"/>
      <c r="X112" s="28"/>
    </row>
    <row r="113" spans="1:34">
      <c r="A113">
        <v>2045</v>
      </c>
      <c r="B113">
        <v>30</v>
      </c>
      <c r="C113" s="3"/>
      <c r="D113" s="3"/>
      <c r="E113" s="3"/>
      <c r="F113" s="3"/>
      <c r="G113" s="3"/>
      <c r="H113" s="3"/>
      <c r="I113" s="3"/>
      <c r="J113" s="3"/>
      <c r="L113" s="41"/>
      <c r="M113" s="41"/>
      <c r="O113" t="s">
        <v>17</v>
      </c>
      <c r="P113" s="28"/>
      <c r="Q113" s="28"/>
      <c r="R113" s="28"/>
      <c r="S113" s="28"/>
      <c r="T113" s="28"/>
      <c r="U113" s="28"/>
      <c r="V113" s="28"/>
      <c r="W113" s="28"/>
      <c r="X113" s="28"/>
    </row>
    <row r="114" spans="1:34">
      <c r="A114">
        <v>2045</v>
      </c>
      <c r="B114">
        <v>41</v>
      </c>
      <c r="C114" s="3"/>
      <c r="D114" s="3"/>
      <c r="E114" s="3"/>
      <c r="F114" s="3"/>
      <c r="G114" s="3"/>
      <c r="H114" s="3"/>
      <c r="I114" s="3"/>
      <c r="J114" s="3"/>
      <c r="L114" s="41"/>
      <c r="M114" s="41"/>
      <c r="O114" t="s">
        <v>142</v>
      </c>
      <c r="P114" s="28" t="s">
        <v>8</v>
      </c>
      <c r="Q114" s="28" t="s">
        <v>10</v>
      </c>
      <c r="R114" s="28" t="s">
        <v>14</v>
      </c>
      <c r="S114" s="28" t="s">
        <v>15</v>
      </c>
      <c r="T114" s="28" t="s">
        <v>16</v>
      </c>
      <c r="U114" s="28" t="s">
        <v>115</v>
      </c>
      <c r="V114" s="28" t="s">
        <v>116</v>
      </c>
      <c r="W114" s="28" t="s">
        <v>47</v>
      </c>
      <c r="X114" s="28" t="s">
        <v>47</v>
      </c>
      <c r="Y114" t="s">
        <v>8</v>
      </c>
      <c r="Z114" t="s">
        <v>10</v>
      </c>
      <c r="AC114" s="32" t="s">
        <v>47</v>
      </c>
      <c r="AD114" t="s">
        <v>8</v>
      </c>
      <c r="AE114" t="s">
        <v>10</v>
      </c>
    </row>
    <row r="115" spans="1:34">
      <c r="A115">
        <v>2045</v>
      </c>
      <c r="B115" s="8" t="s">
        <v>109</v>
      </c>
      <c r="C115" s="3">
        <f>'Combined MOVES output'!C29*(1+'Federal GHG Rule'!D29)/454/2000</f>
        <v>2458.0809552583487</v>
      </c>
      <c r="D115" s="3">
        <f>'Combined MOVES output'!D29*(1+'Federal GHG Rule'!J29)/454/2000</f>
        <v>18662838.207399156</v>
      </c>
      <c r="E115" s="3">
        <f>'Combined MOVES output'!E29</f>
        <v>315437419.52728254</v>
      </c>
      <c r="F115" s="3">
        <f>'Combined MOVES output'!F29*(1+'Federal GHG Rule'!C29)/454/2000</f>
        <v>476.73647869669855</v>
      </c>
      <c r="G115" s="3">
        <f>'Combined MOVES output'!G29*(1+'Federal GHG Rule'!F29)/454/2000</f>
        <v>6981.6396306256675</v>
      </c>
      <c r="H115" s="3">
        <f>'Combined MOVES output'!H29*(1+'Federal GHG Rule'!E29)/454/2000</f>
        <v>359.90083478668646</v>
      </c>
      <c r="I115" s="3">
        <f>'Combined MOVES output'!I29*(1-'Federal GHG Rule'!H29)/454/2000</f>
        <v>2396.4304953342507</v>
      </c>
      <c r="J115" s="3">
        <f>D115+AC115</f>
        <v>16548768.070635688</v>
      </c>
      <c r="L115" s="41">
        <f>L110</f>
        <v>0.17200000000000001</v>
      </c>
      <c r="M115" s="41">
        <f>M110</f>
        <v>4.0562696752233567</v>
      </c>
      <c r="O115" s="3">
        <f>E115*L115/M115</f>
        <v>13375648.194718478</v>
      </c>
      <c r="P115" s="101">
        <f>$O115*'GREET factors'!B117/454/2000</f>
        <v>77.235804190890207</v>
      </c>
      <c r="Q115" s="101">
        <f>$O115*'GREET factors'!C117/454/2000</f>
        <v>12.230399641999977</v>
      </c>
      <c r="R115" s="101">
        <f>$O115*'GREET factors'!D117/454/2000</f>
        <v>10.559582604223271</v>
      </c>
      <c r="S115" s="101">
        <f>$O115*'GREET factors'!E117/454/2000</f>
        <v>1.2068094404826595</v>
      </c>
      <c r="T115" s="101">
        <f>$O115*'GREET factors'!F117/454/2000</f>
        <v>147861.00796917651</v>
      </c>
      <c r="U115" s="101">
        <f>$O115*'GREET factors'!G117/454/2000</f>
        <v>2.664070830081616</v>
      </c>
      <c r="V115" s="101">
        <f>$O115*'GREET factors'!H117/454/2000</f>
        <v>18.403843967360555</v>
      </c>
      <c r="W115" s="101">
        <f>$O115*'GREET factors'!I117/454/2000</f>
        <v>148484.62674754593</v>
      </c>
      <c r="X115" s="101">
        <f>('Combined MOVES output'!D29/454/2000-D115)*'GREET factors'!V1</f>
        <v>2261931.1447326439</v>
      </c>
      <c r="Y115" s="261">
        <f>O115*M115*'GREET factors'!$J$7/454/2000</f>
        <v>571.22372864058593</v>
      </c>
      <c r="Z115" s="261">
        <f>O115*M115*'GREET factors'!K$7/454/2000</f>
        <v>71.63693747310468</v>
      </c>
      <c r="AA115" s="261"/>
      <c r="AB115" s="261"/>
      <c r="AC115" s="3">
        <f>T115-X115</f>
        <v>-2114070.1367634675</v>
      </c>
      <c r="AD115" s="261">
        <f>P115-Y115</f>
        <v>-493.9879244496957</v>
      </c>
      <c r="AE115" s="261">
        <f>Q115-Z115</f>
        <v>-59.4065378311047</v>
      </c>
      <c r="AF115" s="261"/>
      <c r="AG115" s="261"/>
      <c r="AH115">
        <v>2045</v>
      </c>
    </row>
    <row r="116" spans="1:34">
      <c r="A116" s="6"/>
      <c r="C116" s="3"/>
      <c r="D116" s="3"/>
      <c r="E116" s="3"/>
      <c r="F116" s="3"/>
      <c r="G116" s="3"/>
      <c r="H116" s="3"/>
      <c r="L116" s="41"/>
      <c r="M116" s="41"/>
      <c r="P116" s="28"/>
      <c r="Q116" s="28"/>
      <c r="R116" s="28"/>
      <c r="S116" s="28"/>
      <c r="T116" s="28"/>
      <c r="U116" s="28"/>
      <c r="V116" s="28"/>
      <c r="W116" s="28"/>
      <c r="X116" s="28"/>
      <c r="AH116" s="6"/>
    </row>
    <row r="117" spans="1:34">
      <c r="A117">
        <v>2046</v>
      </c>
      <c r="B117">
        <v>20</v>
      </c>
      <c r="C117" s="3"/>
      <c r="D117" s="3"/>
      <c r="E117" s="3"/>
      <c r="F117" s="3"/>
      <c r="G117" s="3"/>
      <c r="H117" s="3"/>
      <c r="I117" s="3"/>
      <c r="J117" s="3"/>
      <c r="L117" s="41"/>
      <c r="M117" s="41"/>
      <c r="P117" s="28"/>
      <c r="Q117" s="28"/>
      <c r="R117" s="28"/>
      <c r="S117" s="28"/>
      <c r="T117" s="28"/>
      <c r="U117" s="28"/>
      <c r="V117" s="28"/>
      <c r="W117" s="28"/>
      <c r="X117" s="28"/>
    </row>
    <row r="118" spans="1:34">
      <c r="A118">
        <v>2046</v>
      </c>
      <c r="B118">
        <v>30</v>
      </c>
      <c r="C118" s="3"/>
      <c r="D118" s="3"/>
      <c r="E118" s="3"/>
      <c r="F118" s="3"/>
      <c r="G118" s="3"/>
      <c r="H118" s="3"/>
      <c r="I118" s="3"/>
      <c r="J118" s="3"/>
      <c r="L118" s="41"/>
      <c r="M118" s="41"/>
      <c r="O118" t="s">
        <v>17</v>
      </c>
      <c r="P118" s="28"/>
      <c r="Q118" s="28"/>
      <c r="R118" s="28"/>
      <c r="S118" s="28"/>
      <c r="T118" s="28"/>
      <c r="U118" s="28"/>
      <c r="V118" s="28"/>
      <c r="W118" s="28"/>
      <c r="X118" s="28"/>
    </row>
    <row r="119" spans="1:34">
      <c r="A119">
        <v>2046</v>
      </c>
      <c r="B119">
        <v>41</v>
      </c>
      <c r="C119" s="3"/>
      <c r="D119" s="3"/>
      <c r="E119" s="3"/>
      <c r="F119" s="3"/>
      <c r="G119" s="3"/>
      <c r="H119" s="3"/>
      <c r="I119" s="3"/>
      <c r="J119" s="3"/>
      <c r="L119" s="41"/>
      <c r="M119" s="41"/>
      <c r="O119" t="s">
        <v>142</v>
      </c>
      <c r="P119" s="28" t="s">
        <v>8</v>
      </c>
      <c r="Q119" s="28" t="s">
        <v>10</v>
      </c>
      <c r="R119" s="28" t="s">
        <v>14</v>
      </c>
      <c r="S119" s="28" t="s">
        <v>15</v>
      </c>
      <c r="T119" s="28" t="s">
        <v>16</v>
      </c>
      <c r="U119" s="28" t="s">
        <v>115</v>
      </c>
      <c r="V119" s="28" t="s">
        <v>116</v>
      </c>
      <c r="W119" s="28" t="s">
        <v>47</v>
      </c>
      <c r="X119" s="28" t="s">
        <v>47</v>
      </c>
      <c r="Y119" t="s">
        <v>8</v>
      </c>
      <c r="Z119" t="s">
        <v>10</v>
      </c>
      <c r="AC119" s="32" t="s">
        <v>47</v>
      </c>
      <c r="AD119" t="s">
        <v>8</v>
      </c>
      <c r="AE119" t="s">
        <v>10</v>
      </c>
    </row>
    <row r="120" spans="1:34">
      <c r="A120">
        <v>2046</v>
      </c>
      <c r="B120" t="s">
        <v>109</v>
      </c>
      <c r="C120" s="3">
        <f>'Combined MOVES output'!C30*(1+'Federal GHG Rule'!D30)/454/2000</f>
        <v>2363.7209840867781</v>
      </c>
      <c r="D120" s="3">
        <f>'Combined MOVES output'!D30*(1+'Federal GHG Rule'!J30)/454/2000</f>
        <v>18618658.565167271</v>
      </c>
      <c r="E120" s="3">
        <f>'Combined MOVES output'!E30</f>
        <v>316103343.24430382</v>
      </c>
      <c r="F120" s="3">
        <f>'Combined MOVES output'!F30*(1+'Federal GHG Rule'!C30)/454/2000</f>
        <v>473.56812428809599</v>
      </c>
      <c r="G120" s="3">
        <f>'Combined MOVES output'!G30*(1+'Federal GHG Rule'!F30)/454/2000</f>
        <v>6850.2084831720067</v>
      </c>
      <c r="H120" s="3">
        <f>'Combined MOVES output'!H30*(1+'Federal GHG Rule'!E30)/454/2000</f>
        <v>359.97185608241045</v>
      </c>
      <c r="I120" s="3">
        <f>'Combined MOVES output'!I30*(1-'Federal GHG Rule'!H30)/454/2000</f>
        <v>2413.1860153482185</v>
      </c>
      <c r="J120" s="3">
        <f>D120+AC120</f>
        <v>16446242.902838508</v>
      </c>
      <c r="L120" s="41">
        <f>L115</f>
        <v>0.17200000000000001</v>
      </c>
      <c r="M120" s="41">
        <f>M115</f>
        <v>4.0562696752233567</v>
      </c>
      <c r="O120" s="3">
        <f>E120*L120/M120</f>
        <v>13403885.685935419</v>
      </c>
      <c r="P120" s="101">
        <f>$O120*'GREET factors'!B118/454/2000</f>
        <v>61.919086098258347</v>
      </c>
      <c r="Q120" s="101">
        <f>$O120*'GREET factors'!C118/454/2000</f>
        <v>9.8049755082167689</v>
      </c>
      <c r="R120" s="101">
        <f>$O120*'GREET factors'!D118/454/2000</f>
        <v>8.4655000524962585</v>
      </c>
      <c r="S120" s="101">
        <f>$O120*'GREET factors'!E118/454/2000</f>
        <v>0.96748572028528668</v>
      </c>
      <c r="T120" s="101">
        <f>$O120*'GREET factors'!F118/454/2000</f>
        <v>118538.52729222394</v>
      </c>
      <c r="U120" s="101">
        <f>$O120*'GREET factors'!G118/454/2000</f>
        <v>2.1357559855528563</v>
      </c>
      <c r="V120" s="101">
        <f>$O120*'GREET factors'!H118/454/2000</f>
        <v>14.75415723435062</v>
      </c>
      <c r="W120" s="101">
        <f>$O120*'GREET factors'!I118/454/2000</f>
        <v>119038.47553818137</v>
      </c>
      <c r="X120" s="101">
        <f>('Combined MOVES output'!D30/454/2000-D120)*'GREET factors'!V1</f>
        <v>2290954.1896209866</v>
      </c>
      <c r="Y120" s="261">
        <f>O120*M120*'GREET factors'!$J$7/454/2000</f>
        <v>572.42964590048859</v>
      </c>
      <c r="Z120" s="261">
        <f>O120*M120*'GREET factors'!K$7/454/2000</f>
        <v>71.788171070404601</v>
      </c>
      <c r="AA120" s="261"/>
      <c r="AB120" s="261"/>
      <c r="AC120" s="3">
        <f>T120-X120</f>
        <v>-2172415.6623287625</v>
      </c>
      <c r="AD120" s="261">
        <f>P120-Y120</f>
        <v>-510.51055980223026</v>
      </c>
      <c r="AE120" s="261">
        <f>Q120-Z120</f>
        <v>-61.983195562187831</v>
      </c>
      <c r="AF120" s="261"/>
      <c r="AG120" s="261"/>
      <c r="AH120">
        <v>2046</v>
      </c>
    </row>
    <row r="121" spans="1:34">
      <c r="L121" s="41"/>
      <c r="M121" s="41"/>
      <c r="P121" s="6"/>
      <c r="Q121" s="6"/>
      <c r="R121" s="6"/>
      <c r="S121" s="6"/>
      <c r="T121" s="6"/>
      <c r="U121" s="6"/>
      <c r="V121" s="6"/>
      <c r="W121" s="6"/>
      <c r="X121" s="28"/>
    </row>
    <row r="122" spans="1:34">
      <c r="A122">
        <v>2047</v>
      </c>
      <c r="B122">
        <v>20</v>
      </c>
      <c r="C122" s="3"/>
      <c r="D122" s="3"/>
      <c r="E122" s="3"/>
      <c r="F122" s="3"/>
      <c r="G122" s="3"/>
      <c r="H122" s="3"/>
      <c r="I122" s="3"/>
      <c r="J122" s="3"/>
      <c r="L122" s="41"/>
      <c r="M122" s="41"/>
      <c r="P122" s="6"/>
      <c r="Q122" s="6"/>
      <c r="R122" s="6"/>
      <c r="S122" s="6"/>
      <c r="T122" s="6"/>
      <c r="U122" s="6"/>
      <c r="V122" s="6"/>
      <c r="W122" s="6"/>
      <c r="X122" s="28"/>
    </row>
    <row r="123" spans="1:34">
      <c r="A123">
        <v>2047</v>
      </c>
      <c r="B123">
        <v>30</v>
      </c>
      <c r="C123" s="3"/>
      <c r="D123" s="3"/>
      <c r="E123" s="3"/>
      <c r="F123" s="3"/>
      <c r="G123" s="3"/>
      <c r="H123" s="3"/>
      <c r="I123" s="3"/>
      <c r="J123" s="3"/>
      <c r="L123" s="41"/>
      <c r="M123" s="41"/>
      <c r="O123" t="s">
        <v>17</v>
      </c>
      <c r="P123" s="6"/>
      <c r="Q123" s="6"/>
      <c r="R123" s="6"/>
      <c r="S123" s="6"/>
      <c r="T123" s="6"/>
      <c r="U123" s="6"/>
      <c r="V123" s="6"/>
      <c r="W123" s="6"/>
      <c r="X123" s="28"/>
    </row>
    <row r="124" spans="1:34">
      <c r="A124">
        <v>2047</v>
      </c>
      <c r="B124">
        <v>41</v>
      </c>
      <c r="C124" s="3"/>
      <c r="D124" s="3"/>
      <c r="E124" s="3"/>
      <c r="F124" s="3"/>
      <c r="G124" s="3"/>
      <c r="H124" s="3"/>
      <c r="I124" s="3"/>
      <c r="J124" s="3"/>
      <c r="L124" s="41"/>
      <c r="M124" s="41"/>
      <c r="O124" t="s">
        <v>142</v>
      </c>
      <c r="P124" s="28" t="s">
        <v>8</v>
      </c>
      <c r="Q124" s="28" t="s">
        <v>10</v>
      </c>
      <c r="R124" s="28" t="s">
        <v>14</v>
      </c>
      <c r="S124" s="28" t="s">
        <v>15</v>
      </c>
      <c r="T124" s="28" t="s">
        <v>16</v>
      </c>
      <c r="U124" s="28" t="s">
        <v>115</v>
      </c>
      <c r="V124" s="28" t="s">
        <v>116</v>
      </c>
      <c r="W124" s="28" t="s">
        <v>47</v>
      </c>
      <c r="X124" s="28" t="s">
        <v>47</v>
      </c>
      <c r="Y124" t="s">
        <v>8</v>
      </c>
      <c r="Z124" t="s">
        <v>10</v>
      </c>
      <c r="AC124" s="32" t="s">
        <v>47</v>
      </c>
      <c r="AD124" t="s">
        <v>8</v>
      </c>
      <c r="AE124" t="s">
        <v>10</v>
      </c>
    </row>
    <row r="125" spans="1:34">
      <c r="A125">
        <v>2047</v>
      </c>
      <c r="B125" t="s">
        <v>109</v>
      </c>
      <c r="C125" s="3">
        <f>'Combined MOVES output'!C31*(1+'Federal GHG Rule'!D31)/454/2000</f>
        <v>2271.1775461879979</v>
      </c>
      <c r="D125" s="3">
        <f>'Combined MOVES output'!D31*(1+'Federal GHG Rule'!J31)/454/2000</f>
        <v>18588266.288666323</v>
      </c>
      <c r="E125" s="3">
        <f>'Combined MOVES output'!E31</f>
        <v>316769266.96132517</v>
      </c>
      <c r="F125" s="3">
        <f>'Combined MOVES output'!F31*(1+'Federal GHG Rule'!C31)/454/2000</f>
        <v>470.676512363867</v>
      </c>
      <c r="G125" s="3">
        <f>'Combined MOVES output'!G31*(1+'Federal GHG Rule'!F31)/454/2000</f>
        <v>6724.221744394813</v>
      </c>
      <c r="H125" s="3">
        <f>'Combined MOVES output'!H31*(1+'Federal GHG Rule'!E31)/454/2000</f>
        <v>360.30324363246541</v>
      </c>
      <c r="I125" s="3">
        <f>'Combined MOVES output'!I31*(1-'Federal GHG Rule'!H31)/454/2000</f>
        <v>2429.9415353621866</v>
      </c>
      <c r="J125" s="3">
        <f>D125+AC125</f>
        <v>16361345.486698041</v>
      </c>
      <c r="L125" s="41">
        <f>L120</f>
        <v>0.17200000000000001</v>
      </c>
      <c r="M125" s="41">
        <f>M120</f>
        <v>4.0562696752233567</v>
      </c>
      <c r="O125" s="3">
        <f>E125*L125/M125</f>
        <v>13432123.177152362</v>
      </c>
      <c r="P125" s="101">
        <f>$O125*'GREET factors'!B119/454/2000</f>
        <v>46.537146632853407</v>
      </c>
      <c r="Q125" s="101">
        <f>$O125*'GREET factors'!C119/454/2000</f>
        <v>7.3692234771251695</v>
      </c>
      <c r="R125" s="101">
        <f>$O125*'GREET factors'!D119/454/2000</f>
        <v>6.3625005162104262</v>
      </c>
      <c r="S125" s="101">
        <f>$O125*'GREET factors'!E119/454/2000</f>
        <v>0.72714291613833448</v>
      </c>
      <c r="T125" s="101">
        <f>$O125*'GREET factors'!F119/454/2000</f>
        <v>89091.186156830008</v>
      </c>
      <c r="U125" s="101">
        <f>$O125*'GREET factors'!G119/454/2000</f>
        <v>1.6051914802803153</v>
      </c>
      <c r="V125" s="101">
        <f>$O125*'GREET factors'!H119/454/2000</f>
        <v>11.088929471109598</v>
      </c>
      <c r="W125" s="101">
        <f>$O125*'GREET factors'!I119/454/2000</f>
        <v>89466.93725874451</v>
      </c>
      <c r="X125" s="101">
        <f>('Combined MOVES output'!D31/454/2000-D125)*'GREET factors'!V1</f>
        <v>2316011.9881251124</v>
      </c>
      <c r="Y125" s="261">
        <f>O125*M125*'GREET factors'!$J$7/454/2000</f>
        <v>573.63556316039126</v>
      </c>
      <c r="Z125" s="261">
        <f>O125*M125*'GREET factors'!K$7/454/2000</f>
        <v>71.939404667704508</v>
      </c>
      <c r="AA125" s="261"/>
      <c r="AB125" s="261"/>
      <c r="AC125" s="3">
        <f>T125-X125</f>
        <v>-2226920.8019682826</v>
      </c>
      <c r="AD125" s="261">
        <f>P125-Y125</f>
        <v>-527.09841652753789</v>
      </c>
      <c r="AE125" s="261">
        <f>Q125-Z125</f>
        <v>-64.570181190579333</v>
      </c>
      <c r="AF125" s="261"/>
      <c r="AG125" s="261"/>
      <c r="AH125">
        <v>2047</v>
      </c>
    </row>
    <row r="126" spans="1:34">
      <c r="C126" s="3"/>
      <c r="D126" s="3"/>
      <c r="E126" s="3"/>
      <c r="F126" s="3"/>
      <c r="G126" s="3"/>
      <c r="H126" s="3"/>
      <c r="L126" s="41"/>
      <c r="M126" s="41"/>
      <c r="P126" s="28"/>
      <c r="Q126" s="28"/>
      <c r="R126" s="28"/>
      <c r="S126" s="28"/>
      <c r="T126" s="28"/>
      <c r="U126" s="28"/>
      <c r="V126" s="28"/>
      <c r="W126" s="28"/>
      <c r="X126" s="101"/>
      <c r="Y126" s="3"/>
      <c r="Z126" s="3"/>
      <c r="AA126" s="3"/>
      <c r="AB126" s="3"/>
    </row>
    <row r="127" spans="1:34">
      <c r="A127">
        <v>2048</v>
      </c>
      <c r="B127">
        <v>20</v>
      </c>
      <c r="C127" s="3"/>
      <c r="D127" s="3"/>
      <c r="E127" s="3"/>
      <c r="F127" s="3"/>
      <c r="G127" s="3"/>
      <c r="H127" s="3"/>
      <c r="I127" s="3"/>
      <c r="J127" s="3"/>
      <c r="L127" s="41"/>
      <c r="M127" s="41"/>
      <c r="P127" s="28"/>
      <c r="Q127" s="28"/>
      <c r="R127" s="28"/>
      <c r="S127" s="28"/>
      <c r="T127" s="28"/>
      <c r="U127" s="28"/>
      <c r="V127" s="28"/>
      <c r="W127" s="28"/>
      <c r="X127" s="101"/>
      <c r="Y127" s="3"/>
      <c r="Z127" s="3"/>
      <c r="AA127" s="3"/>
      <c r="AB127" s="3"/>
    </row>
    <row r="128" spans="1:34">
      <c r="A128">
        <v>2048</v>
      </c>
      <c r="B128">
        <v>30</v>
      </c>
      <c r="C128" s="3"/>
      <c r="D128" s="3"/>
      <c r="E128" s="3"/>
      <c r="F128" s="3"/>
      <c r="G128" s="3"/>
      <c r="H128" s="3"/>
      <c r="I128" s="3"/>
      <c r="J128" s="3"/>
      <c r="L128" s="41"/>
      <c r="M128" s="41"/>
      <c r="O128" t="s">
        <v>17</v>
      </c>
      <c r="P128" s="28"/>
      <c r="Q128" s="28"/>
      <c r="R128" s="28"/>
      <c r="S128" s="28"/>
      <c r="T128" s="28"/>
      <c r="U128" s="28"/>
      <c r="V128" s="28"/>
      <c r="W128" s="28"/>
      <c r="X128" s="101"/>
      <c r="Y128" s="3"/>
      <c r="Z128" s="3"/>
      <c r="AA128" s="3"/>
      <c r="AB128" s="3"/>
    </row>
    <row r="129" spans="1:34">
      <c r="A129">
        <v>2048</v>
      </c>
      <c r="B129">
        <v>41</v>
      </c>
      <c r="C129" s="3"/>
      <c r="D129" s="3"/>
      <c r="E129" s="3"/>
      <c r="F129" s="3"/>
      <c r="G129" s="3"/>
      <c r="H129" s="3"/>
      <c r="I129" s="3"/>
      <c r="J129" s="3"/>
      <c r="L129" s="41"/>
      <c r="M129" s="41"/>
      <c r="O129" t="s">
        <v>142</v>
      </c>
      <c r="P129" s="28" t="s">
        <v>8</v>
      </c>
      <c r="Q129" s="28" t="s">
        <v>10</v>
      </c>
      <c r="R129" s="28" t="s">
        <v>14</v>
      </c>
      <c r="S129" s="28" t="s">
        <v>15</v>
      </c>
      <c r="T129" s="28" t="s">
        <v>16</v>
      </c>
      <c r="U129" s="28" t="s">
        <v>115</v>
      </c>
      <c r="V129" s="28" t="s">
        <v>116</v>
      </c>
      <c r="W129" s="28" t="s">
        <v>47</v>
      </c>
      <c r="X129" s="28" t="s">
        <v>47</v>
      </c>
      <c r="Y129" t="s">
        <v>8</v>
      </c>
      <c r="Z129" t="s">
        <v>10</v>
      </c>
      <c r="AC129" s="32" t="s">
        <v>47</v>
      </c>
      <c r="AD129" t="s">
        <v>8</v>
      </c>
      <c r="AE129" t="s">
        <v>10</v>
      </c>
    </row>
    <row r="130" spans="1:34">
      <c r="A130">
        <v>2048</v>
      </c>
      <c r="B130" t="s">
        <v>109</v>
      </c>
      <c r="C130" s="3">
        <f>'Combined MOVES output'!C32*(1+'Federal GHG Rule'!D32)/454/2000</f>
        <v>2180.2603345247467</v>
      </c>
      <c r="D130" s="3">
        <f>'Combined MOVES output'!D32*(1+'Federal GHG Rule'!J32)/454/2000</f>
        <v>18564393.28578319</v>
      </c>
      <c r="E130" s="3">
        <f>'Combined MOVES output'!E32</f>
        <v>317435190.67834646</v>
      </c>
      <c r="F130" s="3">
        <f>'Combined MOVES output'!F32*(1+'Federal GHG Rule'!C32)/454/2000</f>
        <v>468.00472375681954</v>
      </c>
      <c r="G130" s="3">
        <f>'Combined MOVES output'!G32*(1+'Federal GHG Rule'!F32)/454/2000</f>
        <v>6605.6730697290759</v>
      </c>
      <c r="H130" s="3">
        <f>'Combined MOVES output'!H32*(1+'Federal GHG Rule'!E32)/454/2000</f>
        <v>360.75452909022431</v>
      </c>
      <c r="I130" s="3">
        <f>'Combined MOVES output'!I32*(1-'Federal GHG Rule'!H32)/454/2000</f>
        <v>2446.6970553761553</v>
      </c>
      <c r="J130" s="3">
        <f>D130+AC130</f>
        <v>16284717.426809432</v>
      </c>
      <c r="L130" s="41">
        <f>L125</f>
        <v>0.17200000000000001</v>
      </c>
      <c r="M130" s="41">
        <f>M125</f>
        <v>4.0562696752233567</v>
      </c>
      <c r="O130" s="3">
        <f>E130*L130/M130</f>
        <v>13460360.668369303</v>
      </c>
      <c r="P130" s="101">
        <f>$O130*'GREET factors'!B120/454/2000</f>
        <v>31.089985794675364</v>
      </c>
      <c r="Q130" s="101">
        <f>$O130*'GREET factors'!C120/454/2000</f>
        <v>4.9231435487251733</v>
      </c>
      <c r="R130" s="101">
        <f>$O130*'GREET factors'!D120/454/2000</f>
        <v>4.2505839953657727</v>
      </c>
      <c r="S130" s="101">
        <f>$O130*'GREET factors'!E120/454/2000</f>
        <v>0.48578102804180257</v>
      </c>
      <c r="T130" s="101">
        <f>$O130*'GREET factors'!F120/454/2000</f>
        <v>59518.98456299473</v>
      </c>
      <c r="U130" s="101">
        <f>$O130*'GREET factors'!G120/454/2000</f>
        <v>1.0723773142639921</v>
      </c>
      <c r="V130" s="101">
        <f>$O130*'GREET factors'!H120/454/2000</f>
        <v>7.408160677637488</v>
      </c>
      <c r="W130" s="101">
        <f>$O130*'GREET factors'!I120/454/2000</f>
        <v>59770.011909235327</v>
      </c>
      <c r="X130" s="101">
        <f>('Combined MOVES output'!D32/454/2000-D130)*'GREET factors'!V1</f>
        <v>2339194.8435367532</v>
      </c>
      <c r="Y130" s="261">
        <f>O130*M130*'GREET factors'!$J$7/454/2000</f>
        <v>574.84148042029392</v>
      </c>
      <c r="Z130" s="261">
        <f>O130*M130*'GREET factors'!K$7/454/2000</f>
        <v>72.090638265004429</v>
      </c>
      <c r="AA130" s="261"/>
      <c r="AB130" s="261"/>
      <c r="AC130" s="3">
        <f>T130-X130</f>
        <v>-2279675.8589737583</v>
      </c>
      <c r="AD130" s="261">
        <f>P130-Y130</f>
        <v>-543.75149462561853</v>
      </c>
      <c r="AE130" s="261">
        <f>Q130-Z130</f>
        <v>-67.167494716279251</v>
      </c>
      <c r="AF130" s="261"/>
      <c r="AG130" s="261"/>
      <c r="AH130">
        <v>2048</v>
      </c>
    </row>
    <row r="131" spans="1:34">
      <c r="L131" s="41"/>
      <c r="M131" s="41"/>
      <c r="P131" s="28"/>
      <c r="Q131" s="28"/>
      <c r="R131" s="28"/>
      <c r="S131" s="28"/>
      <c r="T131" s="28"/>
      <c r="U131" s="28"/>
      <c r="V131" s="28"/>
      <c r="W131" s="28"/>
      <c r="X131" s="101"/>
      <c r="Y131" s="3"/>
      <c r="Z131" s="3"/>
      <c r="AA131" s="3"/>
      <c r="AB131" s="3"/>
    </row>
    <row r="132" spans="1:34">
      <c r="A132">
        <v>2049</v>
      </c>
      <c r="B132">
        <v>20</v>
      </c>
      <c r="C132" s="3"/>
      <c r="D132" s="3"/>
      <c r="E132" s="3"/>
      <c r="F132" s="3"/>
      <c r="G132" s="3"/>
      <c r="H132" s="3"/>
      <c r="I132" s="3"/>
      <c r="J132" s="3"/>
      <c r="L132" s="41"/>
      <c r="M132" s="41"/>
      <c r="P132" s="28"/>
      <c r="Q132" s="28"/>
      <c r="R132" s="28"/>
      <c r="S132" s="28"/>
      <c r="T132" s="28"/>
      <c r="U132" s="28"/>
      <c r="V132" s="28"/>
      <c r="W132" s="28"/>
      <c r="X132" s="101"/>
      <c r="Y132" s="3"/>
      <c r="Z132" s="3"/>
      <c r="AA132" s="3"/>
      <c r="AB132" s="3"/>
    </row>
    <row r="133" spans="1:34">
      <c r="A133">
        <v>2049</v>
      </c>
      <c r="B133">
        <v>30</v>
      </c>
      <c r="C133" s="3"/>
      <c r="D133" s="3"/>
      <c r="E133" s="3"/>
      <c r="F133" s="3"/>
      <c r="G133" s="3"/>
      <c r="H133" s="3"/>
      <c r="I133" s="3"/>
      <c r="J133" s="3"/>
      <c r="L133" s="41"/>
      <c r="M133" s="41"/>
      <c r="O133" t="s">
        <v>17</v>
      </c>
      <c r="P133" s="28"/>
      <c r="Q133" s="28"/>
      <c r="R133" s="28"/>
      <c r="S133" s="28"/>
      <c r="T133" s="28"/>
      <c r="U133" s="28"/>
      <c r="V133" s="28"/>
      <c r="W133" s="28"/>
      <c r="X133" s="101"/>
      <c r="Y133" s="3"/>
      <c r="Z133" s="3"/>
      <c r="AA133" s="3"/>
      <c r="AB133" s="3"/>
    </row>
    <row r="134" spans="1:34">
      <c r="A134">
        <v>2049</v>
      </c>
      <c r="B134">
        <v>41</v>
      </c>
      <c r="C134" s="3"/>
      <c r="D134" s="3"/>
      <c r="E134" s="3"/>
      <c r="F134" s="3"/>
      <c r="G134" s="3"/>
      <c r="H134" s="3"/>
      <c r="I134" s="3"/>
      <c r="J134" s="3"/>
      <c r="L134" s="41"/>
      <c r="M134" s="41"/>
      <c r="O134" t="s">
        <v>142</v>
      </c>
      <c r="P134" s="28" t="s">
        <v>8</v>
      </c>
      <c r="Q134" s="28" t="s">
        <v>10</v>
      </c>
      <c r="R134" s="28" t="s">
        <v>14</v>
      </c>
      <c r="S134" s="28" t="s">
        <v>15</v>
      </c>
      <c r="T134" s="28" t="s">
        <v>16</v>
      </c>
      <c r="U134" s="28" t="s">
        <v>115</v>
      </c>
      <c r="V134" s="28" t="s">
        <v>116</v>
      </c>
      <c r="W134" s="28" t="s">
        <v>47</v>
      </c>
      <c r="X134" s="28" t="s">
        <v>47</v>
      </c>
      <c r="Y134" t="s">
        <v>8</v>
      </c>
      <c r="Z134" t="s">
        <v>10</v>
      </c>
      <c r="AC134" s="32" t="s">
        <v>47</v>
      </c>
      <c r="AD134" t="s">
        <v>8</v>
      </c>
      <c r="AE134" t="s">
        <v>10</v>
      </c>
    </row>
    <row r="135" spans="1:34">
      <c r="A135">
        <v>2049</v>
      </c>
      <c r="B135" t="s">
        <v>109</v>
      </c>
      <c r="C135" s="3">
        <f>'Combined MOVES output'!C33*(1+'Federal GHG Rule'!D33)/454/2000</f>
        <v>2093.0302343261269</v>
      </c>
      <c r="D135" s="3">
        <f>'Combined MOVES output'!D33*(1+'Federal GHG Rule'!J33)/454/2000</f>
        <v>18554130.254228879</v>
      </c>
      <c r="E135" s="3">
        <f>'Combined MOVES output'!E33</f>
        <v>318101114.3953678</v>
      </c>
      <c r="F135" s="3">
        <f>'Combined MOVES output'!F33*(1+'Federal GHG Rule'!C33)/454/2000</f>
        <v>465.75001298868693</v>
      </c>
      <c r="G135" s="3">
        <f>'Combined MOVES output'!G33*(1+'Federal GHG Rule'!F33)/454/2000</f>
        <v>6506.6697000852728</v>
      </c>
      <c r="H135" s="3">
        <f>'Combined MOVES output'!H33*(1+'Federal GHG Rule'!E33)/454/2000</f>
        <v>361.46847779069276</v>
      </c>
      <c r="I135" s="3">
        <f>'Combined MOVES output'!I33*(1-'Federal GHG Rule'!H33)/454/2000</f>
        <v>2463.4525753901239</v>
      </c>
      <c r="J135" s="3">
        <f>D135+AC135</f>
        <v>16225488.705545371</v>
      </c>
      <c r="L135" s="41">
        <f>L130</f>
        <v>0.17200000000000001</v>
      </c>
      <c r="M135" s="41">
        <f>M130</f>
        <v>4.0562696752233567</v>
      </c>
      <c r="O135" s="3">
        <f>E135*L135/M135</f>
        <v>13488598.159586247</v>
      </c>
      <c r="P135" s="101">
        <f>$O135*'GREET factors'!B121/454/2000</f>
        <v>15.577603583724237</v>
      </c>
      <c r="Q135" s="101">
        <f>$O135*'GREET factors'!C121/454/2000</f>
        <v>2.466735723016785</v>
      </c>
      <c r="R135" s="101">
        <f>$O135*'GREET factors'!D121/454/2000</f>
        <v>2.1297504899622979</v>
      </c>
      <c r="S135" s="101">
        <f>$O135*'GREET factors'!E121/454/2000</f>
        <v>0.2434000559956912</v>
      </c>
      <c r="T135" s="101">
        <f>$O135*'GREET factors'!F121/454/2000</f>
        <v>29821.922510718057</v>
      </c>
      <c r="U135" s="101">
        <f>$O135*'GREET factors'!G121/454/2000</f>
        <v>0.5373134875038873</v>
      </c>
      <c r="V135" s="101">
        <f>$O135*'GREET factors'!H121/454/2000</f>
        <v>3.7118508539342892</v>
      </c>
      <c r="W135" s="101">
        <f>$O135*'GREET factors'!I121/454/2000</f>
        <v>29947.699489653831</v>
      </c>
      <c r="X135" s="101">
        <f>('Combined MOVES output'!D33/454/2000-D135)*'GREET factors'!V1</f>
        <v>2358463.4711942258</v>
      </c>
      <c r="Y135" s="261">
        <f>O135*M135*'GREET factors'!$J$7/454/2000</f>
        <v>576.0473976801967</v>
      </c>
      <c r="Z135" s="261">
        <f>O135*M135*'GREET factors'!K$7/454/2000</f>
        <v>72.24187186230435</v>
      </c>
      <c r="AA135" s="261"/>
      <c r="AB135" s="261"/>
      <c r="AC135" s="3">
        <f>T135-X135</f>
        <v>-2328641.5486835078</v>
      </c>
      <c r="AD135" s="261">
        <f>P135-Y135</f>
        <v>-560.46979409647247</v>
      </c>
      <c r="AE135" s="261">
        <f>Q135-Z135</f>
        <v>-69.775136139287568</v>
      </c>
      <c r="AF135" s="261"/>
      <c r="AG135" s="261"/>
      <c r="AH135">
        <v>2049</v>
      </c>
    </row>
    <row r="136" spans="1:34">
      <c r="L136" s="41"/>
      <c r="M136" s="41"/>
      <c r="P136" s="28"/>
      <c r="Q136" s="28"/>
      <c r="R136" s="28"/>
      <c r="S136" s="28"/>
      <c r="T136" s="28"/>
      <c r="U136" s="28"/>
      <c r="V136" s="28"/>
      <c r="W136" s="28"/>
      <c r="X136" s="28"/>
    </row>
    <row r="137" spans="1:34">
      <c r="A137">
        <v>2050</v>
      </c>
      <c r="B137">
        <v>20</v>
      </c>
      <c r="C137" s="3"/>
      <c r="D137" s="3"/>
      <c r="E137" s="3"/>
      <c r="F137" s="3"/>
      <c r="G137" s="3"/>
      <c r="H137" s="3"/>
      <c r="I137" s="3"/>
      <c r="J137" s="3"/>
      <c r="L137" s="41"/>
      <c r="M137" s="41"/>
      <c r="P137" s="28"/>
      <c r="Q137" s="28"/>
      <c r="R137" s="28"/>
      <c r="S137" s="28"/>
      <c r="T137" s="28"/>
      <c r="U137" s="28"/>
      <c r="V137" s="28"/>
      <c r="W137" s="28"/>
      <c r="X137" s="28"/>
    </row>
    <row r="138" spans="1:34">
      <c r="A138">
        <v>2050</v>
      </c>
      <c r="B138">
        <v>30</v>
      </c>
      <c r="C138" s="3"/>
      <c r="D138" s="3"/>
      <c r="E138" s="3"/>
      <c r="F138" s="3"/>
      <c r="G138" s="3"/>
      <c r="H138" s="3"/>
      <c r="I138" s="3"/>
      <c r="J138" s="3"/>
      <c r="L138" s="41"/>
      <c r="M138" s="41"/>
      <c r="O138" t="s">
        <v>17</v>
      </c>
      <c r="P138" s="28"/>
      <c r="Q138" s="28"/>
      <c r="R138" s="28"/>
      <c r="S138" s="28"/>
      <c r="T138" s="28"/>
      <c r="U138" s="28"/>
      <c r="V138" s="28"/>
      <c r="W138" s="28"/>
      <c r="X138" s="28"/>
    </row>
    <row r="139" spans="1:34">
      <c r="A139">
        <v>2050</v>
      </c>
      <c r="B139">
        <v>41</v>
      </c>
      <c r="C139" s="3"/>
      <c r="D139" s="3"/>
      <c r="E139" s="3"/>
      <c r="F139" s="3"/>
      <c r="G139" s="3"/>
      <c r="H139" s="3"/>
      <c r="I139" s="3"/>
      <c r="J139" s="3"/>
      <c r="L139" s="41"/>
      <c r="M139" s="41"/>
      <c r="O139" t="s">
        <v>142</v>
      </c>
      <c r="P139" s="28" t="s">
        <v>8</v>
      </c>
      <c r="Q139" s="28" t="s">
        <v>10</v>
      </c>
      <c r="R139" s="28" t="s">
        <v>14</v>
      </c>
      <c r="S139" s="28" t="s">
        <v>15</v>
      </c>
      <c r="T139" s="28" t="s">
        <v>16</v>
      </c>
      <c r="U139" s="28" t="s">
        <v>115</v>
      </c>
      <c r="V139" s="28" t="s">
        <v>116</v>
      </c>
      <c r="W139" s="28" t="s">
        <v>47</v>
      </c>
      <c r="X139" s="28" t="s">
        <v>47</v>
      </c>
      <c r="Y139" t="s">
        <v>8</v>
      </c>
      <c r="Z139" t="s">
        <v>10</v>
      </c>
      <c r="AA139" t="s">
        <v>115</v>
      </c>
      <c r="AB139" t="s">
        <v>116</v>
      </c>
      <c r="AC139" s="32" t="s">
        <v>47</v>
      </c>
      <c r="AD139" t="s">
        <v>8</v>
      </c>
      <c r="AE139" t="s">
        <v>10</v>
      </c>
      <c r="AF139" t="s">
        <v>115</v>
      </c>
      <c r="AG139" t="s">
        <v>116</v>
      </c>
    </row>
    <row r="140" spans="1:34">
      <c r="A140">
        <v>2050</v>
      </c>
      <c r="B140" s="8" t="s">
        <v>109</v>
      </c>
      <c r="C140" s="3">
        <f>'Combined MOVES output'!C34*(1+'Federal GHG Rule'!D34)/454/2000</f>
        <v>2008.1816326295368</v>
      </c>
      <c r="D140" s="3">
        <f>'Combined MOVES output'!D34*(1+'Federal GHG Rule'!J34)/454/2000</f>
        <v>18552483.809684064</v>
      </c>
      <c r="E140" s="3">
        <f>'Combined MOVES output'!E34</f>
        <v>318767038.11238909</v>
      </c>
      <c r="F140" s="3">
        <f>'Combined MOVES output'!F34*(1+'Federal GHG Rule'!C34)/454/2000</f>
        <v>463.68317698153282</v>
      </c>
      <c r="G140" s="3">
        <f>'Combined MOVES output'!G34*(1+'Federal GHG Rule'!F34)/454/2000</f>
        <v>6426.4063524205148</v>
      </c>
      <c r="H140" s="3">
        <f>'Combined MOVES output'!H34*(1+'Federal GHG Rule'!E34)/454/2000</f>
        <v>362.34866373216636</v>
      </c>
      <c r="I140" s="3">
        <f>'Combined MOVES output'!I34*(1-'Federal GHG Rule'!H34)/454/2000</f>
        <v>2480.2080954040912</v>
      </c>
      <c r="J140" s="3">
        <f>D140+AC140</f>
        <v>16177229.841256296</v>
      </c>
      <c r="L140" s="41">
        <f>L135</f>
        <v>0.17200000000000001</v>
      </c>
      <c r="M140" s="41">
        <f>M135</f>
        <v>4.0562696752233567</v>
      </c>
      <c r="O140" s="3">
        <f>E140*L140/M140</f>
        <v>13516835.650803186</v>
      </c>
      <c r="P140" s="101">
        <f>$O140*'GREET factors'!B122/454/2000</f>
        <v>0</v>
      </c>
      <c r="Q140" s="101">
        <f>$O140*'GREET factors'!C122/454/2000</f>
        <v>0</v>
      </c>
      <c r="R140" s="101">
        <f>$O140*'GREET factors'!D122/454/2000</f>
        <v>0</v>
      </c>
      <c r="S140" s="101">
        <f>$O140*'GREET factors'!E122/454/2000</f>
        <v>0</v>
      </c>
      <c r="T140" s="101">
        <f>$O140*'GREET factors'!F122/454/2000</f>
        <v>0</v>
      </c>
      <c r="U140" s="101">
        <f>$O140*'GREET factors'!G122/454/2000</f>
        <v>0</v>
      </c>
      <c r="V140" s="101">
        <f>$O140*'GREET factors'!H122/454/2000</f>
        <v>0</v>
      </c>
      <c r="W140" s="101">
        <f>$O140*'GREET factors'!I122/454/2000</f>
        <v>0</v>
      </c>
      <c r="X140" s="101">
        <f>('Combined MOVES output'!D34/454/2000-D140)*'GREET factors'!V1</f>
        <v>2375253.9684277684</v>
      </c>
      <c r="Y140" s="261">
        <f>O140*M140*'GREET factors'!$J$7/454/2000</f>
        <v>577.25331494009924</v>
      </c>
      <c r="Z140" s="261">
        <f>O140*M140*'GREET factors'!K$7/454/2000</f>
        <v>72.393105459604257</v>
      </c>
      <c r="AA140" s="261">
        <f>O140*M140*'GREET factors'!L7/454/2000</f>
        <v>1450.009079222116</v>
      </c>
      <c r="AB140" s="261">
        <f>O140*M140*'GREET factors'!M7/454/2000</f>
        <v>216.40678021217312</v>
      </c>
      <c r="AC140" s="3">
        <f>T140-X140</f>
        <v>-2375253.9684277684</v>
      </c>
      <c r="AD140" s="261">
        <f>P140-Y140</f>
        <v>-577.25331494009924</v>
      </c>
      <c r="AE140" s="261">
        <f>Q140-Z140</f>
        <v>-72.393105459604257</v>
      </c>
      <c r="AF140" s="261">
        <f>U140-AA140</f>
        <v>-1450.009079222116</v>
      </c>
      <c r="AG140" s="261">
        <f>V140-AB140</f>
        <v>-216.40678021217312</v>
      </c>
      <c r="AH140">
        <v>2050</v>
      </c>
    </row>
    <row r="141" spans="1:34">
      <c r="P141" s="6"/>
      <c r="Q141" s="6"/>
      <c r="R141" s="6"/>
      <c r="S141" s="6"/>
      <c r="T141" s="6"/>
      <c r="U141" s="6"/>
      <c r="V141" s="6"/>
      <c r="W141" s="6"/>
      <c r="X141" s="28"/>
    </row>
  </sheetData>
  <sheetProtection algorithmName="SHA-512" hashValue="hs1F1HnuQnhdKLFWjheO3+B8cYEdgrgMFuX5c+vrU6Pqv5mUe1l9XmOG7Zgp+0pgJ2TQ91YoxaamI6Cf92NMlg==" saltValue="cwNFjUjVdyY7h3X7b9tD6A==" spinCount="100000" sheet="1" objects="1" scenarios="1"/>
  <mergeCells count="7">
    <mergeCell ref="AA10:AB10"/>
    <mergeCell ref="AF10:AG10"/>
    <mergeCell ref="AC7:AG7"/>
    <mergeCell ref="P7:W7"/>
    <mergeCell ref="L4:L6"/>
    <mergeCell ref="M4:M6"/>
    <mergeCell ref="X7:AB7"/>
  </mergeCells>
  <phoneticPr fontId="34" type="noConversion"/>
  <pageMargins left="0.7" right="0.7" top="0.75" bottom="0.75" header="0.3" footer="0.3"/>
  <pageSetup orientation="portrait" horizontalDpi="360" verticalDpi="36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7"/>
  <dimension ref="A1:AH90"/>
  <sheetViews>
    <sheetView workbookViewId="0">
      <selection activeCell="G6" sqref="G6"/>
    </sheetView>
  </sheetViews>
  <sheetFormatPr baseColWidth="10" defaultColWidth="8.83203125" defaultRowHeight="15"/>
  <cols>
    <col min="2" max="2" width="9.5" customWidth="1"/>
    <col min="3" max="3" width="12.6640625" customWidth="1"/>
    <col min="4" max="4" width="16.6640625" customWidth="1"/>
    <col min="5" max="5" width="15.1640625" customWidth="1"/>
    <col min="6" max="6" width="11" customWidth="1"/>
    <col min="7" max="7" width="11.6640625" customWidth="1"/>
    <col min="8" max="8" width="11.5" customWidth="1"/>
    <col min="9" max="10" width="11.6640625" customWidth="1"/>
    <col min="11" max="11" width="8.83203125" customWidth="1"/>
    <col min="12" max="12" width="12" customWidth="1"/>
    <col min="13" max="13" width="14.5" customWidth="1"/>
    <col min="14" max="14" width="8.83203125" customWidth="1"/>
    <col min="15" max="15" width="24" customWidth="1"/>
    <col min="16" max="19" width="9.1640625" bestFit="1" customWidth="1"/>
    <col min="20" max="20" width="10.5" bestFit="1" customWidth="1"/>
    <col min="21" max="22" width="9.1640625" bestFit="1" customWidth="1"/>
    <col min="24" max="28" width="10.33203125" customWidth="1"/>
  </cols>
  <sheetData>
    <row r="1" spans="1:34">
      <c r="A1" s="2" t="s">
        <v>604</v>
      </c>
      <c r="D1" s="28"/>
      <c r="F1" s="29"/>
      <c r="AH1" s="2"/>
    </row>
    <row r="2" spans="1:34">
      <c r="A2" s="28" t="s">
        <v>428</v>
      </c>
      <c r="D2" s="6"/>
      <c r="AH2" s="28"/>
    </row>
    <row r="3" spans="1:34">
      <c r="A3" t="s">
        <v>429</v>
      </c>
      <c r="D3" s="28"/>
    </row>
    <row r="4" spans="1:34">
      <c r="A4" s="28" t="s">
        <v>214</v>
      </c>
      <c r="D4" s="28"/>
      <c r="AH4" s="28"/>
    </row>
    <row r="5" spans="1:34">
      <c r="G5" s="6"/>
      <c r="L5" s="319" t="s">
        <v>164</v>
      </c>
      <c r="M5" s="319" t="s">
        <v>272</v>
      </c>
    </row>
    <row r="6" spans="1:34">
      <c r="A6" t="s">
        <v>0</v>
      </c>
      <c r="B6" t="s">
        <v>1</v>
      </c>
      <c r="C6" t="s">
        <v>42</v>
      </c>
      <c r="D6" t="s">
        <v>47</v>
      </c>
      <c r="E6" t="s">
        <v>22</v>
      </c>
      <c r="F6" t="s">
        <v>24</v>
      </c>
      <c r="G6" t="s">
        <v>115</v>
      </c>
      <c r="H6" t="s">
        <v>116</v>
      </c>
      <c r="I6" t="s">
        <v>117</v>
      </c>
      <c r="J6" t="s">
        <v>52</v>
      </c>
      <c r="L6" s="319"/>
      <c r="M6" s="319"/>
      <c r="O6" s="6"/>
      <c r="T6" s="3"/>
    </row>
    <row r="7" spans="1:34">
      <c r="A7">
        <v>2020</v>
      </c>
      <c r="B7">
        <v>20</v>
      </c>
      <c r="C7" s="320" t="s">
        <v>145</v>
      </c>
      <c r="D7" s="320"/>
      <c r="E7" s="320"/>
      <c r="F7" s="320"/>
      <c r="G7" s="320"/>
      <c r="H7" s="320"/>
      <c r="I7" s="320"/>
      <c r="J7" s="3"/>
      <c r="P7" s="318" t="s">
        <v>165</v>
      </c>
      <c r="Q7" s="318"/>
      <c r="R7" s="318"/>
      <c r="S7" s="318"/>
      <c r="T7" s="318"/>
      <c r="U7" s="318"/>
      <c r="V7" s="318"/>
      <c r="W7" s="318"/>
      <c r="X7" s="313" t="s">
        <v>166</v>
      </c>
      <c r="Y7" s="313"/>
      <c r="Z7" s="313"/>
      <c r="AA7" s="313"/>
      <c r="AB7" s="313"/>
      <c r="AC7" s="313" t="s">
        <v>413</v>
      </c>
      <c r="AD7" s="313"/>
      <c r="AE7" s="313"/>
      <c r="AF7" s="313"/>
      <c r="AG7" s="313"/>
      <c r="AH7" s="32" t="s">
        <v>19</v>
      </c>
    </row>
    <row r="8" spans="1:34">
      <c r="A8">
        <v>2020</v>
      </c>
      <c r="B8">
        <v>30</v>
      </c>
      <c r="C8" s="320"/>
      <c r="D8" s="320"/>
      <c r="E8" s="320"/>
      <c r="F8" s="320"/>
      <c r="G8" s="320"/>
      <c r="H8" s="320"/>
      <c r="I8" s="320"/>
      <c r="J8" s="3"/>
      <c r="O8" t="s">
        <v>17</v>
      </c>
      <c r="P8" s="62"/>
    </row>
    <row r="9" spans="1:34">
      <c r="A9">
        <v>2020</v>
      </c>
      <c r="B9">
        <v>41</v>
      </c>
      <c r="C9" s="320"/>
      <c r="D9" s="320"/>
      <c r="E9" s="320"/>
      <c r="F9" s="320"/>
      <c r="G9" s="320"/>
      <c r="H9" s="320"/>
      <c r="I9" s="320"/>
      <c r="J9" s="3"/>
      <c r="O9" t="s">
        <v>142</v>
      </c>
      <c r="P9" t="s">
        <v>8</v>
      </c>
      <c r="Q9" t="s">
        <v>10</v>
      </c>
      <c r="R9" t="s">
        <v>14</v>
      </c>
      <c r="S9" t="s">
        <v>15</v>
      </c>
      <c r="T9" t="s">
        <v>16</v>
      </c>
      <c r="U9" t="s">
        <v>115</v>
      </c>
      <c r="V9" t="s">
        <v>116</v>
      </c>
      <c r="W9" t="s">
        <v>47</v>
      </c>
      <c r="X9" s="32" t="s">
        <v>47</v>
      </c>
      <c r="Y9" t="s">
        <v>8</v>
      </c>
      <c r="Z9" t="s">
        <v>10</v>
      </c>
      <c r="AA9" t="s">
        <v>115</v>
      </c>
      <c r="AB9" t="s">
        <v>116</v>
      </c>
      <c r="AC9" s="32" t="s">
        <v>47</v>
      </c>
      <c r="AD9" t="s">
        <v>8</v>
      </c>
      <c r="AE9" t="s">
        <v>10</v>
      </c>
      <c r="AF9" t="s">
        <v>115</v>
      </c>
      <c r="AG9" t="s">
        <v>116</v>
      </c>
    </row>
    <row r="10" spans="1:34">
      <c r="A10">
        <v>2020</v>
      </c>
      <c r="B10" s="8" t="s">
        <v>109</v>
      </c>
      <c r="C10" s="3">
        <f>'BAU Scenario'!C10</f>
        <v>16911.590935043296</v>
      </c>
      <c r="D10" s="3">
        <f>'BAU Scenario'!D10</f>
        <v>31780244.814980075</v>
      </c>
      <c r="E10" s="3">
        <f>'BAU Scenario'!E10</f>
        <v>335464115.71543819</v>
      </c>
      <c r="F10" s="3">
        <f>'BAU Scenario'!F10</f>
        <v>759.98016243917039</v>
      </c>
      <c r="G10" s="3">
        <f>'BAU Scenario'!G10</f>
        <v>15089.652364901234</v>
      </c>
      <c r="H10" s="3">
        <f>'BAU Scenario'!H10</f>
        <v>512.27960739915045</v>
      </c>
      <c r="I10" s="3">
        <f>'BAU Scenario'!I10</f>
        <v>7738.1652087346429</v>
      </c>
      <c r="J10" s="3">
        <f>D10+AC10</f>
        <v>31759136.710095361</v>
      </c>
      <c r="L10" s="41">
        <f>'BAU Scenario'!L10</f>
        <v>6.5935775352025808E-3</v>
      </c>
      <c r="M10" s="41">
        <f>'ZEV efficiency'!L44</f>
        <v>4.5885492022606078</v>
      </c>
      <c r="O10" s="3">
        <f>E10*L10/M10</f>
        <v>482049.67621534644</v>
      </c>
      <c r="P10" s="3">
        <f>'BAU Scenario'!P10</f>
        <v>20.662857672339104</v>
      </c>
      <c r="Q10" s="3">
        <f>'BAU Scenario'!Q10</f>
        <v>3.2719929536032435</v>
      </c>
      <c r="R10" s="3">
        <f>'BAU Scenario'!R10</f>
        <v>2.8250000723901119</v>
      </c>
      <c r="S10" s="3">
        <f>'BAU Scenario'!S10</f>
        <v>0.3228571511302985</v>
      </c>
      <c r="T10" s="3">
        <f>'BAU Scenario'!T10</f>
        <v>39557.18458507421</v>
      </c>
      <c r="U10" s="3">
        <f>'BAU Scenario'!U10</f>
        <v>0.71271759215396924</v>
      </c>
      <c r="V10" s="3">
        <f>'BAU Scenario'!V10</f>
        <v>4.9235715547370518</v>
      </c>
      <c r="W10" s="3">
        <f>$O10*'GREET factors'!I96/454/2000</f>
        <v>39724.021017920793</v>
      </c>
      <c r="X10" s="3">
        <f>('Combined MOVES output'!V16/454/2000-'BAU Scenario'!D10)*'GREET factors'!$V$1</f>
        <v>60665.28946978943</v>
      </c>
      <c r="Y10" s="261">
        <f>O10*M10*'GREET factors'!$J$7/454/2000</f>
        <v>23.287977346737826</v>
      </c>
      <c r="Z10" s="261">
        <f>O10*M10*'GREET factors'!K$7/454/2000</f>
        <v>2.920535848595704</v>
      </c>
      <c r="AA10" s="317" t="s">
        <v>493</v>
      </c>
      <c r="AB10" s="317"/>
      <c r="AC10" s="3">
        <f>T10-X10</f>
        <v>-21108.10488471522</v>
      </c>
      <c r="AD10" s="261">
        <f>P10-Y10</f>
        <v>-2.6251196743987215</v>
      </c>
      <c r="AE10" s="261">
        <f>Q10-Z10</f>
        <v>0.35145710500753946</v>
      </c>
      <c r="AF10" s="317" t="s">
        <v>493</v>
      </c>
      <c r="AG10" s="317"/>
      <c r="AH10">
        <v>2020</v>
      </c>
    </row>
    <row r="11" spans="1:34">
      <c r="C11" s="3"/>
      <c r="D11" s="3"/>
      <c r="E11" s="3"/>
      <c r="F11" s="3"/>
      <c r="G11" s="3"/>
      <c r="H11" s="3"/>
      <c r="L11" s="41"/>
      <c r="M11" s="41"/>
    </row>
    <row r="12" spans="1:34">
      <c r="A12">
        <v>2025</v>
      </c>
      <c r="B12">
        <v>20</v>
      </c>
      <c r="C12" s="320" t="s">
        <v>145</v>
      </c>
      <c r="D12" s="320"/>
      <c r="E12" s="320"/>
      <c r="F12" s="320"/>
      <c r="G12" s="320"/>
      <c r="H12" s="320"/>
      <c r="I12" s="320"/>
      <c r="J12" s="3"/>
      <c r="L12" s="41"/>
      <c r="M12" s="41"/>
    </row>
    <row r="13" spans="1:34">
      <c r="A13">
        <v>2025</v>
      </c>
      <c r="B13">
        <v>30</v>
      </c>
      <c r="C13" s="320"/>
      <c r="D13" s="320"/>
      <c r="E13" s="320"/>
      <c r="F13" s="320"/>
      <c r="G13" s="320"/>
      <c r="H13" s="320"/>
      <c r="I13" s="320"/>
      <c r="J13" s="3"/>
      <c r="L13" s="41"/>
      <c r="M13" s="41"/>
      <c r="O13" t="s">
        <v>17</v>
      </c>
    </row>
    <row r="14" spans="1:34">
      <c r="A14">
        <v>2025</v>
      </c>
      <c r="B14">
        <v>41</v>
      </c>
      <c r="C14" s="320"/>
      <c r="D14" s="320"/>
      <c r="E14" s="320"/>
      <c r="F14" s="320"/>
      <c r="G14" s="320"/>
      <c r="H14" s="320"/>
      <c r="I14" s="320"/>
      <c r="J14" s="3"/>
      <c r="L14" s="41"/>
      <c r="M14" s="41"/>
      <c r="O14" t="s">
        <v>142</v>
      </c>
      <c r="P14" t="s">
        <v>8</v>
      </c>
      <c r="Q14" t="s">
        <v>10</v>
      </c>
      <c r="R14" t="s">
        <v>14</v>
      </c>
      <c r="S14" t="s">
        <v>15</v>
      </c>
      <c r="T14" t="s">
        <v>16</v>
      </c>
      <c r="U14" t="s">
        <v>115</v>
      </c>
      <c r="V14" t="s">
        <v>116</v>
      </c>
      <c r="W14" t="s">
        <v>47</v>
      </c>
      <c r="X14" t="s">
        <v>47</v>
      </c>
      <c r="Y14" t="s">
        <v>8</v>
      </c>
      <c r="Z14" t="s">
        <v>10</v>
      </c>
      <c r="AC14" s="32" t="s">
        <v>47</v>
      </c>
      <c r="AD14" t="s">
        <v>8</v>
      </c>
      <c r="AE14" t="s">
        <v>10</v>
      </c>
    </row>
    <row r="15" spans="1:34">
      <c r="A15">
        <v>2025</v>
      </c>
      <c r="B15" s="8" t="s">
        <v>109</v>
      </c>
      <c r="C15" s="3">
        <f>'BAU Scenario'!C15</f>
        <v>9687.8341795790166</v>
      </c>
      <c r="D15" s="3">
        <f>'BAU Scenario'!D15</f>
        <v>27823536.396510247</v>
      </c>
      <c r="E15" s="3">
        <f>'BAU Scenario'!E15</f>
        <v>327404720.48998964</v>
      </c>
      <c r="F15" s="3">
        <f>'BAU Scenario'!F15</f>
        <v>679.38640606960541</v>
      </c>
      <c r="G15" s="3">
        <f>'BAU Scenario'!G15</f>
        <v>12530.750657244324</v>
      </c>
      <c r="H15" s="3">
        <f>'BAU Scenario'!H15</f>
        <v>484.27366085089983</v>
      </c>
      <c r="I15" s="3">
        <f>'BAU Scenario'!I15</f>
        <v>2204.3633630046961</v>
      </c>
      <c r="J15" s="3">
        <f>D15+AC15</f>
        <v>27624262.910687033</v>
      </c>
      <c r="L15" s="41">
        <f>'BAU Scenario'!L15</f>
        <v>3.1556709314336143E-2</v>
      </c>
      <c r="M15" s="41">
        <f>'ZEV efficiency'!L44</f>
        <v>4.5885492022606078</v>
      </c>
      <c r="O15" s="3">
        <f>E15*L15/M15</f>
        <v>2251651.913758269</v>
      </c>
      <c r="P15" s="3">
        <f>'BAU Scenario'!P15</f>
        <v>96.516117149828091</v>
      </c>
      <c r="Q15" s="3">
        <f>'BAU Scenario'!Q15</f>
        <v>15.283464670336331</v>
      </c>
      <c r="R15" s="3">
        <f>'BAU Scenario'!R15</f>
        <v>13.19556289157806</v>
      </c>
      <c r="S15" s="3">
        <f>'BAU Scenario'!S15</f>
        <v>1.5080643304660639</v>
      </c>
      <c r="T15" s="3">
        <f>'BAU Scenario'!T15</f>
        <v>184771.43491344567</v>
      </c>
      <c r="U15" s="3">
        <f>'BAU Scenario'!U15</f>
        <v>3.3291007328169235</v>
      </c>
      <c r="V15" s="3">
        <f>'BAU Scenario'!V15</f>
        <v>22.997981039607474</v>
      </c>
      <c r="W15" s="3">
        <f>$O15*'GREET factors'!I97/454/2000</f>
        <v>185550.72715621404</v>
      </c>
      <c r="X15" s="3">
        <f>('Combined MOVES output'!D9/454/2000-'BAU Scenario'!D15)*'GREET factors'!$V$1</f>
        <v>384044.92073666136</v>
      </c>
      <c r="Y15" s="261">
        <f>O15*M15*'GREET factors'!$J$7/454/2000</f>
        <v>108.77803958303352</v>
      </c>
      <c r="Z15" s="261">
        <f>O15*M15*'GREET factors'!K$7/454/2000</f>
        <v>13.641810081317081</v>
      </c>
      <c r="AA15" s="261"/>
      <c r="AB15" s="261"/>
      <c r="AC15" s="3">
        <f>T15-X15</f>
        <v>-199273.48582321568</v>
      </c>
      <c r="AD15" s="261">
        <f>P15-Y15</f>
        <v>-12.261922433205427</v>
      </c>
      <c r="AE15" s="261">
        <f>Q15-Z15</f>
        <v>1.6416545890192502</v>
      </c>
      <c r="AF15" s="261"/>
      <c r="AG15" s="261"/>
      <c r="AH15">
        <v>2025</v>
      </c>
    </row>
    <row r="16" spans="1:34">
      <c r="C16" s="3"/>
      <c r="D16" s="3"/>
      <c r="E16" s="3"/>
      <c r="F16" s="3"/>
      <c r="G16" s="3"/>
      <c r="H16" s="3"/>
      <c r="L16" s="41"/>
      <c r="M16" s="41"/>
      <c r="O16" s="6"/>
    </row>
    <row r="17" spans="1:34">
      <c r="A17">
        <v>2026</v>
      </c>
      <c r="B17">
        <v>20</v>
      </c>
      <c r="C17" s="121"/>
      <c r="D17" s="3"/>
      <c r="E17" s="3"/>
      <c r="F17" s="3"/>
      <c r="G17" s="3"/>
      <c r="H17" s="3"/>
      <c r="I17" s="3"/>
      <c r="J17" s="3"/>
      <c r="L17" s="41"/>
      <c r="M17" s="41"/>
    </row>
    <row r="18" spans="1:34">
      <c r="A18">
        <v>2026</v>
      </c>
      <c r="B18">
        <v>30</v>
      </c>
      <c r="C18" s="3"/>
      <c r="D18" s="3"/>
      <c r="E18" s="3"/>
      <c r="F18" s="3"/>
      <c r="G18" s="3"/>
      <c r="H18" s="3"/>
      <c r="I18" s="3"/>
      <c r="J18" s="3"/>
      <c r="L18" s="41"/>
      <c r="M18" s="41"/>
      <c r="O18" t="s">
        <v>17</v>
      </c>
    </row>
    <row r="19" spans="1:34">
      <c r="A19">
        <v>2026</v>
      </c>
      <c r="B19">
        <v>41</v>
      </c>
      <c r="C19" s="3"/>
      <c r="D19" s="3"/>
      <c r="E19" s="3"/>
      <c r="F19" s="3"/>
      <c r="G19" s="3"/>
      <c r="H19" s="3"/>
      <c r="I19" s="3"/>
      <c r="J19" s="3"/>
      <c r="L19" s="41"/>
      <c r="M19" s="41"/>
      <c r="O19" t="s">
        <v>142</v>
      </c>
      <c r="P19" t="s">
        <v>8</v>
      </c>
      <c r="Q19" t="s">
        <v>10</v>
      </c>
      <c r="R19" t="s">
        <v>14</v>
      </c>
      <c r="S19" t="s">
        <v>15</v>
      </c>
      <c r="T19" t="s">
        <v>16</v>
      </c>
      <c r="U19" t="s">
        <v>115</v>
      </c>
      <c r="V19" t="s">
        <v>116</v>
      </c>
      <c r="W19" t="s">
        <v>47</v>
      </c>
      <c r="X19" t="s">
        <v>47</v>
      </c>
      <c r="Y19" t="s">
        <v>8</v>
      </c>
      <c r="Z19" t="s">
        <v>10</v>
      </c>
      <c r="AC19" s="32" t="s">
        <v>47</v>
      </c>
      <c r="AD19" t="s">
        <v>8</v>
      </c>
      <c r="AE19" t="s">
        <v>10</v>
      </c>
    </row>
    <row r="20" spans="1:34">
      <c r="A20">
        <v>2026</v>
      </c>
      <c r="B20" s="8" t="s">
        <v>109</v>
      </c>
      <c r="C20" s="3">
        <f>'BAU Scenario'!C20*(1-'ACC emissions benefits'!C10)</f>
        <v>8763.3145443445246</v>
      </c>
      <c r="D20" s="3">
        <f>'BAU Scenario'!D20*(1-'ACC emissions benefits'!D10)</f>
        <v>26883659.670654576</v>
      </c>
      <c r="E20" s="3">
        <f>'Combined MOVES output'!E10*(1-'ACC emissions benefits'!E10)</f>
        <v>326172131.1756953</v>
      </c>
      <c r="F20" s="3">
        <f>'BAU Scenario'!F20*(1-'ACC emissions benefits'!F10)</f>
        <v>666.22329737562336</v>
      </c>
      <c r="G20" s="3">
        <f>'BAU Scenario'!G20*(1-'ACC emissions benefits'!G10)</f>
        <v>12022.169884915322</v>
      </c>
      <c r="H20" s="3">
        <f>'BAU Scenario'!H20*(1-'ACC emissions benefits'!H10)</f>
        <v>472.65802813278958</v>
      </c>
      <c r="I20" s="3">
        <f>'BAU Scenario'!I20*(1-'ACC emissions benefits'!I10)</f>
        <v>2226.6309454246298</v>
      </c>
      <c r="J20" s="3">
        <f>D20+AC20</f>
        <v>26606426.319579866</v>
      </c>
      <c r="L20" s="41">
        <f>'Fleet ZEV fractions'!AM18</f>
        <v>4.7413276032757704E-2</v>
      </c>
      <c r="M20" s="41">
        <f>'ZEV efficiency'!L45</f>
        <v>4.5196833584062999</v>
      </c>
      <c r="O20" s="3">
        <f>E20*L20/M20</f>
        <v>3421675.3837107783</v>
      </c>
      <c r="P20" s="3">
        <f>$O20*'GREET factors'!B98/454/2000</f>
        <v>132.18642751535461</v>
      </c>
      <c r="Q20" s="3">
        <f>$O20*'GREET factors'!C98/454/2000</f>
        <v>20.931909141068211</v>
      </c>
      <c r="R20" s="3">
        <f>$O20*'GREET factors'!D98/454/2000</f>
        <v>18.072363136864894</v>
      </c>
      <c r="S20" s="3">
        <f>$O20*'GREET factors'!E98/454/2000</f>
        <v>2.0654129299274158</v>
      </c>
      <c r="T20" s="3">
        <f>$O20*'GREET factors'!F98/454/2000</f>
        <v>253059.03935379934</v>
      </c>
      <c r="U20" s="3">
        <f>$O20*'GREET factors'!G98/454/2000</f>
        <v>4.5594657732312438</v>
      </c>
      <c r="V20" s="3">
        <f>$O20*'GREET factors'!H98/454/2000</f>
        <v>31.497547181393095</v>
      </c>
      <c r="W20" s="3">
        <f>$O20*'GREET factors'!I98/454/2000</f>
        <v>254126.3414853393</v>
      </c>
      <c r="X20" s="3">
        <f>('Combined MOVES output'!D10/454/2000-D20)*'GREET factors'!V1</f>
        <v>530292.39042851073</v>
      </c>
      <c r="Y20" s="261">
        <f>O20*M20*'GREET factors'!$J$7/454/2000</f>
        <v>162.82136708787951</v>
      </c>
      <c r="Z20" s="261">
        <f>O20*M20*'GREET factors'!K$7/454/2000</f>
        <v>20.419361991698445</v>
      </c>
      <c r="AA20" s="261"/>
      <c r="AB20" s="261"/>
      <c r="AC20" s="3">
        <f>T20-X20</f>
        <v>-277233.35107471142</v>
      </c>
      <c r="AD20" s="261">
        <f>P20-Y20</f>
        <v>-30.6349395725249</v>
      </c>
      <c r="AE20" s="261">
        <f>Q20-Z20</f>
        <v>0.51254714936976598</v>
      </c>
      <c r="AF20" s="261"/>
      <c r="AG20" s="261"/>
      <c r="AH20">
        <v>2026</v>
      </c>
    </row>
    <row r="21" spans="1:34">
      <c r="L21" s="41"/>
      <c r="M21" s="41"/>
    </row>
    <row r="22" spans="1:34">
      <c r="A22">
        <v>2027</v>
      </c>
      <c r="B22">
        <v>20</v>
      </c>
      <c r="C22" s="3"/>
      <c r="D22" s="3"/>
      <c r="E22" s="3"/>
      <c r="F22" s="3"/>
      <c r="G22" s="3"/>
      <c r="H22" s="3"/>
      <c r="I22" s="3"/>
      <c r="J22" s="3"/>
      <c r="L22" s="41"/>
      <c r="M22" s="41"/>
    </row>
    <row r="23" spans="1:34">
      <c r="A23">
        <v>2027</v>
      </c>
      <c r="B23">
        <v>30</v>
      </c>
      <c r="C23" s="3"/>
      <c r="D23" s="3"/>
      <c r="E23" s="3"/>
      <c r="F23" s="3"/>
      <c r="G23" s="3"/>
      <c r="H23" s="3"/>
      <c r="I23" s="3"/>
      <c r="J23" s="3"/>
      <c r="L23" s="41"/>
      <c r="M23" s="41"/>
      <c r="O23" t="s">
        <v>17</v>
      </c>
    </row>
    <row r="24" spans="1:34">
      <c r="A24">
        <v>2027</v>
      </c>
      <c r="B24">
        <v>41</v>
      </c>
      <c r="C24" s="3"/>
      <c r="D24" s="3"/>
      <c r="E24" s="3"/>
      <c r="F24" s="3"/>
      <c r="G24" s="3"/>
      <c r="H24" s="3"/>
      <c r="I24" s="3"/>
      <c r="J24" s="3"/>
      <c r="L24" s="41"/>
      <c r="M24" s="41"/>
      <c r="O24" t="s">
        <v>142</v>
      </c>
      <c r="P24" t="s">
        <v>8</v>
      </c>
      <c r="Q24" t="s">
        <v>10</v>
      </c>
      <c r="R24" t="s">
        <v>14</v>
      </c>
      <c r="S24" t="s">
        <v>15</v>
      </c>
      <c r="T24" t="s">
        <v>16</v>
      </c>
      <c r="U24" t="s">
        <v>115</v>
      </c>
      <c r="V24" t="s">
        <v>116</v>
      </c>
      <c r="W24" t="s">
        <v>47</v>
      </c>
      <c r="X24" t="s">
        <v>47</v>
      </c>
      <c r="Y24" t="s">
        <v>8</v>
      </c>
      <c r="Z24" t="s">
        <v>10</v>
      </c>
      <c r="AC24" s="32" t="s">
        <v>47</v>
      </c>
      <c r="AD24" t="s">
        <v>8</v>
      </c>
      <c r="AE24" t="s">
        <v>10</v>
      </c>
    </row>
    <row r="25" spans="1:34">
      <c r="A25">
        <v>2027</v>
      </c>
      <c r="B25" s="8" t="s">
        <v>109</v>
      </c>
      <c r="C25" s="3">
        <f>'BAU Scenario'!C25*(1-'ACC emissions benefits'!C11)</f>
        <v>7822.7672241211703</v>
      </c>
      <c r="D25" s="3">
        <f>'BAU Scenario'!D25*(1-'ACC emissions benefits'!D11)</f>
        <v>25602924.468300216</v>
      </c>
      <c r="E25" s="3">
        <f>'Combined MOVES output'!E11*(1-'ACC emissions benefits'!E11)</f>
        <v>324939541.86140096</v>
      </c>
      <c r="F25" s="3">
        <f>'BAU Scenario'!F25*(1-'ACC emissions benefits'!F11)</f>
        <v>651.54433949726013</v>
      </c>
      <c r="G25" s="3">
        <f>'BAU Scenario'!G25*(1-'ACC emissions benefits'!G11)</f>
        <v>11493.637693471635</v>
      </c>
      <c r="H25" s="3">
        <f>'BAU Scenario'!H25*(1-'ACC emissions benefits'!H11)</f>
        <v>456.15434825640091</v>
      </c>
      <c r="I25" s="3">
        <f>'BAU Scenario'!I25*(1-'ACC emissions benefits'!I11)</f>
        <v>2168.3665611362071</v>
      </c>
      <c r="J25" s="3">
        <f>D25+AC25</f>
        <v>25149741.244796365</v>
      </c>
      <c r="L25" s="41">
        <f>'Fleet ZEV fractions'!AM19</f>
        <v>6.6850885453773226E-2</v>
      </c>
      <c r="M25" s="41">
        <f>'ZEV efficiency'!L46</f>
        <v>4.4511142158008035</v>
      </c>
      <c r="O25" s="3">
        <f>E25*L25/M25</f>
        <v>4880237.8548872964</v>
      </c>
      <c r="P25" s="3">
        <f>$O25*'GREET factors'!B99/454/2000</f>
        <v>167.87809728667381</v>
      </c>
      <c r="Q25" s="3">
        <f>$O25*'GREET factors'!C99/454/2000</f>
        <v>26.583735904141008</v>
      </c>
      <c r="R25" s="3">
        <f>$O25*'GREET factors'!D99/454/2000</f>
        <v>22.952083613412437</v>
      </c>
      <c r="S25" s="3">
        <f>$O25*'GREET factors'!E99/454/2000</f>
        <v>2.6230952701042782</v>
      </c>
      <c r="T25" s="3">
        <f>$O25*'GREET factors'!F99/454/2000</f>
        <v>321387.53445753391</v>
      </c>
      <c r="U25" s="3">
        <f>$O25*'GREET factors'!G99/454/2000</f>
        <v>5.7905675570577175</v>
      </c>
      <c r="V25" s="3">
        <f>$O25*'GREET factors'!H99/454/2000</f>
        <v>40.002202869090247</v>
      </c>
      <c r="W25" s="3">
        <f>$O25*'GREET factors'!I99/454/2000</f>
        <v>322743.01893836033</v>
      </c>
      <c r="X25" s="3">
        <f>('Combined MOVES output'!D11/454/2000-'ACC II - MY2026'!D25)*'GREET factors'!V1</f>
        <v>774570.75796138332</v>
      </c>
      <c r="Y25" s="261">
        <f>O25*M25*'GREET factors'!$J$7/454/2000</f>
        <v>228.70428905654521</v>
      </c>
      <c r="Z25" s="261">
        <f>O25*M25*'GREET factors'!K$7/454/2000</f>
        <v>28.681712669683584</v>
      </c>
      <c r="AA25" s="261"/>
      <c r="AB25" s="261"/>
      <c r="AC25" s="3">
        <f>T25-X25</f>
        <v>-453183.22350384941</v>
      </c>
      <c r="AD25" s="261">
        <f>P25-Y25</f>
        <v>-60.8261917698714</v>
      </c>
      <c r="AE25" s="261">
        <f>Q25-Z25</f>
        <v>-2.0979767655425761</v>
      </c>
      <c r="AF25" s="261"/>
      <c r="AG25" s="261"/>
      <c r="AH25">
        <v>2027</v>
      </c>
    </row>
    <row r="26" spans="1:34">
      <c r="L26" s="41"/>
      <c r="M26" s="41"/>
      <c r="X26" s="3"/>
      <c r="Y26" s="3"/>
      <c r="Z26" s="3"/>
      <c r="AA26" s="3"/>
      <c r="AB26" s="3"/>
    </row>
    <row r="27" spans="1:34">
      <c r="A27">
        <v>2028</v>
      </c>
      <c r="B27">
        <v>20</v>
      </c>
      <c r="C27" s="3"/>
      <c r="D27" s="3"/>
      <c r="E27" s="3"/>
      <c r="F27" s="3"/>
      <c r="G27" s="3"/>
      <c r="H27" s="3"/>
      <c r="I27" s="3"/>
      <c r="J27" s="3"/>
      <c r="L27" s="41"/>
      <c r="M27" s="41"/>
      <c r="X27" s="3"/>
      <c r="Y27" s="3"/>
      <c r="Z27" s="3"/>
      <c r="AA27" s="3"/>
      <c r="AB27" s="3"/>
    </row>
    <row r="28" spans="1:34">
      <c r="A28">
        <v>2028</v>
      </c>
      <c r="B28">
        <v>30</v>
      </c>
      <c r="C28" s="3"/>
      <c r="D28" s="3"/>
      <c r="E28" s="3"/>
      <c r="F28" s="3"/>
      <c r="G28" s="3"/>
      <c r="H28" s="3"/>
      <c r="I28" s="3"/>
      <c r="J28" s="3"/>
      <c r="L28" s="41"/>
      <c r="M28" s="41"/>
      <c r="O28" t="s">
        <v>17</v>
      </c>
      <c r="X28" s="3"/>
      <c r="Y28" s="3"/>
      <c r="Z28" s="3"/>
      <c r="AA28" s="3"/>
      <c r="AB28" s="3"/>
    </row>
    <row r="29" spans="1:34">
      <c r="A29">
        <v>2028</v>
      </c>
      <c r="B29">
        <v>41</v>
      </c>
      <c r="C29" s="3"/>
      <c r="D29" s="3"/>
      <c r="E29" s="3"/>
      <c r="F29" s="3"/>
      <c r="G29" s="3"/>
      <c r="H29" s="3"/>
      <c r="I29" s="3"/>
      <c r="J29" s="3"/>
      <c r="L29" s="41"/>
      <c r="M29" s="41"/>
      <c r="O29" t="s">
        <v>142</v>
      </c>
      <c r="P29" t="s">
        <v>8</v>
      </c>
      <c r="Q29" t="s">
        <v>10</v>
      </c>
      <c r="R29" t="s">
        <v>14</v>
      </c>
      <c r="S29" t="s">
        <v>15</v>
      </c>
      <c r="T29" t="s">
        <v>16</v>
      </c>
      <c r="U29" t="s">
        <v>115</v>
      </c>
      <c r="V29" t="s">
        <v>116</v>
      </c>
      <c r="W29" t="s">
        <v>47</v>
      </c>
      <c r="X29" t="s">
        <v>47</v>
      </c>
      <c r="Y29" t="s">
        <v>8</v>
      </c>
      <c r="Z29" t="s">
        <v>10</v>
      </c>
      <c r="AC29" s="32" t="s">
        <v>47</v>
      </c>
      <c r="AD29" t="s">
        <v>8</v>
      </c>
      <c r="AE29" t="s">
        <v>10</v>
      </c>
    </row>
    <row r="30" spans="1:34">
      <c r="A30">
        <v>2028</v>
      </c>
      <c r="B30" s="8" t="s">
        <v>109</v>
      </c>
      <c r="C30" s="3">
        <f>'BAU Scenario'!C30*(1-'ACC emissions benefits'!C12)</f>
        <v>6877.2062039517677</v>
      </c>
      <c r="D30" s="3">
        <f>'BAU Scenario'!D30*(1-'ACC emissions benefits'!D12)</f>
        <v>24077394.585872218</v>
      </c>
      <c r="E30" s="3">
        <f>'Combined MOVES output'!E12*(1-'ACC emissions benefits'!E12)</f>
        <v>323706952.54710668</v>
      </c>
      <c r="F30" s="3">
        <f>'BAU Scenario'!F30*(1-'ACC emissions benefits'!F12)</f>
        <v>635.32461592272114</v>
      </c>
      <c r="G30" s="3">
        <f>'BAU Scenario'!G30*(1-'ACC emissions benefits'!G12)</f>
        <v>10947.112216904312</v>
      </c>
      <c r="H30" s="3">
        <f>'BAU Scenario'!H30*(1-'ACC emissions benefits'!H12)</f>
        <v>435.27811716201938</v>
      </c>
      <c r="I30" s="3">
        <f>'BAU Scenario'!I30*(1-'ACC emissions benefits'!I12)</f>
        <v>2099.0504480082</v>
      </c>
      <c r="J30" s="3">
        <f>D30+AC30</f>
        <v>23371475.899119742</v>
      </c>
      <c r="L30" s="41">
        <f>'Fleet ZEV fractions'!AM20</f>
        <v>8.985277767632803E-2</v>
      </c>
      <c r="M30" s="41">
        <f>'ZEV efficiency'!L47</f>
        <v>4.3820263375286919</v>
      </c>
      <c r="O30" s="3">
        <f>E30*L30/M30</f>
        <v>6637561.392636518</v>
      </c>
      <c r="P30" s="3">
        <f>$O30*'GREET factors'!B100/454/2000</f>
        <v>200.23576843211265</v>
      </c>
      <c r="Q30" s="3">
        <f>$O30*'GREET factors'!C100/454/2000</f>
        <v>31.707619234403595</v>
      </c>
      <c r="R30" s="3">
        <f>$O30*'GREET factors'!D100/454/2000</f>
        <v>27.375983965327901</v>
      </c>
      <c r="S30" s="3">
        <f>$O30*'GREET factors'!E100/454/2000</f>
        <v>3.1286838817517602</v>
      </c>
      <c r="T30" s="3">
        <f>$O30*'GREET factors'!F100/454/2000</f>
        <v>383333.38873095956</v>
      </c>
      <c r="U30" s="3">
        <f>$O30*'GREET factors'!G100/454/2000</f>
        <v>6.9066707520847803</v>
      </c>
      <c r="V30" s="3">
        <f>$O30*'GREET factors'!H100/454/2000</f>
        <v>47.712429196714339</v>
      </c>
      <c r="W30" s="3">
        <f>$O30*'GREET factors'!I100/454/2000</f>
        <v>384950.13612685469</v>
      </c>
      <c r="X30" s="3">
        <f>('Combined MOVES output'!D12/454/2000-'ACC II - MY2026'!D30)*'GREET factors'!V1</f>
        <v>1089252.0754834339</v>
      </c>
      <c r="Y30" s="261">
        <f>O30*M30*'GREET factors'!$J$7/454/2000</f>
        <v>306.23026914904227</v>
      </c>
      <c r="Z30" s="261">
        <f>O30*M30*'GREET factors'!K$7/454/2000</f>
        <v>38.404214572124282</v>
      </c>
      <c r="AA30" s="261"/>
      <c r="AB30" s="261"/>
      <c r="AC30" s="3">
        <f>T30-X30</f>
        <v>-705918.6867524744</v>
      </c>
      <c r="AD30" s="261">
        <f>P30-Y30</f>
        <v>-105.99450071692962</v>
      </c>
      <c r="AE30" s="261">
        <f>Q30-Z30</f>
        <v>-6.6965953377206873</v>
      </c>
      <c r="AF30" s="261"/>
      <c r="AG30" s="261"/>
      <c r="AH30">
        <v>2028</v>
      </c>
    </row>
    <row r="31" spans="1:34">
      <c r="L31" s="41"/>
      <c r="M31" s="41"/>
      <c r="X31" s="3"/>
      <c r="Y31" s="3"/>
      <c r="Z31" s="3"/>
      <c r="AA31" s="3"/>
      <c r="AB31" s="3"/>
    </row>
    <row r="32" spans="1:34">
      <c r="A32">
        <v>2029</v>
      </c>
      <c r="B32">
        <v>20</v>
      </c>
      <c r="C32" s="3"/>
      <c r="D32" s="3"/>
      <c r="E32" s="3"/>
      <c r="F32" s="3"/>
      <c r="G32" s="3"/>
      <c r="H32" s="3"/>
      <c r="I32" s="3"/>
      <c r="J32" s="3"/>
      <c r="L32" s="41"/>
      <c r="M32" s="41"/>
      <c r="X32" s="3"/>
      <c r="Y32" s="3"/>
      <c r="Z32" s="3"/>
      <c r="AA32" s="3"/>
      <c r="AB32" s="3"/>
    </row>
    <row r="33" spans="1:34">
      <c r="A33">
        <v>2029</v>
      </c>
      <c r="B33">
        <v>30</v>
      </c>
      <c r="C33" s="3"/>
      <c r="D33" s="3"/>
      <c r="E33" s="3"/>
      <c r="F33" s="3"/>
      <c r="G33" s="3"/>
      <c r="H33" s="3"/>
      <c r="I33" s="3"/>
      <c r="J33" s="3"/>
      <c r="L33" s="41"/>
      <c r="M33" s="41"/>
      <c r="O33" t="s">
        <v>17</v>
      </c>
      <c r="X33" s="3"/>
      <c r="Y33" s="3"/>
      <c r="Z33" s="3"/>
      <c r="AA33" s="3"/>
      <c r="AB33" s="3"/>
    </row>
    <row r="34" spans="1:34">
      <c r="A34">
        <v>2029</v>
      </c>
      <c r="B34">
        <v>41</v>
      </c>
      <c r="C34" s="3"/>
      <c r="D34" s="3"/>
      <c r="E34" s="3"/>
      <c r="F34" s="3"/>
      <c r="G34" s="3"/>
      <c r="H34" s="3"/>
      <c r="I34" s="3"/>
      <c r="J34" s="3"/>
      <c r="L34" s="41"/>
      <c r="M34" s="41"/>
      <c r="O34" t="s">
        <v>142</v>
      </c>
      <c r="P34" t="s">
        <v>8</v>
      </c>
      <c r="Q34" t="s">
        <v>10</v>
      </c>
      <c r="R34" t="s">
        <v>14</v>
      </c>
      <c r="S34" t="s">
        <v>15</v>
      </c>
      <c r="T34" t="s">
        <v>16</v>
      </c>
      <c r="U34" t="s">
        <v>115</v>
      </c>
      <c r="V34" t="s">
        <v>116</v>
      </c>
      <c r="W34" t="s">
        <v>47</v>
      </c>
      <c r="X34" t="s">
        <v>47</v>
      </c>
      <c r="Y34" t="s">
        <v>8</v>
      </c>
      <c r="Z34" t="s">
        <v>10</v>
      </c>
      <c r="AC34" s="32" t="s">
        <v>47</v>
      </c>
      <c r="AD34" t="s">
        <v>8</v>
      </c>
      <c r="AE34" t="s">
        <v>10</v>
      </c>
    </row>
    <row r="35" spans="1:34">
      <c r="A35">
        <v>2029</v>
      </c>
      <c r="B35" s="8" t="s">
        <v>109</v>
      </c>
      <c r="C35" s="3">
        <f>'BAU Scenario'!C35*(1-'ACC emissions benefits'!C13)</f>
        <v>5922.8886011572977</v>
      </c>
      <c r="D35" s="3">
        <f>'BAU Scenario'!D35*(1-'ACC emissions benefits'!D13)</f>
        <v>22392224.434719969</v>
      </c>
      <c r="E35" s="3">
        <f>'Combined MOVES output'!E13*(1-'ACC emissions benefits'!E13)</f>
        <v>322474363.23281235</v>
      </c>
      <c r="F35" s="3">
        <f>'BAU Scenario'!F35*(1-'ACC emissions benefits'!F13)</f>
        <v>617.54014457674339</v>
      </c>
      <c r="G35" s="3">
        <f>'BAU Scenario'!G35*(1-'ACC emissions benefits'!G13)</f>
        <v>10370.006571172153</v>
      </c>
      <c r="H35" s="3">
        <f>'BAU Scenario'!H35*(1-'ACC emissions benefits'!H13)</f>
        <v>410.62413007357526</v>
      </c>
      <c r="I35" s="3">
        <f>'BAU Scenario'!I35*(1-'ACC emissions benefits'!I13)</f>
        <v>2017.4303012934345</v>
      </c>
      <c r="J35" s="3">
        <f>D35+AC35</f>
        <v>21374449.315130513</v>
      </c>
      <c r="L35" s="41">
        <f>'Fleet ZEV fractions'!AM21</f>
        <v>0.11640226722206096</v>
      </c>
      <c r="M35" s="41">
        <f>'ZEV efficiency'!L48</f>
        <v>4.3133593585787438</v>
      </c>
      <c r="O35" s="3">
        <f>E35*L35/M35</f>
        <v>8702439.06912921</v>
      </c>
      <c r="P35" s="3">
        <f>$O35*'GREET factors'!B101/454/2000</f>
        <v>225.69396285876257</v>
      </c>
      <c r="Q35" s="3">
        <f>$O35*'GREET factors'!C101/454/2000</f>
        <v>35.738960595621528</v>
      </c>
      <c r="R35" s="3">
        <f>$O35*'GREET factors'!D101/454/2000</f>
        <v>30.856596484596448</v>
      </c>
      <c r="S35" s="3">
        <f>$O35*'GREET factors'!E101/454/2000</f>
        <v>3.5264681696681652</v>
      </c>
      <c r="T35" s="3">
        <f>$O35*'GREET factors'!F101/454/2000</f>
        <v>432070.81470112526</v>
      </c>
      <c r="U35" s="3">
        <f>$O35*'GREET factors'!G101/454/2000</f>
        <v>7.7847924194783067</v>
      </c>
      <c r="V35" s="3">
        <f>$O35*'GREET factors'!H101/454/2000</f>
        <v>53.778639587439514</v>
      </c>
      <c r="W35" s="3">
        <f>$O35*'GREET factors'!I101/454/2000</f>
        <v>433893.11712780135</v>
      </c>
      <c r="X35" s="3">
        <f>('Combined MOVES output'!D13/454/2000-'ACC II - MY2026'!D35)*'GREET factors'!V1</f>
        <v>1449845.9342905795</v>
      </c>
      <c r="Y35" s="261">
        <f>O35*M35*'GREET factors'!$J$7/454/2000</f>
        <v>395.20389369238285</v>
      </c>
      <c r="Z35" s="261">
        <f>O35*M35*'GREET factors'!K$7/454/2000</f>
        <v>49.562360949088216</v>
      </c>
      <c r="AA35" s="261"/>
      <c r="AB35" s="261"/>
      <c r="AC35" s="3">
        <f>T35-X35</f>
        <v>-1017775.1195894543</v>
      </c>
      <c r="AD35" s="261">
        <f>P35-Y35</f>
        <v>-169.50993083362027</v>
      </c>
      <c r="AE35" s="261">
        <f>Q35-Z35</f>
        <v>-13.823400353466688</v>
      </c>
      <c r="AF35" s="261"/>
      <c r="AG35" s="261"/>
      <c r="AH35">
        <v>2029</v>
      </c>
    </row>
    <row r="36" spans="1:34">
      <c r="C36" s="3"/>
      <c r="D36" s="3"/>
      <c r="E36" s="3"/>
      <c r="F36" s="3"/>
      <c r="G36" s="3"/>
      <c r="H36" s="3"/>
      <c r="L36" s="41"/>
      <c r="M36" s="41"/>
    </row>
    <row r="37" spans="1:34">
      <c r="A37">
        <v>2030</v>
      </c>
      <c r="B37">
        <v>20</v>
      </c>
      <c r="C37" s="3"/>
      <c r="D37" s="3"/>
      <c r="E37" s="3"/>
      <c r="F37" s="3"/>
      <c r="G37" s="3"/>
      <c r="H37" s="3"/>
      <c r="I37" s="3"/>
      <c r="J37" s="3"/>
      <c r="L37" s="41"/>
      <c r="M37" s="41"/>
    </row>
    <row r="38" spans="1:34">
      <c r="A38">
        <v>2030</v>
      </c>
      <c r="B38">
        <v>30</v>
      </c>
      <c r="C38" s="3"/>
      <c r="D38" s="3"/>
      <c r="E38" s="3"/>
      <c r="F38" s="3"/>
      <c r="G38" s="3"/>
      <c r="H38" s="3"/>
      <c r="I38" s="3"/>
      <c r="J38" s="3"/>
      <c r="L38" s="41"/>
      <c r="M38" s="41"/>
      <c r="O38" t="s">
        <v>17</v>
      </c>
    </row>
    <row r="39" spans="1:34">
      <c r="A39">
        <v>2030</v>
      </c>
      <c r="B39">
        <v>41</v>
      </c>
      <c r="C39" s="3"/>
      <c r="D39" s="3"/>
      <c r="E39" s="3"/>
      <c r="F39" s="3"/>
      <c r="G39" s="3"/>
      <c r="H39" s="3"/>
      <c r="I39" s="3"/>
      <c r="J39" s="3"/>
      <c r="L39" s="41"/>
      <c r="M39" s="41"/>
      <c r="O39" t="s">
        <v>142</v>
      </c>
      <c r="P39" t="s">
        <v>8</v>
      </c>
      <c r="Q39" t="s">
        <v>10</v>
      </c>
      <c r="R39" t="s">
        <v>14</v>
      </c>
      <c r="S39" t="s">
        <v>15</v>
      </c>
      <c r="T39" t="s">
        <v>16</v>
      </c>
      <c r="U39" t="s">
        <v>115</v>
      </c>
      <c r="V39" t="s">
        <v>116</v>
      </c>
      <c r="W39" t="s">
        <v>47</v>
      </c>
      <c r="X39" t="s">
        <v>47</v>
      </c>
      <c r="Y39" t="s">
        <v>8</v>
      </c>
      <c r="Z39" t="s">
        <v>10</v>
      </c>
      <c r="AC39" s="32" t="s">
        <v>47</v>
      </c>
      <c r="AD39" t="s">
        <v>8</v>
      </c>
      <c r="AE39" t="s">
        <v>10</v>
      </c>
    </row>
    <row r="40" spans="1:34">
      <c r="A40">
        <v>2030</v>
      </c>
      <c r="B40" s="8" t="s">
        <v>109</v>
      </c>
      <c r="C40" s="3">
        <f>'BAU Scenario'!C40*(1-'ACC emissions benefits'!C14)</f>
        <v>4972.9312735550284</v>
      </c>
      <c r="D40" s="3">
        <f>'BAU Scenario'!D40*(1-'ACC emissions benefits'!D14)</f>
        <v>20651381.22589552</v>
      </c>
      <c r="E40" s="3">
        <f>'Combined MOVES output'!E14*(1-'ACC emissions benefits'!E14)</f>
        <v>321241773.91851801</v>
      </c>
      <c r="F40" s="3">
        <f>'BAU Scenario'!F40*(1-'ACC emissions benefits'!F14)</f>
        <v>595.6281693274982</v>
      </c>
      <c r="G40" s="3">
        <f>'BAU Scenario'!G40*(1-'ACC emissions benefits'!G14)</f>
        <v>9771.6684227021597</v>
      </c>
      <c r="H40" s="3">
        <f>'BAU Scenario'!H40*(1-'ACC emissions benefits'!H14)</f>
        <v>384.78194198627688</v>
      </c>
      <c r="I40" s="3">
        <f>'BAU Scenario'!I40*(1-'ACC emissions benefits'!I14)</f>
        <v>1926.2246681144341</v>
      </c>
      <c r="J40" s="3">
        <f>D40+AC40</f>
        <v>19286900.147081841</v>
      </c>
      <c r="L40" s="41">
        <f>'Fleet ZEV fractions'!AM22</f>
        <v>0.14693513114742229</v>
      </c>
      <c r="M40" s="41">
        <f>'ZEV efficiency'!L49</f>
        <v>4.2450182265177867</v>
      </c>
      <c r="O40" s="3">
        <f>E40*L40/M40</f>
        <v>11119316.728933778</v>
      </c>
      <c r="P40" s="3">
        <f>$O40*'GREET factors'!B102/454/2000</f>
        <v>241.31207419808518</v>
      </c>
      <c r="Q40" s="3">
        <f>$O40*'GREET factors'!C102/454/2000</f>
        <v>38.212110779454243</v>
      </c>
      <c r="R40" s="3">
        <f>$O40*'GREET factors'!D102/454/2000</f>
        <v>32.991885144269467</v>
      </c>
      <c r="S40" s="3">
        <f>$O40*'GREET factors'!E102/454/2000</f>
        <v>3.770501159345081</v>
      </c>
      <c r="T40" s="3">
        <f>$O40*'GREET factors'!F102/454/2000</f>
        <v>461970.28567056783</v>
      </c>
      <c r="U40" s="3">
        <f>$O40*'GREET factors'!G102/454/2000</f>
        <v>8.3235031285326446</v>
      </c>
      <c r="V40" s="3">
        <f>$O40*'GREET factors'!H102/454/2000</f>
        <v>57.500142680012473</v>
      </c>
      <c r="W40" s="3">
        <f>$O40*'GREET factors'!I102/454/2000</f>
        <v>463918.69214465935</v>
      </c>
      <c r="X40" s="3">
        <f>('Combined MOVES output'!D14/454/2000-D40)*'GREET factors'!V1</f>
        <v>1826451.3644842482</v>
      </c>
      <c r="Y40" s="261">
        <f>O40*M40*'GREET factors'!$J$7/454/2000</f>
        <v>496.96092445354662</v>
      </c>
      <c r="Z40" s="261">
        <f>O40*M40*'GREET factors'!K$7/454/2000</f>
        <v>62.32366914515034</v>
      </c>
      <c r="AA40" s="261"/>
      <c r="AB40" s="261"/>
      <c r="AC40" s="3">
        <f>T40-X40</f>
        <v>-1364481.0788136804</v>
      </c>
      <c r="AD40" s="261">
        <f>P40-Y40</f>
        <v>-255.64885025546144</v>
      </c>
      <c r="AE40" s="261">
        <f>Q40-Z40</f>
        <v>-24.111558365696098</v>
      </c>
      <c r="AF40" s="261"/>
      <c r="AG40" s="261"/>
      <c r="AH40">
        <v>2030</v>
      </c>
    </row>
    <row r="41" spans="1:34">
      <c r="A41" s="6"/>
      <c r="C41" s="3"/>
      <c r="D41" s="3"/>
      <c r="E41" s="3"/>
      <c r="F41" s="3"/>
      <c r="G41" s="3"/>
      <c r="H41" s="3"/>
      <c r="L41" s="41"/>
      <c r="M41" s="41"/>
      <c r="AH41" s="6"/>
    </row>
    <row r="42" spans="1:34">
      <c r="A42">
        <v>2031</v>
      </c>
      <c r="B42">
        <v>20</v>
      </c>
      <c r="C42" s="3"/>
      <c r="D42" s="3"/>
      <c r="E42" s="3"/>
      <c r="F42" s="3"/>
      <c r="G42" s="3"/>
      <c r="H42" s="3"/>
      <c r="I42" s="3"/>
      <c r="J42" s="3"/>
      <c r="L42" s="41"/>
      <c r="M42" s="41"/>
    </row>
    <row r="43" spans="1:34">
      <c r="A43">
        <v>2031</v>
      </c>
      <c r="B43">
        <v>30</v>
      </c>
      <c r="C43" s="3"/>
      <c r="D43" s="3"/>
      <c r="E43" s="3"/>
      <c r="F43" s="3"/>
      <c r="G43" s="3"/>
      <c r="H43" s="3"/>
      <c r="I43" s="3"/>
      <c r="J43" s="3"/>
      <c r="L43" s="41"/>
      <c r="M43" s="41"/>
      <c r="O43" t="s">
        <v>17</v>
      </c>
    </row>
    <row r="44" spans="1:34">
      <c r="A44">
        <v>2031</v>
      </c>
      <c r="B44">
        <v>41</v>
      </c>
      <c r="C44" s="3"/>
      <c r="D44" s="3"/>
      <c r="E44" s="3"/>
      <c r="F44" s="3"/>
      <c r="G44" s="3"/>
      <c r="H44" s="3"/>
      <c r="I44" s="3"/>
      <c r="J44" s="3"/>
      <c r="L44" s="41"/>
      <c r="M44" s="41"/>
      <c r="O44" t="s">
        <v>142</v>
      </c>
      <c r="P44" t="s">
        <v>8</v>
      </c>
      <c r="Q44" t="s">
        <v>10</v>
      </c>
      <c r="R44" t="s">
        <v>14</v>
      </c>
      <c r="S44" t="s">
        <v>15</v>
      </c>
      <c r="T44" t="s">
        <v>16</v>
      </c>
      <c r="U44" t="s">
        <v>115</v>
      </c>
      <c r="V44" t="s">
        <v>116</v>
      </c>
      <c r="W44" t="s">
        <v>47</v>
      </c>
      <c r="X44" t="s">
        <v>47</v>
      </c>
      <c r="Y44" t="s">
        <v>8</v>
      </c>
      <c r="Z44" t="s">
        <v>10</v>
      </c>
      <c r="AC44" s="32" t="s">
        <v>47</v>
      </c>
      <c r="AD44" t="s">
        <v>8</v>
      </c>
      <c r="AE44" t="s">
        <v>10</v>
      </c>
    </row>
    <row r="45" spans="1:34">
      <c r="A45">
        <v>2031</v>
      </c>
      <c r="B45" s="8" t="s">
        <v>109</v>
      </c>
      <c r="C45" s="3">
        <f>'BAU Scenario'!C45*(1-'ACC emissions benefits'!C15)</f>
        <v>4479.0662911186646</v>
      </c>
      <c r="D45" s="3">
        <f>'BAU Scenario'!D45*(1-'ACC emissions benefits'!D15)</f>
        <v>19033291.456251636</v>
      </c>
      <c r="E45" s="3">
        <f>'Combined MOVES output'!E15*(1-'ACC emissions benefits'!E15)</f>
        <v>319072521.27916521</v>
      </c>
      <c r="F45" s="3">
        <f>'BAU Scenario'!F45*(1-'ACC emissions benefits'!F15)</f>
        <v>577.92198032244983</v>
      </c>
      <c r="G45" s="3">
        <f>'BAU Scenario'!G45*(1-'ACC emissions benefits'!G15)</f>
        <v>9425.7371896622062</v>
      </c>
      <c r="H45" s="3">
        <f>'BAU Scenario'!H45*(1-'ACC emissions benefits'!H15)</f>
        <v>359.22418779382679</v>
      </c>
      <c r="I45" s="3">
        <f>'BAU Scenario'!I45*(1-'ACC emissions benefits'!I15)</f>
        <v>1832.1717709439138</v>
      </c>
      <c r="J45" s="3">
        <f>D45+AC45</f>
        <v>17324950.885106537</v>
      </c>
      <c r="L45" s="41">
        <f>'Fleet ZEV fractions'!AM23</f>
        <v>0.18115857770800736</v>
      </c>
      <c r="M45" s="41">
        <f>'ZEV efficiency'!L50</f>
        <v>4.2065593236946501</v>
      </c>
      <c r="O45" s="3">
        <f>E45*L45/M45</f>
        <v>13741093.300420389</v>
      </c>
      <c r="P45" s="3">
        <f>$O45*'GREET factors'!B103/454/2000</f>
        <v>277.50777053517356</v>
      </c>
      <c r="Q45" s="3">
        <f>$O45*'GREET factors'!C103/454/2000</f>
        <v>43.94375086737189</v>
      </c>
      <c r="R45" s="3">
        <f>$O45*'GREET factors'!D103/454/2000</f>
        <v>37.940515502855753</v>
      </c>
      <c r="S45" s="3">
        <f>$O45*'GREET factors'!E103/454/2000</f>
        <v>4.3360589146120869</v>
      </c>
      <c r="T45" s="3">
        <f>$O45*'GREET factors'!F103/454/2000</f>
        <v>531263.69435083063</v>
      </c>
      <c r="U45" s="3">
        <f>$O45*'GREET factors'!G103/454/2000</f>
        <v>9.5719901456135457</v>
      </c>
      <c r="V45" s="3">
        <f>$O45*'GREET factors'!H103/454/2000</f>
        <v>66.124898447834298</v>
      </c>
      <c r="W45" s="3">
        <f>$O45*'GREET factors'!I103/454/2000</f>
        <v>533504.35279495642</v>
      </c>
      <c r="X45" s="3">
        <f>('Combined MOVES output'!D15/454/2000-'ACC II - MY2026'!D45)*'GREET factors'!V1</f>
        <v>2239604.2654959289</v>
      </c>
      <c r="Y45" s="261">
        <f>O45*M45*'GREET factors'!$J$7/454/2000</f>
        <v>608.57329074422148</v>
      </c>
      <c r="Z45" s="261">
        <f>O45*M45*'GREET factors'!K$7/454/2000</f>
        <v>76.320930995981399</v>
      </c>
      <c r="AA45" s="261"/>
      <c r="AB45" s="261"/>
      <c r="AC45" s="3">
        <f>T45-X45</f>
        <v>-1708340.5711450982</v>
      </c>
      <c r="AD45" s="261">
        <f>P45-Y45</f>
        <v>-331.06552020904792</v>
      </c>
      <c r="AE45" s="261">
        <f>Q45-Z45</f>
        <v>-32.37718012860951</v>
      </c>
      <c r="AF45" s="261"/>
      <c r="AG45" s="261"/>
      <c r="AH45">
        <v>2031</v>
      </c>
    </row>
    <row r="46" spans="1:34">
      <c r="L46" s="41"/>
      <c r="M46" s="41"/>
    </row>
    <row r="47" spans="1:34">
      <c r="A47">
        <v>2032</v>
      </c>
      <c r="B47">
        <v>20</v>
      </c>
      <c r="C47" s="3"/>
      <c r="D47" s="3"/>
      <c r="E47" s="3"/>
      <c r="F47" s="3"/>
      <c r="G47" s="3"/>
      <c r="H47" s="3"/>
      <c r="I47" s="3"/>
      <c r="J47" s="3"/>
      <c r="L47" s="41"/>
      <c r="M47" s="41"/>
    </row>
    <row r="48" spans="1:34">
      <c r="A48">
        <v>2032</v>
      </c>
      <c r="B48">
        <v>30</v>
      </c>
      <c r="C48" s="3"/>
      <c r="D48" s="3"/>
      <c r="E48" s="3"/>
      <c r="F48" s="3"/>
      <c r="G48" s="3"/>
      <c r="H48" s="3"/>
      <c r="I48" s="3"/>
      <c r="J48" s="3"/>
      <c r="L48" s="41"/>
      <c r="M48" s="41"/>
      <c r="O48" t="s">
        <v>17</v>
      </c>
    </row>
    <row r="49" spans="1:34">
      <c r="A49">
        <v>2032</v>
      </c>
      <c r="B49">
        <v>41</v>
      </c>
      <c r="C49" s="3"/>
      <c r="D49" s="3"/>
      <c r="E49" s="3"/>
      <c r="F49" s="3"/>
      <c r="G49" s="3"/>
      <c r="H49" s="3"/>
      <c r="I49" s="3"/>
      <c r="J49" s="3"/>
      <c r="L49" s="41"/>
      <c r="M49" s="41"/>
      <c r="O49" t="s">
        <v>142</v>
      </c>
      <c r="P49" t="s">
        <v>8</v>
      </c>
      <c r="Q49" t="s">
        <v>10</v>
      </c>
      <c r="R49" t="s">
        <v>14</v>
      </c>
      <c r="S49" t="s">
        <v>15</v>
      </c>
      <c r="T49" t="s">
        <v>16</v>
      </c>
      <c r="U49" t="s">
        <v>115</v>
      </c>
      <c r="V49" t="s">
        <v>116</v>
      </c>
      <c r="W49" t="s">
        <v>47</v>
      </c>
      <c r="X49" t="s">
        <v>47</v>
      </c>
      <c r="Y49" t="s">
        <v>8</v>
      </c>
      <c r="Z49" t="s">
        <v>10</v>
      </c>
      <c r="AC49" s="32" t="s">
        <v>47</v>
      </c>
      <c r="AD49" t="s">
        <v>8</v>
      </c>
      <c r="AE49" t="s">
        <v>10</v>
      </c>
    </row>
    <row r="50" spans="1:34">
      <c r="A50">
        <v>2032</v>
      </c>
      <c r="B50" s="8" t="s">
        <v>109</v>
      </c>
      <c r="C50" s="3">
        <f>'BAU Scenario'!C50*(1-'ACC emissions benefits'!C16)</f>
        <v>3986.1541995809007</v>
      </c>
      <c r="D50" s="3">
        <f>'BAU Scenario'!D50*(1-'ACC emissions benefits'!D16)</f>
        <v>17397115.991778608</v>
      </c>
      <c r="E50" s="3">
        <f>'Combined MOVES output'!E16*(1-'ACC emissions benefits'!E16)</f>
        <v>316903268.63981247</v>
      </c>
      <c r="F50" s="3">
        <f>'BAU Scenario'!F50*(1-'ACC emissions benefits'!F16)</f>
        <v>556.9435748913728</v>
      </c>
      <c r="G50" s="3">
        <f>'BAU Scenario'!G50*(1-'ACC emissions benefits'!G16)</f>
        <v>9068.5062909445805</v>
      </c>
      <c r="H50" s="3">
        <f>'BAU Scenario'!H50*(1-'ACC emissions benefits'!H16)</f>
        <v>333.863218277089</v>
      </c>
      <c r="I50" s="3">
        <f>'BAU Scenario'!I50*(1-'ACC emissions benefits'!I16)</f>
        <v>1735.6602328359804</v>
      </c>
      <c r="J50" s="3">
        <f>D50+AC50</f>
        <v>15332601.820746636</v>
      </c>
      <c r="L50" s="41">
        <f>'Fleet ZEV fractions'!AM24</f>
        <v>0.21817313800317478</v>
      </c>
      <c r="M50" s="41">
        <f>'ZEV efficiency'!L51</f>
        <v>4.1683672854151466</v>
      </c>
      <c r="O50" s="3">
        <f>E50*L50/M50</f>
        <v>16586777.466689825</v>
      </c>
      <c r="P50" s="3">
        <f>$O50*'GREET factors'!B104/454/2000</f>
        <v>309.98813883799721</v>
      </c>
      <c r="Q50" s="3">
        <f>$O50*'GREET factors'!C104/454/2000</f>
        <v>49.087063467329749</v>
      </c>
      <c r="R50" s="3">
        <f>$O50*'GREET factors'!D104/454/2000</f>
        <v>42.381190856757435</v>
      </c>
      <c r="S50" s="3">
        <f>$O50*'GREET factors'!E104/454/2000</f>
        <v>4.8435646693437064</v>
      </c>
      <c r="T50" s="3">
        <f>$O50*'GREET factors'!F104/454/2000</f>
        <v>593444.44130849687</v>
      </c>
      <c r="U50" s="3">
        <f>$O50*'GREET factors'!G104/454/2000</f>
        <v>10.692325495938881</v>
      </c>
      <c r="V50" s="3">
        <f>$O50*'GREET factors'!H104/454/2000</f>
        <v>73.864361207491513</v>
      </c>
      <c r="W50" s="3">
        <f>$O50*'GREET factors'!I104/454/2000</f>
        <v>595947.35335138021</v>
      </c>
      <c r="X50" s="3">
        <f>('Combined MOVES output'!D16/454/2000-'ACC II - MY2026'!D50)*'GREET factors'!V1</f>
        <v>2657958.6123404694</v>
      </c>
      <c r="Y50" s="261">
        <f>O50*M50*'GREET factors'!$J$7/454/2000</f>
        <v>727.93496161086944</v>
      </c>
      <c r="Z50" s="261">
        <f>O50*M50*'GREET factors'!K$7/454/2000</f>
        <v>91.290030008917284</v>
      </c>
      <c r="AA50" s="261"/>
      <c r="AB50" s="261"/>
      <c r="AC50" s="3">
        <f>T50-X50</f>
        <v>-2064514.1710319724</v>
      </c>
      <c r="AD50" s="261">
        <f>P50-Y50</f>
        <v>-417.94682277287222</v>
      </c>
      <c r="AE50" s="261">
        <f>Q50-Z50</f>
        <v>-42.202966541587536</v>
      </c>
      <c r="AF50" s="261"/>
      <c r="AG50" s="261"/>
      <c r="AH50">
        <v>2032</v>
      </c>
    </row>
    <row r="51" spans="1:34">
      <c r="A51" s="6"/>
      <c r="C51" s="3"/>
      <c r="D51" s="3"/>
      <c r="E51" s="3"/>
      <c r="F51" s="3"/>
      <c r="G51" s="3"/>
      <c r="H51" s="3"/>
      <c r="L51" s="41"/>
      <c r="M51" s="41"/>
      <c r="X51" s="3"/>
      <c r="Y51" s="3"/>
      <c r="Z51" s="3"/>
      <c r="AA51" s="3"/>
      <c r="AB51" s="3"/>
      <c r="AH51" s="6"/>
    </row>
    <row r="52" spans="1:34">
      <c r="A52">
        <v>2033</v>
      </c>
      <c r="B52">
        <v>20</v>
      </c>
      <c r="C52" s="3"/>
      <c r="D52" s="3"/>
      <c r="E52" s="3"/>
      <c r="F52" s="3"/>
      <c r="G52" s="3"/>
      <c r="H52" s="3"/>
      <c r="I52" s="3"/>
      <c r="J52" s="3"/>
      <c r="L52" s="41"/>
      <c r="M52" s="41"/>
      <c r="X52" s="3"/>
      <c r="Y52" s="3"/>
      <c r="Z52" s="3"/>
      <c r="AA52" s="3"/>
      <c r="AB52" s="3"/>
    </row>
    <row r="53" spans="1:34">
      <c r="A53">
        <v>2033</v>
      </c>
      <c r="B53">
        <v>30</v>
      </c>
      <c r="C53" s="3"/>
      <c r="D53" s="3"/>
      <c r="E53" s="3"/>
      <c r="F53" s="3"/>
      <c r="G53" s="3"/>
      <c r="H53" s="3"/>
      <c r="I53" s="3"/>
      <c r="J53" s="3"/>
      <c r="L53" s="41"/>
      <c r="M53" s="41"/>
      <c r="O53" t="s">
        <v>17</v>
      </c>
      <c r="X53" s="3"/>
      <c r="Y53" s="3"/>
      <c r="Z53" s="3"/>
      <c r="AA53" s="3"/>
      <c r="AB53" s="3"/>
    </row>
    <row r="54" spans="1:34">
      <c r="A54">
        <v>2033</v>
      </c>
      <c r="B54">
        <v>41</v>
      </c>
      <c r="C54" s="3"/>
      <c r="D54" s="3"/>
      <c r="E54" s="3"/>
      <c r="F54" s="3"/>
      <c r="G54" s="3"/>
      <c r="H54" s="3"/>
      <c r="I54" s="3"/>
      <c r="J54" s="3"/>
      <c r="L54" s="41"/>
      <c r="M54" s="41"/>
      <c r="O54" t="s">
        <v>142</v>
      </c>
      <c r="P54" t="s">
        <v>8</v>
      </c>
      <c r="Q54" t="s">
        <v>10</v>
      </c>
      <c r="R54" t="s">
        <v>14</v>
      </c>
      <c r="S54" t="s">
        <v>15</v>
      </c>
      <c r="T54" t="s">
        <v>16</v>
      </c>
      <c r="U54" t="s">
        <v>115</v>
      </c>
      <c r="V54" t="s">
        <v>116</v>
      </c>
      <c r="W54" t="s">
        <v>47</v>
      </c>
      <c r="X54" t="s">
        <v>47</v>
      </c>
      <c r="Y54" t="s">
        <v>8</v>
      </c>
      <c r="Z54" t="s">
        <v>10</v>
      </c>
      <c r="AC54" s="32" t="s">
        <v>47</v>
      </c>
      <c r="AD54" t="s">
        <v>8</v>
      </c>
      <c r="AE54" t="s">
        <v>10</v>
      </c>
    </row>
    <row r="55" spans="1:34">
      <c r="A55">
        <v>2033</v>
      </c>
      <c r="B55" s="8" t="s">
        <v>109</v>
      </c>
      <c r="C55" s="3">
        <f>'BAU Scenario'!C55*(1-'ACC emissions benefits'!C17)</f>
        <v>3502.4715044434324</v>
      </c>
      <c r="D55" s="3">
        <f>'BAU Scenario'!D55*(1-'ACC emissions benefits'!D17)</f>
        <v>15804923.158088665</v>
      </c>
      <c r="E55" s="3">
        <f>'Combined MOVES output'!E17*(1-'ACC emissions benefits'!E17)</f>
        <v>314734016.00045967</v>
      </c>
      <c r="F55" s="3">
        <f>'BAU Scenario'!F55*(1-'ACC emissions benefits'!F17)</f>
        <v>535.63931474109108</v>
      </c>
      <c r="G55" s="3">
        <f>'BAU Scenario'!G55*(1-'ACC emissions benefits'!G17)</f>
        <v>8704.5009900516288</v>
      </c>
      <c r="H55" s="3">
        <f>'BAU Scenario'!H55*(1-'ACC emissions benefits'!H17)</f>
        <v>309.50056395756002</v>
      </c>
      <c r="I55" s="3">
        <f>'BAU Scenario'!I55*(1-'ACC emissions benefits'!I17)</f>
        <v>1639.3096022273467</v>
      </c>
      <c r="J55" s="3">
        <f>D55+AC55</f>
        <v>13387912.423212698</v>
      </c>
      <c r="L55" s="41">
        <f>'Fleet ZEV fractions'!AM25</f>
        <v>0.25799255804673793</v>
      </c>
      <c r="M55" s="41">
        <f>'ZEV efficiency'!L52</f>
        <v>4.1304310049999096</v>
      </c>
      <c r="O55" s="3">
        <f>E55*L55/M55</f>
        <v>19658731.448119979</v>
      </c>
      <c r="P55" s="3">
        <f>$O55*'GREET factors'!B105/454/2000</f>
        <v>337.78175360420636</v>
      </c>
      <c r="Q55" s="3">
        <f>$O55*'GREET factors'!C105/454/2000</f>
        <v>53.488221966908398</v>
      </c>
      <c r="R55" s="3">
        <f>$O55*'GREET factors'!D105/454/2000</f>
        <v>46.181099125575095</v>
      </c>
      <c r="S55" s="3">
        <f>$O55*'GREET factors'!E105/454/2000</f>
        <v>5.2778399000657243</v>
      </c>
      <c r="T55" s="3">
        <f>$O55*'GREET factors'!F105/454/2000</f>
        <v>646652.81969582743</v>
      </c>
      <c r="U55" s="3">
        <f>$O55*'GREET factors'!G105/454/2000</f>
        <v>11.651002098543826</v>
      </c>
      <c r="V55" s="3">
        <f>$O55*'GREET factors'!H105/454/2000</f>
        <v>80.487058476002289</v>
      </c>
      <c r="W55" s="3">
        <f>$O55*'GREET factors'!I105/454/2000</f>
        <v>649380.14346418669</v>
      </c>
      <c r="X55" s="3">
        <f>('Combined MOVES output'!D17/454/2000-'ACC II - MY2026'!D55)*'GREET factors'!V1</f>
        <v>3063663.5545717948</v>
      </c>
      <c r="Y55" s="261">
        <f>O55*M55*'GREET factors'!$J$7/454/2000</f>
        <v>854.9002490063084</v>
      </c>
      <c r="Z55" s="261">
        <f>O55*M55*'GREET factors'!K$7/454/2000</f>
        <v>107.21269550470703</v>
      </c>
      <c r="AA55" s="261"/>
      <c r="AB55" s="261"/>
      <c r="AC55" s="3">
        <f>T55-X55</f>
        <v>-2417010.7348759673</v>
      </c>
      <c r="AD55" s="261">
        <f>P55-Y55</f>
        <v>-517.1184954021021</v>
      </c>
      <c r="AE55" s="261">
        <f>Q55-Z55</f>
        <v>-53.72447353779863</v>
      </c>
      <c r="AF55" s="261"/>
      <c r="AG55" s="261"/>
      <c r="AH55">
        <v>2033</v>
      </c>
    </row>
    <row r="56" spans="1:34">
      <c r="L56" s="41"/>
      <c r="M56" s="41"/>
      <c r="X56" s="3"/>
      <c r="Y56" s="3"/>
      <c r="Z56" s="3"/>
      <c r="AA56" s="3"/>
      <c r="AB56" s="3"/>
    </row>
    <row r="57" spans="1:34">
      <c r="A57">
        <v>2034</v>
      </c>
      <c r="B57">
        <v>20</v>
      </c>
      <c r="C57" s="3"/>
      <c r="D57" s="3"/>
      <c r="E57" s="3"/>
      <c r="F57" s="3"/>
      <c r="G57" s="3"/>
      <c r="H57" s="3"/>
      <c r="I57" s="3"/>
      <c r="J57" s="3"/>
      <c r="L57" s="41"/>
      <c r="M57" s="41"/>
      <c r="X57" s="3"/>
      <c r="Y57" s="3"/>
      <c r="Z57" s="3"/>
      <c r="AA57" s="3"/>
      <c r="AB57" s="3"/>
    </row>
    <row r="58" spans="1:34">
      <c r="A58">
        <v>2034</v>
      </c>
      <c r="B58">
        <v>30</v>
      </c>
      <c r="C58" s="3"/>
      <c r="D58" s="3"/>
      <c r="E58" s="3"/>
      <c r="F58" s="3"/>
      <c r="G58" s="3"/>
      <c r="H58" s="3"/>
      <c r="I58" s="3"/>
      <c r="J58" s="3"/>
      <c r="L58" s="41"/>
      <c r="M58" s="41"/>
      <c r="O58" t="s">
        <v>17</v>
      </c>
      <c r="X58" s="3"/>
      <c r="Y58" s="3"/>
      <c r="Z58" s="3"/>
      <c r="AA58" s="3"/>
      <c r="AB58" s="3"/>
    </row>
    <row r="59" spans="1:34">
      <c r="A59">
        <v>2034</v>
      </c>
      <c r="B59">
        <v>41</v>
      </c>
      <c r="C59" s="3"/>
      <c r="D59" s="3"/>
      <c r="E59" s="3"/>
      <c r="F59" s="3"/>
      <c r="G59" s="3"/>
      <c r="H59" s="3"/>
      <c r="I59" s="3"/>
      <c r="J59" s="3"/>
      <c r="L59" s="41"/>
      <c r="M59" s="41"/>
      <c r="O59" t="s">
        <v>142</v>
      </c>
      <c r="P59" t="s">
        <v>8</v>
      </c>
      <c r="Q59" t="s">
        <v>10</v>
      </c>
      <c r="R59" t="s">
        <v>14</v>
      </c>
      <c r="S59" t="s">
        <v>15</v>
      </c>
      <c r="T59" t="s">
        <v>16</v>
      </c>
      <c r="U59" t="s">
        <v>115</v>
      </c>
      <c r="V59" t="s">
        <v>116</v>
      </c>
      <c r="W59" t="s">
        <v>47</v>
      </c>
      <c r="X59" t="s">
        <v>47</v>
      </c>
      <c r="Y59" t="s">
        <v>8</v>
      </c>
      <c r="Z59" t="s">
        <v>10</v>
      </c>
      <c r="AC59" s="32" t="s">
        <v>47</v>
      </c>
      <c r="AD59" t="s">
        <v>8</v>
      </c>
      <c r="AE59" t="s">
        <v>10</v>
      </c>
    </row>
    <row r="60" spans="1:34">
      <c r="A60">
        <v>2034</v>
      </c>
      <c r="B60" s="8" t="s">
        <v>109</v>
      </c>
      <c r="C60" s="3">
        <f>'BAU Scenario'!C60*(1-'ACC emissions benefits'!C18)</f>
        <v>3031.4016859276649</v>
      </c>
      <c r="D60" s="3">
        <f>'BAU Scenario'!D60*(1-'ACC emissions benefits'!D18)</f>
        <v>14207042.013458094</v>
      </c>
      <c r="E60" s="3">
        <f>'Combined MOVES output'!E18*(1-'ACC emissions benefits'!E18)</f>
        <v>312564763.36110693</v>
      </c>
      <c r="F60" s="3">
        <f>'BAU Scenario'!F60*(1-'ACC emissions benefits'!F18)</f>
        <v>514.25629890102277</v>
      </c>
      <c r="G60" s="3">
        <f>'BAU Scenario'!G60*(1-'ACC emissions benefits'!G18)</f>
        <v>8327.6533928951503</v>
      </c>
      <c r="H60" s="3">
        <f>'BAU Scenario'!H60*(1-'ACC emissions benefits'!H18)</f>
        <v>285.96864382184509</v>
      </c>
      <c r="I60" s="3">
        <f>'BAU Scenario'!I60*(1-'ACC emissions benefits'!I18)</f>
        <v>1542.4501545429116</v>
      </c>
      <c r="J60" s="3">
        <f>D60+AC60</f>
        <v>11425248.61953605</v>
      </c>
      <c r="L60" s="41">
        <f>'Fleet ZEV fractions'!AM26</f>
        <v>0.30063049144122606</v>
      </c>
      <c r="M60" s="41">
        <f>'ZEV efficiency'!L53</f>
        <v>4.0914969525160645</v>
      </c>
      <c r="O60" s="3">
        <f>E60*L60/M60</f>
        <v>22966288.257571705</v>
      </c>
      <c r="P60" s="3">
        <f>$O60*'GREET factors'!B106/454/2000</f>
        <v>360.01222562339916</v>
      </c>
      <c r="Q60" s="3">
        <f>$O60*'GREET factors'!C106/454/2000</f>
        <v>57.008448885929667</v>
      </c>
      <c r="R60" s="3">
        <f>$O60*'GREET factors'!D106/454/2000</f>
        <v>49.220421471949109</v>
      </c>
      <c r="S60" s="3">
        <f>$O60*'GREET factors'!E106/454/2000</f>
        <v>5.6251910253656119</v>
      </c>
      <c r="T60" s="3">
        <f>$O60*'GREET factors'!F106/454/2000</f>
        <v>689211.06110760174</v>
      </c>
      <c r="U60" s="3">
        <f>$O60*'GREET factors'!G106/454/2000</f>
        <v>12.417790930040999</v>
      </c>
      <c r="V60" s="3">
        <f>$O60*'GREET factors'!H106/454/2000</f>
        <v>85.784163136825583</v>
      </c>
      <c r="W60" s="3">
        <f>$O60*'GREET factors'!I106/454/2000</f>
        <v>692117.87856995955</v>
      </c>
      <c r="X60" s="3">
        <f>('Combined MOVES output'!D18/454/2000-'ACC II - MY2026'!D60)*'GREET factors'!V1</f>
        <v>3471004.4550296469</v>
      </c>
      <c r="Y60" s="261">
        <f>O60*M60*'GREET factors'!$J$7/454/2000</f>
        <v>989.32190500013667</v>
      </c>
      <c r="Z60" s="261">
        <f>O60*M60*'GREET factors'!K$7/454/2000</f>
        <v>124.07046117977404</v>
      </c>
      <c r="AA60" s="261"/>
      <c r="AB60" s="261"/>
      <c r="AC60" s="3">
        <f>T60-X60</f>
        <v>-2781793.3939220449</v>
      </c>
      <c r="AD60" s="261">
        <f>P60-Y60</f>
        <v>-629.30967937673745</v>
      </c>
      <c r="AE60" s="261">
        <f>Q60-Z60</f>
        <v>-67.062012293844376</v>
      </c>
      <c r="AF60" s="261"/>
      <c r="AG60" s="261"/>
      <c r="AH60">
        <v>2034</v>
      </c>
    </row>
    <row r="61" spans="1:34">
      <c r="L61" s="41"/>
      <c r="M61" s="41"/>
    </row>
    <row r="62" spans="1:34">
      <c r="A62">
        <v>2035</v>
      </c>
      <c r="B62">
        <v>20</v>
      </c>
      <c r="C62" s="3"/>
      <c r="D62" s="3"/>
      <c r="E62" s="3"/>
      <c r="F62" s="3"/>
      <c r="G62" s="3"/>
      <c r="H62" s="3"/>
      <c r="I62" s="3"/>
      <c r="J62" s="3"/>
      <c r="L62" s="41"/>
      <c r="M62" s="41"/>
    </row>
    <row r="63" spans="1:34">
      <c r="A63">
        <v>2035</v>
      </c>
      <c r="B63">
        <v>30</v>
      </c>
      <c r="C63" s="3"/>
      <c r="D63" s="3"/>
      <c r="E63" s="3"/>
      <c r="F63" s="3"/>
      <c r="G63" s="3"/>
      <c r="H63" s="3"/>
      <c r="I63" s="3"/>
      <c r="J63" s="3"/>
      <c r="L63" s="41"/>
      <c r="M63" s="41"/>
      <c r="O63" t="s">
        <v>17</v>
      </c>
    </row>
    <row r="64" spans="1:34">
      <c r="A64">
        <v>2035</v>
      </c>
      <c r="B64">
        <v>41</v>
      </c>
      <c r="C64" s="3"/>
      <c r="D64" s="3"/>
      <c r="E64" s="3"/>
      <c r="F64" s="3"/>
      <c r="G64" s="3"/>
      <c r="H64" s="3"/>
      <c r="I64" s="3"/>
      <c r="J64" s="3"/>
      <c r="L64" s="41"/>
      <c r="M64" s="41"/>
      <c r="O64" t="s">
        <v>142</v>
      </c>
      <c r="P64" t="s">
        <v>8</v>
      </c>
      <c r="Q64" t="s">
        <v>10</v>
      </c>
      <c r="R64" t="s">
        <v>14</v>
      </c>
      <c r="S64" t="s">
        <v>15</v>
      </c>
      <c r="T64" t="s">
        <v>16</v>
      </c>
      <c r="U64" t="s">
        <v>115</v>
      </c>
      <c r="V64" t="s">
        <v>116</v>
      </c>
      <c r="W64" t="s">
        <v>47</v>
      </c>
      <c r="X64" t="s">
        <v>47</v>
      </c>
      <c r="Y64" t="s">
        <v>8</v>
      </c>
      <c r="Z64" t="s">
        <v>10</v>
      </c>
      <c r="AC64" s="32" t="s">
        <v>47</v>
      </c>
      <c r="AD64" t="s">
        <v>8</v>
      </c>
      <c r="AE64" t="s">
        <v>10</v>
      </c>
    </row>
    <row r="65" spans="1:34">
      <c r="A65">
        <v>2035</v>
      </c>
      <c r="B65" s="8" t="s">
        <v>109</v>
      </c>
      <c r="C65" s="3">
        <f>'BAU Scenario'!C65*(1-'ACC emissions benefits'!C19)</f>
        <v>2568.016496905514</v>
      </c>
      <c r="D65" s="3">
        <f>'BAU Scenario'!D65*(1-'ACC emissions benefits'!D19)</f>
        <v>12672711.931549774</v>
      </c>
      <c r="E65" s="3">
        <f>'Combined MOVES output'!E19*(1-'ACC emissions benefits'!E19)</f>
        <v>310395510.72175413</v>
      </c>
      <c r="F65" s="3">
        <f>'BAU Scenario'!F65*(1-'ACC emissions benefits'!F19)</f>
        <v>489.26961266363259</v>
      </c>
      <c r="G65" s="3">
        <f>'BAU Scenario'!G65*(1-'ACC emissions benefits'!G19)</f>
        <v>7825.8684312023561</v>
      </c>
      <c r="H65" s="3">
        <f>'BAU Scenario'!H65*(1-'ACC emissions benefits'!H19)</f>
        <v>263.90875529872886</v>
      </c>
      <c r="I65" s="3">
        <f>'BAU Scenario'!I65*(1-'ACC emissions benefits'!I19)</f>
        <v>1448.0145799027694</v>
      </c>
      <c r="J65" s="3">
        <f>D65+AC65</f>
        <v>9532791.4809628502</v>
      </c>
      <c r="L65" s="41">
        <f>'Fleet ZEV fractions'!AM27</f>
        <v>0.34610050025388156</v>
      </c>
      <c r="M65" s="41">
        <f>'ZEV efficiency'!L54</f>
        <v>4.0464389688696487</v>
      </c>
      <c r="O65" s="3">
        <f>E65*L65/M65</f>
        <v>26548785.824729148</v>
      </c>
      <c r="P65" s="3">
        <f>$O65*'GREET factors'!B107/454/2000</f>
        <v>376.17206370880263</v>
      </c>
      <c r="Q65" s="3">
        <f>$O65*'GREET factors'!C107/454/2000</f>
        <v>59.567382271876163</v>
      </c>
      <c r="R65" s="3">
        <f>$O65*'GREET factors'!D107/454/2000</f>
        <v>51.429774335187865</v>
      </c>
      <c r="S65" s="3">
        <f>$O65*'GREET factors'!E107/454/2000</f>
        <v>5.877688495450041</v>
      </c>
      <c r="T65" s="3">
        <f>$O65*'GREET factors'!F107/454/2000</f>
        <v>720147.61926165363</v>
      </c>
      <c r="U65" s="3">
        <f>$O65*'GREET factors'!G107/454/2000</f>
        <v>12.975187253069679</v>
      </c>
      <c r="V65" s="3">
        <f>$O65*'GREET factors'!H107/454/2000</f>
        <v>89.634749555613098</v>
      </c>
      <c r="W65" s="3">
        <f>$O65*'GREET factors'!I107/454/2000</f>
        <v>723184.9147916775</v>
      </c>
      <c r="X65" s="3">
        <f>('Combined MOVES output'!D19/454/2000-'ACC II - MY2026'!D65)*'GREET factors'!V1</f>
        <v>3860068.0698485784</v>
      </c>
      <c r="Y65" s="261">
        <f>O65*M65*'GREET factors'!$J$7/454/2000</f>
        <v>1131.0511351943253</v>
      </c>
      <c r="Z65" s="261">
        <f>O65*M65*'GREET factors'!K$7/454/2000</f>
        <v>141.84466678866019</v>
      </c>
      <c r="AA65" s="261"/>
      <c r="AB65" s="261"/>
      <c r="AC65" s="3">
        <f>T65-X65</f>
        <v>-3139920.4505869248</v>
      </c>
      <c r="AD65" s="261">
        <f>P65-Y65</f>
        <v>-754.87907148552267</v>
      </c>
      <c r="AE65" s="261">
        <f>Q65-Z65</f>
        <v>-82.277284516784022</v>
      </c>
      <c r="AF65" s="261"/>
      <c r="AG65" s="261"/>
      <c r="AH65">
        <v>2035</v>
      </c>
    </row>
    <row r="66" spans="1:34">
      <c r="A66" s="6"/>
      <c r="C66" s="3"/>
      <c r="D66" s="3"/>
      <c r="E66" s="3"/>
      <c r="F66" s="3"/>
      <c r="G66" s="3"/>
      <c r="H66" s="3"/>
      <c r="L66" s="41"/>
      <c r="M66" s="41"/>
      <c r="AH66" s="6"/>
    </row>
    <row r="67" spans="1:34">
      <c r="A67">
        <v>2036</v>
      </c>
      <c r="B67">
        <v>20</v>
      </c>
      <c r="C67" s="3"/>
      <c r="D67" s="3"/>
      <c r="E67" s="3"/>
      <c r="F67" s="3"/>
      <c r="G67" s="3"/>
      <c r="H67" s="3"/>
      <c r="I67" s="3"/>
      <c r="J67" s="3"/>
      <c r="L67" s="41"/>
      <c r="M67" s="41"/>
    </row>
    <row r="68" spans="1:34">
      <c r="A68">
        <v>2036</v>
      </c>
      <c r="B68">
        <v>30</v>
      </c>
      <c r="C68" s="3"/>
      <c r="D68" s="3"/>
      <c r="E68" s="3"/>
      <c r="F68" s="3"/>
      <c r="G68" s="3"/>
      <c r="H68" s="3"/>
      <c r="I68" s="3"/>
      <c r="J68" s="3"/>
      <c r="L68" s="41"/>
      <c r="M68" s="41"/>
      <c r="O68" t="s">
        <v>17</v>
      </c>
    </row>
    <row r="69" spans="1:34">
      <c r="A69">
        <v>2036</v>
      </c>
      <c r="B69">
        <v>41</v>
      </c>
      <c r="C69" s="3"/>
      <c r="D69" s="3"/>
      <c r="E69" s="3"/>
      <c r="F69" s="3"/>
      <c r="G69" s="3"/>
      <c r="H69" s="3"/>
      <c r="I69" s="3"/>
      <c r="J69" s="3"/>
      <c r="L69" s="41"/>
      <c r="M69" s="41"/>
      <c r="O69" t="s">
        <v>142</v>
      </c>
      <c r="P69" t="s">
        <v>8</v>
      </c>
      <c r="Q69" t="s">
        <v>10</v>
      </c>
      <c r="R69" t="s">
        <v>14</v>
      </c>
      <c r="S69" t="s">
        <v>15</v>
      </c>
      <c r="T69" t="s">
        <v>16</v>
      </c>
      <c r="U69" t="s">
        <v>115</v>
      </c>
      <c r="V69" t="s">
        <v>116</v>
      </c>
      <c r="W69" t="s">
        <v>47</v>
      </c>
      <c r="X69" t="s">
        <v>47</v>
      </c>
      <c r="Y69" t="s">
        <v>8</v>
      </c>
      <c r="Z69" t="s">
        <v>10</v>
      </c>
      <c r="AC69" s="32" t="s">
        <v>47</v>
      </c>
      <c r="AD69" t="s">
        <v>8</v>
      </c>
      <c r="AE69" t="s">
        <v>10</v>
      </c>
    </row>
    <row r="70" spans="1:34">
      <c r="A70">
        <v>2036</v>
      </c>
      <c r="B70" t="s">
        <v>109</v>
      </c>
      <c r="C70" s="3">
        <f>'BAU Scenario'!C70*(1-'ACC emissions benefits'!C20)</f>
        <v>2385.3191794159711</v>
      </c>
      <c r="D70" s="3">
        <f>'BAU Scenario'!D70*(1-'ACC emissions benefits'!D20)</f>
        <v>11393462.539868349</v>
      </c>
      <c r="E70" s="3">
        <f>'Combined MOVES output'!E20*(1-'ACC emissions benefits'!E20)</f>
        <v>310737968.7658385</v>
      </c>
      <c r="F70" s="3">
        <f>'BAU Scenario'!F70*(1-'ACC emissions benefits'!F20)</f>
        <v>471.94279101302089</v>
      </c>
      <c r="G70" s="3">
        <f>'BAU Scenario'!G70*(1-'ACC emissions benefits'!G20)</f>
        <v>7440.4703932762268</v>
      </c>
      <c r="H70" s="3">
        <f>'BAU Scenario'!H70*(1-'ACC emissions benefits'!H20)</f>
        <v>244.81886938493648</v>
      </c>
      <c r="I70" s="3">
        <f>'BAU Scenario'!I70*(1-'ACC emissions benefits'!I20)</f>
        <v>1383.9275498617944</v>
      </c>
      <c r="J70" s="3">
        <f>D70+AC70</f>
        <v>7942402.4403802343</v>
      </c>
      <c r="L70" s="41">
        <f>'Fleet ZEV fractions'!AM28</f>
        <v>0.39138104786546957</v>
      </c>
      <c r="M70" s="41">
        <f>'ZEV efficiency'!L55</f>
        <v>4.0378375834843245</v>
      </c>
      <c r="O70" s="3">
        <f>E70*L70/M70</f>
        <v>30119327.316334482</v>
      </c>
      <c r="P70" s="3">
        <f>$O70*'GREET factors'!B108/454/2000</f>
        <v>410.32366623460302</v>
      </c>
      <c r="Q70" s="3">
        <f>$O70*'GREET factors'!C108/454/2000</f>
        <v>64.975337192277451</v>
      </c>
      <c r="R70" s="3">
        <f>$O70*'GREET factors'!D108/454/2000</f>
        <v>56.098938743012141</v>
      </c>
      <c r="S70" s="3">
        <f>$O70*'GREET factors'!E108/454/2000</f>
        <v>6.4113072849156723</v>
      </c>
      <c r="T70" s="3">
        <f>$O70*'GREET factors'!F108/454/2000</f>
        <v>785527.79398925917</v>
      </c>
      <c r="U70" s="3">
        <f>$O70*'GREET factors'!G108/454/2000</f>
        <v>14.153167971243617</v>
      </c>
      <c r="V70" s="3">
        <f>$O70*'GREET factors'!H108/454/2000</f>
        <v>97.772436094963979</v>
      </c>
      <c r="W70" s="3">
        <f>$O70*'GREET factors'!I108/454/2000</f>
        <v>788840.83702873928</v>
      </c>
      <c r="X70" s="3">
        <f>('Combined MOVES output'!D20/454/2000-'ACC II - MY2026'!D70)*'GREET factors'!V1</f>
        <v>4236587.8934773738</v>
      </c>
      <c r="Y70" s="261">
        <f>O70*M70*'GREET factors'!$J$7/454/2000</f>
        <v>1280.4384167717485</v>
      </c>
      <c r="Z70" s="261">
        <f>O70*M70*'GREET factors'!K$7/454/2000</f>
        <v>160.57926553354608</v>
      </c>
      <c r="AA70" s="261"/>
      <c r="AB70" s="261"/>
      <c r="AC70" s="3">
        <f>T70-X70</f>
        <v>-3451060.0994881145</v>
      </c>
      <c r="AD70" s="261">
        <f>P70-Y70</f>
        <v>-870.11475053714548</v>
      </c>
      <c r="AE70" s="261">
        <f>Q70-Z70</f>
        <v>-95.603928341268627</v>
      </c>
      <c r="AF70" s="261"/>
      <c r="AG70" s="261"/>
      <c r="AH70">
        <v>2036</v>
      </c>
    </row>
    <row r="71" spans="1:34">
      <c r="L71" s="41"/>
      <c r="M71" s="41"/>
    </row>
    <row r="72" spans="1:34">
      <c r="A72">
        <v>2037</v>
      </c>
      <c r="B72">
        <v>20</v>
      </c>
      <c r="C72" s="3"/>
      <c r="D72" s="3"/>
      <c r="E72" s="3"/>
      <c r="F72" s="3"/>
      <c r="G72" s="3"/>
      <c r="H72" s="3"/>
      <c r="I72" s="3"/>
      <c r="J72" s="3"/>
      <c r="L72" s="41"/>
      <c r="M72" s="41"/>
    </row>
    <row r="73" spans="1:34">
      <c r="A73">
        <v>2037</v>
      </c>
      <c r="B73">
        <v>30</v>
      </c>
      <c r="C73" s="3"/>
      <c r="D73" s="3"/>
      <c r="E73" s="3"/>
      <c r="F73" s="3"/>
      <c r="G73" s="3"/>
      <c r="H73" s="3"/>
      <c r="I73" s="3"/>
      <c r="J73" s="3"/>
      <c r="L73" s="41"/>
      <c r="M73" s="41"/>
      <c r="O73" t="s">
        <v>17</v>
      </c>
    </row>
    <row r="74" spans="1:34">
      <c r="A74">
        <v>2037</v>
      </c>
      <c r="B74">
        <v>41</v>
      </c>
      <c r="C74" s="3"/>
      <c r="D74" s="3"/>
      <c r="E74" s="3"/>
      <c r="F74" s="3"/>
      <c r="G74" s="3"/>
      <c r="H74" s="3"/>
      <c r="I74" s="3"/>
      <c r="J74" s="3"/>
      <c r="L74" s="41"/>
      <c r="M74" s="41"/>
      <c r="O74" t="s">
        <v>142</v>
      </c>
      <c r="P74" t="s">
        <v>8</v>
      </c>
      <c r="Q74" t="s">
        <v>10</v>
      </c>
      <c r="R74" t="s">
        <v>14</v>
      </c>
      <c r="S74" t="s">
        <v>15</v>
      </c>
      <c r="T74" t="s">
        <v>16</v>
      </c>
      <c r="U74" t="s">
        <v>115</v>
      </c>
      <c r="V74" t="s">
        <v>116</v>
      </c>
      <c r="W74" t="s">
        <v>47</v>
      </c>
      <c r="X74" t="s">
        <v>47</v>
      </c>
      <c r="Y74" t="s">
        <v>8</v>
      </c>
      <c r="Z74" t="s">
        <v>10</v>
      </c>
      <c r="AC74" s="32" t="s">
        <v>47</v>
      </c>
      <c r="AD74" t="s">
        <v>8</v>
      </c>
      <c r="AE74" t="s">
        <v>10</v>
      </c>
    </row>
    <row r="75" spans="1:34">
      <c r="A75">
        <v>2037</v>
      </c>
      <c r="B75" t="s">
        <v>109</v>
      </c>
      <c r="C75" s="3">
        <f>'BAU Scenario'!C75*(1-'ACC emissions benefits'!C21)</f>
        <v>2207.8962212038555</v>
      </c>
      <c r="D75" s="3">
        <f>'BAU Scenario'!D75*(1-'ACC emissions benefits'!D21)</f>
        <v>10314360.193481546</v>
      </c>
      <c r="E75" s="3">
        <f>'Combined MOVES output'!E21*(1-'ACC emissions benefits'!E21)</f>
        <v>311080426.80992287</v>
      </c>
      <c r="F75" s="3">
        <f>'BAU Scenario'!F75*(1-'ACC emissions benefits'!F21)</f>
        <v>455.96138552436383</v>
      </c>
      <c r="G75" s="3">
        <f>'BAU Scenario'!G75*(1-'ACC emissions benefits'!G21)</f>
        <v>7068.0408420545918</v>
      </c>
      <c r="H75" s="3">
        <f>'BAU Scenario'!H75*(1-'ACC emissions benefits'!H21)</f>
        <v>228.73663395333131</v>
      </c>
      <c r="I75" s="3">
        <f>'BAU Scenario'!I75*(1-'ACC emissions benefits'!I21)</f>
        <v>1329.7600076204053</v>
      </c>
      <c r="J75" s="3">
        <f>D75+AC75</f>
        <v>6602516.9678638093</v>
      </c>
      <c r="L75" s="41">
        <f>'Fleet ZEV fractions'!AM29</f>
        <v>0.43653505401813886</v>
      </c>
      <c r="M75" s="41">
        <f>'ZEV efficiency'!L56</f>
        <v>4.0295879456542387</v>
      </c>
      <c r="O75" s="3">
        <f>E75*L75/M75</f>
        <v>33700098.559185922</v>
      </c>
      <c r="P75" s="3">
        <f>$O75*'GREET factors'!B109/454/2000</f>
        <v>440.71130656471507</v>
      </c>
      <c r="Q75" s="3">
        <f>$O75*'GREET factors'!C109/454/2000</f>
        <v>69.787263335961768</v>
      </c>
      <c r="R75" s="3">
        <f>$O75*'GREET factors'!D109/454/2000</f>
        <v>60.253498944394657</v>
      </c>
      <c r="S75" s="3">
        <f>$O75*'GREET factors'!E109/454/2000</f>
        <v>6.886114165073673</v>
      </c>
      <c r="T75" s="3">
        <f>$O75*'GREET factors'!F109/454/2000</f>
        <v>843702.2012616978</v>
      </c>
      <c r="U75" s="3">
        <f>$O75*'GREET factors'!G109/454/2000</f>
        <v>15.201319499495739</v>
      </c>
      <c r="V75" s="3">
        <f>$O75*'GREET factors'!H109/454/2000</f>
        <v>105.0132410173735</v>
      </c>
      <c r="W75" s="3">
        <f>$O75*'GREET factors'!I109/454/2000</f>
        <v>847260.60075649957</v>
      </c>
      <c r="X75" s="3">
        <f>('Combined MOVES output'!D21/454/2000-'ACC II - MY2026'!D75)*'GREET factors'!V1</f>
        <v>4555545.4268794339</v>
      </c>
      <c r="Y75" s="261">
        <f>O75*M75*'GREET factors'!$J$7/454/2000</f>
        <v>1429.73777317595</v>
      </c>
      <c r="Z75" s="261">
        <f>O75*M75*'GREET factors'!K$7/454/2000</f>
        <v>179.30283761791242</v>
      </c>
      <c r="AA75" s="261"/>
      <c r="AB75" s="261"/>
      <c r="AC75" s="3">
        <f>T75-X75</f>
        <v>-3711843.2256177361</v>
      </c>
      <c r="AD75" s="261">
        <f>P75-Y75</f>
        <v>-989.02646661123492</v>
      </c>
      <c r="AE75" s="261">
        <f>Q75-Z75</f>
        <v>-109.51557428195065</v>
      </c>
      <c r="AF75" s="261"/>
      <c r="AG75" s="261"/>
      <c r="AH75">
        <v>2037</v>
      </c>
    </row>
    <row r="76" spans="1:34">
      <c r="C76" s="3"/>
      <c r="D76" s="3"/>
      <c r="E76" s="3"/>
      <c r="F76" s="3"/>
      <c r="G76" s="3"/>
      <c r="H76" s="3"/>
      <c r="L76" s="41"/>
      <c r="M76" s="41"/>
      <c r="X76" s="3"/>
      <c r="Y76" s="3"/>
      <c r="Z76" s="3"/>
      <c r="AA76" s="3"/>
      <c r="AB76" s="3"/>
    </row>
    <row r="77" spans="1:34">
      <c r="A77">
        <v>2038</v>
      </c>
      <c r="B77">
        <v>20</v>
      </c>
      <c r="C77" s="3"/>
      <c r="D77" s="3"/>
      <c r="E77" s="3"/>
      <c r="F77" s="3"/>
      <c r="G77" s="3"/>
      <c r="H77" s="3"/>
      <c r="I77" s="3"/>
      <c r="J77" s="3"/>
      <c r="L77" s="41"/>
      <c r="M77" s="41"/>
      <c r="X77" s="3"/>
      <c r="Y77" s="3"/>
      <c r="Z77" s="3"/>
      <c r="AA77" s="3"/>
      <c r="AB77" s="3"/>
    </row>
    <row r="78" spans="1:34">
      <c r="A78">
        <v>2038</v>
      </c>
      <c r="B78">
        <v>30</v>
      </c>
      <c r="C78" s="3"/>
      <c r="D78" s="3"/>
      <c r="E78" s="3"/>
      <c r="F78" s="3"/>
      <c r="G78" s="3"/>
      <c r="H78" s="3"/>
      <c r="I78" s="3"/>
      <c r="J78" s="3"/>
      <c r="L78" s="41"/>
      <c r="M78" s="41"/>
      <c r="O78" t="s">
        <v>17</v>
      </c>
      <c r="X78" s="3"/>
      <c r="Y78" s="3"/>
      <c r="Z78" s="3"/>
      <c r="AA78" s="3"/>
      <c r="AB78" s="3"/>
    </row>
    <row r="79" spans="1:34">
      <c r="A79">
        <v>2038</v>
      </c>
      <c r="B79">
        <v>41</v>
      </c>
      <c r="C79" s="3"/>
      <c r="D79" s="3"/>
      <c r="E79" s="3"/>
      <c r="F79" s="3"/>
      <c r="G79" s="3"/>
      <c r="H79" s="3"/>
      <c r="I79" s="3"/>
      <c r="J79" s="3"/>
      <c r="L79" s="41"/>
      <c r="M79" s="41"/>
      <c r="O79" t="s">
        <v>142</v>
      </c>
      <c r="P79" t="s">
        <v>8</v>
      </c>
      <c r="Q79" t="s">
        <v>10</v>
      </c>
      <c r="R79" t="s">
        <v>14</v>
      </c>
      <c r="S79" t="s">
        <v>15</v>
      </c>
      <c r="T79" t="s">
        <v>16</v>
      </c>
      <c r="U79" t="s">
        <v>115</v>
      </c>
      <c r="V79" t="s">
        <v>116</v>
      </c>
      <c r="W79" t="s">
        <v>47</v>
      </c>
      <c r="X79" t="s">
        <v>47</v>
      </c>
      <c r="Y79" t="s">
        <v>8</v>
      </c>
      <c r="Z79" t="s">
        <v>10</v>
      </c>
      <c r="AC79" s="32" t="s">
        <v>47</v>
      </c>
      <c r="AD79" t="s">
        <v>8</v>
      </c>
      <c r="AE79" t="s">
        <v>10</v>
      </c>
    </row>
    <row r="80" spans="1:34">
      <c r="A80">
        <v>2038</v>
      </c>
      <c r="B80" t="s">
        <v>109</v>
      </c>
      <c r="C80" s="3">
        <f>'BAU Scenario'!C80*(1-'ACC emissions benefits'!C22)</f>
        <v>2036.0809527062181</v>
      </c>
      <c r="D80" s="3">
        <f>'BAU Scenario'!D80*(1-'ACC emissions benefits'!D22)</f>
        <v>9401461.6550396718</v>
      </c>
      <c r="E80" s="3">
        <f>'Combined MOVES output'!E22*(1-'ACC emissions benefits'!E22)</f>
        <v>311422884.85400724</v>
      </c>
      <c r="F80" s="3">
        <f>'BAU Scenario'!F80*(1-'ACC emissions benefits'!F22)</f>
        <v>440.54152959975431</v>
      </c>
      <c r="G80" s="3">
        <f>'BAU Scenario'!G80*(1-'ACC emissions benefits'!G22)</f>
        <v>6690.4059034028605</v>
      </c>
      <c r="H80" s="3">
        <f>'BAU Scenario'!H80*(1-'ACC emissions benefits'!H22)</f>
        <v>215.048569436066</v>
      </c>
      <c r="I80" s="3">
        <f>'BAU Scenario'!I80*(1-'ACC emissions benefits'!I22)</f>
        <v>1283.5509387204888</v>
      </c>
      <c r="J80" s="3">
        <f>D80+AC80</f>
        <v>5469374.0713164909</v>
      </c>
      <c r="L80" s="41">
        <f>'Fleet ZEV fractions'!AM30</f>
        <v>0.48156331170632471</v>
      </c>
      <c r="M80" s="41">
        <f>'ZEV efficiency'!L57</f>
        <v>4.021704797126664</v>
      </c>
      <c r="O80" s="3">
        <f>E80*L80/M80</f>
        <v>37290115.345755912</v>
      </c>
      <c r="P80" s="3">
        <f>$O80*'GREET factors'!B110/454/2000</f>
        <v>467.30590018690231</v>
      </c>
      <c r="Q80" s="3">
        <f>$O80*'GREET factors'!C110/454/2000</f>
        <v>73.998555128975752</v>
      </c>
      <c r="R80" s="3">
        <f>$O80*'GREET factors'!D110/454/2000</f>
        <v>63.889478541178057</v>
      </c>
      <c r="S80" s="3">
        <f>$O80*'GREET factors'!E110/454/2000</f>
        <v>7.3016546904203485</v>
      </c>
      <c r="T80" s="3">
        <f>$O80*'GREET factors'!F110/454/2000</f>
        <v>894615.16139335441</v>
      </c>
      <c r="U80" s="3">
        <f>$O80*'GREET factors'!G110/454/2000</f>
        <v>16.118638634694175</v>
      </c>
      <c r="V80" s="3">
        <f>$O80*'GREET factors'!H110/454/2000</f>
        <v>111.35023402891031</v>
      </c>
      <c r="W80" s="3">
        <f>$O80*'GREET factors'!I110/454/2000</f>
        <v>898388.29145462916</v>
      </c>
      <c r="X80" s="3">
        <f>('Combined MOVES output'!D22/454/2000-'ACC II - MY2026'!D80)*'GREET factors'!V1</f>
        <v>4826702.7451165356</v>
      </c>
      <c r="Y80" s="261">
        <f>O80*M80*'GREET factors'!$J$7/454/2000</f>
        <v>1578.9504357221233</v>
      </c>
      <c r="Z80" s="261">
        <f>O80*M80*'GREET factors'!K$7/454/2000</f>
        <v>198.01553746050126</v>
      </c>
      <c r="AA80" s="261"/>
      <c r="AB80" s="261"/>
      <c r="AC80" s="3">
        <f>T80-X80</f>
        <v>-3932087.5837231809</v>
      </c>
      <c r="AD80" s="261">
        <f>P80-Y80</f>
        <v>-1111.6445355352209</v>
      </c>
      <c r="AE80" s="261">
        <f>Q80-Z80</f>
        <v>-124.01698233152551</v>
      </c>
      <c r="AF80" s="261"/>
      <c r="AG80" s="261"/>
      <c r="AH80">
        <v>2038</v>
      </c>
    </row>
    <row r="81" spans="1:34">
      <c r="L81" s="41"/>
      <c r="M81" s="41"/>
      <c r="X81" s="3"/>
      <c r="Y81" s="3"/>
      <c r="Z81" s="3"/>
      <c r="AA81" s="3"/>
      <c r="AB81" s="3"/>
    </row>
    <row r="82" spans="1:34">
      <c r="A82">
        <v>2039</v>
      </c>
      <c r="B82">
        <v>20</v>
      </c>
      <c r="C82" s="3"/>
      <c r="D82" s="3"/>
      <c r="E82" s="3"/>
      <c r="F82" s="3"/>
      <c r="G82" s="3"/>
      <c r="H82" s="3"/>
      <c r="I82" s="3"/>
      <c r="J82" s="3"/>
      <c r="L82" s="41"/>
      <c r="M82" s="41"/>
      <c r="X82" s="3"/>
      <c r="Y82" s="3"/>
      <c r="Z82" s="3"/>
      <c r="AA82" s="3"/>
      <c r="AB82" s="3"/>
    </row>
    <row r="83" spans="1:34">
      <c r="A83">
        <v>2039</v>
      </c>
      <c r="B83">
        <v>30</v>
      </c>
      <c r="C83" s="3"/>
      <c r="D83" s="3"/>
      <c r="E83" s="3"/>
      <c r="F83" s="3"/>
      <c r="G83" s="3"/>
      <c r="H83" s="3"/>
      <c r="I83" s="3"/>
      <c r="J83" s="3"/>
      <c r="L83" s="41"/>
      <c r="M83" s="41"/>
      <c r="O83" t="s">
        <v>17</v>
      </c>
      <c r="X83" s="3"/>
      <c r="Y83" s="3"/>
      <c r="Z83" s="3"/>
      <c r="AA83" s="3"/>
      <c r="AB83" s="3"/>
    </row>
    <row r="84" spans="1:34">
      <c r="A84">
        <v>2039</v>
      </c>
      <c r="B84">
        <v>41</v>
      </c>
      <c r="C84" s="3"/>
      <c r="D84" s="3"/>
      <c r="E84" s="3"/>
      <c r="F84" s="3"/>
      <c r="G84" s="3"/>
      <c r="H84" s="3"/>
      <c r="I84" s="3"/>
      <c r="J84" s="3"/>
      <c r="L84" s="41"/>
      <c r="M84" s="41"/>
      <c r="O84" t="s">
        <v>142</v>
      </c>
      <c r="P84" t="s">
        <v>8</v>
      </c>
      <c r="Q84" t="s">
        <v>10</v>
      </c>
      <c r="R84" t="s">
        <v>14</v>
      </c>
      <c r="S84" t="s">
        <v>15</v>
      </c>
      <c r="T84" t="s">
        <v>16</v>
      </c>
      <c r="U84" t="s">
        <v>115</v>
      </c>
      <c r="V84" t="s">
        <v>116</v>
      </c>
      <c r="W84" t="s">
        <v>47</v>
      </c>
      <c r="X84" t="s">
        <v>47</v>
      </c>
      <c r="Y84" t="s">
        <v>8</v>
      </c>
      <c r="Z84" t="s">
        <v>10</v>
      </c>
      <c r="AC84" s="32" t="s">
        <v>47</v>
      </c>
      <c r="AD84" t="s">
        <v>8</v>
      </c>
      <c r="AE84" t="s">
        <v>10</v>
      </c>
    </row>
    <row r="85" spans="1:34">
      <c r="A85">
        <v>2039</v>
      </c>
      <c r="B85" t="s">
        <v>109</v>
      </c>
      <c r="C85" s="3">
        <f>'BAU Scenario'!C85*(1-'ACC emissions benefits'!C23)</f>
        <v>1870.8885630104694</v>
      </c>
      <c r="D85" s="3">
        <f>'BAU Scenario'!D85*(1-'ACC emissions benefits'!D23)</f>
        <v>8642663.9654389005</v>
      </c>
      <c r="E85" s="3">
        <f>'Combined MOVES output'!E23*(1-'ACC emissions benefits'!E23)</f>
        <v>311765342.89809161</v>
      </c>
      <c r="F85" s="3">
        <f>'BAU Scenario'!F85*(1-'ACC emissions benefits'!F23)</f>
        <v>426.51860216555747</v>
      </c>
      <c r="G85" s="3">
        <f>'BAU Scenario'!G85*(1-'ACC emissions benefits'!G23)</f>
        <v>6309.3965521258024</v>
      </c>
      <c r="H85" s="3">
        <f>'BAU Scenario'!H85*(1-'ACC emissions benefits'!H23)</f>
        <v>203.51884863464727</v>
      </c>
      <c r="I85" s="3">
        <f>'BAU Scenario'!I85*(1-'ACC emissions benefits'!I23)</f>
        <v>1245.1314619301581</v>
      </c>
      <c r="J85" s="3">
        <f>D85+AC85</f>
        <v>4527358.5665489081</v>
      </c>
      <c r="L85" s="41">
        <f>'Fleet ZEV fractions'!AM31</f>
        <v>0.52646660731235428</v>
      </c>
      <c r="M85" s="41">
        <f>'ZEV efficiency'!L58</f>
        <v>4.0141101927609322</v>
      </c>
      <c r="O85" s="3">
        <f>E85*L85/M85</f>
        <v>40889271.711855665</v>
      </c>
      <c r="P85" s="3">
        <f>$O85*'GREET factors'!B111/454/2000</f>
        <v>490.09103784467078</v>
      </c>
      <c r="Q85" s="3">
        <f>$O85*'GREET factors'!C111/454/2000</f>
        <v>77.606614142173171</v>
      </c>
      <c r="R85" s="3">
        <f>$O85*'GREET factors'!D111/454/2000</f>
        <v>67.004634080326085</v>
      </c>
      <c r="S85" s="3">
        <f>$O85*'GREET factors'!E111/454/2000</f>
        <v>7.6576724663229809</v>
      </c>
      <c r="T85" s="3">
        <f>$O85*'GREET factors'!F111/454/2000</f>
        <v>938235.26033694064</v>
      </c>
      <c r="U85" s="3">
        <f>$O85*'GREET factors'!G111/454/2000</f>
        <v>16.904559377403487</v>
      </c>
      <c r="V85" s="3">
        <f>$O85*'GREET factors'!H111/454/2000</f>
        <v>116.77950511142546</v>
      </c>
      <c r="W85" s="3">
        <f>$O85*'GREET factors'!I111/454/2000</f>
        <v>942192.36258391314</v>
      </c>
      <c r="X85" s="3">
        <f>('Combined MOVES output'!D23/454/2000-'ACC II - MY2026'!D85)*'GREET factors'!V1</f>
        <v>5053540.6592269326</v>
      </c>
      <c r="Y85" s="261">
        <f>O85*M85*'GREET factors'!$J$7/454/2000</f>
        <v>1728.0776254585687</v>
      </c>
      <c r="Z85" s="261">
        <f>O85*M85*'GREET factors'!K$7/454/2000</f>
        <v>216.71751819248749</v>
      </c>
      <c r="AA85" s="261"/>
      <c r="AB85" s="261"/>
      <c r="AC85" s="3">
        <f>T85-X85</f>
        <v>-4115305.3988899919</v>
      </c>
      <c r="AD85" s="261">
        <f>P85-Y85</f>
        <v>-1237.9865876138979</v>
      </c>
      <c r="AE85" s="261">
        <f>Q85-Z85</f>
        <v>-139.11090405031433</v>
      </c>
      <c r="AF85" s="261"/>
      <c r="AG85" s="261"/>
      <c r="AH85">
        <v>2039</v>
      </c>
    </row>
    <row r="86" spans="1:34">
      <c r="L86" s="41"/>
      <c r="M86" s="41"/>
    </row>
    <row r="87" spans="1:34">
      <c r="A87">
        <v>2040</v>
      </c>
      <c r="B87">
        <v>20</v>
      </c>
      <c r="C87" s="3"/>
      <c r="D87" s="3"/>
      <c r="E87" s="3"/>
      <c r="F87" s="3"/>
      <c r="G87" s="3"/>
      <c r="H87" s="3"/>
      <c r="I87" s="3"/>
      <c r="J87" s="3"/>
      <c r="L87" s="41"/>
      <c r="M87" s="41"/>
    </row>
    <row r="88" spans="1:34">
      <c r="A88">
        <v>2040</v>
      </c>
      <c r="B88">
        <v>30</v>
      </c>
      <c r="C88" s="3"/>
      <c r="D88" s="3"/>
      <c r="E88" s="3"/>
      <c r="F88" s="3"/>
      <c r="G88" s="3"/>
      <c r="H88" s="3"/>
      <c r="I88" s="3"/>
      <c r="J88" s="3"/>
      <c r="L88" s="41"/>
      <c r="M88" s="41"/>
      <c r="O88" t="s">
        <v>17</v>
      </c>
    </row>
    <row r="89" spans="1:34">
      <c r="A89">
        <v>2040</v>
      </c>
      <c r="B89">
        <v>41</v>
      </c>
      <c r="C89" s="3"/>
      <c r="D89" s="3"/>
      <c r="E89" s="3"/>
      <c r="F89" s="3"/>
      <c r="G89" s="3"/>
      <c r="H89" s="3"/>
      <c r="I89" s="3"/>
      <c r="J89" s="3"/>
      <c r="L89" s="41"/>
      <c r="M89" s="41"/>
      <c r="O89" t="s">
        <v>142</v>
      </c>
      <c r="P89" t="s">
        <v>8</v>
      </c>
      <c r="Q89" t="s">
        <v>10</v>
      </c>
      <c r="R89" t="s">
        <v>14</v>
      </c>
      <c r="S89" t="s">
        <v>15</v>
      </c>
      <c r="T89" t="s">
        <v>16</v>
      </c>
      <c r="U89" t="s">
        <v>115</v>
      </c>
      <c r="V89" t="s">
        <v>116</v>
      </c>
      <c r="W89" t="s">
        <v>47</v>
      </c>
      <c r="X89" t="s">
        <v>47</v>
      </c>
      <c r="Y89" t="s">
        <v>8</v>
      </c>
      <c r="Z89" t="s">
        <v>10</v>
      </c>
      <c r="AA89" t="s">
        <v>115</v>
      </c>
      <c r="AB89" t="s">
        <v>116</v>
      </c>
      <c r="AC89" s="32" t="s">
        <v>47</v>
      </c>
      <c r="AD89" t="s">
        <v>8</v>
      </c>
      <c r="AE89" t="s">
        <v>10</v>
      </c>
      <c r="AF89" t="s">
        <v>115</v>
      </c>
      <c r="AG89" t="s">
        <v>116</v>
      </c>
    </row>
    <row r="90" spans="1:34">
      <c r="A90">
        <v>2040</v>
      </c>
      <c r="B90" s="8" t="s">
        <v>109</v>
      </c>
      <c r="C90" s="3">
        <f>'BAU Scenario'!C90*(1-'ACC emissions benefits'!C24)</f>
        <v>1688.3193576478229</v>
      </c>
      <c r="D90" s="3">
        <f>'BAU Scenario'!D90*(1-'ACC emissions benefits'!D24)</f>
        <v>7776285.4328448465</v>
      </c>
      <c r="E90" s="3">
        <f>'Combined MOVES output'!E24*(1-'ACC emissions benefits'!E24)</f>
        <v>312107800.94217598</v>
      </c>
      <c r="F90" s="3">
        <f>'BAU Scenario'!F90*(1-'ACC emissions benefits'!F24)</f>
        <v>411.37476901002532</v>
      </c>
      <c r="G90" s="3">
        <f>'BAU Scenario'!G90*(1-'ACC emissions benefits'!G24)</f>
        <v>5882.9564867760037</v>
      </c>
      <c r="H90" s="3">
        <f>'BAU Scenario'!H90*(1-'ACC emissions benefits'!H24)</f>
        <v>190.09902555171428</v>
      </c>
      <c r="I90" s="3">
        <f>'BAU Scenario'!I90*(1-'ACC emissions benefits'!I24)</f>
        <v>1189.9569290753736</v>
      </c>
      <c r="J90" s="3">
        <f>D90+AC90</f>
        <v>3439484.2529779067</v>
      </c>
      <c r="L90" s="41">
        <f>'Fleet ZEV fractions'!AM32</f>
        <v>0.57124572067521984</v>
      </c>
      <c r="M90" s="41">
        <f>'ZEV efficiency'!L59</f>
        <v>4.0068080026283281</v>
      </c>
      <c r="O90" s="3">
        <f>E90*L90/M90</f>
        <v>44496827.789257467</v>
      </c>
      <c r="P90" s="3">
        <f>$O90*'GREET factors'!B112/454/2000</f>
        <v>509.0432897745236</v>
      </c>
      <c r="Q90" s="3">
        <f>$O90*'GREET factors'!C112/454/2000</f>
        <v>80.607730239120656</v>
      </c>
      <c r="R90" s="3">
        <f>$O90*'GREET factors'!D112/454/2000</f>
        <v>69.595762273860657</v>
      </c>
      <c r="S90" s="3">
        <f>$O90*'GREET factors'!E112/454/2000</f>
        <v>7.9538014027269313</v>
      </c>
      <c r="T90" s="3">
        <f>$O90*'GREET factors'!F112/454/2000</f>
        <v>974517.64391525974</v>
      </c>
      <c r="U90" s="3">
        <f>$O90*'GREET factors'!G112/454/2000</f>
        <v>17.558273572000221</v>
      </c>
      <c r="V90" s="3">
        <f>$O90*'GREET factors'!H112/454/2000</f>
        <v>121.29547139158571</v>
      </c>
      <c r="W90" s="3">
        <f>$O90*'GREET factors'!I112/454/2000</f>
        <v>978627.77079011884</v>
      </c>
      <c r="X90" s="3">
        <f>('Combined MOVES output'!D24/454/2000-D90)*'GREET factors'!V1</f>
        <v>5311318.8237822</v>
      </c>
      <c r="Y90" s="261">
        <f>O90*M90*'GREET factors'!$J$7/454/2000</f>
        <v>1877.1205532734812</v>
      </c>
      <c r="Z90" s="261">
        <f>O90*M90*'GREET factors'!K$7/454/2000</f>
        <v>235.40893167087134</v>
      </c>
      <c r="AA90" s="261">
        <f>O90*M90*'GREET factors'!L7/454/2000</f>
        <v>4715.1601811475621</v>
      </c>
      <c r="AB90" s="261">
        <f>O90*M90*'GREET factors'!M7/454/2000</f>
        <v>703.71465090011657</v>
      </c>
      <c r="AC90" s="3">
        <f>T90-X90</f>
        <v>-4336801.1798669398</v>
      </c>
      <c r="AD90" s="261">
        <f>P90-Y90</f>
        <v>-1368.0772634989576</v>
      </c>
      <c r="AE90" s="261">
        <f>Q90-Z90</f>
        <v>-154.80120143175068</v>
      </c>
      <c r="AF90" s="261">
        <f>U90-AA90</f>
        <v>-4697.6019075755621</v>
      </c>
      <c r="AG90" s="261">
        <f>V90-AB90</f>
        <v>-582.41917950853087</v>
      </c>
      <c r="AH90">
        <v>2040</v>
      </c>
    </row>
  </sheetData>
  <sheetProtection algorithmName="SHA-512" hashValue="Prftr7WCllRgxo/m6CHN6RVPNe0UsykFLW9LQcWGUQ1ck5kH25VwmvFnzqIr4urBunFXqlnk95uYKBaoWC+2Gg==" saltValue="EaPKj5I3sAyedRWdYwbAgg==" spinCount="100000" sheet="1" objects="1" scenarios="1"/>
  <mergeCells count="9">
    <mergeCell ref="AF10:AG10"/>
    <mergeCell ref="AC7:AG7"/>
    <mergeCell ref="C12:I14"/>
    <mergeCell ref="P7:W7"/>
    <mergeCell ref="L5:L6"/>
    <mergeCell ref="M5:M6"/>
    <mergeCell ref="C7:I9"/>
    <mergeCell ref="AA10:AB10"/>
    <mergeCell ref="X7:AB7"/>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dimension ref="A1:AH142"/>
  <sheetViews>
    <sheetView topLeftCell="A121" workbookViewId="0">
      <selection activeCell="V4" sqref="V4"/>
    </sheetView>
  </sheetViews>
  <sheetFormatPr baseColWidth="10" defaultColWidth="8.83203125" defaultRowHeight="15"/>
  <cols>
    <col min="3" max="3" width="12.6640625" customWidth="1"/>
    <col min="4" max="4" width="16.6640625" bestFit="1" customWidth="1"/>
    <col min="5" max="5" width="15.1640625" customWidth="1"/>
    <col min="6" max="6" width="11" customWidth="1"/>
    <col min="7" max="7" width="11.6640625" customWidth="1"/>
    <col min="8" max="8" width="11.5" bestFit="1" customWidth="1"/>
    <col min="9" max="10" width="11.6640625" customWidth="1"/>
    <col min="12" max="12" width="12.6640625" customWidth="1"/>
    <col min="13" max="13" width="14.5" customWidth="1"/>
    <col min="14" max="14" width="8.83203125" customWidth="1"/>
    <col min="15" max="15" width="24" customWidth="1"/>
    <col min="16" max="19" width="9.1640625" customWidth="1"/>
    <col min="20" max="20" width="10.5" customWidth="1"/>
    <col min="21" max="22" width="9.1640625" customWidth="1"/>
    <col min="23" max="23" width="8.83203125" customWidth="1"/>
    <col min="24" max="28" width="10.33203125" customWidth="1"/>
  </cols>
  <sheetData>
    <row r="1" spans="1:34">
      <c r="A1" s="2" t="s">
        <v>605</v>
      </c>
      <c r="D1" s="28"/>
      <c r="F1" s="29"/>
      <c r="AH1" s="2"/>
    </row>
    <row r="2" spans="1:34">
      <c r="A2" s="28" t="s">
        <v>428</v>
      </c>
      <c r="D2" s="6"/>
      <c r="AH2" s="28"/>
    </row>
    <row r="3" spans="1:34">
      <c r="A3" t="s">
        <v>429</v>
      </c>
      <c r="D3" s="28"/>
    </row>
    <row r="4" spans="1:34">
      <c r="A4" s="28" t="s">
        <v>214</v>
      </c>
      <c r="D4" s="28"/>
      <c r="AH4" s="28"/>
    </row>
    <row r="5" spans="1:34" ht="15" customHeight="1">
      <c r="G5" s="6"/>
      <c r="L5" s="319" t="s">
        <v>164</v>
      </c>
      <c r="M5" s="319" t="s">
        <v>272</v>
      </c>
    </row>
    <row r="6" spans="1:34">
      <c r="A6" t="s">
        <v>0</v>
      </c>
      <c r="B6" t="s">
        <v>1</v>
      </c>
      <c r="C6" t="s">
        <v>2</v>
      </c>
      <c r="D6" t="s">
        <v>47</v>
      </c>
      <c r="E6" t="s">
        <v>22</v>
      </c>
      <c r="F6" t="s">
        <v>24</v>
      </c>
      <c r="G6" t="s">
        <v>115</v>
      </c>
      <c r="H6" t="s">
        <v>116</v>
      </c>
      <c r="I6" t="s">
        <v>117</v>
      </c>
      <c r="J6" t="s">
        <v>52</v>
      </c>
      <c r="L6" s="319"/>
      <c r="M6" s="319"/>
      <c r="P6" s="6"/>
    </row>
    <row r="7" spans="1:34">
      <c r="A7">
        <v>2020</v>
      </c>
      <c r="B7">
        <v>20</v>
      </c>
      <c r="C7" s="320" t="s">
        <v>145</v>
      </c>
      <c r="D7" s="320"/>
      <c r="E7" s="320"/>
      <c r="F7" s="320"/>
      <c r="G7" s="320"/>
      <c r="H7" s="320"/>
      <c r="I7" s="320"/>
      <c r="J7" s="3"/>
      <c r="P7" s="318" t="s">
        <v>628</v>
      </c>
      <c r="Q7" s="318"/>
      <c r="R7" s="318"/>
      <c r="S7" s="318"/>
      <c r="T7" s="318"/>
      <c r="U7" s="318"/>
      <c r="V7" s="318"/>
      <c r="W7" s="318"/>
      <c r="X7" s="313" t="s">
        <v>629</v>
      </c>
      <c r="Y7" s="313"/>
      <c r="Z7" s="313"/>
      <c r="AA7" s="313"/>
      <c r="AB7" s="313"/>
      <c r="AC7" s="313" t="s">
        <v>413</v>
      </c>
      <c r="AD7" s="313"/>
      <c r="AE7" s="313"/>
      <c r="AF7" s="313"/>
      <c r="AG7" s="313"/>
      <c r="AH7" s="32" t="s">
        <v>19</v>
      </c>
    </row>
    <row r="8" spans="1:34">
      <c r="A8">
        <v>2020</v>
      </c>
      <c r="B8">
        <v>30</v>
      </c>
      <c r="C8" s="320"/>
      <c r="D8" s="320"/>
      <c r="E8" s="320"/>
      <c r="F8" s="320"/>
      <c r="G8" s="320"/>
      <c r="H8" s="320"/>
      <c r="I8" s="320"/>
      <c r="J8" s="3"/>
      <c r="O8" t="s">
        <v>17</v>
      </c>
      <c r="P8" s="62"/>
    </row>
    <row r="9" spans="1:34">
      <c r="A9">
        <v>2020</v>
      </c>
      <c r="B9">
        <v>41</v>
      </c>
      <c r="C9" s="320"/>
      <c r="D9" s="320"/>
      <c r="E9" s="320"/>
      <c r="F9" s="320"/>
      <c r="G9" s="320"/>
      <c r="H9" s="320"/>
      <c r="I9" s="320"/>
      <c r="J9" s="3"/>
      <c r="O9" t="s">
        <v>142</v>
      </c>
      <c r="P9" s="32" t="s">
        <v>8</v>
      </c>
      <c r="Q9" s="32" t="s">
        <v>10</v>
      </c>
      <c r="R9" s="32" t="s">
        <v>14</v>
      </c>
      <c r="S9" s="32" t="s">
        <v>15</v>
      </c>
      <c r="T9" s="32" t="s">
        <v>16</v>
      </c>
      <c r="U9" s="32" t="s">
        <v>115</v>
      </c>
      <c r="V9" s="32" t="s">
        <v>116</v>
      </c>
      <c r="W9" s="32" t="s">
        <v>47</v>
      </c>
      <c r="X9" s="32" t="s">
        <v>47</v>
      </c>
      <c r="Y9" t="s">
        <v>8</v>
      </c>
      <c r="Z9" t="s">
        <v>10</v>
      </c>
      <c r="AA9" t="s">
        <v>115</v>
      </c>
      <c r="AB9" t="s">
        <v>116</v>
      </c>
      <c r="AC9" s="32" t="s">
        <v>47</v>
      </c>
      <c r="AD9" s="32" t="s">
        <v>8</v>
      </c>
      <c r="AE9" s="32" t="s">
        <v>10</v>
      </c>
      <c r="AF9" t="s">
        <v>115</v>
      </c>
      <c r="AG9" t="s">
        <v>116</v>
      </c>
    </row>
    <row r="10" spans="1:34">
      <c r="A10">
        <v>2020</v>
      </c>
      <c r="B10" s="8" t="s">
        <v>109</v>
      </c>
      <c r="C10" s="3">
        <f>'BAU Scenario'!C10</f>
        <v>16911.590935043296</v>
      </c>
      <c r="D10" s="3">
        <f>'BAU Scenario'!D10</f>
        <v>31780244.814980075</v>
      </c>
      <c r="E10" s="3">
        <f>'BAU Scenario'!E10</f>
        <v>335464115.71543819</v>
      </c>
      <c r="F10" s="3">
        <f>'BAU Scenario'!F10</f>
        <v>759.98016243917039</v>
      </c>
      <c r="G10" s="3">
        <f>'BAU Scenario'!G10</f>
        <v>15089.652364901234</v>
      </c>
      <c r="H10" s="3">
        <f>'BAU Scenario'!H10</f>
        <v>512.27960739915045</v>
      </c>
      <c r="I10" s="3">
        <f>'BAU Scenario'!I10</f>
        <v>7738.1652087346429</v>
      </c>
      <c r="J10" s="3">
        <f>D10+AC10</f>
        <v>31759136.710095361</v>
      </c>
      <c r="L10" s="41">
        <f>'BAU Scenario'!L10</f>
        <v>6.5935775352025808E-3</v>
      </c>
      <c r="M10" s="41">
        <f>'ZEV efficiency'!L44</f>
        <v>4.5885492022606078</v>
      </c>
      <c r="O10" s="3">
        <f>E10*L10/M10</f>
        <v>482049.67621534644</v>
      </c>
      <c r="P10" s="129">
        <f>'BAU Scenario'!P10</f>
        <v>20.662857672339104</v>
      </c>
      <c r="Q10" s="129">
        <f>'BAU Scenario'!Q10</f>
        <v>3.2719929536032435</v>
      </c>
      <c r="R10" s="129">
        <f>'BAU Scenario'!R10</f>
        <v>2.8250000723901119</v>
      </c>
      <c r="S10" s="129">
        <f>'BAU Scenario'!S10</f>
        <v>0.3228571511302985</v>
      </c>
      <c r="T10" s="129">
        <f>'BAU Scenario'!T10</f>
        <v>39557.18458507421</v>
      </c>
      <c r="U10" s="129">
        <f>'BAU Scenario'!U10</f>
        <v>0.71271759215396924</v>
      </c>
      <c r="V10" s="129">
        <f>'BAU Scenario'!V10</f>
        <v>4.9235715547370518</v>
      </c>
      <c r="W10" s="129">
        <f>$O10*'GREET factors'!I96/454/2000</f>
        <v>39724.021017920793</v>
      </c>
      <c r="X10" s="3">
        <f>('Combined MOVES output'!V16/454/2000-'BAU Scenario'!D10)*'GREET factors'!$V$1</f>
        <v>60665.28946978943</v>
      </c>
      <c r="Y10" s="261">
        <f>O10*M10*'GREET factors'!$J$7/454/2000</f>
        <v>23.287977346737826</v>
      </c>
      <c r="Z10" s="261">
        <f>O10*M10*'GREET factors'!K$7/454/2000</f>
        <v>2.920535848595704</v>
      </c>
      <c r="AA10" s="317" t="s">
        <v>613</v>
      </c>
      <c r="AB10" s="317"/>
      <c r="AC10" s="129">
        <f>T10-X10</f>
        <v>-21108.10488471522</v>
      </c>
      <c r="AD10" s="261">
        <f>P10-Y10</f>
        <v>-2.6251196743987215</v>
      </c>
      <c r="AE10" s="261">
        <f>Q10-Z10</f>
        <v>0.35145710500753946</v>
      </c>
      <c r="AF10" s="317" t="s">
        <v>493</v>
      </c>
      <c r="AG10" s="317"/>
      <c r="AH10">
        <v>2020</v>
      </c>
    </row>
    <row r="11" spans="1:34">
      <c r="C11" s="3"/>
      <c r="D11" s="3"/>
      <c r="E11" s="3"/>
      <c r="F11" s="3"/>
      <c r="G11" s="3"/>
      <c r="H11" s="3"/>
      <c r="L11" s="41"/>
      <c r="M11" s="41"/>
      <c r="P11" s="32"/>
      <c r="Q11" s="32"/>
      <c r="R11" s="32"/>
      <c r="S11" s="32"/>
      <c r="T11" s="32"/>
      <c r="U11" s="32"/>
      <c r="V11" s="32"/>
      <c r="W11" s="32"/>
      <c r="AC11" s="32"/>
    </row>
    <row r="12" spans="1:34">
      <c r="A12">
        <v>2025</v>
      </c>
      <c r="B12">
        <v>20</v>
      </c>
      <c r="C12" s="320" t="s">
        <v>145</v>
      </c>
      <c r="D12" s="320"/>
      <c r="E12" s="320"/>
      <c r="F12" s="320"/>
      <c r="G12" s="320"/>
      <c r="H12" s="320"/>
      <c r="I12" s="320"/>
      <c r="J12" s="3"/>
      <c r="L12" s="41"/>
      <c r="M12" s="41"/>
      <c r="P12" s="32"/>
      <c r="Q12" s="32"/>
      <c r="R12" s="32"/>
      <c r="S12" s="32"/>
      <c r="T12" s="32"/>
      <c r="U12" s="32"/>
      <c r="V12" s="32"/>
      <c r="W12" s="32"/>
      <c r="AC12" s="32"/>
    </row>
    <row r="13" spans="1:34">
      <c r="A13">
        <v>2025</v>
      </c>
      <c r="B13">
        <v>30</v>
      </c>
      <c r="C13" s="320"/>
      <c r="D13" s="320"/>
      <c r="E13" s="320"/>
      <c r="F13" s="320"/>
      <c r="G13" s="320"/>
      <c r="H13" s="320"/>
      <c r="I13" s="320"/>
      <c r="J13" s="3"/>
      <c r="L13" s="41"/>
      <c r="M13" s="41"/>
      <c r="O13" t="s">
        <v>17</v>
      </c>
      <c r="P13" s="32"/>
      <c r="Q13" s="32"/>
      <c r="R13" s="32"/>
      <c r="S13" s="32"/>
      <c r="T13" s="32"/>
      <c r="U13" s="32"/>
      <c r="V13" s="32"/>
      <c r="W13" s="32"/>
      <c r="AC13" s="32"/>
    </row>
    <row r="14" spans="1:34">
      <c r="A14">
        <v>2025</v>
      </c>
      <c r="B14">
        <v>41</v>
      </c>
      <c r="C14" s="320"/>
      <c r="D14" s="320"/>
      <c r="E14" s="320"/>
      <c r="F14" s="320"/>
      <c r="G14" s="320"/>
      <c r="H14" s="320"/>
      <c r="I14" s="320"/>
      <c r="J14" s="3"/>
      <c r="L14" s="41"/>
      <c r="M14" s="41"/>
      <c r="O14" t="s">
        <v>142</v>
      </c>
      <c r="P14" s="32" t="s">
        <v>8</v>
      </c>
      <c r="Q14" s="32" t="s">
        <v>10</v>
      </c>
      <c r="R14" s="32" t="s">
        <v>14</v>
      </c>
      <c r="S14" s="32" t="s">
        <v>15</v>
      </c>
      <c r="T14" s="32" t="s">
        <v>16</v>
      </c>
      <c r="U14" s="32" t="s">
        <v>115</v>
      </c>
      <c r="V14" s="32" t="s">
        <v>116</v>
      </c>
      <c r="W14" s="32" t="s">
        <v>47</v>
      </c>
      <c r="X14" t="s">
        <v>47</v>
      </c>
      <c r="Y14" t="s">
        <v>8</v>
      </c>
      <c r="Z14" t="s">
        <v>10</v>
      </c>
      <c r="AC14" s="32" t="s">
        <v>47</v>
      </c>
      <c r="AD14" s="32" t="s">
        <v>8</v>
      </c>
      <c r="AE14" s="32" t="s">
        <v>10</v>
      </c>
    </row>
    <row r="15" spans="1:34">
      <c r="A15">
        <v>2025</v>
      </c>
      <c r="B15" s="8" t="s">
        <v>109</v>
      </c>
      <c r="C15" s="3">
        <f>'BAU Scenario'!C15</f>
        <v>9687.8341795790166</v>
      </c>
      <c r="D15" s="3">
        <f>'BAU Scenario'!D15</f>
        <v>27823536.396510247</v>
      </c>
      <c r="E15" s="3">
        <f>'BAU Scenario'!E15</f>
        <v>327404720.48998964</v>
      </c>
      <c r="F15" s="3">
        <f>'BAU Scenario'!F15</f>
        <v>679.38640606960541</v>
      </c>
      <c r="G15" s="3">
        <f>'BAU Scenario'!G15</f>
        <v>12530.750657244324</v>
      </c>
      <c r="H15" s="3">
        <f>'BAU Scenario'!H15</f>
        <v>484.27366085089983</v>
      </c>
      <c r="I15" s="3">
        <f>'BAU Scenario'!I15</f>
        <v>2204.3633630046961</v>
      </c>
      <c r="J15" s="3">
        <f>D15+AC15</f>
        <v>27624262.910687033</v>
      </c>
      <c r="L15" s="41">
        <f>'BAU Scenario'!L15</f>
        <v>3.1556709314336143E-2</v>
      </c>
      <c r="M15" s="41">
        <f>'ZEV efficiency'!L44</f>
        <v>4.5885492022606078</v>
      </c>
      <c r="O15" s="3">
        <f>E15*L15/M15</f>
        <v>2251651.913758269</v>
      </c>
      <c r="P15" s="129">
        <f>'BAU Scenario'!P15</f>
        <v>96.516117149828091</v>
      </c>
      <c r="Q15" s="129">
        <f>'BAU Scenario'!Q15</f>
        <v>15.283464670336331</v>
      </c>
      <c r="R15" s="129">
        <f>'BAU Scenario'!R15</f>
        <v>13.19556289157806</v>
      </c>
      <c r="S15" s="129">
        <f>'BAU Scenario'!S15</f>
        <v>1.5080643304660639</v>
      </c>
      <c r="T15" s="129">
        <f>'BAU Scenario'!T15</f>
        <v>184771.43491344567</v>
      </c>
      <c r="U15" s="129">
        <f>'BAU Scenario'!U15</f>
        <v>3.3291007328169235</v>
      </c>
      <c r="V15" s="129">
        <f>'BAU Scenario'!V15</f>
        <v>22.997981039607474</v>
      </c>
      <c r="W15" s="129">
        <f>$O15*'GREET factors'!I97/454/2000</f>
        <v>185550.72715621404</v>
      </c>
      <c r="X15" s="3">
        <f>('Combined MOVES output'!D9/454/2000-'BAU Scenario'!D15)*'GREET factors'!$V$1</f>
        <v>384044.92073666136</v>
      </c>
      <c r="Y15" s="261">
        <f>O15*M15*'GREET factors'!$J$7/454/2000</f>
        <v>108.77803958303352</v>
      </c>
      <c r="Z15" s="261">
        <f>O15*M15*'GREET factors'!K$7/454/2000</f>
        <v>13.641810081317081</v>
      </c>
      <c r="AA15" s="261"/>
      <c r="AB15" s="261"/>
      <c r="AC15" s="129">
        <f>T15-X15</f>
        <v>-199273.48582321568</v>
      </c>
      <c r="AD15" s="261">
        <f>P15-Y15</f>
        <v>-12.261922433205427</v>
      </c>
      <c r="AE15" s="261">
        <f>Q15-Z15</f>
        <v>1.6416545890192502</v>
      </c>
      <c r="AF15" s="261"/>
      <c r="AG15" s="261"/>
      <c r="AH15">
        <v>2025</v>
      </c>
    </row>
    <row r="16" spans="1:34">
      <c r="C16" s="3"/>
      <c r="D16" s="3"/>
      <c r="E16" s="3"/>
      <c r="F16" s="3"/>
      <c r="G16" s="3"/>
      <c r="H16" s="3"/>
      <c r="L16" s="41"/>
      <c r="M16" s="41"/>
      <c r="O16" s="6"/>
      <c r="P16" s="32"/>
      <c r="Q16" s="32"/>
      <c r="R16" s="32"/>
      <c r="S16" s="32"/>
      <c r="T16" s="32"/>
      <c r="U16" s="32"/>
      <c r="V16" s="32"/>
      <c r="W16" s="32"/>
      <c r="AC16" s="32"/>
    </row>
    <row r="17" spans="1:34">
      <c r="A17">
        <v>2026</v>
      </c>
      <c r="B17">
        <v>20</v>
      </c>
      <c r="C17" s="320" t="s">
        <v>145</v>
      </c>
      <c r="D17" s="320"/>
      <c r="E17" s="320"/>
      <c r="F17" s="320"/>
      <c r="G17" s="320"/>
      <c r="H17" s="320"/>
      <c r="I17" s="320"/>
      <c r="J17" s="3"/>
      <c r="L17" s="41"/>
      <c r="M17" s="41"/>
      <c r="P17" s="32"/>
      <c r="Q17" s="32"/>
      <c r="R17" s="32"/>
      <c r="S17" s="32"/>
      <c r="T17" s="32"/>
      <c r="U17" s="32"/>
      <c r="V17" s="32"/>
      <c r="W17" s="32"/>
      <c r="AC17" s="32"/>
    </row>
    <row r="18" spans="1:34">
      <c r="A18">
        <v>2026</v>
      </c>
      <c r="B18">
        <v>30</v>
      </c>
      <c r="C18" s="320"/>
      <c r="D18" s="320"/>
      <c r="E18" s="320"/>
      <c r="F18" s="320"/>
      <c r="G18" s="320"/>
      <c r="H18" s="320"/>
      <c r="I18" s="320"/>
      <c r="J18" s="3"/>
      <c r="L18" s="41"/>
      <c r="M18" s="41"/>
      <c r="O18" t="s">
        <v>17</v>
      </c>
      <c r="P18" s="32"/>
      <c r="Q18" s="32"/>
      <c r="R18" s="32"/>
      <c r="S18" s="32"/>
      <c r="T18" s="32"/>
      <c r="U18" s="32"/>
      <c r="V18" s="32"/>
      <c r="W18" s="32"/>
      <c r="AC18" s="32"/>
    </row>
    <row r="19" spans="1:34">
      <c r="A19">
        <v>2026</v>
      </c>
      <c r="B19">
        <v>41</v>
      </c>
      <c r="C19" s="320"/>
      <c r="D19" s="320"/>
      <c r="E19" s="320"/>
      <c r="F19" s="320"/>
      <c r="G19" s="320"/>
      <c r="H19" s="320"/>
      <c r="I19" s="320"/>
      <c r="J19" s="3"/>
      <c r="L19" s="41"/>
      <c r="M19" s="41"/>
      <c r="O19" t="s">
        <v>142</v>
      </c>
      <c r="P19" s="32" t="s">
        <v>8</v>
      </c>
      <c r="Q19" s="32" t="s">
        <v>10</v>
      </c>
      <c r="R19" s="32" t="s">
        <v>14</v>
      </c>
      <c r="S19" s="32" t="s">
        <v>15</v>
      </c>
      <c r="T19" s="32" t="s">
        <v>16</v>
      </c>
      <c r="U19" s="32" t="s">
        <v>115</v>
      </c>
      <c r="V19" s="32" t="s">
        <v>116</v>
      </c>
      <c r="W19" s="32" t="s">
        <v>47</v>
      </c>
      <c r="X19" t="s">
        <v>47</v>
      </c>
      <c r="Y19" t="s">
        <v>8</v>
      </c>
      <c r="Z19" t="s">
        <v>10</v>
      </c>
      <c r="AC19" s="32" t="s">
        <v>47</v>
      </c>
      <c r="AD19" s="32" t="s">
        <v>8</v>
      </c>
      <c r="AE19" s="32" t="s">
        <v>10</v>
      </c>
    </row>
    <row r="20" spans="1:34">
      <c r="A20">
        <v>2026</v>
      </c>
      <c r="B20" s="8" t="s">
        <v>109</v>
      </c>
      <c r="C20" s="3">
        <f>'BAU Scenario'!C20</f>
        <v>8814.8801167661131</v>
      </c>
      <c r="D20" s="3">
        <f>'BAU Scenario'!D20</f>
        <v>27233011.871912435</v>
      </c>
      <c r="E20" s="3">
        <f>'BAU Scenario'!E20</f>
        <v>326172131.1756953</v>
      </c>
      <c r="F20" s="3">
        <f>'BAU Scenario'!F20</f>
        <v>669.03668054426339</v>
      </c>
      <c r="G20" s="3">
        <f>'BAU Scenario'!G20</f>
        <v>12060.386550453601</v>
      </c>
      <c r="H20" s="3">
        <f>'BAU Scenario'!H20</f>
        <v>479.95471873889807</v>
      </c>
      <c r="I20" s="3">
        <f>'BAU Scenario'!I20</f>
        <v>2261.0047127907178</v>
      </c>
      <c r="J20" s="3">
        <f>D20+AC20</f>
        <v>27023479.995044112</v>
      </c>
      <c r="L20" s="41">
        <f>'BAU Scenario'!L20</f>
        <v>4.1272974516832185E-2</v>
      </c>
      <c r="M20" s="41">
        <f>'ZEV efficiency'!L45</f>
        <v>4.5196833584062999</v>
      </c>
      <c r="O20" s="3">
        <f>E20*L20/M20</f>
        <v>2978548.050955107</v>
      </c>
      <c r="P20" s="129">
        <f>'BAU Scenario'!P20</f>
        <v>115.06772452039853</v>
      </c>
      <c r="Q20" s="129">
        <f>'BAU Scenario'!Q20</f>
        <v>18.221138130468578</v>
      </c>
      <c r="R20" s="129">
        <f>'BAU Scenario'!R20</f>
        <v>15.731915461773241</v>
      </c>
      <c r="S20" s="129">
        <f>'BAU Scenario'!S20</f>
        <v>1.797933195631227</v>
      </c>
      <c r="T20" s="129">
        <f>'BAU Scenario'!T20</f>
        <v>220286.8204784281</v>
      </c>
      <c r="U20" s="129">
        <f>'BAU Scenario'!U20</f>
        <v>3.9689956179004549</v>
      </c>
      <c r="V20" s="129">
        <f>'BAU Scenario'!V20</f>
        <v>27.418481233376212</v>
      </c>
      <c r="W20" s="129">
        <f>$O20*'GREET factors'!I98/454/2000</f>
        <v>221215.46734998218</v>
      </c>
      <c r="X20" s="3">
        <f>('Combined MOVES output'!D10/454/2000-D20)*'GREET factors'!V1</f>
        <v>429818.69734675071</v>
      </c>
      <c r="Y20" s="261">
        <f>O20*M20*'GREET factors'!$J$7/454/2000</f>
        <v>141.73503071103787</v>
      </c>
      <c r="Z20" s="261">
        <f>O20*M20*'GREET factors'!K$7/454/2000</f>
        <v>17.774933049365242</v>
      </c>
      <c r="AA20" s="261"/>
      <c r="AB20" s="261"/>
      <c r="AC20" s="129">
        <f>T20-X20</f>
        <v>-209531.87686832261</v>
      </c>
      <c r="AD20" s="261">
        <f>P20-Y20</f>
        <v>-26.667306190639337</v>
      </c>
      <c r="AE20" s="261">
        <f>Q20-Z20</f>
        <v>0.44620508110333645</v>
      </c>
      <c r="AF20" s="261"/>
      <c r="AG20" s="261"/>
      <c r="AH20">
        <v>2026</v>
      </c>
    </row>
    <row r="21" spans="1:34">
      <c r="L21" s="41"/>
      <c r="M21" s="41"/>
      <c r="O21" s="6"/>
      <c r="P21" s="32"/>
      <c r="Q21" s="32"/>
      <c r="R21" s="32"/>
      <c r="S21" s="32"/>
      <c r="T21" s="32"/>
      <c r="U21" s="32"/>
      <c r="V21" s="32"/>
      <c r="W21" s="32"/>
      <c r="AC21" s="32"/>
    </row>
    <row r="22" spans="1:34">
      <c r="A22">
        <v>2027</v>
      </c>
      <c r="B22">
        <v>20</v>
      </c>
      <c r="C22" s="121"/>
      <c r="D22" s="3"/>
      <c r="E22" s="3"/>
      <c r="F22" s="3"/>
      <c r="G22" s="3"/>
      <c r="H22" s="3"/>
      <c r="I22" s="3"/>
      <c r="J22" s="3"/>
      <c r="L22" s="41"/>
      <c r="M22" s="41"/>
      <c r="P22" s="32"/>
      <c r="Q22" s="32"/>
      <c r="R22" s="32"/>
      <c r="S22" s="32"/>
      <c r="T22" s="32"/>
      <c r="U22" s="32"/>
      <c r="V22" s="32"/>
      <c r="W22" s="32"/>
      <c r="AC22" s="32"/>
    </row>
    <row r="23" spans="1:34">
      <c r="A23">
        <v>2027</v>
      </c>
      <c r="B23">
        <v>30</v>
      </c>
      <c r="C23" s="3"/>
      <c r="D23" s="3"/>
      <c r="E23" s="3"/>
      <c r="F23" s="3"/>
      <c r="G23" s="3"/>
      <c r="H23" s="3"/>
      <c r="I23" s="3"/>
      <c r="J23" s="3"/>
      <c r="L23" s="41"/>
      <c r="M23" s="41"/>
      <c r="O23" s="28" t="s">
        <v>17</v>
      </c>
      <c r="P23" s="32"/>
      <c r="Q23" s="32"/>
      <c r="R23" s="32"/>
      <c r="S23" s="32"/>
      <c r="T23" s="32"/>
      <c r="U23" s="32"/>
      <c r="V23" s="32"/>
      <c r="W23" s="32"/>
      <c r="AC23" s="32"/>
    </row>
    <row r="24" spans="1:34">
      <c r="A24">
        <v>2027</v>
      </c>
      <c r="B24">
        <v>41</v>
      </c>
      <c r="C24" s="3"/>
      <c r="D24" s="3"/>
      <c r="E24" s="3"/>
      <c r="F24" s="3"/>
      <c r="G24" s="3"/>
      <c r="H24" s="3"/>
      <c r="I24" s="3"/>
      <c r="J24" s="3"/>
      <c r="L24" s="41"/>
      <c r="M24" s="41"/>
      <c r="O24" s="28" t="s">
        <v>142</v>
      </c>
      <c r="P24" s="32" t="s">
        <v>8</v>
      </c>
      <c r="Q24" s="32" t="s">
        <v>10</v>
      </c>
      <c r="R24" s="32" t="s">
        <v>14</v>
      </c>
      <c r="S24" s="32" t="s">
        <v>15</v>
      </c>
      <c r="T24" s="32" t="s">
        <v>16</v>
      </c>
      <c r="U24" s="32" t="s">
        <v>115</v>
      </c>
      <c r="V24" s="32" t="s">
        <v>116</v>
      </c>
      <c r="W24" s="32" t="s">
        <v>47</v>
      </c>
      <c r="X24" t="s">
        <v>47</v>
      </c>
      <c r="Y24" t="s">
        <v>8</v>
      </c>
      <c r="Z24" t="s">
        <v>10</v>
      </c>
      <c r="AC24" s="32" t="s">
        <v>47</v>
      </c>
      <c r="AD24" s="32" t="s">
        <v>8</v>
      </c>
      <c r="AE24" s="32" t="s">
        <v>10</v>
      </c>
    </row>
    <row r="25" spans="1:34">
      <c r="A25">
        <v>2027</v>
      </c>
      <c r="B25" s="8" t="s">
        <v>109</v>
      </c>
      <c r="C25" s="3">
        <f>'BAU Scenario'!C25*(1-'ACC emissions benefits'!C40)</f>
        <v>7831.6463884888117</v>
      </c>
      <c r="D25" s="3">
        <f>'BAU Scenario'!D25*(1-'ACC emissions benefits'!D40)</f>
        <v>25668270.6964834</v>
      </c>
      <c r="E25" s="3">
        <f>'Combined MOVES output'!E11</f>
        <v>324939541.86140096</v>
      </c>
      <c r="F25" s="3">
        <f>'BAU Scenario'!F25*(1-'ACC emissions benefits'!F40)</f>
        <v>652.05940686532028</v>
      </c>
      <c r="G25" s="3">
        <f>'BAU Scenario'!G25*(1-'ACC emissions benefits'!G40)</f>
        <v>11501.095510342611</v>
      </c>
      <c r="H25" s="3">
        <f>'BAU Scenario'!H25*(1-'ACC emissions benefits'!H40)</f>
        <v>457.3797058421074</v>
      </c>
      <c r="I25" s="3">
        <f>'BAU Scenario'!I25*(1-'ACC emissions benefits'!I40)</f>
        <v>2174.1913974540826</v>
      </c>
      <c r="J25" s="3">
        <f>D25+AC25</f>
        <v>25204419.941440385</v>
      </c>
      <c r="L25" s="41">
        <f>'Fleet ZEV fractions'!AS19</f>
        <v>6.0722766399656243E-2</v>
      </c>
      <c r="M25" s="41">
        <f>'ZEV efficiency'!L46</f>
        <v>4.4511142158008035</v>
      </c>
      <c r="O25" s="3">
        <f>E25*L25/M25</f>
        <v>4432873.8688434912</v>
      </c>
      <c r="P25" s="129">
        <f>$O25*'GREET factors'!B99/454/2000</f>
        <v>152.48896728834706</v>
      </c>
      <c r="Q25" s="129">
        <f>$O25*'GREET factors'!C99/454/2000</f>
        <v>24.146845241915898</v>
      </c>
      <c r="R25" s="129">
        <f>$O25*'GREET factors'!D99/454/2000</f>
        <v>20.848100996453699</v>
      </c>
      <c r="S25" s="129">
        <f>$O25*'GREET factors'!E99/454/2000</f>
        <v>2.3826401138804227</v>
      </c>
      <c r="T25" s="129">
        <f>$O25*'GREET factors'!F99/454/2000</f>
        <v>291926.42769288551</v>
      </c>
      <c r="U25" s="129">
        <f>$O25*'GREET factors'!G99/454/2000</f>
        <v>5.2597550309454828</v>
      </c>
      <c r="V25" s="129">
        <f>$O25*'GREET factors'!H99/454/2000</f>
        <v>36.335261736676436</v>
      </c>
      <c r="W25" s="129">
        <f>$O25*'GREET factors'!I99/454/2000</f>
        <v>293157.65697173326</v>
      </c>
      <c r="X25" s="3">
        <f>('Combined MOVES output'!D11/454/2000-D25)*'GREET factors'!V1</f>
        <v>755777.18273589958</v>
      </c>
      <c r="Y25" s="261">
        <f>O25*M25*'GREET factors'!$J$7/454/2000</f>
        <v>207.73931451638245</v>
      </c>
      <c r="Z25" s="261">
        <f>O25*M25*'GREET factors'!K$7/454/2000</f>
        <v>26.052503666351289</v>
      </c>
      <c r="AA25" s="261"/>
      <c r="AB25" s="261"/>
      <c r="AC25" s="129">
        <f>T25-X25</f>
        <v>-463850.75504301407</v>
      </c>
      <c r="AD25" s="261">
        <f>P25-Y25</f>
        <v>-55.250347228035395</v>
      </c>
      <c r="AE25" s="261">
        <f>Q25-Z25</f>
        <v>-1.9056584244353907</v>
      </c>
      <c r="AF25" s="261"/>
      <c r="AG25" s="261"/>
      <c r="AH25">
        <v>2027</v>
      </c>
    </row>
    <row r="26" spans="1:34">
      <c r="L26" s="41"/>
      <c r="M26" s="41"/>
      <c r="O26" s="28"/>
      <c r="P26" s="130"/>
      <c r="Q26" s="32"/>
      <c r="R26" s="32"/>
      <c r="S26" s="32"/>
      <c r="T26" s="32"/>
      <c r="U26" s="32"/>
      <c r="V26" s="32"/>
      <c r="W26" s="32"/>
      <c r="X26" s="3"/>
      <c r="Y26" s="3"/>
      <c r="Z26" s="3"/>
      <c r="AA26" s="3"/>
      <c r="AB26" s="3"/>
      <c r="AC26" s="32"/>
    </row>
    <row r="27" spans="1:34">
      <c r="A27">
        <v>2028</v>
      </c>
      <c r="B27">
        <v>20</v>
      </c>
      <c r="C27" s="3"/>
      <c r="D27" s="3"/>
      <c r="E27" s="3"/>
      <c r="F27" s="3"/>
      <c r="G27" s="3"/>
      <c r="H27" s="3"/>
      <c r="I27" s="3"/>
      <c r="J27" s="3"/>
      <c r="L27" s="41"/>
      <c r="M27" s="41"/>
      <c r="O27" s="28"/>
      <c r="P27" s="130"/>
      <c r="Q27" s="32"/>
      <c r="R27" s="32"/>
      <c r="S27" s="32"/>
      <c r="T27" s="32"/>
      <c r="U27" s="32"/>
      <c r="V27" s="32"/>
      <c r="W27" s="32"/>
      <c r="X27" s="3"/>
      <c r="Y27" s="3"/>
      <c r="Z27" s="3"/>
      <c r="AA27" s="3"/>
      <c r="AB27" s="3"/>
      <c r="AC27" s="32"/>
    </row>
    <row r="28" spans="1:34">
      <c r="A28">
        <v>2028</v>
      </c>
      <c r="B28">
        <v>30</v>
      </c>
      <c r="C28" s="3"/>
      <c r="D28" s="3"/>
      <c r="E28" s="3"/>
      <c r="F28" s="3"/>
      <c r="G28" s="3"/>
      <c r="H28" s="3"/>
      <c r="I28" s="3"/>
      <c r="J28" s="3"/>
      <c r="L28" s="41"/>
      <c r="M28" s="41"/>
      <c r="O28" s="28" t="s">
        <v>17</v>
      </c>
      <c r="P28" s="32"/>
      <c r="Q28" s="32"/>
      <c r="R28" s="32"/>
      <c r="S28" s="32"/>
      <c r="T28" s="32"/>
      <c r="U28" s="32"/>
      <c r="V28" s="32"/>
      <c r="W28" s="32"/>
      <c r="X28" s="3"/>
      <c r="Y28" s="3"/>
      <c r="Z28" s="3"/>
      <c r="AA28" s="3"/>
      <c r="AB28" s="3"/>
      <c r="AC28" s="32"/>
      <c r="AE28" s="6"/>
    </row>
    <row r="29" spans="1:34">
      <c r="A29">
        <v>2028</v>
      </c>
      <c r="B29">
        <v>41</v>
      </c>
      <c r="C29" s="3"/>
      <c r="D29" s="3"/>
      <c r="E29" s="3"/>
      <c r="F29" s="3"/>
      <c r="G29" s="3"/>
      <c r="H29" s="3"/>
      <c r="I29" s="3"/>
      <c r="J29" s="3"/>
      <c r="L29" s="41"/>
      <c r="M29" s="41"/>
      <c r="O29" s="28" t="s">
        <v>142</v>
      </c>
      <c r="P29" s="32" t="s">
        <v>8</v>
      </c>
      <c r="Q29" s="32" t="s">
        <v>10</v>
      </c>
      <c r="R29" s="32" t="s">
        <v>14</v>
      </c>
      <c r="S29" s="32" t="s">
        <v>15</v>
      </c>
      <c r="T29" s="32" t="s">
        <v>16</v>
      </c>
      <c r="U29" s="32" t="s">
        <v>115</v>
      </c>
      <c r="V29" s="32" t="s">
        <v>116</v>
      </c>
      <c r="W29" s="32" t="s">
        <v>47</v>
      </c>
      <c r="X29" t="s">
        <v>47</v>
      </c>
      <c r="Y29" t="s">
        <v>8</v>
      </c>
      <c r="Z29" t="s">
        <v>10</v>
      </c>
      <c r="AC29" s="32" t="s">
        <v>47</v>
      </c>
      <c r="AD29" s="32" t="s">
        <v>8</v>
      </c>
      <c r="AE29" s="32" t="s">
        <v>10</v>
      </c>
    </row>
    <row r="30" spans="1:34">
      <c r="A30">
        <v>2028</v>
      </c>
      <c r="B30" s="8" t="s">
        <v>109</v>
      </c>
      <c r="C30" s="3">
        <f>'BAU Scenario'!C30*(1-'ACC emissions benefits'!C41)</f>
        <v>6891.0522402437273</v>
      </c>
      <c r="D30" s="3">
        <f>'BAU Scenario'!D30*(1-'ACC emissions benefits'!D41)</f>
        <v>24187910.750990793</v>
      </c>
      <c r="E30" s="3">
        <f>'Combined MOVES output'!E12</f>
        <v>323706952.54710668</v>
      </c>
      <c r="F30" s="3">
        <f>'BAU Scenario'!F30*(1-'ACC emissions benefits'!F41)</f>
        <v>636.19012738037588</v>
      </c>
      <c r="G30" s="3">
        <f>'BAU Scenario'!G30*(1-'ACC emissions benefits'!G41)</f>
        <v>10960.092405638548</v>
      </c>
      <c r="H30" s="3">
        <f>'BAU Scenario'!H30*(1-'ACC emissions benefits'!H41)</f>
        <v>437.27647000455937</v>
      </c>
      <c r="I30" s="3">
        <f>'BAU Scenario'!I30*(1-'ACC emissions benefits'!I41)</f>
        <v>2108.6871452461883</v>
      </c>
      <c r="J30" s="3">
        <f>D30+AC30</f>
        <v>23487684.262717947</v>
      </c>
      <c r="L30" s="41">
        <f>'Fleet ZEV fractions'!AS20</f>
        <v>8.3736792839318328E-2</v>
      </c>
      <c r="M30" s="41">
        <f>'ZEV efficiency'!L47</f>
        <v>4.3820263375286919</v>
      </c>
      <c r="O30" s="3">
        <f>E30*L30/M30</f>
        <v>6185764.2876174608</v>
      </c>
      <c r="P30" s="129">
        <f>$O30*'GREET factors'!B100/454/2000</f>
        <v>186.60637426948318</v>
      </c>
      <c r="Q30" s="129">
        <f>$O30*'GREET factors'!C100/454/2000</f>
        <v>29.549385249096549</v>
      </c>
      <c r="R30" s="129">
        <f>$O30*'GREET factors'!D100/454/2000</f>
        <v>25.512590232155905</v>
      </c>
      <c r="S30" s="129">
        <f>$O30*'GREET factors'!E100/454/2000</f>
        <v>2.9157245979606747</v>
      </c>
      <c r="T30" s="129">
        <f>$O30*'GREET factors'!F100/454/2000</f>
        <v>357241.13812248717</v>
      </c>
      <c r="U30" s="129">
        <f>$O30*'GREET factors'!G100/454/2000</f>
        <v>6.4365562527185869</v>
      </c>
      <c r="V30" s="129">
        <f>$O30*'GREET factors'!H100/454/2000</f>
        <v>44.464800118900285</v>
      </c>
      <c r="W30" s="129">
        <f>$O30*'GREET factors'!I100/454/2000</f>
        <v>358747.83880848339</v>
      </c>
      <c r="X30" s="3">
        <f>('Combined MOVES output'!D12/454/2000-D30)*'GREET factors'!V1</f>
        <v>1057467.6263953317</v>
      </c>
      <c r="Y30" s="261">
        <f>O30*M30*'GREET factors'!$J$7/454/2000</f>
        <v>285.38617583124199</v>
      </c>
      <c r="Z30" s="261">
        <f>O30*M30*'GREET factors'!K$7/454/2000</f>
        <v>35.790165234145285</v>
      </c>
      <c r="AA30" s="261"/>
      <c r="AB30" s="261"/>
      <c r="AC30" s="129">
        <f>T30-X30</f>
        <v>-700226.48827284458</v>
      </c>
      <c r="AD30" s="261">
        <f>P30-Y30</f>
        <v>-98.779801561758802</v>
      </c>
      <c r="AE30" s="261">
        <f>Q30-Z30</f>
        <v>-6.2407799850487358</v>
      </c>
      <c r="AF30" s="261"/>
      <c r="AG30" s="261"/>
      <c r="AH30">
        <v>2028</v>
      </c>
    </row>
    <row r="31" spans="1:34">
      <c r="L31" s="41"/>
      <c r="M31" s="41"/>
      <c r="O31" s="28"/>
      <c r="P31" s="32"/>
      <c r="Q31" s="32"/>
      <c r="R31" s="32"/>
      <c r="S31" s="32"/>
      <c r="T31" s="32"/>
      <c r="U31" s="32"/>
      <c r="V31" s="32"/>
      <c r="W31" s="32"/>
      <c r="X31" s="3"/>
      <c r="Y31" s="3"/>
      <c r="Z31" s="3"/>
      <c r="AA31" s="3"/>
      <c r="AB31" s="3"/>
      <c r="AC31" s="32"/>
    </row>
    <row r="32" spans="1:34">
      <c r="A32">
        <v>2029</v>
      </c>
      <c r="B32">
        <v>20</v>
      </c>
      <c r="C32" s="3"/>
      <c r="D32" s="3"/>
      <c r="E32" s="3"/>
      <c r="F32" s="3"/>
      <c r="G32" s="3"/>
      <c r="H32" s="3"/>
      <c r="I32" s="3"/>
      <c r="J32" s="3"/>
      <c r="L32" s="41"/>
      <c r="M32" s="41"/>
      <c r="O32" s="28"/>
      <c r="P32" s="32"/>
      <c r="Q32" s="32"/>
      <c r="R32" s="32"/>
      <c r="S32" s="32"/>
      <c r="T32" s="32"/>
      <c r="U32" s="32"/>
      <c r="V32" s="32"/>
      <c r="W32" s="32"/>
      <c r="X32" s="3"/>
      <c r="Y32" s="3"/>
      <c r="Z32" s="3"/>
      <c r="AA32" s="3"/>
      <c r="AB32" s="3"/>
      <c r="AC32" s="32"/>
    </row>
    <row r="33" spans="1:34">
      <c r="A33">
        <v>2029</v>
      </c>
      <c r="B33">
        <v>30</v>
      </c>
      <c r="C33" s="3"/>
      <c r="D33" s="3"/>
      <c r="E33" s="3"/>
      <c r="F33" s="3"/>
      <c r="G33" s="3"/>
      <c r="H33" s="3"/>
      <c r="I33" s="3"/>
      <c r="J33" s="3"/>
      <c r="L33" s="41"/>
      <c r="M33" s="41"/>
      <c r="O33" s="28" t="s">
        <v>17</v>
      </c>
      <c r="P33" s="32"/>
      <c r="Q33" s="32"/>
      <c r="R33" s="32"/>
      <c r="S33" s="32"/>
      <c r="T33" s="32"/>
      <c r="U33" s="32"/>
      <c r="V33" s="32"/>
      <c r="W33" s="32"/>
      <c r="X33" s="3"/>
      <c r="Y33" s="3"/>
      <c r="Z33" s="3"/>
      <c r="AA33" s="3"/>
      <c r="AB33" s="3"/>
      <c r="AC33" s="32"/>
    </row>
    <row r="34" spans="1:34">
      <c r="A34">
        <v>2029</v>
      </c>
      <c r="B34">
        <v>41</v>
      </c>
      <c r="C34" s="3"/>
      <c r="D34" s="3"/>
      <c r="E34" s="3"/>
      <c r="F34" s="3"/>
      <c r="G34" s="3"/>
      <c r="H34" s="3"/>
      <c r="I34" s="3"/>
      <c r="J34" s="3"/>
      <c r="L34" s="41"/>
      <c r="M34" s="41"/>
      <c r="O34" s="28" t="s">
        <v>142</v>
      </c>
      <c r="P34" s="32" t="s">
        <v>8</v>
      </c>
      <c r="Q34" s="32" t="s">
        <v>10</v>
      </c>
      <c r="R34" s="32" t="s">
        <v>14</v>
      </c>
      <c r="S34" s="32" t="s">
        <v>15</v>
      </c>
      <c r="T34" s="32" t="s">
        <v>16</v>
      </c>
      <c r="U34" s="32" t="s">
        <v>115</v>
      </c>
      <c r="V34" s="32" t="s">
        <v>116</v>
      </c>
      <c r="W34" s="32" t="s">
        <v>47</v>
      </c>
      <c r="X34" t="s">
        <v>47</v>
      </c>
      <c r="Y34" t="s">
        <v>8</v>
      </c>
      <c r="Z34" t="s">
        <v>10</v>
      </c>
      <c r="AC34" s="32" t="s">
        <v>47</v>
      </c>
      <c r="AD34" s="32" t="s">
        <v>8</v>
      </c>
      <c r="AE34" s="32" t="s">
        <v>10</v>
      </c>
    </row>
    <row r="35" spans="1:34">
      <c r="A35">
        <v>2029</v>
      </c>
      <c r="B35" s="8" t="s">
        <v>109</v>
      </c>
      <c r="C35" s="3">
        <f>'BAU Scenario'!C35*(1-'ACC emissions benefits'!C42)</f>
        <v>5941.7930724259513</v>
      </c>
      <c r="D35" s="3">
        <f>'BAU Scenario'!D35*(1-'ACC emissions benefits'!D42)</f>
        <v>22550615.862437207</v>
      </c>
      <c r="E35" s="3">
        <f>'Combined MOVES output'!E13</f>
        <v>322474363.23281235</v>
      </c>
      <c r="F35" s="3">
        <f>'BAU Scenario'!F35*(1-'ACC emissions benefits'!F42)</f>
        <v>618.79429166276759</v>
      </c>
      <c r="G35" s="3">
        <f>'BAU Scenario'!G35*(1-'ACC emissions benefits'!G42)</f>
        <v>10390.010734022988</v>
      </c>
      <c r="H35" s="3">
        <f>'BAU Scenario'!H35*(1-'ACC emissions benefits'!H42)</f>
        <v>413.49088297399453</v>
      </c>
      <c r="I35" s="3">
        <f>'BAU Scenario'!I35*(1-'ACC emissions benefits'!I42)</f>
        <v>2031.5148953151993</v>
      </c>
      <c r="J35" s="3">
        <f>D35+AC35</f>
        <v>21555737.201106645</v>
      </c>
      <c r="L35" s="41">
        <f>'Fleet ZEV fractions'!AS21</f>
        <v>0.11029836864347727</v>
      </c>
      <c r="M35" s="41">
        <f>'ZEV efficiency'!L48</f>
        <v>4.3133593585787438</v>
      </c>
      <c r="O35" s="3">
        <f>E35*L35/M35</f>
        <v>8246100.8316365154</v>
      </c>
      <c r="P35" s="129">
        <f>$O35*'GREET factors'!B101/454/2000</f>
        <v>213.85902963997532</v>
      </c>
      <c r="Q35" s="129">
        <f>$O35*'GREET factors'!C101/454/2000</f>
        <v>33.864882057584872</v>
      </c>
      <c r="R35" s="129">
        <f>$O35*'GREET factors'!D101/454/2000</f>
        <v>29.238539208590378</v>
      </c>
      <c r="S35" s="129">
        <f>$O35*'GREET factors'!E101/454/2000</f>
        <v>3.3415473381246144</v>
      </c>
      <c r="T35" s="129">
        <f>$O35*'GREET factors'!F101/454/2000</f>
        <v>409413.89834853844</v>
      </c>
      <c r="U35" s="129">
        <f>$O35*'GREET factors'!G101/454/2000</f>
        <v>7.3765737093291879</v>
      </c>
      <c r="V35" s="129">
        <f>$O35*'GREET factors'!H101/454/2000</f>
        <v>50.958596906400366</v>
      </c>
      <c r="W35" s="129">
        <f>$O35*'GREET factors'!I101/454/2000</f>
        <v>411140.64293551439</v>
      </c>
      <c r="X35" s="3">
        <f>('Combined MOVES output'!D13/454/2000-D35)*'GREET factors'!V1</f>
        <v>1404292.5596791017</v>
      </c>
      <c r="Y35" s="261">
        <f>O35*M35*'GREET factors'!$J$7/454/2000</f>
        <v>374.48020383196319</v>
      </c>
      <c r="Z35" s="261">
        <f>O35*M35*'GREET factors'!K$7/454/2000</f>
        <v>46.963411360148797</v>
      </c>
      <c r="AA35" s="261"/>
      <c r="AB35" s="261"/>
      <c r="AC35" s="129">
        <f>T35-X35</f>
        <v>-994878.66133056325</v>
      </c>
      <c r="AD35" s="261">
        <f>P35-Y35</f>
        <v>-160.62117419198788</v>
      </c>
      <c r="AE35" s="261">
        <f>Q35-Z35</f>
        <v>-13.098529302563925</v>
      </c>
      <c r="AF35" s="261"/>
      <c r="AG35" s="261"/>
      <c r="AH35">
        <v>2029</v>
      </c>
    </row>
    <row r="36" spans="1:34">
      <c r="C36" s="3"/>
      <c r="D36" s="3"/>
      <c r="E36" s="3"/>
      <c r="F36" s="3"/>
      <c r="G36" s="3"/>
      <c r="H36" s="3"/>
      <c r="L36" s="41"/>
      <c r="M36" s="41"/>
      <c r="O36" s="28"/>
      <c r="P36" s="32"/>
      <c r="Q36" s="32"/>
      <c r="R36" s="32"/>
      <c r="S36" s="32"/>
      <c r="T36" s="32"/>
      <c r="U36" s="32"/>
      <c r="V36" s="32"/>
      <c r="W36" s="32"/>
      <c r="AC36" s="32"/>
    </row>
    <row r="37" spans="1:34">
      <c r="A37">
        <v>2030</v>
      </c>
      <c r="B37">
        <v>20</v>
      </c>
      <c r="C37" s="3"/>
      <c r="D37" s="3"/>
      <c r="E37" s="3"/>
      <c r="F37" s="3"/>
      <c r="G37" s="3"/>
      <c r="H37" s="3"/>
      <c r="I37" s="3"/>
      <c r="J37" s="3"/>
      <c r="L37" s="41"/>
      <c r="M37" s="41"/>
      <c r="O37" s="28"/>
      <c r="P37" s="32"/>
      <c r="Q37" s="32"/>
      <c r="R37" s="32"/>
      <c r="S37" s="32"/>
      <c r="T37" s="32"/>
      <c r="U37" s="32"/>
      <c r="V37" s="32"/>
      <c r="W37" s="32"/>
      <c r="AC37" s="32"/>
    </row>
    <row r="38" spans="1:34">
      <c r="A38">
        <v>2030</v>
      </c>
      <c r="B38">
        <v>30</v>
      </c>
      <c r="C38" s="3"/>
      <c r="D38" s="3"/>
      <c r="E38" s="3"/>
      <c r="F38" s="3"/>
      <c r="G38" s="3"/>
      <c r="H38" s="3"/>
      <c r="I38" s="3"/>
      <c r="J38" s="3"/>
      <c r="L38" s="41"/>
      <c r="M38" s="41"/>
      <c r="O38" s="28" t="s">
        <v>17</v>
      </c>
      <c r="P38" s="32"/>
      <c r="Q38" s="32"/>
      <c r="R38" s="32"/>
      <c r="S38" s="32"/>
      <c r="T38" s="32"/>
      <c r="U38" s="32"/>
      <c r="V38" s="32"/>
      <c r="W38" s="32"/>
      <c r="AC38" s="32"/>
    </row>
    <row r="39" spans="1:34">
      <c r="A39">
        <v>2030</v>
      </c>
      <c r="B39">
        <v>41</v>
      </c>
      <c r="C39" s="3"/>
      <c r="D39" s="3"/>
      <c r="E39" s="3"/>
      <c r="F39" s="3"/>
      <c r="G39" s="3"/>
      <c r="H39" s="3"/>
      <c r="I39" s="3"/>
      <c r="J39" s="3"/>
      <c r="L39" s="41"/>
      <c r="M39" s="41"/>
      <c r="O39" s="28" t="s">
        <v>142</v>
      </c>
      <c r="P39" s="32" t="s">
        <v>8</v>
      </c>
      <c r="Q39" s="32" t="s">
        <v>10</v>
      </c>
      <c r="R39" s="32" t="s">
        <v>14</v>
      </c>
      <c r="S39" s="32" t="s">
        <v>15</v>
      </c>
      <c r="T39" s="32" t="s">
        <v>16</v>
      </c>
      <c r="U39" s="32" t="s">
        <v>115</v>
      </c>
      <c r="V39" s="32" t="s">
        <v>116</v>
      </c>
      <c r="W39" s="32" t="s">
        <v>47</v>
      </c>
      <c r="X39" t="s">
        <v>47</v>
      </c>
      <c r="Y39" t="s">
        <v>8</v>
      </c>
      <c r="Z39" t="s">
        <v>10</v>
      </c>
      <c r="AC39" s="32" t="s">
        <v>47</v>
      </c>
      <c r="AD39" s="32" t="s">
        <v>8</v>
      </c>
      <c r="AE39" s="32" t="s">
        <v>10</v>
      </c>
    </row>
    <row r="40" spans="1:34">
      <c r="A40">
        <v>2030</v>
      </c>
      <c r="B40" s="8" t="s">
        <v>109</v>
      </c>
      <c r="C40" s="3">
        <f>'BAU Scenario'!C40*(1-'ACC emissions benefits'!C43)</f>
        <v>4995.8240994985263</v>
      </c>
      <c r="D40" s="3">
        <f>'BAU Scenario'!D40*(1-'ACC emissions benefits'!D43)</f>
        <v>20858372.983267713</v>
      </c>
      <c r="E40" s="3">
        <f>'Combined MOVES output'!E14</f>
        <v>321241773.91851801</v>
      </c>
      <c r="F40" s="3">
        <f>'BAU Scenario'!F40*(1-'ACC emissions benefits'!F43)</f>
        <v>597.2762511238908</v>
      </c>
      <c r="G40" s="3">
        <f>'BAU Scenario'!G40*(1-'ACC emissions benefits'!G43)</f>
        <v>9798.8519296930117</v>
      </c>
      <c r="H40" s="3">
        <f>'BAU Scenario'!H40*(1-'ACC emissions benefits'!H43)</f>
        <v>388.52480608689336</v>
      </c>
      <c r="I40" s="3">
        <f>'BAU Scenario'!I40*(1-'ACC emissions benefits'!I43)</f>
        <v>1944.9615067581369</v>
      </c>
      <c r="J40" s="3">
        <f>D40+AC40</f>
        <v>19534269.667618349</v>
      </c>
      <c r="L40" s="41">
        <f>'Fleet ZEV fractions'!AS22</f>
        <v>0.14084327115234685</v>
      </c>
      <c r="M40" s="41">
        <f>'ZEV efficiency'!L49</f>
        <v>4.2450182265177867</v>
      </c>
      <c r="O40" s="3">
        <f>E40*L40/M40</f>
        <v>10658315.195640812</v>
      </c>
      <c r="P40" s="129">
        <f>$O40*'GREET factors'!B102/454/2000</f>
        <v>231.30739145369049</v>
      </c>
      <c r="Q40" s="129">
        <f>$O40*'GREET factors'!C102/454/2000</f>
        <v>36.627855011844829</v>
      </c>
      <c r="R40" s="129">
        <f>$O40*'GREET factors'!D102/454/2000</f>
        <v>31.62405742530925</v>
      </c>
      <c r="S40" s="129">
        <f>$O40*'GREET factors'!E102/454/2000</f>
        <v>3.6141779914639138</v>
      </c>
      <c r="T40" s="129">
        <f>$O40*'GREET factors'!F102/454/2000</f>
        <v>442817.21941463946</v>
      </c>
      <c r="U40" s="129">
        <f>$O40*'GREET factors'!G102/454/2000</f>
        <v>7.978414684866169</v>
      </c>
      <c r="V40" s="129">
        <f>$O40*'GREET factors'!H102/454/2000</f>
        <v>55.116214369824675</v>
      </c>
      <c r="W40" s="129">
        <f>$O40*'GREET factors'!I102/454/2000</f>
        <v>444684.84589172842</v>
      </c>
      <c r="X40" s="3">
        <f>('Combined MOVES output'!D14/454/2000-D40)*'GREET factors'!V1</f>
        <v>1766920.5350640055</v>
      </c>
      <c r="Y40" s="261">
        <f>O40*M40*'GREET factors'!$J$7/454/2000</f>
        <v>476.35716311238161</v>
      </c>
      <c r="Z40" s="261">
        <f>O40*M40*'GREET factors'!K$7/454/2000</f>
        <v>59.739759743451621</v>
      </c>
      <c r="AA40" s="261"/>
      <c r="AB40" s="261"/>
      <c r="AC40" s="129">
        <f>T40-X40</f>
        <v>-1324103.315649366</v>
      </c>
      <c r="AD40" s="261">
        <f>P40-Y40</f>
        <v>-245.04977165869113</v>
      </c>
      <c r="AE40" s="261">
        <f>Q40-Z40</f>
        <v>-23.111904731606792</v>
      </c>
      <c r="AF40" s="261"/>
      <c r="AG40" s="261"/>
      <c r="AH40">
        <v>2030</v>
      </c>
    </row>
    <row r="41" spans="1:34">
      <c r="A41" s="6"/>
      <c r="C41" s="3"/>
      <c r="D41" s="3"/>
      <c r="E41" s="3"/>
      <c r="F41" s="3"/>
      <c r="G41" s="3"/>
      <c r="H41" s="3"/>
      <c r="L41" s="41"/>
      <c r="M41" s="41"/>
      <c r="O41" s="28"/>
      <c r="P41" s="32"/>
      <c r="Q41" s="32"/>
      <c r="R41" s="32"/>
      <c r="S41" s="32"/>
      <c r="T41" s="32"/>
      <c r="U41" s="32"/>
      <c r="V41" s="32"/>
      <c r="W41" s="32"/>
      <c r="AC41" s="32"/>
      <c r="AH41" s="6"/>
    </row>
    <row r="42" spans="1:34">
      <c r="A42">
        <v>2031</v>
      </c>
      <c r="B42">
        <v>20</v>
      </c>
      <c r="C42" s="3"/>
      <c r="D42" s="3"/>
      <c r="E42" s="3"/>
      <c r="F42" s="3"/>
      <c r="G42" s="3"/>
      <c r="H42" s="3"/>
      <c r="I42" s="3"/>
      <c r="J42" s="3"/>
      <c r="L42" s="41"/>
      <c r="M42" s="41"/>
      <c r="O42" s="28"/>
      <c r="P42" s="32"/>
      <c r="Q42" s="32"/>
      <c r="R42" s="32"/>
      <c r="S42" s="32"/>
      <c r="T42" s="32"/>
      <c r="U42" s="32"/>
      <c r="V42" s="32"/>
      <c r="W42" s="32"/>
      <c r="AC42" s="32"/>
    </row>
    <row r="43" spans="1:34">
      <c r="A43">
        <v>2031</v>
      </c>
      <c r="B43">
        <v>30</v>
      </c>
      <c r="C43" s="3"/>
      <c r="D43" s="3"/>
      <c r="E43" s="3"/>
      <c r="F43" s="3"/>
      <c r="G43" s="3"/>
      <c r="H43" s="3"/>
      <c r="I43" s="3"/>
      <c r="J43" s="3"/>
      <c r="L43" s="41"/>
      <c r="M43" s="41"/>
      <c r="O43" s="28" t="s">
        <v>17</v>
      </c>
      <c r="P43" s="32"/>
      <c r="Q43" s="32"/>
      <c r="R43" s="32"/>
      <c r="S43" s="32"/>
      <c r="T43" s="32"/>
      <c r="U43" s="32"/>
      <c r="V43" s="32"/>
      <c r="W43" s="32"/>
      <c r="AC43" s="32"/>
    </row>
    <row r="44" spans="1:34">
      <c r="A44">
        <v>2031</v>
      </c>
      <c r="B44">
        <v>41</v>
      </c>
      <c r="C44" s="3"/>
      <c r="D44" s="3"/>
      <c r="E44" s="3"/>
      <c r="F44" s="3"/>
      <c r="G44" s="3"/>
      <c r="H44" s="3"/>
      <c r="I44" s="3"/>
      <c r="J44" s="3"/>
      <c r="L44" s="41"/>
      <c r="M44" s="41"/>
      <c r="O44" s="28" t="s">
        <v>142</v>
      </c>
      <c r="P44" s="32" t="s">
        <v>8</v>
      </c>
      <c r="Q44" s="32" t="s">
        <v>10</v>
      </c>
      <c r="R44" s="32" t="s">
        <v>14</v>
      </c>
      <c r="S44" s="32" t="s">
        <v>15</v>
      </c>
      <c r="T44" s="32" t="s">
        <v>16</v>
      </c>
      <c r="U44" s="32" t="s">
        <v>115</v>
      </c>
      <c r="V44" s="32" t="s">
        <v>116</v>
      </c>
      <c r="W44" s="32" t="s">
        <v>47</v>
      </c>
      <c r="X44" t="s">
        <v>47</v>
      </c>
      <c r="Y44" t="s">
        <v>8</v>
      </c>
      <c r="Z44" t="s">
        <v>10</v>
      </c>
      <c r="AC44" s="32" t="s">
        <v>47</v>
      </c>
      <c r="AD44" s="32" t="s">
        <v>8</v>
      </c>
      <c r="AE44" s="32" t="s">
        <v>10</v>
      </c>
    </row>
    <row r="45" spans="1:34">
      <c r="A45">
        <v>2031</v>
      </c>
      <c r="B45" s="8" t="s">
        <v>109</v>
      </c>
      <c r="C45" s="3">
        <f>'BAU Scenario'!C45*(1-'ACC emissions benefits'!C44)</f>
        <v>4507.1358672503484</v>
      </c>
      <c r="D45" s="3">
        <f>'BAU Scenario'!D45*(1-'ACC emissions benefits'!D44)</f>
        <v>19291401.831859022</v>
      </c>
      <c r="E45" s="3">
        <f>'Combined MOVES output'!E15</f>
        <v>319072521.27916521</v>
      </c>
      <c r="F45" s="3">
        <f>'BAU Scenario'!F45*(1-'ACC emissions benefits'!F44)</f>
        <v>579.97093083516154</v>
      </c>
      <c r="G45" s="3">
        <f>'BAU Scenario'!G45*(1-'ACC emissions benefits'!G44)</f>
        <v>9460.8654353686288</v>
      </c>
      <c r="H45" s="3">
        <f>'BAU Scenario'!H45*(1-'ACC emissions benefits'!H44)</f>
        <v>363.81117274897309</v>
      </c>
      <c r="I45" s="3">
        <f>'BAU Scenario'!I45*(1-'ACC emissions benefits'!I44)</f>
        <v>1855.5670339415908</v>
      </c>
      <c r="J45" s="3">
        <f>D45+AC45</f>
        <v>17639463.01004051</v>
      </c>
      <c r="L45" s="41">
        <f>'Fleet ZEV fractions'!AS23</f>
        <v>0.17507835532266625</v>
      </c>
      <c r="M45" s="41">
        <f>'ZEV efficiency'!L50</f>
        <v>4.2065593236946501</v>
      </c>
      <c r="O45" s="3">
        <f>E45*L45/M45</f>
        <v>13279901.210366881</v>
      </c>
      <c r="P45" s="129">
        <f>$O45*'GREET factors'!B103/454/2000</f>
        <v>268.19378176433167</v>
      </c>
      <c r="Q45" s="129">
        <f>$O45*'GREET factors'!C103/454/2000</f>
        <v>42.468867474600387</v>
      </c>
      <c r="R45" s="129">
        <f>$O45*'GREET factors'!D103/454/2000</f>
        <v>36.667118600592218</v>
      </c>
      <c r="S45" s="129">
        <f>$O45*'GREET factors'!E103/454/2000</f>
        <v>4.1905278400676824</v>
      </c>
      <c r="T45" s="129">
        <f>$O45*'GREET factors'!F103/454/2000</f>
        <v>513432.89965273248</v>
      </c>
      <c r="U45" s="129">
        <f>$O45*'GREET factors'!G103/454/2000</f>
        <v>9.2507255966644415</v>
      </c>
      <c r="V45" s="129">
        <f>$O45*'GREET factors'!H103/454/2000</f>
        <v>63.905549561032146</v>
      </c>
      <c r="W45" s="129">
        <f>$O45*'GREET factors'!I103/454/2000</f>
        <v>515598.35491408739</v>
      </c>
      <c r="X45" s="3">
        <f>('Combined MOVES output'!D15/454/2000-D45)*'GREET factors'!V1</f>
        <v>2165371.7214712449</v>
      </c>
      <c r="Y45" s="261">
        <f>O45*M45*'GREET factors'!$J$7/454/2000</f>
        <v>588.14775532481769</v>
      </c>
      <c r="Z45" s="261">
        <f>O45*M45*'GREET factors'!K$7/454/2000</f>
        <v>73.759372835264344</v>
      </c>
      <c r="AA45" s="261"/>
      <c r="AB45" s="261"/>
      <c r="AC45" s="129">
        <f>T45-X45</f>
        <v>-1651938.8218185124</v>
      </c>
      <c r="AD45" s="261">
        <f>P45-Y45</f>
        <v>-319.95397356048602</v>
      </c>
      <c r="AE45" s="261">
        <f>Q45-Z45</f>
        <v>-31.290505360663957</v>
      </c>
      <c r="AF45" s="261"/>
      <c r="AG45" s="261"/>
      <c r="AH45">
        <v>2031</v>
      </c>
    </row>
    <row r="46" spans="1:34">
      <c r="L46" s="41"/>
      <c r="M46" s="41"/>
      <c r="O46" s="28"/>
      <c r="P46" s="32"/>
      <c r="Q46" s="32"/>
      <c r="R46" s="32"/>
      <c r="S46" s="32"/>
      <c r="T46" s="32"/>
      <c r="U46" s="32"/>
      <c r="V46" s="32"/>
      <c r="W46" s="32"/>
      <c r="AC46" s="32"/>
    </row>
    <row r="47" spans="1:34">
      <c r="A47">
        <v>2032</v>
      </c>
      <c r="B47">
        <v>20</v>
      </c>
      <c r="C47" s="3"/>
      <c r="D47" s="3"/>
      <c r="E47" s="3"/>
      <c r="F47" s="3"/>
      <c r="G47" s="3"/>
      <c r="H47" s="3"/>
      <c r="I47" s="3"/>
      <c r="J47" s="3"/>
      <c r="L47" s="41"/>
      <c r="M47" s="41"/>
      <c r="O47" s="28"/>
      <c r="P47" s="32"/>
      <c r="Q47" s="32"/>
      <c r="R47" s="32"/>
      <c r="S47" s="32"/>
      <c r="T47" s="32"/>
      <c r="U47" s="32"/>
      <c r="V47" s="32"/>
      <c r="W47" s="32"/>
      <c r="AC47" s="32"/>
    </row>
    <row r="48" spans="1:34">
      <c r="A48">
        <v>2032</v>
      </c>
      <c r="B48">
        <v>30</v>
      </c>
      <c r="C48" s="3"/>
      <c r="D48" s="3"/>
      <c r="E48" s="3"/>
      <c r="F48" s="3"/>
      <c r="G48" s="3"/>
      <c r="H48" s="3"/>
      <c r="I48" s="3"/>
      <c r="J48" s="3"/>
      <c r="L48" s="41"/>
      <c r="M48" s="41"/>
      <c r="O48" s="28" t="s">
        <v>17</v>
      </c>
      <c r="P48" s="32"/>
      <c r="Q48" s="32"/>
      <c r="R48" s="32"/>
      <c r="S48" s="32"/>
      <c r="T48" s="32"/>
      <c r="U48" s="32"/>
      <c r="V48" s="32"/>
      <c r="W48" s="32"/>
      <c r="AC48" s="32"/>
    </row>
    <row r="49" spans="1:34">
      <c r="A49">
        <v>2032</v>
      </c>
      <c r="B49">
        <v>41</v>
      </c>
      <c r="C49" s="3"/>
      <c r="D49" s="3"/>
      <c r="E49" s="3"/>
      <c r="F49" s="3"/>
      <c r="G49" s="3"/>
      <c r="H49" s="3"/>
      <c r="I49" s="3"/>
      <c r="J49" s="3"/>
      <c r="L49" s="41"/>
      <c r="M49" s="41"/>
      <c r="O49" s="28" t="s">
        <v>142</v>
      </c>
      <c r="P49" s="32" t="s">
        <v>8</v>
      </c>
      <c r="Q49" s="32" t="s">
        <v>10</v>
      </c>
      <c r="R49" s="32" t="s">
        <v>14</v>
      </c>
      <c r="S49" s="32" t="s">
        <v>15</v>
      </c>
      <c r="T49" s="32" t="s">
        <v>16</v>
      </c>
      <c r="U49" s="32" t="s">
        <v>115</v>
      </c>
      <c r="V49" s="32" t="s">
        <v>116</v>
      </c>
      <c r="W49" s="32" t="s">
        <v>47</v>
      </c>
      <c r="X49" t="s">
        <v>47</v>
      </c>
      <c r="Y49" t="s">
        <v>8</v>
      </c>
      <c r="Z49" t="s">
        <v>10</v>
      </c>
      <c r="AC49" s="32" t="s">
        <v>47</v>
      </c>
      <c r="AD49" s="32" t="s">
        <v>8</v>
      </c>
      <c r="AE49" s="32" t="s">
        <v>10</v>
      </c>
    </row>
    <row r="50" spans="1:34">
      <c r="A50">
        <v>2032</v>
      </c>
      <c r="B50" s="8" t="s">
        <v>109</v>
      </c>
      <c r="C50" s="3">
        <f>'BAU Scenario'!C50*(1-'ACC emissions benefits'!C45)</f>
        <v>4018.5722630876239</v>
      </c>
      <c r="D50" s="3">
        <f>'BAU Scenario'!D50*(1-'ACC emissions benefits'!D45)</f>
        <v>17701486.961390346</v>
      </c>
      <c r="E50" s="3">
        <f>'Combined MOVES output'!E16</f>
        <v>316903268.63981247</v>
      </c>
      <c r="F50" s="3">
        <f>'BAU Scenario'!F50*(1-'ACC emissions benefits'!F45)</f>
        <v>559.3461244766371</v>
      </c>
      <c r="G50" s="3">
        <f>'BAU Scenario'!G50*(1-'ACC emissions benefits'!G45)</f>
        <v>9111.0319372568374</v>
      </c>
      <c r="H50" s="3">
        <f>'BAU Scenario'!H50*(1-'ACC emissions benefits'!H45)</f>
        <v>339.17566307674065</v>
      </c>
      <c r="I50" s="3">
        <f>'BAU Scenario'!I50*(1-'ACC emissions benefits'!I45)</f>
        <v>1763.2781274500526</v>
      </c>
      <c r="J50" s="3">
        <f>D50+AC50</f>
        <v>15708002.834241232</v>
      </c>
      <c r="L50" s="41">
        <f>'Fleet ZEV fractions'!AS24</f>
        <v>0.21210450884843679</v>
      </c>
      <c r="M50" s="41">
        <f>'ZEV efficiency'!L51</f>
        <v>4.1683672854151466</v>
      </c>
      <c r="O50" s="3">
        <f>E50*L50/M50</f>
        <v>16125405.355352998</v>
      </c>
      <c r="P50" s="129">
        <f>$O50*'GREET factors'!B104/454/2000</f>
        <v>301.36561512039873</v>
      </c>
      <c r="Q50" s="129">
        <f>$O50*'GREET factors'!C104/454/2000</f>
        <v>47.721674550963797</v>
      </c>
      <c r="R50" s="129">
        <f>$O50*'GREET factors'!D104/454/2000</f>
        <v>41.202330192242023</v>
      </c>
      <c r="S50" s="129">
        <f>$O50*'GREET factors'!E104/454/2000</f>
        <v>4.7088377362562301</v>
      </c>
      <c r="T50" s="129">
        <f>$O50*'GREET factors'!F104/454/2000</f>
        <v>576937.39433101984</v>
      </c>
      <c r="U50" s="129">
        <f>$O50*'GREET factors'!G104/454/2000</f>
        <v>10.394911438321673</v>
      </c>
      <c r="V50" s="129">
        <f>$O50*'GREET factors'!H104/454/2000</f>
        <v>71.809775477907522</v>
      </c>
      <c r="W50" s="129">
        <f>$O50*'GREET factors'!I104/454/2000</f>
        <v>579370.68623123039</v>
      </c>
      <c r="X50" s="3">
        <f>('Combined MOVES output'!D16/454/2000-D50)*'GREET factors'!V1</f>
        <v>2570421.5214801338</v>
      </c>
      <c r="Y50" s="261">
        <f>O50*M50*'GREET factors'!$J$7/454/2000</f>
        <v>707.68697246235877</v>
      </c>
      <c r="Z50" s="261">
        <f>O50*M50*'GREET factors'!K$7/454/2000</f>
        <v>88.750737854440587</v>
      </c>
      <c r="AA50" s="261"/>
      <c r="AB50" s="261"/>
      <c r="AC50" s="129">
        <f>T50-X50</f>
        <v>-1993484.1271491139</v>
      </c>
      <c r="AD50" s="261">
        <f>P50-Y50</f>
        <v>-406.32135734196004</v>
      </c>
      <c r="AE50" s="261">
        <f>Q50-Z50</f>
        <v>-41.029063303476789</v>
      </c>
      <c r="AF50" s="261"/>
      <c r="AG50" s="261"/>
      <c r="AH50">
        <v>2032</v>
      </c>
    </row>
    <row r="51" spans="1:34">
      <c r="A51" s="6"/>
      <c r="C51" s="3"/>
      <c r="D51" s="3"/>
      <c r="E51" s="3"/>
      <c r="F51" s="3"/>
      <c r="G51" s="3"/>
      <c r="H51" s="3"/>
      <c r="L51" s="41"/>
      <c r="M51" s="41"/>
      <c r="O51" s="28"/>
      <c r="P51" s="32"/>
      <c r="Q51" s="32"/>
      <c r="R51" s="32"/>
      <c r="S51" s="32"/>
      <c r="T51" s="32"/>
      <c r="U51" s="32"/>
      <c r="V51" s="32"/>
      <c r="W51" s="32"/>
      <c r="X51" s="3"/>
      <c r="Y51" s="3"/>
      <c r="Z51" s="3"/>
      <c r="AA51" s="3"/>
      <c r="AB51" s="3"/>
      <c r="AC51" s="32"/>
      <c r="AH51" s="6"/>
    </row>
    <row r="52" spans="1:34">
      <c r="A52">
        <v>2033</v>
      </c>
      <c r="B52">
        <v>20</v>
      </c>
      <c r="C52" s="3"/>
      <c r="D52" s="3"/>
      <c r="E52" s="3"/>
      <c r="F52" s="3"/>
      <c r="G52" s="3"/>
      <c r="H52" s="3"/>
      <c r="I52" s="3"/>
      <c r="J52" s="3"/>
      <c r="L52" s="41"/>
      <c r="M52" s="41"/>
      <c r="O52" s="28"/>
      <c r="P52" s="32"/>
      <c r="Q52" s="32"/>
      <c r="R52" s="32"/>
      <c r="S52" s="32"/>
      <c r="T52" s="32"/>
      <c r="U52" s="32"/>
      <c r="V52" s="32"/>
      <c r="W52" s="32"/>
      <c r="X52" s="3"/>
      <c r="Y52" s="3"/>
      <c r="Z52" s="3"/>
      <c r="AA52" s="3"/>
      <c r="AB52" s="3"/>
      <c r="AC52" s="32"/>
    </row>
    <row r="53" spans="1:34">
      <c r="A53">
        <v>2033</v>
      </c>
      <c r="B53">
        <v>30</v>
      </c>
      <c r="C53" s="3"/>
      <c r="D53" s="3"/>
      <c r="E53" s="3"/>
      <c r="F53" s="3"/>
      <c r="G53" s="3"/>
      <c r="H53" s="3"/>
      <c r="I53" s="3"/>
      <c r="J53" s="3"/>
      <c r="L53" s="41"/>
      <c r="M53" s="41"/>
      <c r="O53" s="28" t="s">
        <v>17</v>
      </c>
      <c r="P53" s="32"/>
      <c r="Q53" s="32"/>
      <c r="R53" s="32"/>
      <c r="S53" s="32"/>
      <c r="T53" s="32"/>
      <c r="U53" s="32"/>
      <c r="V53" s="32"/>
      <c r="W53" s="32"/>
      <c r="X53" s="3"/>
      <c r="Y53" s="3"/>
      <c r="Z53" s="3"/>
      <c r="AA53" s="3"/>
      <c r="AB53" s="3"/>
      <c r="AC53" s="32"/>
    </row>
    <row r="54" spans="1:34">
      <c r="A54">
        <v>2033</v>
      </c>
      <c r="B54">
        <v>41</v>
      </c>
      <c r="C54" s="3"/>
      <c r="D54" s="3"/>
      <c r="E54" s="3"/>
      <c r="F54" s="3"/>
      <c r="G54" s="3"/>
      <c r="H54" s="3"/>
      <c r="I54" s="3"/>
      <c r="J54" s="3"/>
      <c r="L54" s="41"/>
      <c r="M54" s="41"/>
      <c r="O54" s="28" t="s">
        <v>142</v>
      </c>
      <c r="P54" s="32" t="s">
        <v>8</v>
      </c>
      <c r="Q54" s="32" t="s">
        <v>10</v>
      </c>
      <c r="R54" s="32" t="s">
        <v>14</v>
      </c>
      <c r="S54" s="32" t="s">
        <v>15</v>
      </c>
      <c r="T54" s="32" t="s">
        <v>16</v>
      </c>
      <c r="U54" s="32" t="s">
        <v>115</v>
      </c>
      <c r="V54" s="32" t="s">
        <v>116</v>
      </c>
      <c r="W54" s="32" t="s">
        <v>47</v>
      </c>
      <c r="X54" t="s">
        <v>47</v>
      </c>
      <c r="Y54" t="s">
        <v>8</v>
      </c>
      <c r="Z54" t="s">
        <v>10</v>
      </c>
      <c r="AC54" s="32" t="s">
        <v>47</v>
      </c>
      <c r="AD54" s="32" t="s">
        <v>8</v>
      </c>
      <c r="AE54" s="32" t="s">
        <v>10</v>
      </c>
    </row>
    <row r="55" spans="1:34">
      <c r="A55">
        <v>2033</v>
      </c>
      <c r="B55" s="8" t="s">
        <v>109</v>
      </c>
      <c r="C55" s="3">
        <f>'BAU Scenario'!C55*(1-'ACC emissions benefits'!C46)</f>
        <v>3537.9273211634941</v>
      </c>
      <c r="D55" s="3">
        <f>'BAU Scenario'!D55*(1-'ACC emissions benefits'!D46)</f>
        <v>16147114.057437079</v>
      </c>
      <c r="E55" s="3">
        <f>'Combined MOVES output'!E17</f>
        <v>314734016.00045967</v>
      </c>
      <c r="F55" s="3">
        <f>'BAU Scenario'!F55*(1-'ACC emissions benefits'!F46)</f>
        <v>538.33363253871187</v>
      </c>
      <c r="G55" s="3">
        <f>'BAU Scenario'!G55*(1-'ACC emissions benefits'!G46)</f>
        <v>8753.432255435644</v>
      </c>
      <c r="H55" s="3">
        <f>'BAU Scenario'!H55*(1-'ACC emissions benefits'!H46)</f>
        <v>315.38150428879271</v>
      </c>
      <c r="I55" s="3">
        <f>'BAU Scenario'!I55*(1-'ACC emissions benefits'!I46)</f>
        <v>1670.4587601863536</v>
      </c>
      <c r="J55" s="3">
        <f>D55+AC55</f>
        <v>13813335.483831212</v>
      </c>
      <c r="L55" s="41">
        <f>'Fleet ZEV fractions'!AS25</f>
        <v>0.25193547799684346</v>
      </c>
      <c r="M55" s="41">
        <f>'ZEV efficiency'!L52</f>
        <v>4.1304310049999096</v>
      </c>
      <c r="O55" s="3">
        <f>E55*L55/M55</f>
        <v>19197189.026268151</v>
      </c>
      <c r="P55" s="129">
        <f>$O55*'GREET factors'!B105/454/2000</f>
        <v>329.85140423109095</v>
      </c>
      <c r="Q55" s="129">
        <f>$O55*'GREET factors'!C105/454/2000</f>
        <v>52.23243984422642</v>
      </c>
      <c r="R55" s="129">
        <f>$O55*'GREET factors'!D105/454/2000</f>
        <v>45.096871672219471</v>
      </c>
      <c r="S55" s="129">
        <f>$O55*'GREET factors'!E105/454/2000</f>
        <v>5.1539281911107961</v>
      </c>
      <c r="T55" s="129">
        <f>$O55*'GREET factors'!F105/454/2000</f>
        <v>631470.87831332465</v>
      </c>
      <c r="U55" s="129">
        <f>$O55*'GREET factors'!G105/454/2000</f>
        <v>11.377462997623002</v>
      </c>
      <c r="V55" s="129">
        <f>$O55*'GREET factors'!H105/454/2000</f>
        <v>78.597404914439622</v>
      </c>
      <c r="W55" s="129">
        <f>$O55*'GREET factors'!I105/454/2000</f>
        <v>634134.1707060812</v>
      </c>
      <c r="X55" s="3">
        <f>('Combined MOVES output'!D17/454/2000-D55)*'GREET factors'!V1</f>
        <v>2965249.4519191911</v>
      </c>
      <c r="Y55" s="261">
        <f>O55*M55*'GREET factors'!$J$7/454/2000</f>
        <v>834.82913035811919</v>
      </c>
      <c r="Z55" s="261">
        <f>O55*M55*'GREET factors'!K$7/454/2000</f>
        <v>104.69558460835582</v>
      </c>
      <c r="AA55" s="261"/>
      <c r="AB55" s="261"/>
      <c r="AC55" s="129">
        <f>T55-X55</f>
        <v>-2333778.5736058662</v>
      </c>
      <c r="AD55" s="261">
        <f>P55-Y55</f>
        <v>-504.97772612702823</v>
      </c>
      <c r="AE55" s="261">
        <f>Q55-Z55</f>
        <v>-52.463144764129396</v>
      </c>
      <c r="AF55" s="261"/>
      <c r="AG55" s="261"/>
      <c r="AH55">
        <v>2033</v>
      </c>
    </row>
    <row r="56" spans="1:34">
      <c r="L56" s="41"/>
      <c r="M56" s="41"/>
      <c r="O56" s="28"/>
      <c r="P56" s="32"/>
      <c r="Q56" s="32"/>
      <c r="R56" s="32"/>
      <c r="S56" s="32"/>
      <c r="T56" s="32"/>
      <c r="U56" s="32"/>
      <c r="V56" s="32"/>
      <c r="W56" s="32"/>
      <c r="X56" s="3"/>
      <c r="Y56" s="3"/>
      <c r="Z56" s="3"/>
      <c r="AA56" s="3"/>
      <c r="AB56" s="3"/>
      <c r="AC56" s="32"/>
    </row>
    <row r="57" spans="1:34">
      <c r="A57">
        <v>2034</v>
      </c>
      <c r="B57">
        <v>20</v>
      </c>
      <c r="C57" s="3"/>
      <c r="D57" s="3"/>
      <c r="E57" s="3"/>
      <c r="F57" s="3"/>
      <c r="G57" s="3"/>
      <c r="H57" s="3"/>
      <c r="I57" s="3"/>
      <c r="J57" s="3"/>
      <c r="L57" s="41"/>
      <c r="M57" s="41"/>
      <c r="O57" s="28"/>
      <c r="P57" s="32"/>
      <c r="Q57" s="32"/>
      <c r="R57" s="32"/>
      <c r="S57" s="32"/>
      <c r="T57" s="32"/>
      <c r="U57" s="32"/>
      <c r="V57" s="32"/>
      <c r="W57" s="32"/>
      <c r="X57" s="3"/>
      <c r="Y57" s="3"/>
      <c r="Z57" s="3"/>
      <c r="AA57" s="3"/>
      <c r="AB57" s="3"/>
      <c r="AC57" s="32"/>
    </row>
    <row r="58" spans="1:34">
      <c r="A58">
        <v>2034</v>
      </c>
      <c r="B58">
        <v>30</v>
      </c>
      <c r="C58" s="3"/>
      <c r="D58" s="3"/>
      <c r="E58" s="3"/>
      <c r="F58" s="3"/>
      <c r="G58" s="3"/>
      <c r="H58" s="3"/>
      <c r="I58" s="3"/>
      <c r="J58" s="3"/>
      <c r="L58" s="41"/>
      <c r="M58" s="41"/>
      <c r="O58" s="28" t="s">
        <v>17</v>
      </c>
      <c r="P58" s="32"/>
      <c r="Q58" s="32"/>
      <c r="R58" s="32"/>
      <c r="S58" s="32"/>
      <c r="T58" s="32"/>
      <c r="U58" s="32"/>
      <c r="V58" s="32"/>
      <c r="W58" s="32"/>
      <c r="X58" s="3"/>
      <c r="Y58" s="3"/>
      <c r="Z58" s="3"/>
      <c r="AA58" s="3"/>
      <c r="AB58" s="3"/>
      <c r="AC58" s="32"/>
    </row>
    <row r="59" spans="1:34">
      <c r="A59">
        <v>2034</v>
      </c>
      <c r="B59">
        <v>41</v>
      </c>
      <c r="C59" s="3"/>
      <c r="D59" s="3"/>
      <c r="E59" s="3"/>
      <c r="F59" s="3"/>
      <c r="G59" s="3"/>
      <c r="H59" s="3"/>
      <c r="I59" s="3"/>
      <c r="J59" s="3"/>
      <c r="L59" s="41"/>
      <c r="M59" s="41"/>
      <c r="O59" s="28" t="s">
        <v>142</v>
      </c>
      <c r="P59" s="32" t="s">
        <v>8</v>
      </c>
      <c r="Q59" s="32" t="s">
        <v>10</v>
      </c>
      <c r="R59" s="32" t="s">
        <v>14</v>
      </c>
      <c r="S59" s="32" t="s">
        <v>15</v>
      </c>
      <c r="T59" s="32" t="s">
        <v>16</v>
      </c>
      <c r="U59" s="32" t="s">
        <v>115</v>
      </c>
      <c r="V59" s="32" t="s">
        <v>116</v>
      </c>
      <c r="W59" s="32" t="s">
        <v>47</v>
      </c>
      <c r="X59" t="s">
        <v>47</v>
      </c>
      <c r="Y59" t="s">
        <v>8</v>
      </c>
      <c r="Z59" t="s">
        <v>10</v>
      </c>
      <c r="AC59" s="32" t="s">
        <v>47</v>
      </c>
      <c r="AD59" s="32" t="s">
        <v>8</v>
      </c>
      <c r="AE59" s="32" t="s">
        <v>10</v>
      </c>
    </row>
    <row r="60" spans="1:34">
      <c r="A60">
        <v>2034</v>
      </c>
      <c r="B60" s="8" t="s">
        <v>109</v>
      </c>
      <c r="C60" s="3">
        <f>'BAU Scenario'!C60*(1-'ACC emissions benefits'!C47)</f>
        <v>3068.47679379389</v>
      </c>
      <c r="D60" s="3">
        <f>'BAU Scenario'!D60*(1-'ACC emissions benefits'!D47)</f>
        <v>14581137.303393543</v>
      </c>
      <c r="E60" s="3">
        <f>'Combined MOVES output'!E18</f>
        <v>312564763.36110693</v>
      </c>
      <c r="F60" s="3">
        <f>'BAU Scenario'!F60*(1-'ACC emissions benefits'!F47)</f>
        <v>517.17053510390519</v>
      </c>
      <c r="G60" s="3">
        <f>'BAU Scenario'!G60*(1-'ACC emissions benefits'!G47)</f>
        <v>8382.1712098272383</v>
      </c>
      <c r="H60" s="3">
        <f>'BAU Scenario'!H60*(1-'ACC emissions benefits'!H47)</f>
        <v>292.27284432107632</v>
      </c>
      <c r="I60" s="3">
        <f>'BAU Scenario'!I60*(1-'ACC emissions benefits'!I47)</f>
        <v>1576.4535854937769</v>
      </c>
      <c r="J60" s="3">
        <f>D60+AC60</f>
        <v>11893073.919676863</v>
      </c>
      <c r="L60" s="41">
        <f>'Fleet ZEV fractions'!AS26</f>
        <v>0.29458491662186187</v>
      </c>
      <c r="M60" s="41">
        <f>'ZEV efficiency'!L53</f>
        <v>4.0914969525160645</v>
      </c>
      <c r="O60" s="3">
        <f>E60*L60/M60</f>
        <v>22504444.173431691</v>
      </c>
      <c r="P60" s="129">
        <f>$O60*'GREET factors'!B106/454/2000</f>
        <v>352.77250474393014</v>
      </c>
      <c r="Q60" s="129">
        <f>$O60*'GREET factors'!C106/454/2000</f>
        <v>55.862028769249093</v>
      </c>
      <c r="R60" s="129">
        <f>$O60*'GREET factors'!D106/454/2000</f>
        <v>48.230615882959199</v>
      </c>
      <c r="S60" s="129">
        <f>$O60*'GREET factors'!E106/454/2000</f>
        <v>5.5120703866239085</v>
      </c>
      <c r="T60" s="129">
        <f>$O60*'GREET factors'!F106/454/2000</f>
        <v>675351.26592753117</v>
      </c>
      <c r="U60" s="129">
        <f>$O60*'GREET factors'!G106/454/2000</f>
        <v>12.16807346525928</v>
      </c>
      <c r="V60" s="129">
        <f>$O60*'GREET factors'!H106/454/2000</f>
        <v>84.059073396014583</v>
      </c>
      <c r="W60" s="129">
        <f>$O60*'GREET factors'!I106/454/2000</f>
        <v>678199.62829981896</v>
      </c>
      <c r="X60" s="3">
        <f>('Combined MOVES output'!D18/454/2000-D60)*'GREET factors'!V1</f>
        <v>3363414.6496442119</v>
      </c>
      <c r="Y60" s="261">
        <f>O60*M60*'GREET factors'!$J$7/454/2000</f>
        <v>969.42698493251089</v>
      </c>
      <c r="Z60" s="261">
        <f>O60*M60*'GREET factors'!K$7/454/2000</f>
        <v>121.57544727636237</v>
      </c>
      <c r="AA60" s="261"/>
      <c r="AB60" s="261"/>
      <c r="AC60" s="129">
        <f>T60-X60</f>
        <v>-2688063.3837166806</v>
      </c>
      <c r="AD60" s="261">
        <f>P60-Y60</f>
        <v>-616.65448018858069</v>
      </c>
      <c r="AE60" s="261">
        <f>Q60-Z60</f>
        <v>-65.713418507113275</v>
      </c>
      <c r="AF60" s="261"/>
      <c r="AG60" s="261"/>
      <c r="AH60">
        <v>2034</v>
      </c>
    </row>
    <row r="61" spans="1:34">
      <c r="L61" s="41"/>
      <c r="M61" s="41"/>
      <c r="O61" s="28"/>
      <c r="P61" s="32"/>
      <c r="Q61" s="32"/>
      <c r="R61" s="32"/>
      <c r="S61" s="32"/>
      <c r="T61" s="32"/>
      <c r="U61" s="32"/>
      <c r="V61" s="32"/>
      <c r="W61" s="32"/>
      <c r="AC61" s="32"/>
    </row>
    <row r="62" spans="1:34">
      <c r="A62">
        <v>2035</v>
      </c>
      <c r="B62">
        <v>20</v>
      </c>
      <c r="C62" s="3"/>
      <c r="D62" s="3"/>
      <c r="E62" s="3"/>
      <c r="F62" s="3"/>
      <c r="G62" s="3"/>
      <c r="H62" s="3"/>
      <c r="I62" s="3"/>
      <c r="J62" s="3"/>
      <c r="L62" s="41"/>
      <c r="M62" s="41"/>
      <c r="O62" s="28"/>
      <c r="P62" s="32"/>
      <c r="Q62" s="32"/>
      <c r="R62" s="32"/>
      <c r="S62" s="32"/>
      <c r="T62" s="32"/>
      <c r="U62" s="32"/>
      <c r="V62" s="32"/>
      <c r="W62" s="32"/>
      <c r="AC62" s="32"/>
    </row>
    <row r="63" spans="1:34">
      <c r="A63">
        <v>2035</v>
      </c>
      <c r="B63">
        <v>30</v>
      </c>
      <c r="C63" s="3"/>
      <c r="D63" s="3"/>
      <c r="E63" s="3"/>
      <c r="F63" s="3"/>
      <c r="G63" s="3"/>
      <c r="H63" s="3"/>
      <c r="I63" s="3"/>
      <c r="J63" s="3"/>
      <c r="L63" s="41"/>
      <c r="M63" s="41"/>
      <c r="O63" s="28" t="s">
        <v>17</v>
      </c>
      <c r="P63" s="32"/>
      <c r="Q63" s="32"/>
      <c r="R63" s="32"/>
      <c r="S63" s="32"/>
      <c r="T63" s="32"/>
      <c r="U63" s="32"/>
      <c r="V63" s="32"/>
      <c r="W63" s="32"/>
      <c r="AC63" s="32"/>
    </row>
    <row r="64" spans="1:34">
      <c r="A64">
        <v>2035</v>
      </c>
      <c r="B64">
        <v>41</v>
      </c>
      <c r="C64" s="3"/>
      <c r="D64" s="3"/>
      <c r="E64" s="3"/>
      <c r="F64" s="3"/>
      <c r="G64" s="3"/>
      <c r="H64" s="3"/>
      <c r="I64" s="3"/>
      <c r="J64" s="3"/>
      <c r="L64" s="41"/>
      <c r="M64" s="41"/>
      <c r="O64" s="28" t="s">
        <v>142</v>
      </c>
      <c r="P64" s="32" t="s">
        <v>8</v>
      </c>
      <c r="Q64" s="32" t="s">
        <v>10</v>
      </c>
      <c r="R64" s="32" t="s">
        <v>14</v>
      </c>
      <c r="S64" s="32" t="s">
        <v>15</v>
      </c>
      <c r="T64" s="32" t="s">
        <v>16</v>
      </c>
      <c r="U64" s="32" t="s">
        <v>115</v>
      </c>
      <c r="V64" s="32" t="s">
        <v>116</v>
      </c>
      <c r="W64" s="32" t="s">
        <v>47</v>
      </c>
      <c r="X64" t="s">
        <v>47</v>
      </c>
      <c r="Y64" t="s">
        <v>8</v>
      </c>
      <c r="Z64" t="s">
        <v>10</v>
      </c>
      <c r="AC64" s="32" t="s">
        <v>47</v>
      </c>
      <c r="AD64" s="32" t="s">
        <v>8</v>
      </c>
      <c r="AE64" s="32" t="s">
        <v>10</v>
      </c>
    </row>
    <row r="65" spans="1:34">
      <c r="A65">
        <v>2035</v>
      </c>
      <c r="B65" s="8" t="s">
        <v>109</v>
      </c>
      <c r="C65" s="3">
        <f>'BAU Scenario'!C65*(1-'ACC emissions benefits'!C48)</f>
        <v>2605.0485964831446</v>
      </c>
      <c r="D65" s="3">
        <f>'BAU Scenario'!D65*(1-'ACC emissions benefits'!D48)</f>
        <v>13069460.321363706</v>
      </c>
      <c r="E65" s="3">
        <f>'Combined MOVES output'!E19</f>
        <v>310395510.72175413</v>
      </c>
      <c r="F65" s="3">
        <f>'BAU Scenario'!F65*(1-'ACC emissions benefits'!F48)</f>
        <v>492.30875556182667</v>
      </c>
      <c r="G65" s="3">
        <f>'BAU Scenario'!G65*(1-'ACC emissions benefits'!G48)</f>
        <v>7883.5607195191296</v>
      </c>
      <c r="H65" s="3">
        <f>'BAU Scenario'!H65*(1-'ACC emissions benefits'!H48)</f>
        <v>270.47342868945634</v>
      </c>
      <c r="I65" s="3">
        <f>'BAU Scenario'!I65*(1-'ACC emissions benefits'!I48)</f>
        <v>1484.0336303935844</v>
      </c>
      <c r="J65" s="3">
        <f>D65+AC65</f>
        <v>10031089.243994072</v>
      </c>
      <c r="L65" s="41">
        <f>'Fleet ZEV fractions'!AS27</f>
        <v>0.34006638704027398</v>
      </c>
      <c r="M65" s="41">
        <f>'ZEV efficiency'!L54</f>
        <v>4.0464389688696487</v>
      </c>
      <c r="O65" s="3">
        <f>E65*L65/M65</f>
        <v>26085919.174051896</v>
      </c>
      <c r="P65" s="129">
        <f>$O65*'GREET factors'!B107/454/2000</f>
        <v>369.61366573321391</v>
      </c>
      <c r="Q65" s="129">
        <f>$O65*'GREET factors'!C107/454/2000</f>
        <v>58.528850607798596</v>
      </c>
      <c r="R65" s="129">
        <f>$O65*'GREET factors'!D107/454/2000</f>
        <v>50.533118361962835</v>
      </c>
      <c r="S65" s="129">
        <f>$O65*'GREET factors'!E107/454/2000</f>
        <v>5.7752135270814673</v>
      </c>
      <c r="T65" s="129">
        <f>$O65*'GREET factors'!F107/454/2000</f>
        <v>707592.15556845709</v>
      </c>
      <c r="U65" s="129">
        <f>$O65*'GREET factors'!G107/454/2000</f>
        <v>12.748970449582403</v>
      </c>
      <c r="V65" s="129">
        <f>$O65*'GREET factors'!H107/454/2000</f>
        <v>88.072006287992352</v>
      </c>
      <c r="W65" s="129">
        <f>$O65*'GREET factors'!I107/454/2000</f>
        <v>710576.4971585765</v>
      </c>
      <c r="X65" s="3">
        <f>('Combined MOVES output'!D19/454/2000-D65)*'GREET factors'!V1</f>
        <v>3745963.2329380917</v>
      </c>
      <c r="Y65" s="261">
        <f>O65*M65*'GREET factors'!$J$7/454/2000</f>
        <v>1111.3317456091165</v>
      </c>
      <c r="Z65" s="261">
        <f>O65*M65*'GREET factors'!K$7/454/2000</f>
        <v>139.37166609226892</v>
      </c>
      <c r="AA65" s="261"/>
      <c r="AB65" s="261"/>
      <c r="AC65" s="129">
        <f>T65-X65</f>
        <v>-3038371.0773696345</v>
      </c>
      <c r="AD65" s="261">
        <f>P65-Y65</f>
        <v>-741.71807987590262</v>
      </c>
      <c r="AE65" s="261">
        <f>Q65-Z65</f>
        <v>-80.842815484470322</v>
      </c>
      <c r="AF65" s="261"/>
      <c r="AG65" s="261"/>
      <c r="AH65">
        <v>2035</v>
      </c>
    </row>
    <row r="66" spans="1:34">
      <c r="A66" s="6"/>
      <c r="C66" s="3"/>
      <c r="D66" s="3"/>
      <c r="E66" s="3"/>
      <c r="F66" s="3"/>
      <c r="G66" s="3"/>
      <c r="H66" s="3"/>
      <c r="L66" s="41"/>
      <c r="M66" s="41"/>
      <c r="O66" s="28"/>
      <c r="P66" s="32"/>
      <c r="Q66" s="32"/>
      <c r="R66" s="32"/>
      <c r="S66" s="32"/>
      <c r="T66" s="32"/>
      <c r="U66" s="32"/>
      <c r="V66" s="32"/>
      <c r="W66" s="32"/>
      <c r="AC66" s="32"/>
      <c r="AH66" s="6"/>
    </row>
    <row r="67" spans="1:34">
      <c r="A67">
        <v>2036</v>
      </c>
      <c r="B67">
        <v>20</v>
      </c>
      <c r="C67" s="3"/>
      <c r="D67" s="3"/>
      <c r="E67" s="3"/>
      <c r="F67" s="3"/>
      <c r="G67" s="3"/>
      <c r="H67" s="3"/>
      <c r="I67" s="3"/>
      <c r="J67" s="3"/>
      <c r="L67" s="41"/>
      <c r="M67" s="41"/>
      <c r="O67" s="28"/>
      <c r="P67" s="32"/>
      <c r="Q67" s="32"/>
      <c r="R67" s="32"/>
      <c r="S67" s="32"/>
      <c r="T67" s="32"/>
      <c r="U67" s="32"/>
      <c r="V67" s="32"/>
      <c r="W67" s="32"/>
      <c r="AC67" s="32"/>
    </row>
    <row r="68" spans="1:34">
      <c r="A68">
        <v>2036</v>
      </c>
      <c r="B68">
        <v>30</v>
      </c>
      <c r="C68" s="3"/>
      <c r="D68" s="3"/>
      <c r="E68" s="3"/>
      <c r="F68" s="3"/>
      <c r="G68" s="3"/>
      <c r="H68" s="3"/>
      <c r="I68" s="3"/>
      <c r="J68" s="3"/>
      <c r="L68" s="41"/>
      <c r="M68" s="41"/>
      <c r="O68" s="28" t="s">
        <v>17</v>
      </c>
      <c r="P68" s="32"/>
      <c r="Q68" s="32"/>
      <c r="R68" s="32"/>
      <c r="S68" s="32"/>
      <c r="T68" s="32"/>
      <c r="U68" s="32"/>
      <c r="V68" s="32"/>
      <c r="W68" s="32"/>
      <c r="AC68" s="32"/>
    </row>
    <row r="69" spans="1:34">
      <c r="A69">
        <v>2036</v>
      </c>
      <c r="B69">
        <v>41</v>
      </c>
      <c r="C69" s="3"/>
      <c r="D69" s="3"/>
      <c r="E69" s="3"/>
      <c r="F69" s="3"/>
      <c r="G69" s="3"/>
      <c r="H69" s="3"/>
      <c r="I69" s="3"/>
      <c r="J69" s="3"/>
      <c r="L69" s="41"/>
      <c r="M69" s="41"/>
      <c r="O69" s="28" t="s">
        <v>142</v>
      </c>
      <c r="P69" s="32" t="s">
        <v>8</v>
      </c>
      <c r="Q69" s="32" t="s">
        <v>10</v>
      </c>
      <c r="R69" s="32" t="s">
        <v>14</v>
      </c>
      <c r="S69" s="32" t="s">
        <v>15</v>
      </c>
      <c r="T69" s="32" t="s">
        <v>16</v>
      </c>
      <c r="U69" s="32" t="s">
        <v>115</v>
      </c>
      <c r="V69" s="32" t="s">
        <v>116</v>
      </c>
      <c r="W69" s="32" t="s">
        <v>47</v>
      </c>
      <c r="X69" t="s">
        <v>47</v>
      </c>
      <c r="Y69" t="s">
        <v>8</v>
      </c>
      <c r="Z69" t="s">
        <v>10</v>
      </c>
      <c r="AC69" s="32" t="s">
        <v>47</v>
      </c>
      <c r="AD69" s="32" t="s">
        <v>8</v>
      </c>
      <c r="AE69" s="32" t="s">
        <v>10</v>
      </c>
    </row>
    <row r="70" spans="1:34">
      <c r="A70">
        <v>2036</v>
      </c>
      <c r="B70" t="s">
        <v>109</v>
      </c>
      <c r="C70" s="3">
        <f>'BAU Scenario'!C70*(1-'ACC emissions benefits'!C49)</f>
        <v>2424.8751031683951</v>
      </c>
      <c r="D70" s="3">
        <f>'BAU Scenario'!D70*(1-'ACC emissions benefits'!D49)</f>
        <v>11802867.898372553</v>
      </c>
      <c r="E70" s="3">
        <f>'Combined MOVES output'!E20</f>
        <v>310737968.7658385</v>
      </c>
      <c r="F70" s="3">
        <f>'BAU Scenario'!F70*(1-'ACC emissions benefits'!F49)</f>
        <v>475.05242718308591</v>
      </c>
      <c r="G70" s="3">
        <f>'BAU Scenario'!G70*(1-'ACC emissions benefits'!G49)</f>
        <v>7500.9616412305359</v>
      </c>
      <c r="H70" s="3">
        <f>'BAU Scenario'!H70*(1-'ACC emissions benefits'!H49)</f>
        <v>251.46355655351724</v>
      </c>
      <c r="I70" s="3">
        <f>'BAU Scenario'!I70*(1-'ACC emissions benefits'!I49)</f>
        <v>1421.4890566848376</v>
      </c>
      <c r="J70" s="3">
        <f>D70+AC70</f>
        <v>8457467.3178691007</v>
      </c>
      <c r="L70" s="41">
        <f>'Fleet ZEV fractions'!AS28</f>
        <v>0.38535959214473386</v>
      </c>
      <c r="M70" s="41">
        <f>'ZEV efficiency'!L55</f>
        <v>4.0378375834843245</v>
      </c>
      <c r="O70" s="3">
        <f>E70*L70/M70</f>
        <v>29655936.979058892</v>
      </c>
      <c r="P70" s="129">
        <f>$O70*'GREET factors'!B108/454/2000</f>
        <v>404.01077550860424</v>
      </c>
      <c r="Q70" s="129">
        <f>$O70*'GREET factors'!C108/454/2000</f>
        <v>63.975681950980075</v>
      </c>
      <c r="R70" s="129">
        <f>$O70*'GREET factors'!D108/454/2000</f>
        <v>55.235848214066998</v>
      </c>
      <c r="S70" s="129">
        <f>$O70*'GREET factors'!E108/454/2000</f>
        <v>6.3126683673219413</v>
      </c>
      <c r="T70" s="129">
        <f>$O70*'GREET factors'!F108/454/2000</f>
        <v>773442.33186811069</v>
      </c>
      <c r="U70" s="129">
        <f>$O70*'GREET factors'!G108/454/2000</f>
        <v>13.935419373778895</v>
      </c>
      <c r="V70" s="129">
        <f>$O70*'GREET factors'!H108/454/2000</f>
        <v>96.268192601659578</v>
      </c>
      <c r="W70" s="129">
        <f>$O70*'GREET factors'!I108/454/2000</f>
        <v>776704.40324692428</v>
      </c>
      <c r="X70" s="3">
        <f>('Combined MOVES output'!D20/454/2000-D70)*'GREET factors'!V1</f>
        <v>4118842.9123715642</v>
      </c>
      <c r="Y70" s="261">
        <f>O70*M70*'GREET factors'!$J$7/454/2000</f>
        <v>1260.7386809982108</v>
      </c>
      <c r="Z70" s="261">
        <f>O70*M70*'GREET factors'!K$7/454/2000</f>
        <v>158.10872961375139</v>
      </c>
      <c r="AA70" s="261"/>
      <c r="AB70" s="261"/>
      <c r="AC70" s="129">
        <f>T70-X70</f>
        <v>-3345400.5805034535</v>
      </c>
      <c r="AD70" s="261">
        <f>P70-Y70</f>
        <v>-856.72790548960666</v>
      </c>
      <c r="AE70" s="261">
        <f>Q70-Z70</f>
        <v>-94.133047662771318</v>
      </c>
      <c r="AF70" s="261"/>
      <c r="AG70" s="261"/>
      <c r="AH70">
        <v>2036</v>
      </c>
    </row>
    <row r="71" spans="1:34">
      <c r="L71" s="41"/>
      <c r="M71" s="41"/>
      <c r="O71" s="28"/>
      <c r="P71" s="32"/>
      <c r="Q71" s="32"/>
      <c r="R71" s="32"/>
      <c r="S71" s="32"/>
      <c r="T71" s="32"/>
      <c r="U71" s="32"/>
      <c r="V71" s="32"/>
      <c r="W71" s="32"/>
      <c r="AC71" s="32"/>
    </row>
    <row r="72" spans="1:34">
      <c r="A72">
        <v>2037</v>
      </c>
      <c r="B72">
        <v>20</v>
      </c>
      <c r="C72" s="3"/>
      <c r="D72" s="3"/>
      <c r="E72" s="3"/>
      <c r="F72" s="3"/>
      <c r="G72" s="3"/>
      <c r="H72" s="3"/>
      <c r="I72" s="3"/>
      <c r="J72" s="3"/>
      <c r="L72" s="41"/>
      <c r="M72" s="41"/>
      <c r="O72" s="28"/>
      <c r="P72" s="32"/>
      <c r="Q72" s="32"/>
      <c r="R72" s="32"/>
      <c r="S72" s="32"/>
      <c r="T72" s="32"/>
      <c r="U72" s="32"/>
      <c r="V72" s="32"/>
      <c r="W72" s="32"/>
      <c r="AC72" s="32"/>
    </row>
    <row r="73" spans="1:34">
      <c r="A73">
        <v>2037</v>
      </c>
      <c r="B73">
        <v>30</v>
      </c>
      <c r="C73" s="3"/>
      <c r="D73" s="3"/>
      <c r="E73" s="3"/>
      <c r="F73" s="3"/>
      <c r="G73" s="3"/>
      <c r="H73" s="3"/>
      <c r="I73" s="3"/>
      <c r="J73" s="3"/>
      <c r="L73" s="41"/>
      <c r="M73" s="41"/>
      <c r="O73" s="28" t="s">
        <v>17</v>
      </c>
      <c r="P73" s="32"/>
      <c r="Q73" s="32"/>
      <c r="R73" s="32"/>
      <c r="S73" s="32"/>
      <c r="T73" s="32"/>
      <c r="U73" s="32"/>
      <c r="V73" s="32"/>
      <c r="W73" s="32"/>
      <c r="AC73" s="32"/>
    </row>
    <row r="74" spans="1:34">
      <c r="A74">
        <v>2037</v>
      </c>
      <c r="B74">
        <v>41</v>
      </c>
      <c r="C74" s="3"/>
      <c r="D74" s="3"/>
      <c r="E74" s="3"/>
      <c r="F74" s="3"/>
      <c r="G74" s="3"/>
      <c r="H74" s="3"/>
      <c r="I74" s="3"/>
      <c r="J74" s="3"/>
      <c r="L74" s="41"/>
      <c r="M74" s="41"/>
      <c r="O74" s="28" t="s">
        <v>142</v>
      </c>
      <c r="P74" s="32" t="s">
        <v>8</v>
      </c>
      <c r="Q74" s="32" t="s">
        <v>10</v>
      </c>
      <c r="R74" s="32" t="s">
        <v>14</v>
      </c>
      <c r="S74" s="32" t="s">
        <v>15</v>
      </c>
      <c r="T74" s="32" t="s">
        <v>16</v>
      </c>
      <c r="U74" s="32" t="s">
        <v>115</v>
      </c>
      <c r="V74" s="32" t="s">
        <v>116</v>
      </c>
      <c r="W74" s="32" t="s">
        <v>47</v>
      </c>
      <c r="X74" t="s">
        <v>47</v>
      </c>
      <c r="Y74" t="s">
        <v>8</v>
      </c>
      <c r="Z74" t="s">
        <v>10</v>
      </c>
      <c r="AC74" s="32" t="s">
        <v>47</v>
      </c>
      <c r="AD74" s="32" t="s">
        <v>8</v>
      </c>
      <c r="AE74" s="32" t="s">
        <v>10</v>
      </c>
    </row>
    <row r="75" spans="1:34">
      <c r="A75">
        <v>2037</v>
      </c>
      <c r="B75" t="s">
        <v>109</v>
      </c>
      <c r="C75" s="3">
        <f>'BAU Scenario'!C75*(1-'ACC emissions benefits'!C50)</f>
        <v>2248.7875638064797</v>
      </c>
      <c r="D75" s="3">
        <f>'BAU Scenario'!D75*(1-'ACC emissions benefits'!D50)</f>
        <v>10722600.762803955</v>
      </c>
      <c r="E75" s="3">
        <f>'Combined MOVES output'!E21</f>
        <v>311080426.80992287</v>
      </c>
      <c r="F75" s="3">
        <f>'BAU Scenario'!F75*(1-'ACC emissions benefits'!F50)</f>
        <v>459.03634415380373</v>
      </c>
      <c r="G75" s="3">
        <f>'BAU Scenario'!G75*(1-'ACC emissions benefits'!G50)</f>
        <v>7129.2735296526525</v>
      </c>
      <c r="H75" s="3">
        <f>'BAU Scenario'!H75*(1-'ACC emissions benefits'!H50)</f>
        <v>235.27036066636634</v>
      </c>
      <c r="I75" s="3">
        <f>'BAU Scenario'!I75*(1-'ACC emissions benefits'!I50)</f>
        <v>1367.74381604476</v>
      </c>
      <c r="J75" s="3">
        <f>D75+AC75</f>
        <v>7116554.068103048</v>
      </c>
      <c r="L75" s="41">
        <f>'Fleet ZEV fractions'!AS29</f>
        <v>0.43052620279930393</v>
      </c>
      <c r="M75" s="41">
        <f>'ZEV efficiency'!L56</f>
        <v>4.0295879456542387</v>
      </c>
      <c r="O75" s="3">
        <f>E75*L75/M75</f>
        <v>33236220.855807245</v>
      </c>
      <c r="P75" s="129">
        <f>$O75*'GREET factors'!B109/454/2000</f>
        <v>434.64496974426879</v>
      </c>
      <c r="Q75" s="129">
        <f>$O75*'GREET factors'!C109/454/2000</f>
        <v>68.826650256907584</v>
      </c>
      <c r="R75" s="129">
        <f>$O75*'GREET factors'!D109/454/2000</f>
        <v>59.424116957224264</v>
      </c>
      <c r="S75" s="129">
        <f>$O75*'GREET factors'!E109/454/2000</f>
        <v>6.7913276522541999</v>
      </c>
      <c r="T75" s="129">
        <f>$O75*'GREET factors'!F109/454/2000</f>
        <v>832088.74444140214</v>
      </c>
      <c r="U75" s="129">
        <f>$O75*'GREET factors'!G109/454/2000</f>
        <v>14.992075210035656</v>
      </c>
      <c r="V75" s="129">
        <f>$O75*'GREET factors'!H109/454/2000</f>
        <v>103.56774669687655</v>
      </c>
      <c r="W75" s="129">
        <f>$O75*'GREET factors'!I109/454/2000</f>
        <v>835598.16300570453</v>
      </c>
      <c r="X75" s="3">
        <f>('Combined MOVES output'!D21/454/2000-D75)*'GREET factors'!V1</f>
        <v>4438135.4391423091</v>
      </c>
      <c r="Y75" s="261">
        <f>O75*M75*'GREET factors'!$J$7/454/2000</f>
        <v>1410.0576089328154</v>
      </c>
      <c r="Z75" s="261">
        <f>O75*M75*'GREET factors'!K$7/454/2000</f>
        <v>176.83475615585371</v>
      </c>
      <c r="AA75" s="261"/>
      <c r="AB75" s="261"/>
      <c r="AC75" s="129">
        <f>T75-X75</f>
        <v>-3606046.694700907</v>
      </c>
      <c r="AD75" s="261">
        <f>P75-Y75</f>
        <v>-975.41263918854656</v>
      </c>
      <c r="AE75" s="261">
        <f>Q75-Z75</f>
        <v>-108.00810589894613</v>
      </c>
      <c r="AF75" s="261"/>
      <c r="AG75" s="261"/>
      <c r="AH75">
        <v>2037</v>
      </c>
    </row>
    <row r="76" spans="1:34">
      <c r="C76" s="3"/>
      <c r="D76" s="3"/>
      <c r="E76" s="3"/>
      <c r="F76" s="3"/>
      <c r="G76" s="3"/>
      <c r="H76" s="3"/>
      <c r="L76" s="41"/>
      <c r="M76" s="41"/>
      <c r="O76" s="28"/>
      <c r="P76" s="32"/>
      <c r="Q76" s="32"/>
      <c r="R76" s="32"/>
      <c r="S76" s="32"/>
      <c r="T76" s="32"/>
      <c r="U76" s="32"/>
      <c r="V76" s="32"/>
      <c r="W76" s="32"/>
      <c r="X76" s="3"/>
      <c r="Y76" s="3"/>
      <c r="Z76" s="3"/>
      <c r="AA76" s="3"/>
      <c r="AB76" s="3"/>
      <c r="AC76" s="32"/>
    </row>
    <row r="77" spans="1:34">
      <c r="A77">
        <v>2038</v>
      </c>
      <c r="B77">
        <v>20</v>
      </c>
      <c r="C77" s="3"/>
      <c r="D77" s="3"/>
      <c r="E77" s="3"/>
      <c r="F77" s="3"/>
      <c r="G77" s="3"/>
      <c r="H77" s="3"/>
      <c r="I77" s="3"/>
      <c r="J77" s="3"/>
      <c r="L77" s="41"/>
      <c r="M77" s="41"/>
      <c r="O77" s="28"/>
      <c r="P77" s="32"/>
      <c r="Q77" s="32"/>
      <c r="R77" s="32"/>
      <c r="S77" s="32"/>
      <c r="T77" s="32"/>
      <c r="U77" s="32"/>
      <c r="V77" s="32"/>
      <c r="W77" s="32"/>
      <c r="X77" s="3"/>
      <c r="Y77" s="3"/>
      <c r="Z77" s="3"/>
      <c r="AA77" s="3"/>
      <c r="AB77" s="3"/>
      <c r="AC77" s="32"/>
    </row>
    <row r="78" spans="1:34">
      <c r="A78">
        <v>2038</v>
      </c>
      <c r="B78">
        <v>30</v>
      </c>
      <c r="C78" s="3"/>
      <c r="D78" s="3"/>
      <c r="E78" s="3"/>
      <c r="F78" s="3"/>
      <c r="G78" s="3"/>
      <c r="H78" s="3"/>
      <c r="I78" s="3"/>
      <c r="J78" s="3"/>
      <c r="L78" s="41"/>
      <c r="M78" s="41"/>
      <c r="O78" s="28" t="s">
        <v>17</v>
      </c>
      <c r="P78" s="32"/>
      <c r="Q78" s="32"/>
      <c r="R78" s="32"/>
      <c r="S78" s="32"/>
      <c r="T78" s="32"/>
      <c r="U78" s="32"/>
      <c r="V78" s="32"/>
      <c r="W78" s="32"/>
      <c r="X78" s="3"/>
      <c r="Y78" s="3"/>
      <c r="Z78" s="3"/>
      <c r="AA78" s="3"/>
      <c r="AB78" s="3"/>
      <c r="AC78" s="32"/>
    </row>
    <row r="79" spans="1:34">
      <c r="A79">
        <v>2038</v>
      </c>
      <c r="B79">
        <v>41</v>
      </c>
      <c r="C79" s="3"/>
      <c r="D79" s="3"/>
      <c r="E79" s="3"/>
      <c r="F79" s="3"/>
      <c r="G79" s="3"/>
      <c r="H79" s="3"/>
      <c r="I79" s="3"/>
      <c r="J79" s="3"/>
      <c r="L79" s="41"/>
      <c r="M79" s="41"/>
      <c r="O79" s="28" t="s">
        <v>142</v>
      </c>
      <c r="P79" s="32" t="s">
        <v>8</v>
      </c>
      <c r="Q79" s="32" t="s">
        <v>10</v>
      </c>
      <c r="R79" s="32" t="s">
        <v>14</v>
      </c>
      <c r="S79" s="32" t="s">
        <v>15</v>
      </c>
      <c r="T79" s="32" t="s">
        <v>16</v>
      </c>
      <c r="U79" s="32" t="s">
        <v>115</v>
      </c>
      <c r="V79" s="32" t="s">
        <v>116</v>
      </c>
      <c r="W79" s="32" t="s">
        <v>47</v>
      </c>
      <c r="X79" t="s">
        <v>47</v>
      </c>
      <c r="Y79" t="s">
        <v>8</v>
      </c>
      <c r="Z79" t="s">
        <v>10</v>
      </c>
      <c r="AC79" s="32" t="s">
        <v>47</v>
      </c>
      <c r="AD79" s="32" t="s">
        <v>8</v>
      </c>
      <c r="AE79" s="32" t="s">
        <v>10</v>
      </c>
    </row>
    <row r="80" spans="1:34">
      <c r="A80">
        <v>2038</v>
      </c>
      <c r="B80" t="s">
        <v>109</v>
      </c>
      <c r="C80" s="3">
        <f>'BAU Scenario'!C80*(1-'ACC emissions benefits'!C51)</f>
        <v>2077.2296048004555</v>
      </c>
      <c r="D80" s="3">
        <f>'BAU Scenario'!D80*(1-'ACC emissions benefits'!D51)</f>
        <v>9798239.0339864288</v>
      </c>
      <c r="E80" s="3">
        <f>'Combined MOVES output'!E22</f>
        <v>311422884.85400724</v>
      </c>
      <c r="F80" s="3">
        <f>'BAU Scenario'!F80*(1-'ACC emissions benefits'!F51)</f>
        <v>443.51370016555853</v>
      </c>
      <c r="G80" s="3">
        <f>'BAU Scenario'!G80*(1-'ACC emissions benefits'!G51)</f>
        <v>6751.3078867175864</v>
      </c>
      <c r="H80" s="3">
        <f>'BAU Scenario'!H80*(1-'ACC emissions benefits'!H51)</f>
        <v>221.33576552846668</v>
      </c>
      <c r="I80" s="3">
        <f>'BAU Scenario'!I80*(1-'ACC emissions benefits'!I51)</f>
        <v>1321.0770495310976</v>
      </c>
      <c r="J80" s="3">
        <f>D80+AC80</f>
        <v>5969125.112356225</v>
      </c>
      <c r="L80" s="41">
        <f>'Fleet ZEV fractions'!AS30</f>
        <v>0.47556701233049675</v>
      </c>
      <c r="M80" s="41">
        <f>'ZEV efficiency'!L57</f>
        <v>4.021704797126664</v>
      </c>
      <c r="O80" s="3">
        <f>E80*L80/M80</f>
        <v>36825788.662354685</v>
      </c>
      <c r="P80" s="129">
        <f>$O80*'GREET factors'!B110/454/2000</f>
        <v>461.48713033983324</v>
      </c>
      <c r="Q80" s="129">
        <f>$O80*'GREET factors'!C110/454/2000</f>
        <v>73.077144632898253</v>
      </c>
      <c r="R80" s="129">
        <f>$O80*'GREET factors'!D110/454/2000</f>
        <v>63.093943601149093</v>
      </c>
      <c r="S80" s="129">
        <f>$O80*'GREET factors'!E110/454/2000</f>
        <v>7.2107364115598944</v>
      </c>
      <c r="T80" s="129">
        <f>$O80*'GREET factors'!F110/454/2000</f>
        <v>883475.6493012443</v>
      </c>
      <c r="U80" s="129">
        <f>$O80*'GREET factors'!G110/454/2000</f>
        <v>15.91793359667551</v>
      </c>
      <c r="V80" s="129">
        <f>$O80*'GREET factors'!H110/454/2000</f>
        <v>109.96373027628839</v>
      </c>
      <c r="W80" s="129">
        <f>$O80*'GREET factors'!I110/454/2000</f>
        <v>887201.79734191787</v>
      </c>
      <c r="X80" s="3">
        <f>('Combined MOVES output'!D22/454/2000-D80)*'GREET factors'!V1</f>
        <v>4712589.5709314477</v>
      </c>
      <c r="Y80" s="261">
        <f>O80*M80*'GREET factors'!$J$7/454/2000</f>
        <v>1559.2897612437537</v>
      </c>
      <c r="Z80" s="261">
        <f>O80*M80*'GREET factors'!K$7/454/2000</f>
        <v>195.54990020198281</v>
      </c>
      <c r="AA80" s="261"/>
      <c r="AB80" s="261"/>
      <c r="AC80" s="129">
        <f>T80-X80</f>
        <v>-3829113.9216302033</v>
      </c>
      <c r="AD80" s="261">
        <f>P80-Y80</f>
        <v>-1097.8026309039205</v>
      </c>
      <c r="AE80" s="261">
        <f>Q80-Z80</f>
        <v>-122.47275556908455</v>
      </c>
      <c r="AF80" s="261"/>
      <c r="AG80" s="261"/>
      <c r="AH80">
        <v>2038</v>
      </c>
    </row>
    <row r="81" spans="1:34">
      <c r="L81" s="41"/>
      <c r="M81" s="41"/>
      <c r="O81" s="28"/>
      <c r="P81" s="32"/>
      <c r="Q81" s="32"/>
      <c r="R81" s="32"/>
      <c r="S81" s="32"/>
      <c r="T81" s="32"/>
      <c r="U81" s="32"/>
      <c r="V81" s="32"/>
      <c r="W81" s="32"/>
      <c r="X81" s="3"/>
      <c r="Y81" s="3"/>
      <c r="Z81" s="3"/>
      <c r="AA81" s="3"/>
      <c r="AB81" s="3"/>
      <c r="AC81" s="32"/>
    </row>
    <row r="82" spans="1:34">
      <c r="A82">
        <v>2039</v>
      </c>
      <c r="B82">
        <v>20</v>
      </c>
      <c r="C82" s="3"/>
      <c r="D82" s="3"/>
      <c r="E82" s="3"/>
      <c r="F82" s="3"/>
      <c r="G82" s="3"/>
      <c r="H82" s="3"/>
      <c r="I82" s="3"/>
      <c r="J82" s="3"/>
      <c r="L82" s="41"/>
      <c r="M82" s="41"/>
      <c r="O82" s="28"/>
      <c r="P82" s="32"/>
      <c r="Q82" s="32"/>
      <c r="R82" s="32"/>
      <c r="S82" s="32"/>
      <c r="T82" s="32"/>
      <c r="U82" s="32"/>
      <c r="V82" s="32"/>
      <c r="W82" s="32"/>
      <c r="X82" s="3"/>
      <c r="Y82" s="3"/>
      <c r="Z82" s="3"/>
      <c r="AA82" s="3"/>
      <c r="AB82" s="3"/>
      <c r="AC82" s="32"/>
    </row>
    <row r="83" spans="1:34">
      <c r="A83">
        <v>2039</v>
      </c>
      <c r="B83">
        <v>30</v>
      </c>
      <c r="C83" s="3"/>
      <c r="D83" s="3"/>
      <c r="E83" s="3"/>
      <c r="F83" s="3"/>
      <c r="G83" s="3"/>
      <c r="H83" s="3"/>
      <c r="I83" s="3"/>
      <c r="J83" s="3"/>
      <c r="L83" s="41"/>
      <c r="M83" s="41"/>
      <c r="O83" s="28" t="s">
        <v>17</v>
      </c>
      <c r="P83" s="32"/>
      <c r="Q83" s="32"/>
      <c r="R83" s="32"/>
      <c r="S83" s="32"/>
      <c r="T83" s="32"/>
      <c r="U83" s="32"/>
      <c r="V83" s="32"/>
      <c r="W83" s="32"/>
      <c r="X83" s="3"/>
      <c r="Y83" s="3"/>
      <c r="Z83" s="3"/>
      <c r="AA83" s="3"/>
      <c r="AB83" s="3"/>
      <c r="AC83" s="32"/>
    </row>
    <row r="84" spans="1:34">
      <c r="A84">
        <v>2039</v>
      </c>
      <c r="B84">
        <v>41</v>
      </c>
      <c r="C84" s="3"/>
      <c r="D84" s="3"/>
      <c r="E84" s="3"/>
      <c r="F84" s="3"/>
      <c r="G84" s="3"/>
      <c r="H84" s="3"/>
      <c r="I84" s="3"/>
      <c r="J84" s="3"/>
      <c r="L84" s="41"/>
      <c r="M84" s="41"/>
      <c r="O84" s="28" t="s">
        <v>142</v>
      </c>
      <c r="P84" s="32" t="s">
        <v>8</v>
      </c>
      <c r="Q84" s="32" t="s">
        <v>10</v>
      </c>
      <c r="R84" s="32" t="s">
        <v>14</v>
      </c>
      <c r="S84" s="32" t="s">
        <v>15</v>
      </c>
      <c r="T84" s="32" t="s">
        <v>16</v>
      </c>
      <c r="U84" s="32" t="s">
        <v>115</v>
      </c>
      <c r="V84" s="32" t="s">
        <v>116</v>
      </c>
      <c r="W84" s="32" t="s">
        <v>47</v>
      </c>
      <c r="X84" t="s">
        <v>47</v>
      </c>
      <c r="Y84" t="s">
        <v>8</v>
      </c>
      <c r="Z84" t="s">
        <v>10</v>
      </c>
      <c r="AC84" s="32" t="s">
        <v>47</v>
      </c>
      <c r="AD84" s="32" t="s">
        <v>8</v>
      </c>
      <c r="AE84" s="32" t="s">
        <v>10</v>
      </c>
    </row>
    <row r="85" spans="1:34">
      <c r="A85">
        <v>2039</v>
      </c>
      <c r="B85" t="s">
        <v>109</v>
      </c>
      <c r="C85" s="3">
        <f>'BAU Scenario'!C85*(1-'ACC emissions benefits'!C52)</f>
        <v>1910.826734771518</v>
      </c>
      <c r="D85" s="3">
        <f>'BAU Scenario'!D85*(1-'ACC emissions benefits'!D52)</f>
        <v>9015051.958709009</v>
      </c>
      <c r="E85" s="3">
        <f>'Combined MOVES output'!E23</f>
        <v>311765342.89809161</v>
      </c>
      <c r="F85" s="3">
        <f>'BAU Scenario'!F85*(1-'ACC emissions benefits'!F52)</f>
        <v>429.28411075771544</v>
      </c>
      <c r="G85" s="3">
        <f>'BAU Scenario'!G85*(1-'ACC emissions benefits'!G52)</f>
        <v>6368.2027142087363</v>
      </c>
      <c r="H85" s="3">
        <f>'BAU Scenario'!H85*(1-'ACC emissions benefits'!H52)</f>
        <v>209.38005003728108</v>
      </c>
      <c r="I85" s="3">
        <f>'BAU Scenario'!I85*(1-'ACC emissions benefits'!I52)</f>
        <v>1280.990382713607</v>
      </c>
      <c r="J85" s="3">
        <f>D85+AC85</f>
        <v>4996181.3996377988</v>
      </c>
      <c r="L85" s="41">
        <f>'Fleet ZEV fractions'!AS31</f>
        <v>0.52048280744994802</v>
      </c>
      <c r="M85" s="41">
        <f>'ZEV efficiency'!L58</f>
        <v>4.0141101927609322</v>
      </c>
      <c r="O85" s="3">
        <f>E85*L85/M85</f>
        <v>40424525.771572068</v>
      </c>
      <c r="P85" s="129">
        <f>$O85*'GREET factors'!B111/454/2000</f>
        <v>484.52068135085125</v>
      </c>
      <c r="Q85" s="129">
        <f>$O85*'GREET factors'!C111/454/2000</f>
        <v>76.724540254531078</v>
      </c>
      <c r="R85" s="129">
        <f>$O85*'GREET factors'!D111/454/2000</f>
        <v>66.243061903436711</v>
      </c>
      <c r="S85" s="129">
        <f>$O85*'GREET factors'!E111/454/2000</f>
        <v>7.5706356461070508</v>
      </c>
      <c r="T85" s="129">
        <f>$O85*'GREET factors'!F111/454/2000</f>
        <v>927571.31329123955</v>
      </c>
      <c r="U85" s="129">
        <f>$O85*'GREET factors'!G111/454/2000</f>
        <v>16.712422784746757</v>
      </c>
      <c r="V85" s="129">
        <f>$O85*'GREET factors'!H111/454/2000</f>
        <v>115.45219360313253</v>
      </c>
      <c r="W85" s="129">
        <f>$O85*'GREET factors'!I111/454/2000</f>
        <v>931483.43926136533</v>
      </c>
      <c r="X85" s="3">
        <f>('Combined MOVES output'!D23/454/2000-D85)*'GREET factors'!V1</f>
        <v>4946441.8723624498</v>
      </c>
      <c r="Y85" s="261">
        <f>O85*M85*'GREET factors'!$J$7/454/2000</f>
        <v>1708.4363594906565</v>
      </c>
      <c r="Z85" s="261">
        <f>O85*M85*'GREET factors'!K$7/454/2000</f>
        <v>214.25431494743941</v>
      </c>
      <c r="AA85" s="261"/>
      <c r="AB85" s="261"/>
      <c r="AC85" s="129">
        <f>T85-X85</f>
        <v>-4018870.5590712102</v>
      </c>
      <c r="AD85" s="261">
        <f>P85-Y85</f>
        <v>-1223.9156781398053</v>
      </c>
      <c r="AE85" s="261">
        <f>Q85-Z85</f>
        <v>-137.52977469290835</v>
      </c>
      <c r="AF85" s="261"/>
      <c r="AG85" s="261"/>
      <c r="AH85">
        <v>2039</v>
      </c>
    </row>
    <row r="86" spans="1:34">
      <c r="L86" s="41"/>
      <c r="M86" s="41"/>
      <c r="O86" s="28"/>
      <c r="P86" s="32"/>
      <c r="Q86" s="32"/>
      <c r="R86" s="32"/>
      <c r="S86" s="32"/>
      <c r="T86" s="32"/>
      <c r="U86" s="32"/>
      <c r="V86" s="32"/>
      <c r="W86" s="32"/>
    </row>
    <row r="87" spans="1:34">
      <c r="A87">
        <v>2040</v>
      </c>
      <c r="B87">
        <v>20</v>
      </c>
      <c r="C87" s="3"/>
      <c r="D87" s="3"/>
      <c r="E87" s="3"/>
      <c r="F87" s="3"/>
      <c r="G87" s="3"/>
      <c r="H87" s="3"/>
      <c r="I87" s="3"/>
      <c r="J87" s="3"/>
      <c r="L87" s="41"/>
      <c r="M87" s="41"/>
      <c r="O87" s="28"/>
      <c r="P87" s="32"/>
      <c r="Q87" s="32"/>
      <c r="R87" s="32"/>
      <c r="S87" s="32"/>
      <c r="T87" s="32"/>
      <c r="U87" s="32"/>
      <c r="V87" s="32"/>
      <c r="W87" s="32"/>
    </row>
    <row r="88" spans="1:34">
      <c r="A88">
        <v>2040</v>
      </c>
      <c r="B88">
        <v>30</v>
      </c>
      <c r="C88" s="3"/>
      <c r="D88" s="3"/>
      <c r="E88" s="3"/>
      <c r="F88" s="3"/>
      <c r="G88" s="3"/>
      <c r="H88" s="3"/>
      <c r="I88" s="3"/>
      <c r="J88" s="3"/>
      <c r="L88" s="41"/>
      <c r="M88" s="41"/>
      <c r="O88" s="28" t="s">
        <v>17</v>
      </c>
      <c r="P88" s="32"/>
      <c r="Q88" s="32"/>
      <c r="R88" s="32"/>
      <c r="S88" s="32"/>
      <c r="T88" s="32"/>
      <c r="U88" s="32"/>
      <c r="V88" s="32"/>
      <c r="W88" s="32"/>
    </row>
    <row r="89" spans="1:34">
      <c r="A89">
        <v>2040</v>
      </c>
      <c r="B89">
        <v>41</v>
      </c>
      <c r="C89" s="3"/>
      <c r="D89" s="3"/>
      <c r="E89" s="3"/>
      <c r="F89" s="3"/>
      <c r="G89" s="3"/>
      <c r="H89" s="3"/>
      <c r="I89" s="3"/>
      <c r="J89" s="3"/>
      <c r="L89" s="41"/>
      <c r="M89" s="41"/>
      <c r="O89" s="28" t="s">
        <v>142</v>
      </c>
      <c r="P89" s="32" t="s">
        <v>8</v>
      </c>
      <c r="Q89" s="32" t="s">
        <v>10</v>
      </c>
      <c r="R89" s="32" t="s">
        <v>14</v>
      </c>
      <c r="S89" s="32" t="s">
        <v>15</v>
      </c>
      <c r="T89" s="32" t="s">
        <v>16</v>
      </c>
      <c r="U89" s="32" t="s">
        <v>115</v>
      </c>
      <c r="V89" s="32" t="s">
        <v>116</v>
      </c>
      <c r="W89" s="32" t="s">
        <v>47</v>
      </c>
      <c r="X89" t="s">
        <v>47</v>
      </c>
      <c r="Y89" t="s">
        <v>8</v>
      </c>
      <c r="Z89" t="s">
        <v>10</v>
      </c>
      <c r="AA89" t="s">
        <v>115</v>
      </c>
      <c r="AB89" t="s">
        <v>116</v>
      </c>
      <c r="AC89" s="32" t="s">
        <v>47</v>
      </c>
      <c r="AD89" s="32" t="s">
        <v>8</v>
      </c>
      <c r="AE89" s="32" t="s">
        <v>10</v>
      </c>
      <c r="AF89" t="s">
        <v>115</v>
      </c>
      <c r="AG89" t="s">
        <v>116</v>
      </c>
    </row>
    <row r="90" spans="1:34">
      <c r="A90">
        <v>2040</v>
      </c>
      <c r="B90" s="8" t="s">
        <v>109</v>
      </c>
      <c r="C90" s="3">
        <f>'BAU Scenario'!C90*(1-'ACC emissions benefits'!C53)</f>
        <v>1726.3293047464406</v>
      </c>
      <c r="D90" s="3">
        <f>'BAU Scenario'!D90*(1-'ACC emissions benefits'!D53)</f>
        <v>8120834.2419927372</v>
      </c>
      <c r="E90" s="3">
        <f>'Combined MOVES output'!E24</f>
        <v>312107800.94217598</v>
      </c>
      <c r="F90" s="3">
        <f>'BAU Scenario'!F90*(1-'ACC emissions benefits'!F53)</f>
        <v>413.9079270994992</v>
      </c>
      <c r="G90" s="3">
        <f>'BAU Scenario'!G90*(1-'ACC emissions benefits'!G53)</f>
        <v>5939.2690718496879</v>
      </c>
      <c r="H90" s="3">
        <f>'BAU Scenario'!H90*(1-'ACC emissions benefits'!H53)</f>
        <v>195.49869991362735</v>
      </c>
      <c r="I90" s="3">
        <f>'BAU Scenario'!I90*(1-'ACC emissions benefits'!I53)</f>
        <v>1223.757101922452</v>
      </c>
      <c r="J90" s="3">
        <f>D90+AC90</f>
        <v>3872938.4605682781</v>
      </c>
      <c r="L90" s="41">
        <f>'Fleet ZEV fractions'!AS32</f>
        <v>0.56527436832321798</v>
      </c>
      <c r="M90" s="41">
        <f>'ZEV efficiency'!L59</f>
        <v>4.0068080026283281</v>
      </c>
      <c r="O90" s="3">
        <f>E90*L90/M90</f>
        <v>44031693.036104411</v>
      </c>
      <c r="P90" s="129">
        <f>$O90*'GREET factors'!B112/454/2000</f>
        <v>503.72215259020822</v>
      </c>
      <c r="Q90" s="129">
        <f>$O90*'GREET factors'!C112/454/2000</f>
        <v>79.765120584235262</v>
      </c>
      <c r="R90" s="129">
        <f>$O90*'GREET factors'!D112/454/2000</f>
        <v>68.868263049442533</v>
      </c>
      <c r="S90" s="129">
        <f>$O90*'GREET factors'!E112/454/2000</f>
        <v>7.8706586342220035</v>
      </c>
      <c r="T90" s="129">
        <f>$O90*'GREET factors'!F112/454/2000</f>
        <v>964330.80484680692</v>
      </c>
      <c r="U90" s="129">
        <f>$O90*'GREET factors'!G112/454/2000</f>
        <v>17.374733224306539</v>
      </c>
      <c r="V90" s="129">
        <f>$O90*'GREET factors'!H112/454/2000</f>
        <v>120.02754417188557</v>
      </c>
      <c r="W90" s="129">
        <f>$O90*'GREET factors'!I112/454/2000</f>
        <v>968397.96769604099</v>
      </c>
      <c r="X90" s="3">
        <f>('Combined MOVES output'!D24/454/2000-D90)*'GREET factors'!V1</f>
        <v>5212226.5862712665</v>
      </c>
      <c r="Y90" s="261">
        <f>O90*M90*'GREET factors'!$J$7/454/2000</f>
        <v>1857.4986150687948</v>
      </c>
      <c r="Z90" s="261">
        <f>O90*M90*'GREET factors'!K$7/454/2000</f>
        <v>232.94815231281586</v>
      </c>
      <c r="AA90" s="261">
        <f>O90*M90*'GREET factors'!L7/454/2000</f>
        <v>4665.8716143912461</v>
      </c>
      <c r="AB90" s="261">
        <f>O90*M90*'GREET factors'!M7/454/2000</f>
        <v>696.3585727997438</v>
      </c>
      <c r="AC90" s="3">
        <f>T90-X90</f>
        <v>-4247895.7814244591</v>
      </c>
      <c r="AD90" s="261">
        <f>P90-Y90</f>
        <v>-1353.7764624785866</v>
      </c>
      <c r="AE90" s="261">
        <f>Q90-Z90</f>
        <v>-153.1830317285806</v>
      </c>
      <c r="AF90" s="261">
        <f>U90-AA90</f>
        <v>-4648.4968811669396</v>
      </c>
      <c r="AG90" s="261">
        <f>V90-AB90</f>
        <v>-576.33102862785825</v>
      </c>
      <c r="AH90">
        <v>2040</v>
      </c>
    </row>
    <row r="91" spans="1:34">
      <c r="O91" s="28"/>
    </row>
    <row r="92" spans="1:34">
      <c r="A92">
        <v>2041</v>
      </c>
      <c r="B92">
        <v>20</v>
      </c>
    </row>
    <row r="93" spans="1:34">
      <c r="A93">
        <v>2041</v>
      </c>
      <c r="B93">
        <v>30</v>
      </c>
      <c r="O93" t="s">
        <v>17</v>
      </c>
    </row>
    <row r="94" spans="1:34">
      <c r="A94">
        <v>2041</v>
      </c>
      <c r="B94">
        <v>41</v>
      </c>
      <c r="O94" t="s">
        <v>142</v>
      </c>
      <c r="P94" t="s">
        <v>8</v>
      </c>
      <c r="Q94" t="s">
        <v>10</v>
      </c>
      <c r="R94" t="s">
        <v>14</v>
      </c>
      <c r="S94" t="s">
        <v>15</v>
      </c>
      <c r="T94" t="s">
        <v>16</v>
      </c>
      <c r="U94" t="s">
        <v>115</v>
      </c>
      <c r="V94" t="s">
        <v>116</v>
      </c>
      <c r="W94" t="s">
        <v>47</v>
      </c>
      <c r="X94" t="s">
        <v>47</v>
      </c>
      <c r="Y94" t="s">
        <v>8</v>
      </c>
      <c r="Z94" t="s">
        <v>10</v>
      </c>
      <c r="AC94" s="32" t="s">
        <v>47</v>
      </c>
      <c r="AD94" t="s">
        <v>8</v>
      </c>
      <c r="AE94" t="s">
        <v>10</v>
      </c>
    </row>
    <row r="95" spans="1:34">
      <c r="A95">
        <v>2041</v>
      </c>
      <c r="B95" t="s">
        <v>109</v>
      </c>
      <c r="C95" s="3">
        <f>'BAU Scenario'!C95*(1-'ACC emissions benefits'!C54)</f>
        <v>1501.9328556938544</v>
      </c>
      <c r="D95" s="3">
        <f>'BAU Scenario'!D95*(1-'ACC emissions benefits'!D54)</f>
        <v>6984965.2555380305</v>
      </c>
      <c r="E95" s="101">
        <f>'Combined MOVES output'!E25</f>
        <v>312773724.65919727</v>
      </c>
      <c r="F95" s="3">
        <f>'BAU Scenario'!F95*(1-'ACC emissions benefits'!F54)</f>
        <v>402.70651349658618</v>
      </c>
      <c r="G95" s="3">
        <f>'BAU Scenario'!G95*(1-'ACC emissions benefits'!G54)</f>
        <v>5537.7553855413034</v>
      </c>
      <c r="H95" s="3">
        <f>'BAU Scenario'!H95*(1-'ACC emissions benefits'!H54)</f>
        <v>177.77257211175541</v>
      </c>
      <c r="I95" s="3">
        <f>'BAU Scenario'!I95*(1-'ACC emissions benefits'!I54)</f>
        <v>1130.0887317125605</v>
      </c>
      <c r="J95" s="3">
        <f>D95+AC95</f>
        <v>2367097.9666314553</v>
      </c>
      <c r="L95" s="41">
        <f>'Fleet ZEV fractions'!AS33</f>
        <v>0.60856857249970908</v>
      </c>
      <c r="M95" s="41">
        <f>M90</f>
        <v>4.0068080026283281</v>
      </c>
      <c r="O95" s="3">
        <f>E95*L95/M95</f>
        <v>47505210.882679045</v>
      </c>
      <c r="P95" s="101">
        <f>$O95*'GREET factors'!B113/454/2000</f>
        <v>489.62976642770639</v>
      </c>
      <c r="Q95" s="101">
        <f>$O95*'GREET factors'!C113/454/2000</f>
        <v>77.533571156060631</v>
      </c>
      <c r="R95" s="101">
        <f>$O95*'GREET factors'!D113/454/2000</f>
        <v>66.941569628788002</v>
      </c>
      <c r="S95" s="101">
        <f>$O95*'GREET factors'!E113/454/2000</f>
        <v>7.6504651004329123</v>
      </c>
      <c r="T95" s="101">
        <f>$O95*'GREET factors'!F113/454/2000</f>
        <v>937352.1976515163</v>
      </c>
      <c r="U95" s="101">
        <f>$O95*'GREET factors'!G113/454/2000</f>
        <v>16.888648884341904</v>
      </c>
      <c r="V95" s="101">
        <f>$O95*'GREET factors'!H113/454/2000</f>
        <v>116.66959278160191</v>
      </c>
      <c r="W95" s="101">
        <f>$O95*'GREET factors'!I113/454/2000</f>
        <v>941305.57549216517</v>
      </c>
      <c r="X95" s="101">
        <f>('Combined MOVES output'!D25/454/2000-D95)*'GREET factors'!V1</f>
        <v>5555219.4865580918</v>
      </c>
      <c r="Y95" s="261">
        <f>O95*M95*'GREET factors'!$J$7/454/2000</f>
        <v>2004.0306728785793</v>
      </c>
      <c r="Z95" s="261">
        <f>O95*M95*'GREET factors'!K$7/454/2000</f>
        <v>251.32467859631984</v>
      </c>
      <c r="AA95" s="261"/>
      <c r="AB95" s="261"/>
      <c r="AC95" s="3">
        <f>T95-X95</f>
        <v>-4617867.2889065752</v>
      </c>
      <c r="AD95" s="261">
        <f>P95-Y95</f>
        <v>-1514.4009064508728</v>
      </c>
      <c r="AE95" s="261">
        <f>Q95-Z95</f>
        <v>-173.79110744025922</v>
      </c>
      <c r="AF95" s="261"/>
      <c r="AG95" s="261"/>
      <c r="AH95">
        <v>2041</v>
      </c>
    </row>
    <row r="96" spans="1:34">
      <c r="E96" s="28"/>
      <c r="L96" s="41"/>
      <c r="M96" s="41"/>
      <c r="P96" s="6"/>
      <c r="Q96" s="6"/>
      <c r="R96" s="6"/>
      <c r="S96" s="6"/>
      <c r="T96" s="6"/>
      <c r="U96" s="6"/>
      <c r="V96" s="6"/>
      <c r="W96" s="6"/>
      <c r="X96" s="28"/>
    </row>
    <row r="97" spans="1:34">
      <c r="A97">
        <v>2042</v>
      </c>
      <c r="B97">
        <v>20</v>
      </c>
      <c r="E97" s="28"/>
      <c r="L97" s="41"/>
      <c r="M97" s="41"/>
      <c r="P97" s="6"/>
      <c r="Q97" s="6"/>
      <c r="R97" s="6"/>
      <c r="S97" s="6"/>
      <c r="T97" s="6"/>
      <c r="U97" s="6"/>
      <c r="V97" s="6"/>
      <c r="W97" s="6"/>
      <c r="X97" s="28"/>
    </row>
    <row r="98" spans="1:34">
      <c r="A98">
        <v>2042</v>
      </c>
      <c r="B98">
        <v>30</v>
      </c>
      <c r="E98" s="28"/>
      <c r="L98" s="41"/>
      <c r="M98" s="41"/>
      <c r="O98" t="s">
        <v>17</v>
      </c>
      <c r="P98" s="6"/>
      <c r="Q98" s="6"/>
      <c r="R98" s="6"/>
      <c r="S98" s="6"/>
      <c r="T98" s="6"/>
      <c r="U98" s="6"/>
      <c r="V98" s="6"/>
      <c r="W98" s="6"/>
      <c r="X98" s="28"/>
    </row>
    <row r="99" spans="1:34">
      <c r="A99">
        <v>2042</v>
      </c>
      <c r="B99">
        <v>41</v>
      </c>
      <c r="E99" s="28"/>
      <c r="L99" s="41"/>
      <c r="M99" s="41"/>
      <c r="O99" t="s">
        <v>142</v>
      </c>
      <c r="P99" s="28" t="s">
        <v>8</v>
      </c>
      <c r="Q99" s="28" t="s">
        <v>10</v>
      </c>
      <c r="R99" s="28" t="s">
        <v>14</v>
      </c>
      <c r="S99" s="28" t="s">
        <v>15</v>
      </c>
      <c r="T99" s="28" t="s">
        <v>16</v>
      </c>
      <c r="U99" s="28" t="s">
        <v>115</v>
      </c>
      <c r="V99" s="28" t="s">
        <v>116</v>
      </c>
      <c r="W99" s="28" t="s">
        <v>47</v>
      </c>
      <c r="X99" s="28" t="s">
        <v>47</v>
      </c>
      <c r="Y99" t="s">
        <v>8</v>
      </c>
      <c r="Z99" t="s">
        <v>10</v>
      </c>
      <c r="AC99" s="32" t="s">
        <v>47</v>
      </c>
      <c r="AD99" t="s">
        <v>8</v>
      </c>
      <c r="AE99" t="s">
        <v>10</v>
      </c>
    </row>
    <row r="100" spans="1:34">
      <c r="A100">
        <v>2042</v>
      </c>
      <c r="B100" t="s">
        <v>109</v>
      </c>
      <c r="C100" s="3">
        <f>'BAU Scenario'!C100*(1-'ACC emissions benefits'!C55)</f>
        <v>1284.9186632812023</v>
      </c>
      <c r="D100" s="3">
        <f>'BAU Scenario'!D100*(1-'ACC emissions benefits'!D55)</f>
        <v>5938546.6645786092</v>
      </c>
      <c r="E100" s="101">
        <f>'Combined MOVES output'!E26</f>
        <v>313439648.37621862</v>
      </c>
      <c r="F100" s="3">
        <f>'BAU Scenario'!F100*(1-'ACC emissions benefits'!F55)</f>
        <v>391.97791925501201</v>
      </c>
      <c r="G100" s="3">
        <f>'BAU Scenario'!G100*(1-'ACC emissions benefits'!G55)</f>
        <v>5131.155797555085</v>
      </c>
      <c r="H100" s="3">
        <f>'BAU Scenario'!H100*(1-'ACC emissions benefits'!H55)</f>
        <v>161.31051031557962</v>
      </c>
      <c r="I100" s="3">
        <f>'BAU Scenario'!I100*(1-'ACC emissions benefits'!I55)</f>
        <v>1039.6287399642663</v>
      </c>
      <c r="J100" s="3">
        <f>D100+AC100</f>
        <v>963303.03937801905</v>
      </c>
      <c r="L100" s="41">
        <f>'Fleet ZEV fractions'!AS34</f>
        <v>0.65309034550668987</v>
      </c>
      <c r="M100" s="41">
        <f>M95</f>
        <v>4.0068080026283281</v>
      </c>
      <c r="O100" s="3">
        <f>E100*L100/M100</f>
        <v>51089148.299404651</v>
      </c>
      <c r="P100" s="101">
        <f>$O100*'GREET factors'!B114/454/2000</f>
        <v>468.67847256798342</v>
      </c>
      <c r="Q100" s="101">
        <f>$O100*'GREET factors'!C114/454/2000</f>
        <v>74.215903921210838</v>
      </c>
      <c r="R100" s="101">
        <f>$O100*'GREET factors'!D114/454/2000</f>
        <v>64.077134921403996</v>
      </c>
      <c r="S100" s="101">
        <f>$O100*'GREET factors'!E114/454/2000</f>
        <v>7.3231011338747409</v>
      </c>
      <c r="T100" s="101">
        <f>$O100*'GREET factors'!F114/454/2000</f>
        <v>897242.82789988443</v>
      </c>
      <c r="U100" s="101">
        <f>$O100*'GREET factors'!G114/454/2000</f>
        <v>16.165982351522409</v>
      </c>
      <c r="V100" s="101">
        <f>$O100*'GREET factors'!H114/454/2000</f>
        <v>111.67729229158982</v>
      </c>
      <c r="W100" s="101">
        <f>$O100*'GREET factors'!I114/454/2000</f>
        <v>901027.04041081411</v>
      </c>
      <c r="X100" s="101">
        <f>('Combined MOVES output'!D26/454/2000-D100)*'GREET factors'!V1</f>
        <v>5872486.4531004746</v>
      </c>
      <c r="Y100" s="261">
        <f>O100*M100*'GREET factors'!$J$7/454/2000</f>
        <v>2155.2208345333315</v>
      </c>
      <c r="Z100" s="261">
        <f>O100*M100*'GREET factors'!K$7/454/2000</f>
        <v>270.28537580472454</v>
      </c>
      <c r="AA100" s="261"/>
      <c r="AB100" s="261"/>
      <c r="AC100" s="3">
        <f>T100-X100</f>
        <v>-4975243.6252005901</v>
      </c>
      <c r="AD100" s="261">
        <f>P100-Y100</f>
        <v>-1686.5423619653482</v>
      </c>
      <c r="AE100" s="261">
        <f>Q100-Z100</f>
        <v>-196.0694718835137</v>
      </c>
      <c r="AF100" s="261"/>
      <c r="AG100" s="261"/>
      <c r="AH100">
        <v>2042</v>
      </c>
    </row>
    <row r="101" spans="1:34">
      <c r="E101" s="28"/>
      <c r="L101" s="41"/>
      <c r="M101" s="41"/>
      <c r="P101" s="28"/>
      <c r="Q101" s="28"/>
      <c r="R101" s="28"/>
      <c r="S101" s="28"/>
      <c r="T101" s="28"/>
      <c r="U101" s="28"/>
      <c r="V101" s="28"/>
      <c r="W101" s="28"/>
      <c r="X101" s="101"/>
      <c r="Y101" s="3"/>
      <c r="Z101" s="3"/>
      <c r="AA101" s="3"/>
      <c r="AB101" s="3"/>
      <c r="AH101" s="6"/>
    </row>
    <row r="102" spans="1:34">
      <c r="A102">
        <v>2043</v>
      </c>
      <c r="B102">
        <v>20</v>
      </c>
      <c r="E102" s="28"/>
      <c r="L102" s="41"/>
      <c r="M102" s="41"/>
      <c r="P102" s="28"/>
      <c r="Q102" s="28"/>
      <c r="R102" s="28"/>
      <c r="S102" s="28"/>
      <c r="T102" s="28"/>
      <c r="U102" s="28"/>
      <c r="V102" s="28"/>
      <c r="W102" s="28"/>
      <c r="X102" s="101"/>
      <c r="Y102" s="3"/>
      <c r="Z102" s="3"/>
      <c r="AA102" s="3"/>
      <c r="AB102" s="3"/>
    </row>
    <row r="103" spans="1:34">
      <c r="A103">
        <v>2043</v>
      </c>
      <c r="B103">
        <v>30</v>
      </c>
      <c r="E103" s="28"/>
      <c r="L103" s="41"/>
      <c r="M103" s="41"/>
      <c r="O103" t="s">
        <v>17</v>
      </c>
      <c r="P103" s="28"/>
      <c r="Q103" s="28"/>
      <c r="R103" s="28"/>
      <c r="S103" s="28"/>
      <c r="T103" s="28"/>
      <c r="U103" s="28"/>
      <c r="V103" s="28"/>
      <c r="W103" s="28"/>
      <c r="X103" s="101"/>
      <c r="Y103" s="3"/>
      <c r="Z103" s="3"/>
      <c r="AA103" s="3"/>
      <c r="AB103" s="3"/>
    </row>
    <row r="104" spans="1:34">
      <c r="A104">
        <v>2043</v>
      </c>
      <c r="B104">
        <v>41</v>
      </c>
      <c r="E104" s="28"/>
      <c r="L104" s="41"/>
      <c r="M104" s="41"/>
      <c r="O104" t="s">
        <v>142</v>
      </c>
      <c r="P104" s="28" t="s">
        <v>8</v>
      </c>
      <c r="Q104" s="28" t="s">
        <v>10</v>
      </c>
      <c r="R104" s="28" t="s">
        <v>14</v>
      </c>
      <c r="S104" s="28" t="s">
        <v>15</v>
      </c>
      <c r="T104" s="28" t="s">
        <v>16</v>
      </c>
      <c r="U104" s="28" t="s">
        <v>115</v>
      </c>
      <c r="V104" s="28" t="s">
        <v>116</v>
      </c>
      <c r="W104" s="28" t="s">
        <v>47</v>
      </c>
      <c r="X104" s="28" t="s">
        <v>47</v>
      </c>
      <c r="Y104" t="s">
        <v>8</v>
      </c>
      <c r="Z104" t="s">
        <v>10</v>
      </c>
      <c r="AC104" s="32" t="s">
        <v>47</v>
      </c>
      <c r="AD104" t="s">
        <v>8</v>
      </c>
      <c r="AE104" t="s">
        <v>10</v>
      </c>
    </row>
    <row r="105" spans="1:34">
      <c r="A105">
        <v>2043</v>
      </c>
      <c r="B105" t="s">
        <v>109</v>
      </c>
      <c r="C105" s="3">
        <f>'BAU Scenario'!C105*(1-'ACC emissions benefits'!C56)</f>
        <v>1084.7381721717977</v>
      </c>
      <c r="D105" s="3">
        <f>'BAU Scenario'!D105*(1-'ACC emissions benefits'!D56)</f>
        <v>4987587.0234886119</v>
      </c>
      <c r="E105" s="3">
        <f>'BAU Scenario'!E105*(1-'ACC emissions benefits'!E56)</f>
        <v>314105572.0932399</v>
      </c>
      <c r="F105" s="3">
        <f>'BAU Scenario'!F105*(1-'ACC emissions benefits'!F56)</f>
        <v>381.9416928806753</v>
      </c>
      <c r="G105" s="3">
        <f>'BAU Scenario'!G105*(1-'ACC emissions benefits'!G56)</f>
        <v>4728.4842841528134</v>
      </c>
      <c r="H105" s="3">
        <f>'BAU Scenario'!H105*(1-'ACC emissions benefits'!H56)</f>
        <v>146.17500653716942</v>
      </c>
      <c r="I105" s="3">
        <f>'BAU Scenario'!I105*(1-'ACC emissions benefits'!I56)</f>
        <v>953.88464007861955</v>
      </c>
      <c r="J105" s="3">
        <f>D105+AC105</f>
        <v>-332999.0379943233</v>
      </c>
      <c r="L105" s="41">
        <f>'Fleet ZEV fractions'!AS35</f>
        <v>0.69753020117502185</v>
      </c>
      <c r="M105" s="41">
        <f>M100</f>
        <v>4.0068080026283281</v>
      </c>
      <c r="O105" s="3">
        <f>E105*L105/M105</f>
        <v>54681462.83741875</v>
      </c>
      <c r="P105" s="101">
        <f>$O105*'GREET factors'!B115/454/2000</f>
        <v>439.67242935351339</v>
      </c>
      <c r="Q105" s="101">
        <f>$O105*'GREET factors'!C115/454/2000</f>
        <v>69.622755649338089</v>
      </c>
      <c r="R105" s="101">
        <f>$O105*'GREET factors'!D115/454/2000</f>
        <v>60.111464950675661</v>
      </c>
      <c r="S105" s="101">
        <f>$O105*'GREET factors'!E115/454/2000</f>
        <v>6.8698817086486468</v>
      </c>
      <c r="T105" s="101">
        <f>$O105*'GREET factors'!F115/454/2000</f>
        <v>841713.3641774765</v>
      </c>
      <c r="U105" s="101">
        <f>$O105*'GREET factors'!G115/454/2000</f>
        <v>15.165485827490995</v>
      </c>
      <c r="V105" s="101">
        <f>$O105*'GREET factors'!H115/454/2000</f>
        <v>104.76569605689185</v>
      </c>
      <c r="W105" s="101">
        <f>$O105*'GREET factors'!I115/454/2000</f>
        <v>845263.37555042072</v>
      </c>
      <c r="X105" s="101">
        <f>('Combined MOVES output'!D27/454/2000-D105)*'GREET factors'!V1</f>
        <v>6162299.4256604118</v>
      </c>
      <c r="Y105" s="261">
        <f>O105*M105*'GREET factors'!$J$7/454/2000</f>
        <v>2306.7643891675193</v>
      </c>
      <c r="Z105" s="261">
        <f>O105*M105*'GREET factors'!K$7/454/2000</f>
        <v>289.29039188418085</v>
      </c>
      <c r="AA105" s="261"/>
      <c r="AB105" s="261"/>
      <c r="AC105" s="3">
        <f>T105-X105</f>
        <v>-5320586.0614829352</v>
      </c>
      <c r="AD105" s="261">
        <f>P105-Y105</f>
        <v>-1867.0919598140058</v>
      </c>
      <c r="AE105" s="261">
        <f>Q105-Z105</f>
        <v>-219.66763623484275</v>
      </c>
      <c r="AF105" s="261"/>
      <c r="AG105" s="261"/>
      <c r="AH105">
        <v>2043</v>
      </c>
    </row>
    <row r="106" spans="1:34">
      <c r="E106" s="28"/>
      <c r="L106" s="41"/>
      <c r="M106" s="41"/>
      <c r="P106" s="6"/>
      <c r="Q106" s="6"/>
      <c r="R106" s="6"/>
      <c r="S106" s="6"/>
      <c r="T106" s="6"/>
      <c r="U106" s="6"/>
      <c r="V106" s="6"/>
      <c r="W106" s="6"/>
      <c r="X106" s="101"/>
      <c r="Y106" s="3"/>
      <c r="Z106" s="3"/>
      <c r="AA106" s="3"/>
      <c r="AB106" s="3"/>
    </row>
    <row r="107" spans="1:34">
      <c r="A107">
        <v>2044</v>
      </c>
      <c r="B107">
        <v>20</v>
      </c>
      <c r="E107" s="28"/>
      <c r="L107" s="41"/>
      <c r="M107" s="41"/>
      <c r="P107" s="6"/>
      <c r="Q107" s="6"/>
      <c r="R107" s="6"/>
      <c r="S107" s="6"/>
      <c r="T107" s="6"/>
      <c r="U107" s="6"/>
      <c r="V107" s="6"/>
      <c r="W107" s="6"/>
      <c r="X107" s="101"/>
      <c r="Y107" s="3"/>
      <c r="Z107" s="3"/>
      <c r="AA107" s="3"/>
      <c r="AB107" s="3"/>
    </row>
    <row r="108" spans="1:34">
      <c r="A108">
        <v>2044</v>
      </c>
      <c r="B108">
        <v>30</v>
      </c>
      <c r="E108" s="28"/>
      <c r="L108" s="41"/>
      <c r="M108" s="41"/>
      <c r="O108" t="s">
        <v>17</v>
      </c>
      <c r="P108" s="6"/>
      <c r="Q108" s="6"/>
      <c r="R108" s="6"/>
      <c r="S108" s="6"/>
      <c r="T108" s="6"/>
      <c r="U108" s="6"/>
      <c r="V108" s="6"/>
      <c r="W108" s="6"/>
      <c r="X108" s="101"/>
      <c r="Y108" s="3"/>
      <c r="Z108" s="3"/>
      <c r="AA108" s="3"/>
      <c r="AB108" s="3"/>
    </row>
    <row r="109" spans="1:34">
      <c r="A109">
        <v>2044</v>
      </c>
      <c r="B109">
        <v>41</v>
      </c>
      <c r="E109" s="28"/>
      <c r="L109" s="41"/>
      <c r="M109" s="41"/>
      <c r="O109" t="s">
        <v>142</v>
      </c>
      <c r="P109" s="28" t="s">
        <v>8</v>
      </c>
      <c r="Q109" s="28" t="s">
        <v>10</v>
      </c>
      <c r="R109" s="28" t="s">
        <v>14</v>
      </c>
      <c r="S109" s="28" t="s">
        <v>15</v>
      </c>
      <c r="T109" s="28" t="s">
        <v>16</v>
      </c>
      <c r="U109" s="28" t="s">
        <v>115</v>
      </c>
      <c r="V109" s="28" t="s">
        <v>116</v>
      </c>
      <c r="W109" s="28" t="s">
        <v>47</v>
      </c>
      <c r="X109" s="28" t="s">
        <v>47</v>
      </c>
      <c r="Y109" t="s">
        <v>8</v>
      </c>
      <c r="Z109" t="s">
        <v>10</v>
      </c>
      <c r="AC109" s="32" t="s">
        <v>47</v>
      </c>
      <c r="AD109" t="s">
        <v>8</v>
      </c>
      <c r="AE109" t="s">
        <v>10</v>
      </c>
    </row>
    <row r="110" spans="1:34">
      <c r="A110">
        <v>2044</v>
      </c>
      <c r="B110" t="s">
        <v>109</v>
      </c>
      <c r="C110" s="3">
        <f>'BAU Scenario'!C110*(1-'ACC emissions benefits'!C57)</f>
        <v>892.23775092092308</v>
      </c>
      <c r="D110" s="3">
        <f>'BAU Scenario'!D110*(1-'ACC emissions benefits'!D57)</f>
        <v>4130980.5654360848</v>
      </c>
      <c r="E110" s="3">
        <f>'BAU Scenario'!E110*(1-'ACC emissions benefits'!E57)</f>
        <v>314771495.81026125</v>
      </c>
      <c r="F110" s="3">
        <f>'BAU Scenario'!F110*(1-'ACC emissions benefits'!F57)</f>
        <v>372.69988089064748</v>
      </c>
      <c r="G110" s="3">
        <f>'BAU Scenario'!G110*(1-'ACC emissions benefits'!G57)</f>
        <v>4332.6613731146299</v>
      </c>
      <c r="H110" s="3">
        <f>'BAU Scenario'!H110*(1-'ACC emissions benefits'!H57)</f>
        <v>132.44945118359385</v>
      </c>
      <c r="I110" s="3">
        <f>'BAU Scenario'!I110*(1-'ACC emissions benefits'!I57)</f>
        <v>873.52369235581546</v>
      </c>
      <c r="J110" s="3">
        <f>D110+AC110</f>
        <v>-1523286.5880077854</v>
      </c>
      <c r="L110" s="41">
        <f>'Fleet ZEV fractions'!AS36</f>
        <v>0.74188863969829832</v>
      </c>
      <c r="M110" s="41">
        <f>M105</f>
        <v>4.0068080026283281</v>
      </c>
      <c r="O110" s="3">
        <f>E110*L110/M110</f>
        <v>58282152.94800467</v>
      </c>
      <c r="P110" s="101">
        <f>$O110*'GREET factors'!B116/454/2000</f>
        <v>402.58314908054348</v>
      </c>
      <c r="Q110" s="101">
        <f>$O110*'GREET factors'!C116/454/2000</f>
        <v>63.749615271962789</v>
      </c>
      <c r="R110" s="101">
        <f>$O110*'GREET factors'!D116/454/2000</f>
        <v>55.040664913355556</v>
      </c>
      <c r="S110" s="101">
        <f>$O110*'GREET factors'!E116/454/2000</f>
        <v>6.2903617043834918</v>
      </c>
      <c r="T110" s="101">
        <f>$O110*'GREET factors'!F116/454/2000</f>
        <v>770709.26933490019</v>
      </c>
      <c r="U110" s="101">
        <f>$O110*'GREET factors'!G116/454/2000</f>
        <v>13.886176694647201</v>
      </c>
      <c r="V110" s="101">
        <f>$O110*'GREET factors'!H116/454/2000</f>
        <v>95.928015991848241</v>
      </c>
      <c r="W110" s="101">
        <f>$O110*'GREET factors'!I116/454/2000</f>
        <v>773959.81374564033</v>
      </c>
      <c r="X110" s="101">
        <f>('Combined MOVES output'!D28/454/2000-D110)*'GREET factors'!V1</f>
        <v>6424976.4227787703</v>
      </c>
      <c r="Y110" s="261">
        <f>O110*M110*'GREET factors'!$J$7/454/2000</f>
        <v>2458.6612714477692</v>
      </c>
      <c r="Z110" s="261">
        <f>O110*M110*'GREET factors'!K$7/454/2000</f>
        <v>308.33971864125687</v>
      </c>
      <c r="AA110" s="261"/>
      <c r="AB110" s="261"/>
      <c r="AC110" s="3">
        <f>T110-X110</f>
        <v>-5654267.1534438701</v>
      </c>
      <c r="AD110" s="261">
        <f>P110-Y110</f>
        <v>-2056.0781223672257</v>
      </c>
      <c r="AE110" s="261">
        <f>Q110-Z110</f>
        <v>-244.59010336929407</v>
      </c>
      <c r="AF110" s="261"/>
      <c r="AG110" s="261"/>
      <c r="AH110">
        <v>2044</v>
      </c>
    </row>
    <row r="111" spans="1:34">
      <c r="E111" s="28"/>
      <c r="L111" s="41"/>
      <c r="M111" s="41"/>
      <c r="P111" s="28"/>
      <c r="Q111" s="28"/>
      <c r="R111" s="28"/>
      <c r="S111" s="28"/>
      <c r="T111" s="28"/>
      <c r="U111" s="28"/>
      <c r="V111" s="28"/>
      <c r="W111" s="28"/>
      <c r="X111" s="28"/>
    </row>
    <row r="112" spans="1:34">
      <c r="A112">
        <v>2045</v>
      </c>
      <c r="B112">
        <v>20</v>
      </c>
      <c r="E112" s="28"/>
      <c r="L112" s="41"/>
      <c r="M112" s="41"/>
      <c r="P112" s="28"/>
      <c r="Q112" s="28"/>
      <c r="R112" s="28"/>
      <c r="S112" s="28"/>
      <c r="T112" s="28"/>
      <c r="U112" s="28"/>
      <c r="V112" s="28"/>
      <c r="W112" s="28"/>
      <c r="X112" s="28"/>
    </row>
    <row r="113" spans="1:34">
      <c r="A113">
        <v>2045</v>
      </c>
      <c r="B113">
        <v>30</v>
      </c>
      <c r="E113" s="28"/>
      <c r="L113" s="41"/>
      <c r="M113" s="41"/>
      <c r="O113" t="s">
        <v>17</v>
      </c>
      <c r="P113" s="28"/>
      <c r="Q113" s="28"/>
      <c r="R113" s="28"/>
      <c r="S113" s="28"/>
      <c r="T113" s="28"/>
      <c r="U113" s="28"/>
      <c r="V113" s="28"/>
      <c r="W113" s="28"/>
      <c r="X113" s="28"/>
    </row>
    <row r="114" spans="1:34">
      <c r="A114">
        <v>2045</v>
      </c>
      <c r="B114">
        <v>41</v>
      </c>
      <c r="E114" s="28"/>
      <c r="L114" s="41"/>
      <c r="M114" s="41"/>
      <c r="O114" t="s">
        <v>142</v>
      </c>
      <c r="P114" s="28" t="s">
        <v>8</v>
      </c>
      <c r="Q114" s="28" t="s">
        <v>10</v>
      </c>
      <c r="R114" s="28" t="s">
        <v>14</v>
      </c>
      <c r="S114" s="28" t="s">
        <v>15</v>
      </c>
      <c r="T114" s="28" t="s">
        <v>16</v>
      </c>
      <c r="U114" s="28" t="s">
        <v>115</v>
      </c>
      <c r="V114" s="28" t="s">
        <v>116</v>
      </c>
      <c r="W114" s="28" t="s">
        <v>47</v>
      </c>
      <c r="X114" s="28" t="s">
        <v>47</v>
      </c>
      <c r="Y114" t="s">
        <v>8</v>
      </c>
      <c r="Z114" t="s">
        <v>10</v>
      </c>
      <c r="AC114" s="32" t="s">
        <v>47</v>
      </c>
      <c r="AD114" t="s">
        <v>8</v>
      </c>
      <c r="AE114" t="s">
        <v>10</v>
      </c>
    </row>
    <row r="115" spans="1:34">
      <c r="A115">
        <v>2045</v>
      </c>
      <c r="B115" t="s">
        <v>109</v>
      </c>
      <c r="C115" s="3">
        <f>'BAU Scenario'!C115*(1-'ACC emissions benefits'!C58)</f>
        <v>715.95522237697526</v>
      </c>
      <c r="D115" s="3">
        <f>'BAU Scenario'!D115*(1-'ACC emissions benefits'!D58)</f>
        <v>3362573.6633085143</v>
      </c>
      <c r="E115" s="3">
        <f>'BAU Scenario'!E115*(1-'ACC emissions benefits'!E58)</f>
        <v>315437419.52728254</v>
      </c>
      <c r="F115" s="3">
        <f>'BAU Scenario'!F115*(1-'ACC emissions benefits'!F58)</f>
        <v>364.2653960030072</v>
      </c>
      <c r="G115" s="3">
        <f>'BAU Scenario'!G115*(1-'ACC emissions benefits'!G58)</f>
        <v>3942.9358897786237</v>
      </c>
      <c r="H115" s="3">
        <f>'BAU Scenario'!H115*(1-'ACC emissions benefits'!H58)</f>
        <v>119.98515563803643</v>
      </c>
      <c r="I115" s="3">
        <f>'BAU Scenario'!I115*(1-'ACC emissions benefits'!I58)</f>
        <v>798.93142267602605</v>
      </c>
      <c r="J115" s="3">
        <f>D115+AC115</f>
        <v>-2615537.5444254819</v>
      </c>
      <c r="L115" s="41">
        <f>'Fleet ZEV fractions'!AS37</f>
        <v>0.7861661572967803</v>
      </c>
      <c r="M115" s="41">
        <f>M110</f>
        <v>4.0068080026283281</v>
      </c>
      <c r="O115" s="3">
        <f>E115*L115/M115</f>
        <v>61891217.102168523</v>
      </c>
      <c r="P115" s="101">
        <f>$O115*'GREET factors'!B117/454/2000</f>
        <v>357.38215117877314</v>
      </c>
      <c r="Q115" s="101">
        <f>$O115*'GREET factors'!C117/454/2000</f>
        <v>56.591972850197749</v>
      </c>
      <c r="R115" s="101">
        <f>$O115*'GREET factors'!D117/454/2000</f>
        <v>48.86084098147289</v>
      </c>
      <c r="S115" s="101">
        <f>$O115*'GREET factors'!E117/454/2000</f>
        <v>5.5840961121683304</v>
      </c>
      <c r="T115" s="101">
        <f>$O115*'GREET factors'!F117/454/2000</f>
        <v>684176.01987911609</v>
      </c>
      <c r="U115" s="101">
        <f>$O115*'GREET factors'!G117/454/2000</f>
        <v>12.32707258144254</v>
      </c>
      <c r="V115" s="101">
        <f>$O115*'GREET factors'!H117/454/2000</f>
        <v>85.157465710567024</v>
      </c>
      <c r="W115" s="101">
        <f>$O115*'GREET factors'!I117/454/2000</f>
        <v>687061.60154507915</v>
      </c>
      <c r="X115" s="101">
        <f>('Combined MOVES output'!D29/454/2000-D115)*'GREET factors'!V1</f>
        <v>6662287.227613112</v>
      </c>
      <c r="Y115" s="261">
        <f>O115*M115*'GREET factors'!$J$7/454/2000</f>
        <v>2610.9114168727219</v>
      </c>
      <c r="Z115" s="261">
        <f>O115*M115*'GREET factors'!K$7/454/2000</f>
        <v>327.433347986863</v>
      </c>
      <c r="AA115" s="261"/>
      <c r="AB115" s="261"/>
      <c r="AC115" s="3">
        <f>T115-X115</f>
        <v>-5978111.2077339962</v>
      </c>
      <c r="AD115" s="261">
        <f>P115-Y115</f>
        <v>-2253.5292656939487</v>
      </c>
      <c r="AE115" s="261">
        <f>Q115-Z115</f>
        <v>-270.84137513666525</v>
      </c>
      <c r="AF115" s="261"/>
      <c r="AG115" s="261"/>
      <c r="AH115">
        <v>2045</v>
      </c>
    </row>
    <row r="116" spans="1:34">
      <c r="E116" s="28"/>
      <c r="L116" s="41"/>
      <c r="M116" s="41"/>
      <c r="P116" s="28"/>
      <c r="Q116" s="28"/>
      <c r="R116" s="28"/>
      <c r="S116" s="28"/>
      <c r="T116" s="28"/>
      <c r="U116" s="28"/>
      <c r="V116" s="28"/>
      <c r="W116" s="28"/>
      <c r="X116" s="28"/>
      <c r="AH116" s="6"/>
    </row>
    <row r="117" spans="1:34">
      <c r="A117">
        <v>2046</v>
      </c>
      <c r="B117">
        <v>20</v>
      </c>
      <c r="E117" s="28"/>
      <c r="L117" s="41"/>
      <c r="M117" s="41"/>
      <c r="P117" s="28"/>
      <c r="Q117" s="28"/>
      <c r="R117" s="28"/>
      <c r="S117" s="28"/>
      <c r="T117" s="28"/>
      <c r="U117" s="28"/>
      <c r="V117" s="28"/>
      <c r="W117" s="28"/>
      <c r="X117" s="28"/>
    </row>
    <row r="118" spans="1:34">
      <c r="A118">
        <v>2046</v>
      </c>
      <c r="B118">
        <v>30</v>
      </c>
      <c r="E118" s="28"/>
      <c r="L118" s="41"/>
      <c r="M118" s="41"/>
      <c r="O118" t="s">
        <v>17</v>
      </c>
      <c r="P118" s="28"/>
      <c r="Q118" s="28"/>
      <c r="R118" s="28"/>
      <c r="S118" s="28"/>
      <c r="T118" s="28"/>
      <c r="U118" s="28"/>
      <c r="V118" s="28"/>
      <c r="W118" s="28"/>
      <c r="X118" s="28"/>
    </row>
    <row r="119" spans="1:34">
      <c r="A119">
        <v>2046</v>
      </c>
      <c r="B119">
        <v>41</v>
      </c>
      <c r="E119" s="28"/>
      <c r="L119" s="41"/>
      <c r="M119" s="41"/>
      <c r="O119" t="s">
        <v>142</v>
      </c>
      <c r="P119" s="28" t="s">
        <v>8</v>
      </c>
      <c r="Q119" s="28" t="s">
        <v>10</v>
      </c>
      <c r="R119" s="28" t="s">
        <v>14</v>
      </c>
      <c r="S119" s="28" t="s">
        <v>15</v>
      </c>
      <c r="T119" s="28" t="s">
        <v>16</v>
      </c>
      <c r="U119" s="28" t="s">
        <v>115</v>
      </c>
      <c r="V119" s="28" t="s">
        <v>116</v>
      </c>
      <c r="W119" s="28" t="s">
        <v>47</v>
      </c>
      <c r="X119" s="28" t="s">
        <v>47</v>
      </c>
      <c r="Y119" t="s">
        <v>8</v>
      </c>
      <c r="Z119" t="s">
        <v>10</v>
      </c>
      <c r="AC119" s="32" t="s">
        <v>47</v>
      </c>
      <c r="AD119" t="s">
        <v>8</v>
      </c>
      <c r="AE119" t="s">
        <v>10</v>
      </c>
    </row>
    <row r="120" spans="1:34">
      <c r="A120">
        <v>2046</v>
      </c>
      <c r="B120" t="s">
        <v>109</v>
      </c>
      <c r="C120" s="3">
        <f>'BAU Scenario'!C120*(1-'ACC emissions benefits'!C59)</f>
        <v>552.89358426741933</v>
      </c>
      <c r="D120" s="3">
        <f>'BAU Scenario'!D120*(1-'ACC emissions benefits'!D59)</f>
        <v>2681508.1477759001</v>
      </c>
      <c r="E120" s="3">
        <f>'BAU Scenario'!E120*(1-'ACC emissions benefits'!E59)</f>
        <v>316103343.24430382</v>
      </c>
      <c r="F120" s="3">
        <f>'BAU Scenario'!F120*(1-'ACC emissions benefits'!F59)</f>
        <v>356.55903970686904</v>
      </c>
      <c r="G120" s="3">
        <f>'BAU Scenario'!G120*(1-'ACC emissions benefits'!G59)</f>
        <v>3541.7914877151238</v>
      </c>
      <c r="H120" s="3">
        <f>'BAU Scenario'!H120*(1-'ACC emissions benefits'!H59)</f>
        <v>109.01361291052321</v>
      </c>
      <c r="I120" s="3">
        <f>'BAU Scenario'!I120*(1-'ACC emissions benefits'!I59)</f>
        <v>730.80748317733048</v>
      </c>
      <c r="J120" s="3">
        <f>D120+AC120</f>
        <v>-3613651.7549080593</v>
      </c>
      <c r="L120" s="41">
        <f>'Fleet ZEV fractions'!AS38</f>
        <v>0.83034431010729448</v>
      </c>
      <c r="M120" s="41">
        <f>M115</f>
        <v>4.0068080026283281</v>
      </c>
      <c r="O120" s="3">
        <f>E120*L120/M120</f>
        <v>65507159.888027191</v>
      </c>
      <c r="P120" s="101">
        <f>$O120*'GREET factors'!B118/454/2000</f>
        <v>302.60952444672125</v>
      </c>
      <c r="Q120" s="101">
        <f>$O120*'GREET factors'!C118/454/2000</f>
        <v>47.918649365154039</v>
      </c>
      <c r="R120" s="101">
        <f>$O120*'GREET factors'!D118/454/2000</f>
        <v>41.372395920450174</v>
      </c>
      <c r="S120" s="101">
        <f>$O120*'GREET factors'!E118/454/2000</f>
        <v>4.7282738194800196</v>
      </c>
      <c r="T120" s="101">
        <f>$O120*'GREET factors'!F118/454/2000</f>
        <v>579318.74697878573</v>
      </c>
      <c r="U120" s="101">
        <f>$O120*'GREET factors'!G118/454/2000</f>
        <v>10.437817219989093</v>
      </c>
      <c r="V120" s="101">
        <f>$O120*'GREET factors'!H118/454/2000</f>
        <v>72.106175747070282</v>
      </c>
      <c r="W120" s="101">
        <f>$O120*'GREET factors'!I118/454/2000</f>
        <v>581762.08247500204</v>
      </c>
      <c r="X120" s="101">
        <f>('Combined MOVES output'!D30/454/2000-D120)*'GREET factors'!V1</f>
        <v>6874478.6496627452</v>
      </c>
      <c r="Y120" s="261">
        <f>O120*M120*'GREET factors'!$J$7/454/2000</f>
        <v>2763.4517407570002</v>
      </c>
      <c r="Z120" s="261">
        <f>O120*M120*'GREET factors'!K$7/454/2000</f>
        <v>346.56336849604378</v>
      </c>
      <c r="AA120" s="261"/>
      <c r="AB120" s="261"/>
      <c r="AC120" s="3">
        <f>T120-X120</f>
        <v>-6295159.9026839593</v>
      </c>
      <c r="AD120" s="261">
        <f>P120-Y120</f>
        <v>-2460.8422163102787</v>
      </c>
      <c r="AE120" s="261">
        <f>Q120-Z120</f>
        <v>-298.64471913088971</v>
      </c>
      <c r="AF120" s="261"/>
      <c r="AG120" s="261"/>
      <c r="AH120">
        <v>2046</v>
      </c>
    </row>
    <row r="121" spans="1:34">
      <c r="E121" s="28"/>
      <c r="L121" s="41"/>
      <c r="M121" s="41"/>
      <c r="P121" s="6"/>
      <c r="Q121" s="6"/>
      <c r="R121" s="6"/>
      <c r="S121" s="6"/>
      <c r="T121" s="6"/>
      <c r="U121" s="6"/>
      <c r="V121" s="6"/>
      <c r="W121" s="6"/>
      <c r="X121" s="28"/>
    </row>
    <row r="122" spans="1:34">
      <c r="A122">
        <v>2047</v>
      </c>
      <c r="B122">
        <v>20</v>
      </c>
      <c r="E122" s="28"/>
      <c r="L122" s="41"/>
      <c r="M122" s="41"/>
      <c r="P122" s="6"/>
      <c r="Q122" s="6"/>
      <c r="R122" s="6"/>
      <c r="S122" s="6"/>
      <c r="T122" s="6"/>
      <c r="U122" s="6"/>
      <c r="V122" s="6"/>
      <c r="W122" s="6"/>
      <c r="X122" s="28"/>
    </row>
    <row r="123" spans="1:34">
      <c r="A123">
        <v>2047</v>
      </c>
      <c r="B123">
        <v>30</v>
      </c>
      <c r="E123" s="28"/>
      <c r="L123" s="41"/>
      <c r="M123" s="41"/>
      <c r="O123" t="s">
        <v>17</v>
      </c>
      <c r="P123" s="6"/>
      <c r="Q123" s="6"/>
      <c r="R123" s="6"/>
      <c r="S123" s="6"/>
      <c r="T123" s="6"/>
      <c r="U123" s="6"/>
      <c r="V123" s="6"/>
      <c r="W123" s="6"/>
      <c r="X123" s="28"/>
    </row>
    <row r="124" spans="1:34">
      <c r="A124">
        <v>2047</v>
      </c>
      <c r="B124">
        <v>41</v>
      </c>
      <c r="E124" s="28"/>
      <c r="L124" s="41"/>
      <c r="M124" s="41"/>
      <c r="O124" t="s">
        <v>142</v>
      </c>
      <c r="P124" s="28" t="s">
        <v>8</v>
      </c>
      <c r="Q124" s="28" t="s">
        <v>10</v>
      </c>
      <c r="R124" s="28" t="s">
        <v>14</v>
      </c>
      <c r="S124" s="28" t="s">
        <v>15</v>
      </c>
      <c r="T124" s="28" t="s">
        <v>16</v>
      </c>
      <c r="U124" s="28" t="s">
        <v>115</v>
      </c>
      <c r="V124" s="28" t="s">
        <v>116</v>
      </c>
      <c r="W124" s="28" t="s">
        <v>47</v>
      </c>
      <c r="X124" s="28" t="s">
        <v>47</v>
      </c>
      <c r="Y124" t="s">
        <v>8</v>
      </c>
      <c r="Z124" t="s">
        <v>10</v>
      </c>
      <c r="AC124" s="32" t="s">
        <v>47</v>
      </c>
      <c r="AD124" t="s">
        <v>8</v>
      </c>
      <c r="AE124" t="s">
        <v>10</v>
      </c>
    </row>
    <row r="125" spans="1:34">
      <c r="A125">
        <v>2047</v>
      </c>
      <c r="B125" t="s">
        <v>109</v>
      </c>
      <c r="C125" s="3">
        <f>'BAU Scenario'!C125*(1-'ACC emissions benefits'!C60)</f>
        <v>411.98784245837965</v>
      </c>
      <c r="D125" s="3">
        <f>'BAU Scenario'!D125*(1-'ACC emissions benefits'!D60)</f>
        <v>2084355.009804277</v>
      </c>
      <c r="E125" s="3">
        <f>'BAU Scenario'!E125*(1-'ACC emissions benefits'!E60)</f>
        <v>316769266.96132517</v>
      </c>
      <c r="F125" s="3">
        <f>'BAU Scenario'!F125*(1-'ACC emissions benefits'!F60)</f>
        <v>349.69633146252016</v>
      </c>
      <c r="G125" s="3">
        <f>'BAU Scenario'!G125*(1-'ACC emissions benefits'!G60)</f>
        <v>3154.8187316873168</v>
      </c>
      <c r="H125" s="3">
        <f>'BAU Scenario'!H125*(1-'ACC emissions benefits'!H60)</f>
        <v>99.266722428399603</v>
      </c>
      <c r="I125" s="3">
        <f>'BAU Scenario'!I125*(1-'ACC emissions benefits'!I60)</f>
        <v>669.47033136923642</v>
      </c>
      <c r="J125" s="3">
        <f>D125+AC125</f>
        <v>-4535595.8583258716</v>
      </c>
      <c r="L125" s="41">
        <f>'Fleet ZEV fractions'!AS39</f>
        <v>0.84404012540409934</v>
      </c>
      <c r="M125" s="41">
        <f>M120</f>
        <v>4.0068080026283281</v>
      </c>
      <c r="O125" s="3">
        <f>E125*L125/M125</f>
        <v>66727921.985485367</v>
      </c>
      <c r="P125" s="101">
        <f>$O125*'GREET factors'!B119/454/2000</f>
        <v>231.1866150264467</v>
      </c>
      <c r="Q125" s="101">
        <f>$O125*'GREET factors'!C119/454/2000</f>
        <v>36.608729892504151</v>
      </c>
      <c r="R125" s="101">
        <f>$O125*'GREET factors'!D119/454/2000</f>
        <v>31.607545023147008</v>
      </c>
      <c r="S125" s="101">
        <f>$O125*'GREET factors'!E119/454/2000</f>
        <v>3.6122908597882297</v>
      </c>
      <c r="T125" s="101">
        <f>$O125*'GREET factors'!F119/454/2000</f>
        <v>442586.00379568833</v>
      </c>
      <c r="U125" s="101">
        <f>$O125*'GREET factors'!G119/454/2000</f>
        <v>7.9742487807216804</v>
      </c>
      <c r="V125" s="101">
        <f>$O125*'GREET factors'!H119/454/2000</f>
        <v>55.087435611770495</v>
      </c>
      <c r="W125" s="101">
        <f>$O125*'GREET factors'!I119/454/2000</f>
        <v>444452.65509748389</v>
      </c>
      <c r="X125" s="101">
        <f>('Combined MOVES output'!D31/454/2000-D125)*'GREET factors'!V1</f>
        <v>7062536.8719258364</v>
      </c>
      <c r="Y125" s="261">
        <f>O125*M125*'GREET factors'!$J$7/454/2000</f>
        <v>2814.9501899194638</v>
      </c>
      <c r="Z125" s="261">
        <f>O125*M125*'GREET factors'!K$7/454/2000</f>
        <v>353.02176823968352</v>
      </c>
      <c r="AA125" s="261"/>
      <c r="AB125" s="261"/>
      <c r="AC125" s="3">
        <f>T125-X125</f>
        <v>-6619950.8681301484</v>
      </c>
      <c r="AD125" s="261">
        <f>P125-Y125</f>
        <v>-2583.763574893017</v>
      </c>
      <c r="AE125" s="261">
        <f>Q125-Z125</f>
        <v>-316.41303834717939</v>
      </c>
      <c r="AF125" s="261"/>
      <c r="AG125" s="261"/>
      <c r="AH125">
        <v>2047</v>
      </c>
    </row>
    <row r="126" spans="1:34">
      <c r="E126" s="28"/>
      <c r="L126" s="41"/>
      <c r="M126" s="41"/>
      <c r="P126" s="28"/>
      <c r="Q126" s="28"/>
      <c r="R126" s="28"/>
      <c r="S126" s="28"/>
      <c r="T126" s="28"/>
      <c r="U126" s="28"/>
      <c r="V126" s="28"/>
      <c r="W126" s="28"/>
      <c r="X126" s="101"/>
      <c r="Y126" s="3"/>
      <c r="Z126" s="3"/>
      <c r="AA126" s="3"/>
      <c r="AB126" s="3"/>
    </row>
    <row r="127" spans="1:34">
      <c r="A127">
        <v>2048</v>
      </c>
      <c r="B127">
        <v>20</v>
      </c>
      <c r="E127" s="28"/>
      <c r="L127" s="41"/>
      <c r="M127" s="41"/>
      <c r="P127" s="28"/>
      <c r="Q127" s="28"/>
      <c r="R127" s="28"/>
      <c r="S127" s="28"/>
      <c r="T127" s="28"/>
      <c r="U127" s="28"/>
      <c r="V127" s="28"/>
      <c r="W127" s="28"/>
      <c r="X127" s="101"/>
      <c r="Y127" s="3"/>
      <c r="Z127" s="3"/>
      <c r="AA127" s="3"/>
      <c r="AB127" s="3"/>
    </row>
    <row r="128" spans="1:34">
      <c r="A128">
        <v>2048</v>
      </c>
      <c r="B128">
        <v>30</v>
      </c>
      <c r="E128" s="28"/>
      <c r="L128" s="41"/>
      <c r="M128" s="41"/>
      <c r="O128" t="s">
        <v>17</v>
      </c>
      <c r="P128" s="28"/>
      <c r="Q128" s="28"/>
      <c r="R128" s="28"/>
      <c r="S128" s="28"/>
      <c r="T128" s="28"/>
      <c r="U128" s="28"/>
      <c r="V128" s="28"/>
      <c r="W128" s="28"/>
      <c r="X128" s="101"/>
      <c r="Y128" s="3"/>
      <c r="Z128" s="3"/>
      <c r="AA128" s="3"/>
      <c r="AB128" s="3"/>
    </row>
    <row r="129" spans="1:34">
      <c r="A129">
        <v>2048</v>
      </c>
      <c r="B129">
        <v>41</v>
      </c>
      <c r="E129" s="28"/>
      <c r="L129" s="41"/>
      <c r="M129" s="41"/>
      <c r="O129" t="s">
        <v>142</v>
      </c>
      <c r="P129" s="28" t="s">
        <v>8</v>
      </c>
      <c r="Q129" s="28" t="s">
        <v>10</v>
      </c>
      <c r="R129" s="28" t="s">
        <v>14</v>
      </c>
      <c r="S129" s="28" t="s">
        <v>15</v>
      </c>
      <c r="T129" s="28" t="s">
        <v>16</v>
      </c>
      <c r="U129" s="28" t="s">
        <v>115</v>
      </c>
      <c r="V129" s="28" t="s">
        <v>116</v>
      </c>
      <c r="W129" s="28" t="s">
        <v>47</v>
      </c>
      <c r="X129" s="28" t="s">
        <v>47</v>
      </c>
      <c r="Y129" t="s">
        <v>8</v>
      </c>
      <c r="Z129" t="s">
        <v>10</v>
      </c>
      <c r="AC129" s="32" t="s">
        <v>47</v>
      </c>
      <c r="AD129" t="s">
        <v>8</v>
      </c>
      <c r="AE129" t="s">
        <v>10</v>
      </c>
    </row>
    <row r="130" spans="1:34">
      <c r="A130">
        <v>2048</v>
      </c>
      <c r="B130" t="s">
        <v>109</v>
      </c>
      <c r="C130" s="3">
        <f>'BAU Scenario'!C130*(1-'ACC emissions benefits'!C61)</f>
        <v>288.74996559884761</v>
      </c>
      <c r="D130" s="3">
        <f>'BAU Scenario'!D130*(1-'ACC emissions benefits'!D61)</f>
        <v>1561207.3481070912</v>
      </c>
      <c r="E130" s="3">
        <f>'BAU Scenario'!E130*(1-'ACC emissions benefits'!E61)</f>
        <v>317435190.67834646</v>
      </c>
      <c r="F130" s="3">
        <f>'BAU Scenario'!F130*(1-'ACC emissions benefits'!F61)</f>
        <v>343.55812146718819</v>
      </c>
      <c r="G130" s="3">
        <f>'BAU Scenario'!G130*(1-'ACC emissions benefits'!G61)</f>
        <v>2776.3750127870831</v>
      </c>
      <c r="H130" s="3">
        <f>'BAU Scenario'!H130*(1-'ACC emissions benefits'!H61)</f>
        <v>90.622137615753445</v>
      </c>
      <c r="I130" s="3">
        <f>'BAU Scenario'!I130*(1-'ACC emissions benefits'!I61)</f>
        <v>614.61436898801492</v>
      </c>
      <c r="J130" s="3">
        <f>D130+AC130</f>
        <v>-5366263.9657672569</v>
      </c>
      <c r="L130" s="41">
        <f>'Fleet ZEV fractions'!AS40</f>
        <v>0.86163068619441441</v>
      </c>
      <c r="M130" s="41">
        <f>M125</f>
        <v>4.0068080026283281</v>
      </c>
      <c r="O130" s="3">
        <f>E130*L130/M130</f>
        <v>68261793.673923001</v>
      </c>
      <c r="P130" s="101">
        <f>$O130*'GREET factors'!B120/454/2000</f>
        <v>157.66726077618799</v>
      </c>
      <c r="Q130" s="101">
        <f>$O130*'GREET factors'!C120/454/2000</f>
        <v>24.966835393935717</v>
      </c>
      <c r="R130" s="101">
        <f>$O130*'GREET factors'!D120/454/2000</f>
        <v>21.556070809244456</v>
      </c>
      <c r="S130" s="101">
        <f>$O130*'GREET factors'!E120/454/2000</f>
        <v>2.4635509496279373</v>
      </c>
      <c r="T130" s="101">
        <f>$O130*'GREET factors'!F120/454/2000</f>
        <v>301839.80533805146</v>
      </c>
      <c r="U130" s="101">
        <f>$O130*'GREET factors'!G120/454/2000</f>
        <v>5.4383683149667519</v>
      </c>
      <c r="V130" s="101">
        <f>$O130*'GREET factors'!H120/454/2000</f>
        <v>37.569151981826032</v>
      </c>
      <c r="W130" s="101">
        <f>$O130*'GREET factors'!I120/454/2000</f>
        <v>303112.84529127169</v>
      </c>
      <c r="X130" s="101">
        <f>('Combined MOVES output'!D32/454/2000-D130)*'GREET factors'!V1</f>
        <v>7229311.1192123992</v>
      </c>
      <c r="Y130" s="261">
        <f>O130*M130*'GREET factors'!$J$7/454/2000</f>
        <v>2879.657321090413</v>
      </c>
      <c r="Z130" s="261">
        <f>O130*M130*'GREET factors'!K$7/454/2000</f>
        <v>361.13666346784345</v>
      </c>
      <c r="AA130" s="261"/>
      <c r="AB130" s="261"/>
      <c r="AC130" s="3">
        <f>T130-X130</f>
        <v>-6927471.3138743481</v>
      </c>
      <c r="AD130" s="261">
        <f>P130-Y130</f>
        <v>-2721.990060314225</v>
      </c>
      <c r="AE130" s="261">
        <f>Q130-Z130</f>
        <v>-336.16982807390775</v>
      </c>
      <c r="AF130" s="261"/>
      <c r="AG130" s="261"/>
      <c r="AH130">
        <v>2048</v>
      </c>
    </row>
    <row r="131" spans="1:34">
      <c r="E131" s="28"/>
      <c r="L131" s="41"/>
      <c r="M131" s="41"/>
      <c r="P131" s="28"/>
      <c r="Q131" s="28"/>
      <c r="R131" s="28"/>
      <c r="S131" s="28"/>
      <c r="T131" s="28"/>
      <c r="U131" s="28"/>
      <c r="V131" s="28"/>
      <c r="W131" s="28"/>
      <c r="X131" s="101"/>
      <c r="Y131" s="3"/>
      <c r="Z131" s="3"/>
      <c r="AA131" s="3"/>
      <c r="AB131" s="3"/>
    </row>
    <row r="132" spans="1:34">
      <c r="A132">
        <v>2049</v>
      </c>
      <c r="B132">
        <v>20</v>
      </c>
      <c r="E132" s="28"/>
      <c r="L132" s="41"/>
      <c r="M132" s="41"/>
      <c r="P132" s="28"/>
      <c r="Q132" s="28"/>
      <c r="R132" s="28"/>
      <c r="S132" s="28"/>
      <c r="T132" s="28"/>
      <c r="U132" s="28"/>
      <c r="V132" s="28"/>
      <c r="W132" s="28"/>
      <c r="X132" s="101"/>
      <c r="Y132" s="3"/>
      <c r="Z132" s="3"/>
      <c r="AA132" s="3"/>
      <c r="AB132" s="3"/>
    </row>
    <row r="133" spans="1:34">
      <c r="A133">
        <v>2049</v>
      </c>
      <c r="B133">
        <v>30</v>
      </c>
      <c r="E133" s="28"/>
      <c r="L133" s="41"/>
      <c r="M133" s="41"/>
      <c r="O133" t="s">
        <v>17</v>
      </c>
      <c r="P133" s="28"/>
      <c r="Q133" s="28"/>
      <c r="R133" s="28"/>
      <c r="S133" s="28"/>
      <c r="T133" s="28"/>
      <c r="U133" s="28"/>
      <c r="V133" s="28"/>
      <c r="W133" s="28"/>
      <c r="X133" s="101"/>
      <c r="Y133" s="3"/>
      <c r="Z133" s="3"/>
      <c r="AA133" s="3"/>
      <c r="AB133" s="3"/>
    </row>
    <row r="134" spans="1:34">
      <c r="A134">
        <v>2049</v>
      </c>
      <c r="B134">
        <v>41</v>
      </c>
      <c r="E134" s="28"/>
      <c r="L134" s="41"/>
      <c r="M134" s="41"/>
      <c r="O134" t="s">
        <v>142</v>
      </c>
      <c r="P134" s="28" t="s">
        <v>8</v>
      </c>
      <c r="Q134" s="28" t="s">
        <v>10</v>
      </c>
      <c r="R134" s="28" t="s">
        <v>14</v>
      </c>
      <c r="S134" s="28" t="s">
        <v>15</v>
      </c>
      <c r="T134" s="28" t="s">
        <v>16</v>
      </c>
      <c r="U134" s="28" t="s">
        <v>115</v>
      </c>
      <c r="V134" s="28" t="s">
        <v>116</v>
      </c>
      <c r="W134" s="28" t="s">
        <v>47</v>
      </c>
      <c r="X134" s="28" t="s">
        <v>47</v>
      </c>
      <c r="Y134" t="s">
        <v>8</v>
      </c>
      <c r="Z134" t="s">
        <v>10</v>
      </c>
      <c r="AC134" s="32" t="s">
        <v>47</v>
      </c>
      <c r="AD134" t="s">
        <v>8</v>
      </c>
      <c r="AE134" t="s">
        <v>10</v>
      </c>
    </row>
    <row r="135" spans="1:34">
      <c r="A135">
        <v>2049</v>
      </c>
      <c r="B135" t="s">
        <v>109</v>
      </c>
      <c r="C135" s="3">
        <f>'BAU Scenario'!C135*(1-'ACC emissions benefits'!C62)</f>
        <v>204.92641159107686</v>
      </c>
      <c r="D135" s="3">
        <f>'BAU Scenario'!D135*(1-'ACC emissions benefits'!D62)</f>
        <v>1107835.6174488296</v>
      </c>
      <c r="E135" s="3">
        <f>'BAU Scenario'!E135*(1-'ACC emissions benefits'!E62)</f>
        <v>318101114.3953678</v>
      </c>
      <c r="F135" s="3">
        <f>'BAU Scenario'!F135*(1-'ACC emissions benefits'!F62)</f>
        <v>338.24665469236527</v>
      </c>
      <c r="G135" s="3">
        <f>'BAU Scenario'!G135*(1-'ACC emissions benefits'!G62)</f>
        <v>2431.0915498746613</v>
      </c>
      <c r="H135" s="3">
        <f>'BAU Scenario'!H135*(1-'ACC emissions benefits'!H62)</f>
        <v>83.057024002103631</v>
      </c>
      <c r="I135" s="3">
        <f>'BAU Scenario'!I135*(1-'ACC emissions benefits'!I62)</f>
        <v>566.04393537380213</v>
      </c>
      <c r="J135" s="3">
        <f>D135+AC135</f>
        <v>-6114242.8308317028</v>
      </c>
      <c r="L135" s="41">
        <f>'Fleet ZEV fractions'!AS41</f>
        <v>0.87702949505743222</v>
      </c>
      <c r="M135" s="41">
        <f>M130</f>
        <v>4.0068080026283281</v>
      </c>
      <c r="O135" s="3">
        <f>E135*L135/M135</f>
        <v>69627508.867999643</v>
      </c>
      <c r="P135" s="101">
        <f>$O135*'GREET factors'!B121/454/2000</f>
        <v>80.41085654976709</v>
      </c>
      <c r="Q135" s="101">
        <f>$O135*'GREET factors'!C121/454/2000</f>
        <v>12.733173706957782</v>
      </c>
      <c r="R135" s="101">
        <f>$O135*'GREET factors'!D121/454/2000</f>
        <v>10.993671793913469</v>
      </c>
      <c r="S135" s="101">
        <f>$O135*'GREET factors'!E121/454/2000</f>
        <v>1.2564196335901108</v>
      </c>
      <c r="T135" s="101">
        <f>$O135*'GREET factors'!F121/454/2000</f>
        <v>153939.3604516359</v>
      </c>
      <c r="U135" s="101">
        <f>$O135*'GREET factors'!G121/454/2000</f>
        <v>2.7735869341977866</v>
      </c>
      <c r="V135" s="101">
        <f>$O135*'GREET factors'!H121/454/2000</f>
        <v>19.160399412249184</v>
      </c>
      <c r="W135" s="101">
        <f>$O135*'GREET factors'!I121/454/2000</f>
        <v>154588.61529729358</v>
      </c>
      <c r="X135" s="101">
        <f>('Combined MOVES output'!D33/454/2000-D135)*'GREET factors'!V1</f>
        <v>7376017.8087321687</v>
      </c>
      <c r="Y135" s="261">
        <f>O135*M135*'GREET factors'!$J$7/454/2000</f>
        <v>2937.2706878872714</v>
      </c>
      <c r="Z135" s="261">
        <f>O135*M135*'GREET factors'!K$7/454/2000</f>
        <v>368.36193256628195</v>
      </c>
      <c r="AA135" s="261"/>
      <c r="AB135" s="261"/>
      <c r="AC135" s="3">
        <f>T135-X135</f>
        <v>-7222078.4482805328</v>
      </c>
      <c r="AD135" s="261">
        <f>P135-Y135</f>
        <v>-2856.8598313375041</v>
      </c>
      <c r="AE135" s="261">
        <f>Q135-Z135</f>
        <v>-355.62875885932419</v>
      </c>
      <c r="AF135" s="261"/>
      <c r="AG135" s="261"/>
      <c r="AH135">
        <v>2049</v>
      </c>
    </row>
    <row r="136" spans="1:34">
      <c r="E136" s="28"/>
      <c r="L136" s="41"/>
      <c r="M136" s="41"/>
      <c r="P136" s="28"/>
      <c r="Q136" s="28"/>
      <c r="R136" s="28"/>
      <c r="S136" s="28"/>
      <c r="T136" s="28"/>
      <c r="U136" s="28"/>
      <c r="V136" s="28"/>
      <c r="W136" s="28"/>
      <c r="X136" s="28"/>
    </row>
    <row r="137" spans="1:34">
      <c r="A137">
        <v>2050</v>
      </c>
      <c r="B137">
        <v>20</v>
      </c>
      <c r="E137" s="28"/>
      <c r="L137" s="41"/>
      <c r="M137" s="41"/>
      <c r="P137" s="28"/>
      <c r="Q137" s="28"/>
      <c r="R137" s="28"/>
      <c r="S137" s="28"/>
      <c r="T137" s="28"/>
      <c r="U137" s="28"/>
      <c r="V137" s="28"/>
      <c r="W137" s="28"/>
      <c r="X137" s="28"/>
    </row>
    <row r="138" spans="1:34">
      <c r="A138">
        <v>2050</v>
      </c>
      <c r="B138">
        <v>30</v>
      </c>
      <c r="E138" s="28"/>
      <c r="L138" s="41"/>
      <c r="M138" s="41"/>
      <c r="O138" t="s">
        <v>17</v>
      </c>
      <c r="P138" s="28"/>
      <c r="Q138" s="28"/>
      <c r="R138" s="28"/>
      <c r="S138" s="28"/>
      <c r="T138" s="28"/>
      <c r="U138" s="28"/>
      <c r="V138" s="28"/>
      <c r="W138" s="28"/>
      <c r="X138" s="28"/>
    </row>
    <row r="139" spans="1:34">
      <c r="A139">
        <v>2050</v>
      </c>
      <c r="B139">
        <v>41</v>
      </c>
      <c r="E139" s="28"/>
      <c r="L139" s="41"/>
      <c r="M139" s="41"/>
      <c r="O139" t="s">
        <v>142</v>
      </c>
      <c r="P139" s="28" t="s">
        <v>8</v>
      </c>
      <c r="Q139" s="28" t="s">
        <v>10</v>
      </c>
      <c r="R139" s="28" t="s">
        <v>14</v>
      </c>
      <c r="S139" s="28" t="s">
        <v>15</v>
      </c>
      <c r="T139" s="28" t="s">
        <v>16</v>
      </c>
      <c r="U139" s="28" t="s">
        <v>115</v>
      </c>
      <c r="V139" s="28" t="s">
        <v>116</v>
      </c>
      <c r="W139" s="28" t="s">
        <v>47</v>
      </c>
      <c r="X139" s="28" t="s">
        <v>47</v>
      </c>
      <c r="Y139" t="s">
        <v>8</v>
      </c>
      <c r="Z139" t="s">
        <v>10</v>
      </c>
      <c r="AA139" t="s">
        <v>115</v>
      </c>
      <c r="AB139" t="s">
        <v>116</v>
      </c>
      <c r="AC139" s="32" t="s">
        <v>47</v>
      </c>
      <c r="AD139" t="s">
        <v>8</v>
      </c>
      <c r="AE139" t="s">
        <v>10</v>
      </c>
      <c r="AF139" t="s">
        <v>115</v>
      </c>
      <c r="AG139" t="s">
        <v>116</v>
      </c>
    </row>
    <row r="140" spans="1:34">
      <c r="A140">
        <v>2050</v>
      </c>
      <c r="B140" t="s">
        <v>109</v>
      </c>
      <c r="C140" s="3">
        <f>'BAU Scenario'!C140*(1-'ACC emissions benefits'!C63)</f>
        <v>134.52031417617692</v>
      </c>
      <c r="D140" s="3">
        <f>'BAU Scenario'!D140*(1-'ACC emissions benefits'!D63)</f>
        <v>719528.46758725168</v>
      </c>
      <c r="E140" s="3">
        <f>'BAU Scenario'!E140*(1-'ACC emissions benefits'!E63)</f>
        <v>318767038.11238909</v>
      </c>
      <c r="F140" s="3">
        <f>'BAU Scenario'!F140*(1-'ACC emissions benefits'!F63)</f>
        <v>333.54848993369671</v>
      </c>
      <c r="G140" s="3">
        <f>'BAU Scenario'!G140*(1-'ACC emissions benefits'!G63)</f>
        <v>2105.2685814635984</v>
      </c>
      <c r="H140" s="3">
        <f>'BAU Scenario'!H140*(1-'ACC emissions benefits'!H63)</f>
        <v>76.492085832793023</v>
      </c>
      <c r="I140" s="3">
        <f>'BAU Scenario'!I140*(1-'ACC emissions benefits'!I63)</f>
        <v>523.5738654664076</v>
      </c>
      <c r="J140" s="3">
        <f>D140+AC140</f>
        <v>-6784483.4572275598</v>
      </c>
      <c r="L140" s="41">
        <f>'Fleet ZEV fractions'!AS42</f>
        <v>0.89037217573233451</v>
      </c>
      <c r="M140" s="41">
        <f>M135</f>
        <v>4.0068080026283281</v>
      </c>
      <c r="O140" s="3">
        <f>E140*L140/M140</f>
        <v>70834764.503241196</v>
      </c>
      <c r="P140" s="101">
        <f>$O140*'GREET factors'!B122/454/2000</f>
        <v>0</v>
      </c>
      <c r="Q140" s="101">
        <f>$O140*'GREET factors'!C122/454/2000</f>
        <v>0</v>
      </c>
      <c r="R140" s="101">
        <f>$O140*'GREET factors'!D122/454/2000</f>
        <v>0</v>
      </c>
      <c r="S140" s="101">
        <f>$O140*'GREET factors'!E122/454/2000</f>
        <v>0</v>
      </c>
      <c r="T140" s="101">
        <f>$O140*'GREET factors'!F122/454/2000</f>
        <v>0</v>
      </c>
      <c r="U140" s="101">
        <f>$O140*'GREET factors'!G122/454/2000</f>
        <v>0</v>
      </c>
      <c r="V140" s="101">
        <f>$O140*'GREET factors'!H122/454/2000</f>
        <v>0</v>
      </c>
      <c r="W140" s="101">
        <f>$O140*'GREET factors'!I122/454/2000</f>
        <v>0</v>
      </c>
      <c r="X140" s="101">
        <f>('Combined MOVES output'!D34/454/2000-D140)*'GREET factors'!V1</f>
        <v>7504011.9248148119</v>
      </c>
      <c r="Y140" s="261">
        <f>O140*M140*'GREET factors'!$J$7/454/2000</f>
        <v>2988.1993603018527</v>
      </c>
      <c r="Z140" s="261">
        <f>O140*M140*'GREET factors'!K$7/454/2000</f>
        <v>374.74887683772198</v>
      </c>
      <c r="AA140" s="261">
        <f>O140*M140*'GREET factors'!L7/454/2000</f>
        <v>7506.0915040618283</v>
      </c>
      <c r="AB140" s="261">
        <f>O140*M140*'GREET factors'!M7/454/2000</f>
        <v>1120.247533376405</v>
      </c>
      <c r="AC140" s="3">
        <f>T140-X140</f>
        <v>-7504011.9248148119</v>
      </c>
      <c r="AD140" s="261">
        <f>P140-Y140</f>
        <v>-2988.1993603018527</v>
      </c>
      <c r="AE140" s="261">
        <f>Q140-Z140</f>
        <v>-374.74887683772198</v>
      </c>
      <c r="AF140" s="261">
        <f>U140-AA140</f>
        <v>-7506.0915040618283</v>
      </c>
      <c r="AG140" s="261">
        <f>V140-AB140</f>
        <v>-1120.247533376405</v>
      </c>
      <c r="AH140">
        <v>2050</v>
      </c>
    </row>
    <row r="141" spans="1:34">
      <c r="E141" s="28"/>
      <c r="L141" s="41"/>
    </row>
    <row r="142" spans="1:34">
      <c r="E142" s="28"/>
    </row>
  </sheetData>
  <sheetProtection algorithmName="SHA-512" hashValue="dI6fbEDZrZo3NnDrrFVz/UJQrQ+3L6yiJQF0/Qaofc08UBGTd9fZnVhHdRmGFDdbdktz5jy9OTNmI0uI5m6bHw==" saltValue="UpNTfTCcfrYWRpGvktBWAw==" spinCount="100000" sheet="1" objects="1" scenarios="1"/>
  <mergeCells count="10">
    <mergeCell ref="AF10:AG10"/>
    <mergeCell ref="AC7:AG7"/>
    <mergeCell ref="C7:I9"/>
    <mergeCell ref="AA10:AB10"/>
    <mergeCell ref="X7:AB7"/>
    <mergeCell ref="C12:I14"/>
    <mergeCell ref="C17:I19"/>
    <mergeCell ref="P7:W7"/>
    <mergeCell ref="L5:L6"/>
    <mergeCell ref="M5:M6"/>
  </mergeCells>
  <pageMargins left="0.7" right="0.7" top="0.75" bottom="0.75" header="0.3" footer="0.3"/>
  <pageSetup orientation="portrait" horizontalDpi="360" verticalDpi="36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0A3ABF-8D14-4676-9EFB-D1E7C111F09E}">
  <sheetPr codeName="Sheet9"/>
  <dimension ref="A1:AA110"/>
  <sheetViews>
    <sheetView workbookViewId="0"/>
  </sheetViews>
  <sheetFormatPr baseColWidth="10" defaultColWidth="8.83203125" defaultRowHeight="15"/>
  <cols>
    <col min="3" max="3" width="12.83203125" customWidth="1"/>
    <col min="4" max="4" width="13.83203125" bestFit="1" customWidth="1"/>
    <col min="5" max="5" width="13.5" bestFit="1" customWidth="1"/>
    <col min="6" max="6" width="18" style="28" bestFit="1" customWidth="1"/>
    <col min="7" max="7" width="13.6640625" bestFit="1" customWidth="1"/>
    <col min="8" max="8" width="13.83203125" customWidth="1"/>
    <col min="9" max="9" width="16.33203125" customWidth="1"/>
    <col min="10" max="10" width="10.33203125" customWidth="1"/>
    <col min="11" max="11" width="19.6640625" customWidth="1"/>
    <col min="12" max="12" width="15.83203125" customWidth="1"/>
    <col min="13" max="13" width="15.6640625" customWidth="1"/>
    <col min="14" max="14" width="17.1640625" customWidth="1"/>
    <col min="15" max="15" width="12.33203125" customWidth="1"/>
    <col min="26" max="26" width="16.33203125" customWidth="1"/>
  </cols>
  <sheetData>
    <row r="1" spans="1:26">
      <c r="A1" s="2" t="s">
        <v>379</v>
      </c>
      <c r="E1" s="28"/>
      <c r="G1" s="29"/>
    </row>
    <row r="2" spans="1:26">
      <c r="A2" t="s">
        <v>393</v>
      </c>
    </row>
    <row r="3" spans="1:26">
      <c r="A3" t="s">
        <v>378</v>
      </c>
      <c r="L3" t="s">
        <v>384</v>
      </c>
    </row>
    <row r="4" spans="1:26" ht="16" thickBot="1">
      <c r="A4" t="s">
        <v>394</v>
      </c>
    </row>
    <row r="5" spans="1:26">
      <c r="L5" s="321" t="s">
        <v>397</v>
      </c>
      <c r="M5" s="322"/>
      <c r="N5" s="322"/>
      <c r="O5" s="323"/>
      <c r="P5" s="324" t="s">
        <v>398</v>
      </c>
      <c r="Q5" s="325"/>
      <c r="R5" s="325"/>
      <c r="S5" s="326"/>
    </row>
    <row r="6" spans="1:26">
      <c r="L6" s="76"/>
      <c r="M6" t="s">
        <v>122</v>
      </c>
      <c r="N6" t="s">
        <v>121</v>
      </c>
      <c r="O6" s="72" t="s">
        <v>49</v>
      </c>
      <c r="P6" s="142"/>
      <c r="Q6" s="28" t="s">
        <v>122</v>
      </c>
      <c r="R6" s="28" t="s">
        <v>121</v>
      </c>
      <c r="S6" s="172" t="s">
        <v>49</v>
      </c>
      <c r="V6" s="28" t="s">
        <v>458</v>
      </c>
    </row>
    <row r="7" spans="1:26">
      <c r="A7" t="s">
        <v>409</v>
      </c>
      <c r="L7" s="76">
        <v>2023</v>
      </c>
      <c r="M7" s="209">
        <v>7.0000000000000001E-3</v>
      </c>
      <c r="N7" s="209">
        <v>6.7000000000000004E-2</v>
      </c>
      <c r="O7" s="211">
        <f>M7+N7</f>
        <v>7.400000000000001E-2</v>
      </c>
      <c r="P7" s="142">
        <v>2023</v>
      </c>
      <c r="Q7" s="254">
        <v>5.6114228986727599E-3</v>
      </c>
      <c r="R7" s="254">
        <v>4.3245790694099603E-2</v>
      </c>
      <c r="S7" s="255">
        <f>Q7+R7</f>
        <v>4.8857213592772362E-2</v>
      </c>
      <c r="U7" s="161" t="s">
        <v>454</v>
      </c>
      <c r="Z7" t="s">
        <v>457</v>
      </c>
    </row>
    <row r="8" spans="1:26">
      <c r="C8" t="s">
        <v>376</v>
      </c>
      <c r="D8" t="s">
        <v>2</v>
      </c>
      <c r="E8" t="s">
        <v>116</v>
      </c>
      <c r="F8" s="28" t="s">
        <v>115</v>
      </c>
      <c r="G8" s="28" t="s">
        <v>47</v>
      </c>
      <c r="H8" s="141" t="s">
        <v>456</v>
      </c>
      <c r="I8" s="224"/>
      <c r="J8" s="230" t="str">
        <f>G8</f>
        <v>CO2e</v>
      </c>
      <c r="L8" s="76">
        <v>2024</v>
      </c>
      <c r="M8" s="209">
        <v>7.0000000000000001E-3</v>
      </c>
      <c r="N8" s="209">
        <v>9.5000000000000001E-2</v>
      </c>
      <c r="O8" s="211">
        <f t="shared" ref="O8:O10" si="0">M8+N8</f>
        <v>0.10200000000000001</v>
      </c>
      <c r="P8" s="142">
        <v>2024</v>
      </c>
      <c r="Q8" s="254">
        <v>5.5430895670552901E-3</v>
      </c>
      <c r="R8" s="254">
        <v>4.7553932131171699E-2</v>
      </c>
      <c r="S8" s="255">
        <f t="shared" ref="S8:S10" si="1">Q8+R8</f>
        <v>5.3097021698226991E-2</v>
      </c>
      <c r="U8" t="str">
        <f>'CARB ZEV counts'!A94</f>
        <v>CY</v>
      </c>
      <c r="V8" t="str">
        <f>'CARB ZEV counts'!B94</f>
        <v xml:space="preserve">PC </v>
      </c>
      <c r="W8" t="str">
        <f>'CARB ZEV counts'!C94</f>
        <v>LDT</v>
      </c>
      <c r="X8" t="s">
        <v>455</v>
      </c>
    </row>
    <row r="9" spans="1:26">
      <c r="B9">
        <v>2025</v>
      </c>
      <c r="C9" s="221">
        <f>C39*$P39*$Q39</f>
        <v>1.25096720580439E-3</v>
      </c>
      <c r="D9" s="221">
        <f t="shared" ref="D9:F9" si="2">D39*$P39*$Q39</f>
        <v>6.0322830208528961E-3</v>
      </c>
      <c r="E9" s="221">
        <f t="shared" si="2"/>
        <v>-4.640586001243921E-2</v>
      </c>
      <c r="F9" s="221">
        <f t="shared" si="2"/>
        <v>7.3157344363500645E-3</v>
      </c>
      <c r="G9" s="226">
        <f>J39*P39*Q39</f>
        <v>-4.5795446756156682E-2</v>
      </c>
      <c r="H9" s="226">
        <f t="shared" ref="H9:H24" si="3">(N39-Z9)*Q39</f>
        <v>-0.12917182939369598</v>
      </c>
      <c r="I9" s="225"/>
      <c r="J9" s="231">
        <f t="shared" ref="J9:J34" si="4">G9</f>
        <v>-4.5795446756156682E-2</v>
      </c>
      <c r="K9" s="136"/>
      <c r="L9" s="76">
        <v>2025</v>
      </c>
      <c r="M9" s="209">
        <v>7.0000000000000001E-3</v>
      </c>
      <c r="N9" s="209">
        <v>0.129</v>
      </c>
      <c r="O9" s="211">
        <f t="shared" si="0"/>
        <v>0.13600000000000001</v>
      </c>
      <c r="P9" s="142">
        <v>2025</v>
      </c>
      <c r="Q9" s="254">
        <v>5.1893396576929898E-3</v>
      </c>
      <c r="R9" s="254">
        <v>5.3288096549831299E-2</v>
      </c>
      <c r="S9" s="255">
        <f t="shared" si="1"/>
        <v>5.847743620752429E-2</v>
      </c>
      <c r="U9">
        <f>'CARB ZEV counts'!A95</f>
        <v>2025</v>
      </c>
      <c r="V9">
        <f>'CARB ZEV counts'!B95</f>
        <v>0.60000000000000009</v>
      </c>
      <c r="W9">
        <f>'CARB ZEV counts'!C95</f>
        <v>0.49</v>
      </c>
      <c r="X9" s="59">
        <f>V9*'Combined MOVES output'!AG$38+'Federal GHG Rule'!W9*(1-'Combined MOVES output'!AG$38)</f>
        <v>0.54666540989335111</v>
      </c>
      <c r="Z9" s="209">
        <f>M9*X9+N9</f>
        <v>0.13282665786925346</v>
      </c>
    </row>
    <row r="10" spans="1:26" ht="16" thickBot="1">
      <c r="B10">
        <v>2026</v>
      </c>
      <c r="C10" s="221">
        <f t="shared" ref="C10:F24" si="5">C40*$P40*$Q40</f>
        <v>4.5487625304755443E-4</v>
      </c>
      <c r="D10" s="221">
        <f t="shared" si="5"/>
        <v>6.0346677574740033E-3</v>
      </c>
      <c r="E10" s="221">
        <f t="shared" si="5"/>
        <v>-5.2668223856132679E-2</v>
      </c>
      <c r="F10" s="221">
        <f t="shared" si="5"/>
        <v>7.3719872000668875E-3</v>
      </c>
      <c r="G10" s="226">
        <f t="shared" ref="G10:G24" si="6">J40*P40*Q40</f>
        <v>-5.2023358166199185E-2</v>
      </c>
      <c r="H10" s="226">
        <f t="shared" si="3"/>
        <v>-0.16483202201641489</v>
      </c>
      <c r="I10" s="225"/>
      <c r="J10" s="231">
        <f t="shared" si="4"/>
        <v>-5.2023358166199185E-2</v>
      </c>
      <c r="K10" s="136"/>
      <c r="L10" s="227" t="s">
        <v>395</v>
      </c>
      <c r="M10" s="213">
        <v>6.0000000000000001E-3</v>
      </c>
      <c r="N10" s="213">
        <v>0.16600000000000001</v>
      </c>
      <c r="O10" s="214">
        <f t="shared" si="0"/>
        <v>0.17200000000000001</v>
      </c>
      <c r="P10" s="256" t="s">
        <v>395</v>
      </c>
      <c r="Q10" s="257">
        <v>4.4455139967337597E-3</v>
      </c>
      <c r="R10" s="257">
        <v>6.3294250609545702E-2</v>
      </c>
      <c r="S10" s="258">
        <f t="shared" si="1"/>
        <v>6.7739764606279465E-2</v>
      </c>
      <c r="U10">
        <f>'CARB ZEV counts'!A96</f>
        <v>2026</v>
      </c>
      <c r="V10">
        <f>'CARB ZEV counts'!B96</f>
        <v>0.60000000000000009</v>
      </c>
      <c r="W10">
        <f>'CARB ZEV counts'!C96</f>
        <v>0.49</v>
      </c>
      <c r="X10" s="59">
        <f>V10*'Combined MOVES output'!AG$38+'Federal GHG Rule'!W10*(1-'Combined MOVES output'!AG$38)</f>
        <v>0.54666540989335111</v>
      </c>
      <c r="Z10" s="209">
        <f>M10*X10+N10</f>
        <v>0.16927999245936012</v>
      </c>
    </row>
    <row r="11" spans="1:26">
      <c r="B11" s="8">
        <v>2027</v>
      </c>
      <c r="C11" s="221">
        <f t="shared" si="5"/>
        <v>-4.1724077338438706E-4</v>
      </c>
      <c r="D11" s="221">
        <f t="shared" si="5"/>
        <v>6.4653702711910512E-3</v>
      </c>
      <c r="E11" s="221">
        <f t="shared" si="5"/>
        <v>-6.4047092382444937E-2</v>
      </c>
      <c r="F11" s="221">
        <f t="shared" si="5"/>
        <v>8.0009415496164801E-3</v>
      </c>
      <c r="G11" s="226">
        <f t="shared" si="6"/>
        <v>-6.3309639319031455E-2</v>
      </c>
      <c r="H11" s="226">
        <f t="shared" si="3"/>
        <v>-0.16520569724532266</v>
      </c>
      <c r="I11" s="225"/>
      <c r="J11" s="231">
        <f t="shared" si="4"/>
        <v>-6.3309639319031455E-2</v>
      </c>
      <c r="K11" s="136"/>
      <c r="U11">
        <f>'CARB ZEV counts'!A97</f>
        <v>2027</v>
      </c>
      <c r="V11">
        <f>'CARB ZEV counts'!B97</f>
        <v>0.62999999999999989</v>
      </c>
      <c r="W11">
        <f>'CARB ZEV counts'!C97</f>
        <v>0.56499999999999995</v>
      </c>
      <c r="X11" s="59">
        <f>V11*'Combined MOVES output'!AG$38+'Federal GHG Rule'!W11*(1-'Combined MOVES output'!AG$38)</f>
        <v>0.59848410584607104</v>
      </c>
      <c r="Z11" s="209">
        <f>M$10*X11+N$10</f>
        <v>0.16959090463507642</v>
      </c>
    </row>
    <row r="12" spans="1:26">
      <c r="A12" s="6"/>
      <c r="B12">
        <v>2028</v>
      </c>
      <c r="C12" s="221">
        <f t="shared" si="5"/>
        <v>-2.2967053456910982E-3</v>
      </c>
      <c r="D12" s="221">
        <f t="shared" si="5"/>
        <v>6.7689292586208902E-3</v>
      </c>
      <c r="E12" s="221">
        <f t="shared" si="5"/>
        <v>-8.0402061635505062E-2</v>
      </c>
      <c r="F12" s="221">
        <f t="shared" si="5"/>
        <v>8.587994892018504E-3</v>
      </c>
      <c r="G12" s="226">
        <f t="shared" si="6"/>
        <v>-7.9524662010171665E-2</v>
      </c>
      <c r="H12" s="226">
        <f t="shared" si="3"/>
        <v>-0.16536369867826844</v>
      </c>
      <c r="I12" s="225"/>
      <c r="J12" s="231">
        <f t="shared" si="4"/>
        <v>-7.9524662010171665E-2</v>
      </c>
      <c r="K12" s="136"/>
      <c r="L12" t="s">
        <v>385</v>
      </c>
      <c r="U12">
        <f>'CARB ZEV counts'!A98</f>
        <v>2028</v>
      </c>
      <c r="V12">
        <f>'CARB ZEV counts'!B98</f>
        <v>0.64500000000000002</v>
      </c>
      <c r="W12">
        <f>'CARB ZEV counts'!C98</f>
        <v>0.58000000000000007</v>
      </c>
      <c r="X12" s="59">
        <f>V12*'Combined MOVES output'!AG$38+'Federal GHG Rule'!W12*(1-'Combined MOVES output'!AG$38)</f>
        <v>0.61348410584607116</v>
      </c>
      <c r="Z12" s="209">
        <f t="shared" ref="Z12:Z24" si="7">M$10*X12+N$10</f>
        <v>0.16968090463507643</v>
      </c>
    </row>
    <row r="13" spans="1:26">
      <c r="B13">
        <v>2029</v>
      </c>
      <c r="C13" s="221">
        <f t="shared" si="5"/>
        <v>-5.2826863866316295E-3</v>
      </c>
      <c r="D13" s="221">
        <f t="shared" si="5"/>
        <v>6.7311922657991453E-3</v>
      </c>
      <c r="E13" s="221">
        <f t="shared" si="5"/>
        <v>-0.10009272559399388</v>
      </c>
      <c r="F13" s="221">
        <f t="shared" si="5"/>
        <v>8.9137726306830443E-3</v>
      </c>
      <c r="G13" s="226">
        <f t="shared" si="6"/>
        <v>-9.9054601930626041E-2</v>
      </c>
      <c r="H13" s="226">
        <f t="shared" si="3"/>
        <v>-0.16587285751116912</v>
      </c>
      <c r="I13" s="225"/>
      <c r="J13" s="231">
        <f t="shared" si="4"/>
        <v>-9.9054601930626041E-2</v>
      </c>
      <c r="K13" s="136"/>
      <c r="L13" t="s">
        <v>396</v>
      </c>
      <c r="U13">
        <f>'CARB ZEV counts'!A99</f>
        <v>2029</v>
      </c>
      <c r="V13">
        <f>'CARB ZEV counts'!B99</f>
        <v>0.71700000000000008</v>
      </c>
      <c r="W13">
        <f>'CARB ZEV counts'!C99</f>
        <v>0.65800000000000014</v>
      </c>
      <c r="X13" s="59">
        <f>V13*'Combined MOVES output'!AG$38+'Federal GHG Rule'!W13*(1-'Combined MOVES output'!AG$38)</f>
        <v>0.68839326530643385</v>
      </c>
      <c r="Z13" s="209">
        <f t="shared" si="7"/>
        <v>0.17013035959183861</v>
      </c>
    </row>
    <row r="14" spans="1:26">
      <c r="B14">
        <v>2030</v>
      </c>
      <c r="C14" s="221">
        <f t="shared" si="5"/>
        <v>-9.5194584506498384E-3</v>
      </c>
      <c r="D14" s="221">
        <f t="shared" si="5"/>
        <v>5.7386964505923227E-3</v>
      </c>
      <c r="E14" s="221">
        <f t="shared" si="5"/>
        <v>-0.11971123388209977</v>
      </c>
      <c r="F14" s="221">
        <f t="shared" si="5"/>
        <v>8.2950918083132784E-3</v>
      </c>
      <c r="G14" s="226">
        <f t="shared" si="6"/>
        <v>-0.11850344619127362</v>
      </c>
      <c r="H14" s="226">
        <f t="shared" si="3"/>
        <v>-0.16606028185128577</v>
      </c>
      <c r="I14" s="225"/>
      <c r="J14" s="231">
        <f t="shared" si="4"/>
        <v>-0.11850344619127362</v>
      </c>
      <c r="K14" s="136"/>
      <c r="U14">
        <f>'CARB ZEV counts'!A100</f>
        <v>2030</v>
      </c>
      <c r="V14">
        <f>'CARB ZEV counts'!B100</f>
        <v>0.7370000000000001</v>
      </c>
      <c r="W14">
        <f>'CARB ZEV counts'!C100</f>
        <v>0.67799999999999994</v>
      </c>
      <c r="X14" s="59">
        <f>V14*'Combined MOVES output'!AG$38+'Federal GHG Rule'!W14*(1-'Combined MOVES output'!AG$38)</f>
        <v>0.70839326530643376</v>
      </c>
      <c r="Z14" s="209">
        <f t="shared" si="7"/>
        <v>0.17025035959183862</v>
      </c>
    </row>
    <row r="15" spans="1:26">
      <c r="B15">
        <v>2031</v>
      </c>
      <c r="C15" s="221">
        <f t="shared" si="5"/>
        <v>-1.3974088334978057E-2</v>
      </c>
      <c r="D15" s="221">
        <f t="shared" si="5"/>
        <v>4.804478583066504E-3</v>
      </c>
      <c r="E15" s="221">
        <f t="shared" si="5"/>
        <v>-0.13869144509534004</v>
      </c>
      <c r="F15" s="221">
        <f t="shared" si="5"/>
        <v>7.8212224164870957E-3</v>
      </c>
      <c r="G15" s="226">
        <f t="shared" si="6"/>
        <v>-0.13731934291960993</v>
      </c>
      <c r="H15" s="226">
        <f t="shared" si="3"/>
        <v>-0.1662128792377193</v>
      </c>
      <c r="I15" s="225"/>
      <c r="J15" s="231">
        <f t="shared" si="4"/>
        <v>-0.13731934291960993</v>
      </c>
      <c r="K15" s="136"/>
      <c r="L15" s="313"/>
      <c r="M15" s="313"/>
      <c r="U15">
        <f>'CARB ZEV counts'!A101</f>
        <v>2031</v>
      </c>
      <c r="V15">
        <f>'CARB ZEV counts'!B101</f>
        <v>0.75500000000000012</v>
      </c>
      <c r="W15">
        <f>'CARB ZEV counts'!C101</f>
        <v>0.70700000000000007</v>
      </c>
      <c r="X15" s="59">
        <f>V15*'Combined MOVES output'!AG$38+'Federal GHG Rule'!W15*(1-'Combined MOVES output'!AG$38)</f>
        <v>0.73172672431709873</v>
      </c>
      <c r="Z15" s="209">
        <f t="shared" si="7"/>
        <v>0.1703903603459026</v>
      </c>
    </row>
    <row r="16" spans="1:26">
      <c r="B16" s="8">
        <v>2032</v>
      </c>
      <c r="C16" s="221">
        <f t="shared" si="5"/>
        <v>-1.9267041648387134E-2</v>
      </c>
      <c r="D16" s="221">
        <f t="shared" si="5"/>
        <v>3.299800979668548E-3</v>
      </c>
      <c r="E16" s="221">
        <f t="shared" si="5"/>
        <v>-0.15764732698983591</v>
      </c>
      <c r="F16" s="221">
        <f t="shared" si="5"/>
        <v>6.8685130385378211E-3</v>
      </c>
      <c r="G16" s="226">
        <f t="shared" si="6"/>
        <v>-0.15611279219736085</v>
      </c>
      <c r="H16" s="226">
        <f t="shared" si="3"/>
        <v>-0.16634894250546706</v>
      </c>
      <c r="I16" s="225"/>
      <c r="J16" s="231">
        <f t="shared" si="4"/>
        <v>-0.15611279219736085</v>
      </c>
      <c r="K16" s="136"/>
      <c r="U16">
        <f>'CARB ZEV counts'!A102</f>
        <v>2032</v>
      </c>
      <c r="V16">
        <f>'CARB ZEV counts'!B102</f>
        <v>0.77600000000000002</v>
      </c>
      <c r="W16">
        <f>'CARB ZEV counts'!C102</f>
        <v>0.72700000000000009</v>
      </c>
      <c r="X16" s="59">
        <f>V16*'Combined MOVES output'!AG$38+'Federal GHG Rule'!W16*(1-'Combined MOVES output'!AG$38)</f>
        <v>0.75224186440703822</v>
      </c>
      <c r="Z16" s="209">
        <f t="shared" si="7"/>
        <v>0.17051345118644223</v>
      </c>
    </row>
    <row r="17" spans="1:27">
      <c r="B17">
        <v>2033</v>
      </c>
      <c r="C17" s="221">
        <f t="shared" si="5"/>
        <v>-2.5434316905442133E-2</v>
      </c>
      <c r="D17" s="221">
        <f t="shared" si="5"/>
        <v>1.241636524650357E-3</v>
      </c>
      <c r="E17" s="221">
        <f t="shared" si="5"/>
        <v>-0.17591617905064863</v>
      </c>
      <c r="F17" s="221">
        <f t="shared" si="5"/>
        <v>5.402610589032005E-3</v>
      </c>
      <c r="G17" s="226">
        <f t="shared" si="6"/>
        <v>-0.17423002551335837</v>
      </c>
      <c r="H17" s="226">
        <f t="shared" si="3"/>
        <v>-0.16636475649062157</v>
      </c>
      <c r="I17" s="225"/>
      <c r="J17" s="231">
        <f t="shared" si="4"/>
        <v>-0.17423002551335837</v>
      </c>
      <c r="K17" s="136"/>
      <c r="U17">
        <f>'CARB ZEV counts'!A103</f>
        <v>2033</v>
      </c>
      <c r="V17">
        <f>'CARB ZEV counts'!B103</f>
        <v>0.77600000000000002</v>
      </c>
      <c r="W17">
        <f>'CARB ZEV counts'!C103</f>
        <v>0.72700000000000009</v>
      </c>
      <c r="X17" s="59">
        <f>V17*'Combined MOVES output'!AG$38+'Federal GHG Rule'!W17*(1-'Combined MOVES output'!AG$38)</f>
        <v>0.75224186440703822</v>
      </c>
      <c r="Z17" s="209">
        <f t="shared" si="7"/>
        <v>0.17051345118644223</v>
      </c>
    </row>
    <row r="18" spans="1:27">
      <c r="B18">
        <v>2034</v>
      </c>
      <c r="C18" s="221">
        <f t="shared" si="5"/>
        <v>-3.2351891645868831E-2</v>
      </c>
      <c r="D18" s="221">
        <f t="shared" si="5"/>
        <v>-1.5284476547864898E-3</v>
      </c>
      <c r="E18" s="221">
        <f t="shared" si="5"/>
        <v>-0.1934080452488193</v>
      </c>
      <c r="F18" s="221">
        <f t="shared" si="5"/>
        <v>3.2702731755954889E-3</v>
      </c>
      <c r="G18" s="226">
        <f t="shared" si="6"/>
        <v>-0.19159042050663749</v>
      </c>
      <c r="H18" s="226">
        <f t="shared" si="3"/>
        <v>-0.16638056813689228</v>
      </c>
      <c r="I18" s="225"/>
      <c r="J18" s="231">
        <f t="shared" si="4"/>
        <v>-0.19159042050663749</v>
      </c>
      <c r="K18" s="136"/>
      <c r="U18">
        <f>'CARB ZEV counts'!A104</f>
        <v>2034</v>
      </c>
      <c r="V18">
        <f>'CARB ZEV counts'!B104</f>
        <v>0.77600000000000002</v>
      </c>
      <c r="W18">
        <f>'CARB ZEV counts'!C104</f>
        <v>0.72700000000000009</v>
      </c>
      <c r="X18" s="59">
        <f>V18*'Combined MOVES output'!AG$38+'Federal GHG Rule'!W18*(1-'Combined MOVES output'!AG$38)</f>
        <v>0.75224186440703822</v>
      </c>
      <c r="Z18" s="209">
        <f t="shared" si="7"/>
        <v>0.17051345118644223</v>
      </c>
    </row>
    <row r="19" spans="1:27">
      <c r="B19">
        <v>2035</v>
      </c>
      <c r="C19" s="221">
        <f t="shared" si="5"/>
        <v>-4.7029506433166543E-2</v>
      </c>
      <c r="D19" s="221">
        <f t="shared" si="5"/>
        <v>-9.0628428331985672E-3</v>
      </c>
      <c r="E19" s="221">
        <f t="shared" si="5"/>
        <v>-0.20968910017239262</v>
      </c>
      <c r="F19" s="221">
        <f t="shared" si="5"/>
        <v>-1.5147846297528968E-2</v>
      </c>
      <c r="G19" s="226">
        <f t="shared" si="6"/>
        <v>-0.20774976389779318</v>
      </c>
      <c r="H19" s="226">
        <f t="shared" si="3"/>
        <v>-0.16639637744427926</v>
      </c>
      <c r="I19" s="225"/>
      <c r="J19" s="231">
        <f t="shared" si="4"/>
        <v>-0.20774976389779318</v>
      </c>
      <c r="K19" s="136"/>
      <c r="U19">
        <f>'CARB ZEV counts'!A105</f>
        <v>2035</v>
      </c>
      <c r="V19">
        <f>'CARB ZEV counts'!B105</f>
        <v>0.77600000000000002</v>
      </c>
      <c r="W19">
        <f>'CARB ZEV counts'!C105</f>
        <v>0.72700000000000009</v>
      </c>
      <c r="X19" s="59">
        <f>V19*'Combined MOVES output'!AG$38+'Federal GHG Rule'!W19*(1-'Combined MOVES output'!AG$38)</f>
        <v>0.75224186440703822</v>
      </c>
      <c r="Z19" s="209">
        <f t="shared" si="7"/>
        <v>0.17051345118644223</v>
      </c>
    </row>
    <row r="20" spans="1:27">
      <c r="B20">
        <v>2036</v>
      </c>
      <c r="C20" s="221">
        <f t="shared" si="5"/>
        <v>-5.6153211716353624E-2</v>
      </c>
      <c r="D20" s="221">
        <f t="shared" si="5"/>
        <v>-1.4310075144404405E-2</v>
      </c>
      <c r="E20" s="221">
        <f t="shared" si="5"/>
        <v>-0.2246132305824835</v>
      </c>
      <c r="F20" s="221">
        <f t="shared" si="5"/>
        <v>-2.1856946928051235E-2</v>
      </c>
      <c r="G20" s="226">
        <f t="shared" si="6"/>
        <v>-0.22256154816311216</v>
      </c>
      <c r="H20" s="226">
        <f t="shared" si="3"/>
        <v>-0.16649464575335146</v>
      </c>
      <c r="I20" s="225"/>
      <c r="J20" s="231">
        <f t="shared" si="4"/>
        <v>-0.22256154816311216</v>
      </c>
      <c r="K20" s="136"/>
      <c r="U20">
        <f>'CARB ZEV counts'!A106</f>
        <v>2036</v>
      </c>
      <c r="V20">
        <f>'CARB ZEV counts'!B106</f>
        <v>0.79</v>
      </c>
      <c r="W20">
        <f>'CARB ZEV counts'!C106</f>
        <v>0.74</v>
      </c>
      <c r="X20" s="59">
        <f>V20*'Combined MOVES output'!AG$38+'Federal GHG Rule'!W20*(1-'Combined MOVES output'!AG$38)</f>
        <v>0.7657570044969777</v>
      </c>
      <c r="Z20" s="209">
        <f t="shared" si="7"/>
        <v>0.17059454202698188</v>
      </c>
    </row>
    <row r="21" spans="1:27">
      <c r="B21" s="8">
        <v>2037</v>
      </c>
      <c r="C21" s="221">
        <f t="shared" si="5"/>
        <v>-6.5440446591162701E-2</v>
      </c>
      <c r="D21" s="221">
        <f t="shared" si="5"/>
        <v>-2.0452557800761065E-2</v>
      </c>
      <c r="E21" s="221">
        <f t="shared" si="5"/>
        <v>-0.23805510551100889</v>
      </c>
      <c r="F21" s="221">
        <f t="shared" si="5"/>
        <v>-2.9758912666185654E-2</v>
      </c>
      <c r="G21" s="226">
        <f t="shared" si="6"/>
        <v>-0.23590182695523718</v>
      </c>
      <c r="H21" s="226">
        <f t="shared" si="3"/>
        <v>-0.16651371082551547</v>
      </c>
      <c r="I21" s="225"/>
      <c r="J21" s="231">
        <f t="shared" si="4"/>
        <v>-0.23590182695523718</v>
      </c>
      <c r="K21" s="136"/>
      <c r="U21">
        <f>'CARB ZEV counts'!A107</f>
        <v>2037</v>
      </c>
      <c r="V21">
        <f>'CARB ZEV counts'!B107</f>
        <v>0.79</v>
      </c>
      <c r="W21">
        <f>'CARB ZEV counts'!C107</f>
        <v>0.74</v>
      </c>
      <c r="X21" s="59">
        <f>V21*'Combined MOVES output'!AG$38+'Federal GHG Rule'!W21*(1-'Combined MOVES output'!AG$38)</f>
        <v>0.7657570044969777</v>
      </c>
      <c r="Z21" s="209">
        <f t="shared" si="7"/>
        <v>0.17059454202698188</v>
      </c>
    </row>
    <row r="22" spans="1:27">
      <c r="A22" s="6"/>
      <c r="B22">
        <v>2038</v>
      </c>
      <c r="C22" s="221">
        <f t="shared" si="5"/>
        <v>-7.5439472158819687E-2</v>
      </c>
      <c r="D22" s="221">
        <f t="shared" si="5"/>
        <v>-2.7633405762233658E-2</v>
      </c>
      <c r="E22" s="221">
        <f t="shared" si="5"/>
        <v>-0.25011537531463879</v>
      </c>
      <c r="F22" s="221">
        <f t="shared" si="5"/>
        <v>-3.9002009214203055E-2</v>
      </c>
      <c r="G22" s="226">
        <f t="shared" si="6"/>
        <v>-0.24786932254622032</v>
      </c>
      <c r="H22" s="226">
        <f t="shared" si="3"/>
        <v>-0.16653277449713386</v>
      </c>
      <c r="I22" s="225"/>
      <c r="J22" s="231">
        <f t="shared" si="4"/>
        <v>-0.24786932254622032</v>
      </c>
      <c r="K22" s="136"/>
      <c r="U22">
        <f>'CARB ZEV counts'!A108</f>
        <v>2038</v>
      </c>
      <c r="V22">
        <f>'CARB ZEV counts'!B108</f>
        <v>0.79</v>
      </c>
      <c r="W22">
        <f>'CARB ZEV counts'!C108</f>
        <v>0.74</v>
      </c>
      <c r="X22" s="59">
        <f>V22*'Combined MOVES output'!AG$38+'Federal GHG Rule'!W22*(1-'Combined MOVES output'!AG$38)</f>
        <v>0.7657570044969777</v>
      </c>
      <c r="Z22" s="209">
        <f t="shared" si="7"/>
        <v>0.17059454202698188</v>
      </c>
    </row>
    <row r="23" spans="1:27">
      <c r="B23">
        <v>2039</v>
      </c>
      <c r="C23" s="221">
        <f t="shared" si="5"/>
        <v>-8.5304105311103481E-2</v>
      </c>
      <c r="D23" s="221">
        <f t="shared" si="5"/>
        <v>-3.5684482242928278E-2</v>
      </c>
      <c r="E23" s="221">
        <f t="shared" si="5"/>
        <v>-0.26089259091042927</v>
      </c>
      <c r="F23" s="221">
        <f t="shared" si="5"/>
        <v>-4.9586828900470684E-2</v>
      </c>
      <c r="G23" s="226">
        <f t="shared" si="6"/>
        <v>-0.25856334126189567</v>
      </c>
      <c r="H23" s="226">
        <f t="shared" si="3"/>
        <v>-0.16655183676820659</v>
      </c>
      <c r="I23" s="225"/>
      <c r="J23" s="231">
        <f t="shared" si="4"/>
        <v>-0.25856334126189567</v>
      </c>
      <c r="K23" s="136"/>
      <c r="U23">
        <f>'CARB ZEV counts'!A109</f>
        <v>2039</v>
      </c>
      <c r="V23">
        <f>'CARB ZEV counts'!B109</f>
        <v>0.79</v>
      </c>
      <c r="W23">
        <f>'CARB ZEV counts'!C109</f>
        <v>0.74</v>
      </c>
      <c r="X23" s="59">
        <f>V23*'Combined MOVES output'!AG$38+'Federal GHG Rule'!W23*(1-'Combined MOVES output'!AG$38)</f>
        <v>0.7657570044969777</v>
      </c>
      <c r="Z23" s="209">
        <f t="shared" si="7"/>
        <v>0.17059454202698188</v>
      </c>
    </row>
    <row r="24" spans="1:27">
      <c r="B24">
        <v>2040</v>
      </c>
      <c r="C24" s="221">
        <f t="shared" si="5"/>
        <v>-9.5830989327586935E-2</v>
      </c>
      <c r="D24" s="221">
        <f t="shared" si="5"/>
        <v>-4.5094328396941628E-2</v>
      </c>
      <c r="E24" s="221">
        <f t="shared" si="5"/>
        <v>-0.27028602829223303</v>
      </c>
      <c r="F24" s="221">
        <f t="shared" si="5"/>
        <v>-6.1248195938262778E-2</v>
      </c>
      <c r="G24" s="226">
        <f t="shared" si="6"/>
        <v>-0.26787836540083665</v>
      </c>
      <c r="H24" s="226">
        <f t="shared" si="3"/>
        <v>-0.16657089763873373</v>
      </c>
      <c r="I24" s="225"/>
      <c r="J24" s="231">
        <f t="shared" si="4"/>
        <v>-0.26787836540083665</v>
      </c>
      <c r="K24" s="136"/>
      <c r="U24">
        <f>'CARB ZEV counts'!A110</f>
        <v>2040</v>
      </c>
      <c r="V24">
        <f>'CARB ZEV counts'!B110</f>
        <v>0.79</v>
      </c>
      <c r="W24">
        <f>'CARB ZEV counts'!C110</f>
        <v>0.74</v>
      </c>
      <c r="X24" s="59">
        <f>V24*'Combined MOVES output'!AG$38+'Federal GHG Rule'!W24*(1-'Combined MOVES output'!AG$38)</f>
        <v>0.7657570044969777</v>
      </c>
      <c r="Z24" s="209">
        <f t="shared" si="7"/>
        <v>0.17059454202698188</v>
      </c>
    </row>
    <row r="25" spans="1:27">
      <c r="B25">
        <v>2041</v>
      </c>
      <c r="C25" s="221">
        <f t="shared" ref="C25:F25" si="8">C55*$P55*$Q55</f>
        <v>-0.10622052461725041</v>
      </c>
      <c r="D25" s="221">
        <f t="shared" si="8"/>
        <v>-5.5160484954138174E-2</v>
      </c>
      <c r="E25" s="221">
        <f t="shared" si="8"/>
        <v>-0.27827132812265454</v>
      </c>
      <c r="F25" s="221">
        <f t="shared" si="8"/>
        <v>-7.3534782720367689E-2</v>
      </c>
      <c r="G25" s="226">
        <f t="shared" ref="G25:G34" si="9">J55*P55*Q55</f>
        <v>-0.27579739880962217</v>
      </c>
      <c r="H25" s="226">
        <f t="shared" ref="H25:H34" si="10">(N55-Z25)*Q55</f>
        <v>-0.16657089763873373</v>
      </c>
      <c r="I25" s="225"/>
      <c r="J25" s="231">
        <f t="shared" si="4"/>
        <v>-0.27579739880962217</v>
      </c>
      <c r="K25" s="136"/>
      <c r="U25">
        <v>2041</v>
      </c>
      <c r="V25">
        <f>V24</f>
        <v>0.79</v>
      </c>
      <c r="W25">
        <f t="shared" ref="W25:X25" si="11">W24</f>
        <v>0.74</v>
      </c>
      <c r="X25" s="59">
        <f t="shared" si="11"/>
        <v>0.7657570044969777</v>
      </c>
      <c r="Z25" s="209">
        <f>Z24</f>
        <v>0.17059454202698188</v>
      </c>
      <c r="AA25" s="68" t="s">
        <v>607</v>
      </c>
    </row>
    <row r="26" spans="1:27">
      <c r="B26">
        <v>2042</v>
      </c>
      <c r="C26" s="221">
        <f t="shared" ref="C26:F26" si="12">C56*$P56*$Q56</f>
        <v>-0.1162222640530171</v>
      </c>
      <c r="D26" s="221">
        <f t="shared" si="12"/>
        <v>-6.6029836871753497E-2</v>
      </c>
      <c r="E26" s="221">
        <f t="shared" si="12"/>
        <v>-0.28500241613425786</v>
      </c>
      <c r="F26" s="221">
        <f t="shared" si="12"/>
        <v>-8.6190865069432618E-2</v>
      </c>
      <c r="G26" s="226">
        <f t="shared" si="9"/>
        <v>-0.28247076168442331</v>
      </c>
      <c r="H26" s="226">
        <f t="shared" si="10"/>
        <v>-0.16657089763873373</v>
      </c>
      <c r="I26" s="225"/>
      <c r="J26" s="231">
        <f t="shared" si="4"/>
        <v>-0.28247076168442331</v>
      </c>
      <c r="K26" s="136"/>
      <c r="U26">
        <v>2042</v>
      </c>
      <c r="V26">
        <f t="shared" ref="V26:V34" si="13">V25</f>
        <v>0.79</v>
      </c>
      <c r="W26">
        <f t="shared" ref="W26:W34" si="14">W25</f>
        <v>0.74</v>
      </c>
      <c r="X26" s="59">
        <f t="shared" ref="X26:X34" si="15">X25</f>
        <v>0.7657570044969777</v>
      </c>
      <c r="Z26" s="209">
        <f t="shared" ref="Z26:Z34" si="16">Z25</f>
        <v>0.17059454202698188</v>
      </c>
    </row>
    <row r="27" spans="1:27">
      <c r="B27">
        <v>2043</v>
      </c>
      <c r="C27" s="221">
        <f t="shared" ref="C27:F27" si="17">C57*$P57*$Q57</f>
        <v>-0.12598035325545401</v>
      </c>
      <c r="D27" s="221">
        <f t="shared" si="17"/>
        <v>-7.7705721446434353E-2</v>
      </c>
      <c r="E27" s="221">
        <f t="shared" si="17"/>
        <v>-0.29078664760823036</v>
      </c>
      <c r="F27" s="221">
        <f t="shared" si="17"/>
        <v>-9.9256797683211051E-2</v>
      </c>
      <c r="G27" s="226">
        <f t="shared" si="9"/>
        <v>-0.28820508137192236</v>
      </c>
      <c r="H27" s="226">
        <f t="shared" si="10"/>
        <v>-0.16657089763873373</v>
      </c>
      <c r="I27" s="225"/>
      <c r="J27" s="231">
        <f t="shared" si="4"/>
        <v>-0.28820508137192236</v>
      </c>
      <c r="K27" s="136"/>
      <c r="U27">
        <v>2043</v>
      </c>
      <c r="V27">
        <f t="shared" si="13"/>
        <v>0.79</v>
      </c>
      <c r="W27">
        <f t="shared" si="14"/>
        <v>0.74</v>
      </c>
      <c r="X27" s="59">
        <f t="shared" si="15"/>
        <v>0.7657570044969777</v>
      </c>
      <c r="Z27" s="209">
        <f t="shared" si="16"/>
        <v>0.17059454202698188</v>
      </c>
    </row>
    <row r="28" spans="1:27">
      <c r="B28">
        <v>2044</v>
      </c>
      <c r="C28" s="221">
        <f t="shared" ref="C28:F28" si="18">C58*$P58*$Q58</f>
        <v>-0.13517175439039439</v>
      </c>
      <c r="D28" s="221">
        <f t="shared" si="18"/>
        <v>-8.9364357350537646E-2</v>
      </c>
      <c r="E28" s="221">
        <f t="shared" si="18"/>
        <v>-0.29524871562560473</v>
      </c>
      <c r="F28" s="221">
        <f t="shared" si="18"/>
        <v>-0.11217643603441843</v>
      </c>
      <c r="G28" s="226">
        <f t="shared" si="9"/>
        <v>-0.29269773227040385</v>
      </c>
      <c r="H28" s="226">
        <f t="shared" si="10"/>
        <v>-0.16657089763873373</v>
      </c>
      <c r="I28" s="225"/>
      <c r="J28" s="231">
        <f t="shared" si="4"/>
        <v>-0.29269773227040385</v>
      </c>
      <c r="K28" s="136"/>
      <c r="U28">
        <v>2044</v>
      </c>
      <c r="V28">
        <f t="shared" si="13"/>
        <v>0.79</v>
      </c>
      <c r="W28">
        <f t="shared" si="14"/>
        <v>0.74</v>
      </c>
      <c r="X28" s="59">
        <f t="shared" si="15"/>
        <v>0.7657570044969777</v>
      </c>
      <c r="Z28" s="209">
        <f t="shared" si="16"/>
        <v>0.17059454202698188</v>
      </c>
    </row>
    <row r="29" spans="1:27">
      <c r="B29">
        <v>2045</v>
      </c>
      <c r="C29" s="221">
        <f t="shared" ref="C29:F29" si="19">C59*$P59*$Q59</f>
        <v>-0.14389308930287845</v>
      </c>
      <c r="D29" s="221">
        <f t="shared" si="19"/>
        <v>-0.10067938322976425</v>
      </c>
      <c r="E29" s="221">
        <f t="shared" si="19"/>
        <v>-0.29899552553699393</v>
      </c>
      <c r="F29" s="221">
        <f t="shared" si="19"/>
        <v>-0.12496633636435976</v>
      </c>
      <c r="G29" s="226">
        <f t="shared" si="9"/>
        <v>-0.29647704824558319</v>
      </c>
      <c r="H29" s="226">
        <f t="shared" si="10"/>
        <v>-0.16657089763873373</v>
      </c>
      <c r="I29" s="225"/>
      <c r="J29" s="231">
        <f t="shared" si="4"/>
        <v>-0.29647704824558319</v>
      </c>
      <c r="K29" s="136"/>
      <c r="U29">
        <v>2045</v>
      </c>
      <c r="V29">
        <f t="shared" si="13"/>
        <v>0.79</v>
      </c>
      <c r="W29">
        <f t="shared" si="14"/>
        <v>0.74</v>
      </c>
      <c r="X29" s="59">
        <f t="shared" si="15"/>
        <v>0.7657570044969777</v>
      </c>
      <c r="Z29" s="209">
        <f t="shared" si="16"/>
        <v>0.17059454202698188</v>
      </c>
    </row>
    <row r="30" spans="1:27">
      <c r="B30">
        <v>2046</v>
      </c>
      <c r="C30" s="221">
        <f t="shared" ref="C30:F30" si="20">C60*$P60*$Q60</f>
        <v>-0.15228864387269389</v>
      </c>
      <c r="D30" s="221">
        <f t="shared" si="20"/>
        <v>-0.11206318853821413</v>
      </c>
      <c r="E30" s="221">
        <f t="shared" si="20"/>
        <v>-0.30212641528796602</v>
      </c>
      <c r="F30" s="221">
        <f t="shared" si="20"/>
        <v>-0.1376036844582767</v>
      </c>
      <c r="G30" s="226">
        <f t="shared" si="9"/>
        <v>-0.29964032916279471</v>
      </c>
      <c r="H30" s="226">
        <f t="shared" si="10"/>
        <v>-0.16657089763873373</v>
      </c>
      <c r="I30" s="225"/>
      <c r="J30" s="231">
        <f t="shared" si="4"/>
        <v>-0.29964032916279471</v>
      </c>
      <c r="K30" s="136"/>
      <c r="U30">
        <v>2046</v>
      </c>
      <c r="V30">
        <f t="shared" si="13"/>
        <v>0.79</v>
      </c>
      <c r="W30">
        <f t="shared" si="14"/>
        <v>0.74</v>
      </c>
      <c r="X30" s="59">
        <f t="shared" si="15"/>
        <v>0.7657570044969777</v>
      </c>
      <c r="Z30" s="209">
        <f t="shared" si="16"/>
        <v>0.17059454202698188</v>
      </c>
    </row>
    <row r="31" spans="1:27">
      <c r="B31">
        <v>2047</v>
      </c>
      <c r="C31" s="221">
        <f t="shared" ref="C31:F31" si="21">C61*$P61*$Q61</f>
        <v>-0.16013712840543798</v>
      </c>
      <c r="D31" s="221">
        <f t="shared" si="21"/>
        <v>-0.12337177953263595</v>
      </c>
      <c r="E31" s="221">
        <f t="shared" si="21"/>
        <v>-0.30472581710173252</v>
      </c>
      <c r="F31" s="221">
        <f t="shared" si="21"/>
        <v>-0.14966595594160978</v>
      </c>
      <c r="G31" s="226">
        <f t="shared" si="9"/>
        <v>-0.30227261580164289</v>
      </c>
      <c r="H31" s="226">
        <f t="shared" si="10"/>
        <v>-0.16657089763873373</v>
      </c>
      <c r="I31" s="225"/>
      <c r="J31" s="231">
        <f t="shared" si="4"/>
        <v>-0.30227261580164289</v>
      </c>
      <c r="K31" s="136"/>
      <c r="U31">
        <v>2047</v>
      </c>
      <c r="V31">
        <f t="shared" si="13"/>
        <v>0.79</v>
      </c>
      <c r="W31">
        <f t="shared" si="14"/>
        <v>0.74</v>
      </c>
      <c r="X31" s="59">
        <f t="shared" si="15"/>
        <v>0.7657570044969777</v>
      </c>
      <c r="Z31" s="209">
        <f t="shared" si="16"/>
        <v>0.17059454202698188</v>
      </c>
    </row>
    <row r="32" spans="1:27">
      <c r="B32">
        <v>2048</v>
      </c>
      <c r="C32" s="221">
        <f t="shared" ref="C32:F32" si="22">C62*$P62*$Q62</f>
        <v>-0.16754497597611778</v>
      </c>
      <c r="D32" s="221">
        <f t="shared" si="22"/>
        <v>-0.13467430858716836</v>
      </c>
      <c r="E32" s="221">
        <f t="shared" si="22"/>
        <v>-0.30707090521088171</v>
      </c>
      <c r="F32" s="221">
        <f t="shared" si="22"/>
        <v>-0.16089212354969654</v>
      </c>
      <c r="G32" s="226">
        <f t="shared" si="9"/>
        <v>-0.30464952802649969</v>
      </c>
      <c r="H32" s="226">
        <f t="shared" si="10"/>
        <v>-0.16657089763873373</v>
      </c>
      <c r="I32" s="225"/>
      <c r="J32" s="231">
        <f t="shared" si="4"/>
        <v>-0.30464952802649969</v>
      </c>
      <c r="K32" s="136"/>
      <c r="U32">
        <v>2048</v>
      </c>
      <c r="V32">
        <f t="shared" si="13"/>
        <v>0.79</v>
      </c>
      <c r="W32">
        <f t="shared" si="14"/>
        <v>0.74</v>
      </c>
      <c r="X32" s="59">
        <f t="shared" si="15"/>
        <v>0.7657570044969777</v>
      </c>
      <c r="Z32" s="209">
        <f t="shared" si="16"/>
        <v>0.17059454202698188</v>
      </c>
    </row>
    <row r="33" spans="1:26">
      <c r="B33">
        <v>2049</v>
      </c>
      <c r="C33" s="221">
        <f t="shared" ref="C33:F33" si="23">C63*$P63*$Q63</f>
        <v>-0.17416659588838473</v>
      </c>
      <c r="D33" s="221">
        <f t="shared" si="23"/>
        <v>-0.14512850436639732</v>
      </c>
      <c r="E33" s="221">
        <f t="shared" si="23"/>
        <v>-0.30889222847336006</v>
      </c>
      <c r="F33" s="221">
        <f t="shared" si="23"/>
        <v>-0.1697259030671793</v>
      </c>
      <c r="G33" s="226">
        <f t="shared" si="9"/>
        <v>-0.30650766350440012</v>
      </c>
      <c r="H33" s="226">
        <f t="shared" si="10"/>
        <v>-0.16657089763873373</v>
      </c>
      <c r="I33" s="225"/>
      <c r="J33" s="231">
        <f t="shared" si="4"/>
        <v>-0.30650766350440012</v>
      </c>
      <c r="K33" s="136"/>
      <c r="U33">
        <v>2049</v>
      </c>
      <c r="V33">
        <f t="shared" si="13"/>
        <v>0.79</v>
      </c>
      <c r="W33">
        <f t="shared" si="14"/>
        <v>0.74</v>
      </c>
      <c r="X33" s="59">
        <f t="shared" si="15"/>
        <v>0.7657570044969777</v>
      </c>
      <c r="Z33" s="209">
        <f t="shared" si="16"/>
        <v>0.17059454202698188</v>
      </c>
    </row>
    <row r="34" spans="1:26">
      <c r="B34">
        <v>2050</v>
      </c>
      <c r="C34" s="221">
        <f t="shared" ref="C34:F34" si="24">C64*$P64*$Q64</f>
        <v>-0.18041452791187906</v>
      </c>
      <c r="D34" s="221">
        <f t="shared" si="24"/>
        <v>-0.1552073492447606</v>
      </c>
      <c r="E34" s="221">
        <f t="shared" si="24"/>
        <v>-0.31038049653925215</v>
      </c>
      <c r="F34" s="221">
        <f t="shared" si="24"/>
        <v>-0.17623787351664696</v>
      </c>
      <c r="G34" s="226">
        <f t="shared" si="9"/>
        <v>-0.3080365568918042</v>
      </c>
      <c r="H34" s="226">
        <f t="shared" si="10"/>
        <v>-0.16657089763873373</v>
      </c>
      <c r="I34" s="225"/>
      <c r="J34" s="231">
        <f t="shared" si="4"/>
        <v>-0.3080365568918042</v>
      </c>
      <c r="K34" s="136"/>
      <c r="U34">
        <v>2050</v>
      </c>
      <c r="V34">
        <f t="shared" si="13"/>
        <v>0.79</v>
      </c>
      <c r="W34">
        <f t="shared" si="14"/>
        <v>0.74</v>
      </c>
      <c r="X34" s="59">
        <f t="shared" si="15"/>
        <v>0.7657570044969777</v>
      </c>
      <c r="Z34" s="209">
        <f t="shared" si="16"/>
        <v>0.17059454202698188</v>
      </c>
    </row>
    <row r="35" spans="1:26">
      <c r="C35" s="41"/>
      <c r="D35" s="3"/>
      <c r="E35" s="3"/>
      <c r="F35" s="101"/>
      <c r="G35" s="3"/>
      <c r="H35" s="3"/>
      <c r="I35" s="3"/>
      <c r="K35" s="3"/>
    </row>
    <row r="36" spans="1:26">
      <c r="C36" s="3"/>
      <c r="D36" s="3"/>
      <c r="E36" s="3"/>
      <c r="F36" s="101"/>
      <c r="G36" s="3"/>
      <c r="H36" s="3"/>
      <c r="I36" s="3"/>
    </row>
    <row r="37" spans="1:26">
      <c r="A37" t="s">
        <v>407</v>
      </c>
      <c r="C37" s="3"/>
      <c r="D37" s="3"/>
      <c r="E37" s="3"/>
      <c r="F37" s="101"/>
      <c r="G37" s="3"/>
      <c r="H37" s="3"/>
      <c r="I37" s="3"/>
      <c r="N37" s="6"/>
    </row>
    <row r="38" spans="1:26">
      <c r="C38" t="s">
        <v>376</v>
      </c>
      <c r="D38" t="s">
        <v>2</v>
      </c>
      <c r="E38" t="s">
        <v>116</v>
      </c>
      <c r="F38" s="28" t="s">
        <v>115</v>
      </c>
      <c r="G38" s="224" t="s">
        <v>3</v>
      </c>
      <c r="H38" s="224" t="s">
        <v>26</v>
      </c>
      <c r="I38" s="224" t="s">
        <v>21</v>
      </c>
      <c r="J38" s="141" t="s">
        <v>399</v>
      </c>
      <c r="K38" s="3"/>
      <c r="L38" s="28" t="s">
        <v>408</v>
      </c>
      <c r="M38" s="28" t="s">
        <v>410</v>
      </c>
      <c r="N38" s="28" t="s">
        <v>412</v>
      </c>
      <c r="O38" s="28" t="s">
        <v>411</v>
      </c>
      <c r="P38" s="28" t="s">
        <v>246</v>
      </c>
      <c r="Q38" s="28" t="s">
        <v>426</v>
      </c>
    </row>
    <row r="39" spans="1:26">
      <c r="B39">
        <v>2025</v>
      </c>
      <c r="C39" s="221">
        <v>4.3843912724878811E-4</v>
      </c>
      <c r="D39" s="221">
        <v>2.1141952328636699E-3</v>
      </c>
      <c r="E39" s="221">
        <v>-1.6264331046152738E-2</v>
      </c>
      <c r="F39" s="226">
        <v>2.5640194295858901E-3</v>
      </c>
      <c r="G39" s="225">
        <v>-1.6139560551236515E-2</v>
      </c>
      <c r="H39" s="225">
        <v>-2.1802198780865108E-3</v>
      </c>
      <c r="I39" s="225">
        <v>-6.375505763797207E-3</v>
      </c>
      <c r="J39" s="221">
        <f>(G39*'Combined MOVES output'!L9+'Federal GHG Rule'!H39*'Combined MOVES output'!M9+'Federal GHG Rule'!I39*'Combined MOVES output'!N9)/'Combined MOVES output'!D9</f>
        <v>-1.6050393339309726E-2</v>
      </c>
      <c r="L39" s="209">
        <f>O7-S7</f>
        <v>2.5142786407227648E-2</v>
      </c>
      <c r="M39" s="209">
        <f>O7</f>
        <v>7.400000000000001E-2</v>
      </c>
      <c r="N39" s="229">
        <f>'Fleet ZEV fractions'!AG54</f>
        <v>5.2199116412403389E-4</v>
      </c>
      <c r="O39" s="209">
        <f>M39-N39</f>
        <v>7.3478008835875977E-2</v>
      </c>
      <c r="P39" s="228">
        <f>O39/L39</f>
        <v>2.9224290277848319</v>
      </c>
      <c r="Q39">
        <f>1-G89</f>
        <v>0.97632103697131356</v>
      </c>
    </row>
    <row r="40" spans="1:26">
      <c r="A40" s="6"/>
      <c r="B40">
        <v>2026</v>
      </c>
      <c r="C40" s="221">
        <v>2.2438498960867549E-4</v>
      </c>
      <c r="D40" s="221">
        <v>2.9768290891875855E-3</v>
      </c>
      <c r="E40" s="221">
        <v>-2.5980601940612261E-2</v>
      </c>
      <c r="F40" s="226">
        <v>3.6365127003219599E-3</v>
      </c>
      <c r="G40" s="225">
        <v>-2.5804091026653559E-2</v>
      </c>
      <c r="H40" s="225">
        <v>-3.8182050941960315E-3</v>
      </c>
      <c r="I40" s="225">
        <v>-1.0795175770601632E-2</v>
      </c>
      <c r="J40" s="221">
        <f>(G40*'Combined MOVES output'!L10+'Federal GHG Rule'!H40*'Combined MOVES output'!M10+'Federal GHG Rule'!I40*'Combined MOVES output'!N10)/'Combined MOVES output'!D10</f>
        <v>-2.5662497444795481E-2</v>
      </c>
      <c r="L40" s="209">
        <f>O8-S8</f>
        <v>4.8902978301773016E-2</v>
      </c>
      <c r="M40" s="209">
        <f>O8</f>
        <v>0.10200000000000001</v>
      </c>
      <c r="N40" s="229">
        <f>'Fleet ZEV fractions'!AG55</f>
        <v>4.7178823162715203E-4</v>
      </c>
      <c r="O40" s="209">
        <f t="shared" ref="O40:O54" si="25">M40-N40</f>
        <v>0.10152821176837286</v>
      </c>
      <c r="P40" s="228">
        <f t="shared" ref="P40:P54" si="26">O40/L40</f>
        <v>2.0761151016581718</v>
      </c>
      <c r="Q40">
        <f>Q39+1/5*(Q44-Q39)</f>
        <v>0.97644556300146435</v>
      </c>
    </row>
    <row r="41" spans="1:26">
      <c r="B41" s="8">
        <v>2027</v>
      </c>
      <c r="C41" s="221">
        <v>-2.4429855547648647E-4</v>
      </c>
      <c r="D41" s="221">
        <v>3.7855375567945313E-3</v>
      </c>
      <c r="E41" s="221">
        <v>-3.7500199284420811E-2</v>
      </c>
      <c r="F41" s="226">
        <v>4.6846295657265403E-3</v>
      </c>
      <c r="G41" s="225">
        <v>-3.7271503606420724E-2</v>
      </c>
      <c r="H41" s="225">
        <v>-5.96070491851209E-3</v>
      </c>
      <c r="I41" s="225">
        <v>-1.5820952986733923E-2</v>
      </c>
      <c r="J41" s="221">
        <f>(G41*'Combined MOVES output'!L11+'Federal GHG Rule'!H41*'Combined MOVES output'!M11+'Federal GHG Rule'!I41*'Combined MOVES output'!N11)/'Combined MOVES output'!D11</f>
        <v>-3.7068413299886527E-2</v>
      </c>
      <c r="L41" s="209">
        <f>O9-S9</f>
        <v>7.7522563792475713E-2</v>
      </c>
      <c r="M41" s="209">
        <f>O9</f>
        <v>0.13600000000000001</v>
      </c>
      <c r="N41" s="229">
        <f>'Fleet ZEV fractions'!AG56</f>
        <v>4.2158529913027007E-4</v>
      </c>
      <c r="O41" s="209">
        <f t="shared" si="25"/>
        <v>0.13557841470086973</v>
      </c>
      <c r="P41" s="228">
        <f t="shared" si="26"/>
        <v>1.7488897176286227</v>
      </c>
      <c r="Q41">
        <f>Q39+2/5*(Q44-Q39)</f>
        <v>0.97657008903161513</v>
      </c>
      <c r="S41" s="8"/>
    </row>
    <row r="42" spans="1:26">
      <c r="B42">
        <v>2028</v>
      </c>
      <c r="C42" s="221">
        <v>-1.4284843428198999E-3</v>
      </c>
      <c r="D42" s="221">
        <v>4.2100783549514822E-3</v>
      </c>
      <c r="E42" s="221">
        <v>-5.0007758458105234E-2</v>
      </c>
      <c r="F42" s="226">
        <v>5.3414846020546965E-3</v>
      </c>
      <c r="G42" s="225">
        <v>-4.9731038597155039E-2</v>
      </c>
      <c r="H42" s="225">
        <v>-8.9785807848540775E-3</v>
      </c>
      <c r="I42" s="225">
        <v>-2.1731429741623499E-2</v>
      </c>
      <c r="J42" s="221">
        <f>(G42*'Combined MOVES output'!L12+'Federal GHG Rule'!H42*'Combined MOVES output'!M12+'Federal GHG Rule'!I42*'Combined MOVES output'!N12)/'Combined MOVES output'!D12</f>
        <v>-4.9462041250829931E-2</v>
      </c>
      <c r="L42" s="209">
        <f>O10-S10</f>
        <v>0.10426023539372055</v>
      </c>
      <c r="M42" s="209">
        <f>O10</f>
        <v>0.17200000000000001</v>
      </c>
      <c r="N42" s="229">
        <f>'Fleet ZEV fractions'!AG57</f>
        <v>3.7138236663338832E-4</v>
      </c>
      <c r="O42" s="209">
        <f t="shared" si="25"/>
        <v>0.17162861763336662</v>
      </c>
      <c r="P42" s="228">
        <f t="shared" si="26"/>
        <v>1.6461560535063167</v>
      </c>
      <c r="Q42">
        <f>Q39+3/5*(Q44-Q39)</f>
        <v>0.97669461506176591</v>
      </c>
    </row>
    <row r="43" spans="1:26">
      <c r="B43">
        <v>2029</v>
      </c>
      <c r="C43" s="221">
        <v>-3.2842986964852681E-3</v>
      </c>
      <c r="D43" s="221">
        <v>4.1848492161678319E-3</v>
      </c>
      <c r="E43" s="221">
        <v>-6.2228643560576918E-2</v>
      </c>
      <c r="F43" s="226">
        <v>5.5417811486600764E-3</v>
      </c>
      <c r="G43" s="225">
        <v>-6.1915580079079512E-2</v>
      </c>
      <c r="H43" s="225">
        <v>-1.2721217084206149E-2</v>
      </c>
      <c r="I43" s="225">
        <v>-2.7901359951336194E-2</v>
      </c>
      <c r="J43" s="221">
        <f>(G43*'Combined MOVES output'!L13+'Federal GHG Rule'!H43*'Combined MOVES output'!M13+'Federal GHG Rule'!I43*'Combined MOVES output'!N13)/'Combined MOVES output'!D13</f>
        <v>-6.1583231748318368E-2</v>
      </c>
      <c r="L43" s="209">
        <f>L42</f>
        <v>0.10426023539372055</v>
      </c>
      <c r="M43" s="209">
        <f>M42</f>
        <v>0.17200000000000001</v>
      </c>
      <c r="N43" s="229">
        <f>'Fleet ZEV fractions'!AG58</f>
        <v>3.2117943413650636E-4</v>
      </c>
      <c r="O43" s="209">
        <f t="shared" si="25"/>
        <v>0.1716788205658635</v>
      </c>
      <c r="P43" s="228">
        <f t="shared" si="26"/>
        <v>1.6466375691321669</v>
      </c>
      <c r="Q43">
        <f>Q39+4/5*(Q44-Q39)</f>
        <v>0.9768191410919167</v>
      </c>
    </row>
    <row r="44" spans="1:26">
      <c r="B44">
        <v>2030</v>
      </c>
      <c r="C44" s="221">
        <v>-5.9158577332338105E-3</v>
      </c>
      <c r="D44" s="221">
        <v>3.5663070490738365E-3</v>
      </c>
      <c r="E44" s="221">
        <v>-7.4394424051300631E-2</v>
      </c>
      <c r="F44" s="226">
        <v>5.1549763336321561E-3</v>
      </c>
      <c r="G44" s="225">
        <v>-7.4038111335541765E-2</v>
      </c>
      <c r="H44" s="225">
        <v>-1.7161738138571359E-2</v>
      </c>
      <c r="I44" s="225">
        <v>-3.4462973225395703E-2</v>
      </c>
      <c r="J44" s="221">
        <f>(G44*'Combined MOVES output'!L14+'Federal GHG Rule'!H44*'Combined MOVES output'!M14+'Federal GHG Rule'!I44*'Combined MOVES output'!N14)/'Combined MOVES output'!D14</f>
        <v>-7.36438456241853E-2</v>
      </c>
      <c r="L44" s="209">
        <f t="shared" ref="L44:L54" si="27">L43</f>
        <v>0.10426023539372055</v>
      </c>
      <c r="M44" s="209">
        <f t="shared" ref="M44:Q55" si="28">M43</f>
        <v>0.17200000000000001</v>
      </c>
      <c r="N44" s="229">
        <f>'Fleet ZEV fractions'!AG59</f>
        <v>2.7097650163962451E-4</v>
      </c>
      <c r="O44" s="209">
        <f t="shared" si="25"/>
        <v>0.17172902349836039</v>
      </c>
      <c r="P44" s="228">
        <f t="shared" si="26"/>
        <v>1.6471190847580168</v>
      </c>
      <c r="Q44">
        <f>1-G96</f>
        <v>0.97694366712206748</v>
      </c>
    </row>
    <row r="45" spans="1:26">
      <c r="B45">
        <v>2031</v>
      </c>
      <c r="C45" s="221">
        <v>-8.6833678596257829E-3</v>
      </c>
      <c r="D45" s="221">
        <v>2.985458078580667E-3</v>
      </c>
      <c r="E45" s="221">
        <v>-8.6181567475243859E-2</v>
      </c>
      <c r="F45" s="226">
        <v>4.8600344957255058E-3</v>
      </c>
      <c r="G45" s="225">
        <v>-8.5782843860438954E-2</v>
      </c>
      <c r="H45" s="225">
        <v>-2.1848418679714418E-2</v>
      </c>
      <c r="I45" s="225">
        <v>-4.1078514557174227E-2</v>
      </c>
      <c r="J45" s="221">
        <f>(G45*'Combined MOVES output'!L15+'Federal GHG Rule'!H45*'Combined MOVES output'!M15+'Federal GHG Rule'!I45*'Combined MOVES output'!N15)/'Combined MOVES output'!D15</f>
        <v>-8.5328956009847967E-2</v>
      </c>
      <c r="L45" s="209">
        <f t="shared" si="27"/>
        <v>0.10426023539372055</v>
      </c>
      <c r="M45" s="209">
        <f t="shared" si="28"/>
        <v>0.17200000000000001</v>
      </c>
      <c r="N45" s="229">
        <f>'Fleet ZEV fractions'!AG60</f>
        <v>2.4646826241405903E-4</v>
      </c>
      <c r="O45" s="209">
        <f t="shared" si="25"/>
        <v>0.17175353173758595</v>
      </c>
      <c r="P45" s="228">
        <f t="shared" si="26"/>
        <v>1.6473541527025022</v>
      </c>
      <c r="Q45">
        <f>Q44+1/5*(Q49-Q44)</f>
        <v>0.97689595084706116</v>
      </c>
    </row>
    <row r="46" spans="1:26">
      <c r="B46" s="8">
        <v>2032</v>
      </c>
      <c r="C46" s="221">
        <v>-1.1971236158820099E-2</v>
      </c>
      <c r="D46" s="221">
        <v>2.0502730790549219E-3</v>
      </c>
      <c r="E46" s="221">
        <v>-9.7951383281513899E-2</v>
      </c>
      <c r="F46" s="226">
        <v>4.2676293094095425E-3</v>
      </c>
      <c r="G46" s="225">
        <v>-9.7510500220374774E-2</v>
      </c>
      <c r="H46" s="225">
        <v>-2.7255901292055615E-2</v>
      </c>
      <c r="I46" s="225">
        <v>-4.8051717895765428E-2</v>
      </c>
      <c r="J46" s="221">
        <f>(G46*'Combined MOVES output'!L16+'Federal GHG Rule'!H46*'Combined MOVES output'!M16+'Federal GHG Rule'!I46*'Combined MOVES output'!N16)/'Combined MOVES output'!D16</f>
        <v>-9.6997927181200608E-2</v>
      </c>
      <c r="L46" s="209">
        <f t="shared" si="27"/>
        <v>0.10426023539372055</v>
      </c>
      <c r="M46" s="209">
        <f t="shared" si="28"/>
        <v>0.17200000000000001</v>
      </c>
      <c r="N46" s="229">
        <f>'Fleet ZEV fractions'!AG61</f>
        <v>2.219600231884936E-4</v>
      </c>
      <c r="O46" s="209">
        <f t="shared" si="25"/>
        <v>0.17177803997681151</v>
      </c>
      <c r="P46" s="228">
        <f t="shared" si="26"/>
        <v>1.6475892206469875</v>
      </c>
      <c r="Q46">
        <f>Q44+2/5*(Q49-Q44)</f>
        <v>0.97684823457205472</v>
      </c>
      <c r="S46" s="8"/>
    </row>
    <row r="47" spans="1:26">
      <c r="B47">
        <v>2033</v>
      </c>
      <c r="C47" s="221">
        <v>-1.5801681243850191E-2</v>
      </c>
      <c r="D47" s="221">
        <v>7.713965606463304E-4</v>
      </c>
      <c r="E47" s="221">
        <v>-0.10929215820219822</v>
      </c>
      <c r="F47" s="226">
        <v>3.3565017975484509E-3</v>
      </c>
      <c r="G47" s="225">
        <v>-0.10881277687776238</v>
      </c>
      <c r="H47" s="225">
        <v>-3.3143844462513651E-2</v>
      </c>
      <c r="I47" s="225">
        <v>-5.5052327393082183E-2</v>
      </c>
      <c r="J47" s="221">
        <f>(G47*'Combined MOVES output'!L17+'Federal GHG Rule'!H47*'Combined MOVES output'!M17+'Federal GHG Rule'!I47*'Combined MOVES output'!N17)/'Combined MOVES output'!D17</f>
        <v>-0.10824459475382622</v>
      </c>
      <c r="L47" s="209">
        <f t="shared" si="27"/>
        <v>0.10426023539372055</v>
      </c>
      <c r="M47" s="209">
        <f t="shared" si="28"/>
        <v>0.17200000000000001</v>
      </c>
      <c r="N47" s="229">
        <f>'Fleet ZEV fractions'!AG62</f>
        <v>1.9745178396292812E-4</v>
      </c>
      <c r="O47" s="209">
        <f t="shared" si="25"/>
        <v>0.17180254821603708</v>
      </c>
      <c r="P47" s="228">
        <f t="shared" si="26"/>
        <v>1.6478242885914729</v>
      </c>
      <c r="Q47">
        <f>Q44+3/5*(Q49-Q44)</f>
        <v>0.97680051829704839</v>
      </c>
    </row>
    <row r="48" spans="1:26">
      <c r="B48">
        <v>2034</v>
      </c>
      <c r="C48" s="221">
        <v>-2.0097505879815198E-2</v>
      </c>
      <c r="D48" s="221">
        <v>-9.4949581512287736E-4</v>
      </c>
      <c r="E48" s="221">
        <v>-0.12014813134081642</v>
      </c>
      <c r="F48" s="226">
        <v>2.0315453295456655E-3</v>
      </c>
      <c r="G48" s="225">
        <v>-0.11963947738095373</v>
      </c>
      <c r="H48" s="225">
        <v>-3.948802809727997E-2</v>
      </c>
      <c r="I48" s="225">
        <v>-6.2058769501049757E-2</v>
      </c>
      <c r="J48" s="221">
        <f>(G48*'Combined MOVES output'!L18+'Federal GHG Rule'!H48*'Combined MOVES output'!M18+'Federal GHG Rule'!I48*'Combined MOVES output'!N18)/'Combined MOVES output'!D18</f>
        <v>-0.11901899415331718</v>
      </c>
      <c r="K48" s="3"/>
      <c r="L48" s="209">
        <f t="shared" si="27"/>
        <v>0.10426023539372055</v>
      </c>
      <c r="M48" s="209">
        <f t="shared" si="28"/>
        <v>0.17200000000000001</v>
      </c>
      <c r="N48" s="229">
        <f>'Fleet ZEV fractions'!AG63</f>
        <v>1.7294354473736267E-4</v>
      </c>
      <c r="O48" s="209">
        <f t="shared" si="25"/>
        <v>0.17182705645526264</v>
      </c>
      <c r="P48" s="228">
        <f t="shared" si="26"/>
        <v>1.6480593565359583</v>
      </c>
      <c r="Q48">
        <f>Q44+4/5*(Q49-Q44)</f>
        <v>0.97675280202204195</v>
      </c>
    </row>
    <row r="49" spans="1:19">
      <c r="B49">
        <v>2035</v>
      </c>
      <c r="C49" s="221">
        <v>-2.9212732521398679E-2</v>
      </c>
      <c r="D49" s="221">
        <v>-5.6294531592828972E-3</v>
      </c>
      <c r="E49" s="221">
        <v>-0.13024996561879582</v>
      </c>
      <c r="F49" s="226">
        <v>-9.4091989418137387E-3</v>
      </c>
      <c r="G49" s="225">
        <v>-0.12971328528255432</v>
      </c>
      <c r="H49" s="225">
        <v>-5.0057024818928764E-2</v>
      </c>
      <c r="I49" s="225">
        <v>-6.881427523417849E-2</v>
      </c>
      <c r="J49" s="221">
        <f>(G49*'Combined MOVES output'!L19+'Federal GHG Rule'!H49*'Combined MOVES output'!M19+'Federal GHG Rule'!I49*'Combined MOVES output'!N19)/'Combined MOVES output'!D19</f>
        <v>-0.12904533226931703</v>
      </c>
      <c r="K49" s="3"/>
      <c r="L49" s="209">
        <f t="shared" si="27"/>
        <v>0.10426023539372055</v>
      </c>
      <c r="M49" s="209">
        <f t="shared" si="28"/>
        <v>0.17200000000000001</v>
      </c>
      <c r="N49" s="229">
        <f>'Fleet ZEV fractions'!AG64</f>
        <v>1.4843530551179721E-4</v>
      </c>
      <c r="O49" s="209">
        <f t="shared" si="25"/>
        <v>0.17185156469448823</v>
      </c>
      <c r="P49" s="228">
        <f t="shared" si="26"/>
        <v>1.6482944244804441</v>
      </c>
      <c r="Q49">
        <f>1-G103</f>
        <v>0.97670508574703563</v>
      </c>
    </row>
    <row r="50" spans="1:19">
      <c r="B50">
        <v>2036</v>
      </c>
      <c r="C50" s="221">
        <v>-3.4876037503987815E-2</v>
      </c>
      <c r="D50" s="221">
        <v>-8.8878036031514139E-3</v>
      </c>
      <c r="E50" s="221">
        <v>-0.13950438833768711</v>
      </c>
      <c r="F50" s="226">
        <v>-1.357506859333185E-2</v>
      </c>
      <c r="G50" s="225">
        <v>-0.13894643327782633</v>
      </c>
      <c r="H50" s="225">
        <v>-5.6822564123230133E-2</v>
      </c>
      <c r="I50" s="225">
        <v>-7.5280661392159762E-2</v>
      </c>
      <c r="J50" s="221">
        <f>(G50*'Combined MOVES output'!L20+'Federal GHG Rule'!H50*'Combined MOVES output'!M20+'Federal GHG Rule'!I50*'Combined MOVES output'!N20)/'Combined MOVES output'!D20</f>
        <v>-0.13823011477759742</v>
      </c>
      <c r="K50" s="6"/>
      <c r="L50" s="209">
        <f t="shared" si="27"/>
        <v>0.10426023539372055</v>
      </c>
      <c r="M50" s="209">
        <f t="shared" si="28"/>
        <v>0.17200000000000001</v>
      </c>
      <c r="N50" s="229">
        <f>'Fleet ZEV fractions'!AG65</f>
        <v>1.2392706628623176E-4</v>
      </c>
      <c r="O50" s="209">
        <f t="shared" si="25"/>
        <v>0.17187607293371379</v>
      </c>
      <c r="P50" s="228">
        <f t="shared" si="26"/>
        <v>1.6485294924249294</v>
      </c>
      <c r="Q50">
        <f>Q49+1/5*(Q54-Q49)</f>
        <v>0.9766765127921847</v>
      </c>
    </row>
    <row r="51" spans="1:19">
      <c r="A51" s="6"/>
      <c r="B51" s="8">
        <v>2037</v>
      </c>
      <c r="C51" s="221">
        <v>-4.0639613813002379E-2</v>
      </c>
      <c r="D51" s="221">
        <v>-1.2701381084756913E-2</v>
      </c>
      <c r="E51" s="221">
        <v>-0.14783620922732835</v>
      </c>
      <c r="F51" s="226">
        <v>-1.8480783387746166E-2</v>
      </c>
      <c r="G51" s="225">
        <v>-0.14725903294722856</v>
      </c>
      <c r="H51" s="225">
        <v>-6.3500401297167358E-2</v>
      </c>
      <c r="I51" s="225">
        <v>-8.1418831102806899E-2</v>
      </c>
      <c r="J51" s="221">
        <f>(G51*'Combined MOVES output'!L21+'Federal GHG Rule'!H51*'Combined MOVES output'!M21+'Federal GHG Rule'!I51*'Combined MOVES output'!N21)/'Combined MOVES output'!D21</f>
        <v>-0.14649898716518248</v>
      </c>
      <c r="L51" s="209">
        <f t="shared" si="27"/>
        <v>0.10426023539372055</v>
      </c>
      <c r="M51" s="209">
        <f t="shared" si="28"/>
        <v>0.17200000000000001</v>
      </c>
      <c r="N51" s="229">
        <f>'Fleet ZEV fractions'!AG66</f>
        <v>9.9418827060666307E-5</v>
      </c>
      <c r="O51" s="209">
        <f t="shared" si="25"/>
        <v>0.17190058117293935</v>
      </c>
      <c r="P51" s="228">
        <f t="shared" si="26"/>
        <v>1.6487645603694148</v>
      </c>
      <c r="Q51">
        <f>Q49+2/5*(Q54-Q49)</f>
        <v>0.97664793983733378</v>
      </c>
      <c r="S51" s="8"/>
    </row>
    <row r="52" spans="1:19">
      <c r="B52">
        <v>2038</v>
      </c>
      <c r="C52" s="221">
        <v>-4.6843868262445895E-2</v>
      </c>
      <c r="D52" s="221">
        <v>-1.7158863684035609E-2</v>
      </c>
      <c r="E52" s="221">
        <v>-0.15530824058505002</v>
      </c>
      <c r="F52" s="226">
        <v>-2.4218157011418488E-2</v>
      </c>
      <c r="G52" s="225">
        <v>-0.15471300460723958</v>
      </c>
      <c r="H52" s="225">
        <v>-7.00141431662544E-2</v>
      </c>
      <c r="I52" s="225">
        <v>-8.7050288573406909E-2</v>
      </c>
      <c r="J52" s="221">
        <f>(G52*'Combined MOVES output'!L22+'Federal GHG Rule'!H52*'Combined MOVES output'!M22+'Federal GHG Rule'!I52*'Combined MOVES output'!N22)/'Combined MOVES output'!D22</f>
        <v>-0.1539135622159756</v>
      </c>
      <c r="L52" s="209">
        <f t="shared" si="27"/>
        <v>0.10426023539372055</v>
      </c>
      <c r="M52" s="209">
        <f t="shared" si="28"/>
        <v>0.17200000000000001</v>
      </c>
      <c r="N52" s="229">
        <f>'Fleet ZEV fractions'!AG67</f>
        <v>7.4910587835100826E-5</v>
      </c>
      <c r="O52" s="209">
        <f t="shared" si="25"/>
        <v>0.17192508941216492</v>
      </c>
      <c r="P52" s="228">
        <f t="shared" si="26"/>
        <v>1.6489996283139001</v>
      </c>
      <c r="Q52">
        <f>Q49+3/5*(Q54-Q49)</f>
        <v>0.97661936688248285</v>
      </c>
    </row>
    <row r="53" spans="1:19">
      <c r="B53">
        <v>2039</v>
      </c>
      <c r="C53" s="221">
        <v>-5.296327640900339E-2</v>
      </c>
      <c r="D53" s="221">
        <v>-2.2155640571478796E-2</v>
      </c>
      <c r="E53" s="221">
        <v>-0.16198196270926188</v>
      </c>
      <c r="F53" s="226">
        <v>-3.0787274724042392E-2</v>
      </c>
      <c r="G53" s="225">
        <v>-0.16137060946241441</v>
      </c>
      <c r="H53" s="225">
        <v>-7.6111394543952424E-2</v>
      </c>
      <c r="I53" s="225">
        <v>-9.2196665492204843E-2</v>
      </c>
      <c r="J53" s="221">
        <f>(G53*'Combined MOVES output'!L23+'Federal GHG Rule'!H53*'Combined MOVES output'!M23+'Federal GHG Rule'!I53*'Combined MOVES output'!N23)/'Combined MOVES output'!D23</f>
        <v>-0.16053578737560181</v>
      </c>
      <c r="L53" s="209">
        <f t="shared" si="27"/>
        <v>0.10426023539372055</v>
      </c>
      <c r="M53" s="209">
        <f t="shared" si="28"/>
        <v>0.17200000000000001</v>
      </c>
      <c r="N53" s="229">
        <f>'Fleet ZEV fractions'!AG68</f>
        <v>5.0402348609535373E-5</v>
      </c>
      <c r="O53" s="209">
        <f t="shared" si="25"/>
        <v>0.17194959765139048</v>
      </c>
      <c r="P53" s="228">
        <f t="shared" si="26"/>
        <v>1.6492346962583855</v>
      </c>
      <c r="Q53">
        <f>Q49+4/5*(Q54-Q49)</f>
        <v>0.97659079392763193</v>
      </c>
    </row>
    <row r="54" spans="1:19">
      <c r="B54">
        <v>2040</v>
      </c>
      <c r="C54" s="221">
        <v>-5.9492427954404105E-2</v>
      </c>
      <c r="D54" s="221">
        <v>-2.7994817773784559E-2</v>
      </c>
      <c r="E54" s="221">
        <v>-0.1677951169875771</v>
      </c>
      <c r="F54" s="226">
        <v>-3.8023231417745364E-2</v>
      </c>
      <c r="G54" s="225">
        <v>-0.16716624392245472</v>
      </c>
      <c r="H54" s="225">
        <v>-8.2067464282356409E-2</v>
      </c>
      <c r="I54" s="225">
        <v>-9.6866515443365372E-2</v>
      </c>
      <c r="J54" s="221">
        <f>(G54*'Combined MOVES output'!L24+'Federal GHG Rule'!H54*'Combined MOVES output'!M24+'Federal GHG Rule'!I54*'Combined MOVES output'!N24)/'Combined MOVES output'!D24</f>
        <v>-0.16630042605190024</v>
      </c>
      <c r="L54" s="209">
        <f t="shared" si="27"/>
        <v>0.10426023539372055</v>
      </c>
      <c r="M54" s="209">
        <f t="shared" si="28"/>
        <v>0.17200000000000001</v>
      </c>
      <c r="N54" s="229">
        <f>'Fleet ZEV fractions'!AG69</f>
        <v>2.5894109383969903E-5</v>
      </c>
      <c r="O54" s="209">
        <f t="shared" si="25"/>
        <v>0.17197410589061604</v>
      </c>
      <c r="P54" s="228">
        <f t="shared" si="26"/>
        <v>1.6494697642028708</v>
      </c>
      <c r="Q54">
        <f>1-G110</f>
        <v>0.976562220972781</v>
      </c>
    </row>
    <row r="55" spans="1:19">
      <c r="B55" s="8">
        <v>2041</v>
      </c>
      <c r="C55" s="221">
        <v>-6.5942311066714943E-2</v>
      </c>
      <c r="D55" s="221">
        <v>-3.4243945513764737E-2</v>
      </c>
      <c r="E55" s="221">
        <v>-0.17275243693375561</v>
      </c>
      <c r="F55" s="226">
        <v>-4.5650814979897827E-2</v>
      </c>
      <c r="G55" s="225">
        <v>-0.17210758286186395</v>
      </c>
      <c r="H55" s="225">
        <v>-8.7502063779887868E-2</v>
      </c>
      <c r="I55" s="225">
        <v>-0.10085605686605158</v>
      </c>
      <c r="J55" s="221">
        <f>(G55*'Combined MOVES output'!L25+'Federal GHG Rule'!H55*'Combined MOVES output'!M25+'Federal GHG Rule'!I55*'Combined MOVES output'!N25)/'Combined MOVES output'!D25</f>
        <v>-0.17121660742335842</v>
      </c>
      <c r="L55" s="209">
        <f>L54</f>
        <v>0.10426023539372055</v>
      </c>
      <c r="M55" s="209">
        <f t="shared" si="28"/>
        <v>0.17200000000000001</v>
      </c>
      <c r="N55" s="270">
        <f t="shared" si="28"/>
        <v>2.5894109383969903E-5</v>
      </c>
      <c r="O55" s="209">
        <f t="shared" si="28"/>
        <v>0.17197410589061604</v>
      </c>
      <c r="P55" s="261">
        <f t="shared" si="28"/>
        <v>1.6494697642028708</v>
      </c>
      <c r="Q55" s="271">
        <f t="shared" si="28"/>
        <v>0.976562220972781</v>
      </c>
      <c r="R55" s="68" t="s">
        <v>607</v>
      </c>
    </row>
    <row r="56" spans="1:19">
      <c r="B56">
        <v>2042</v>
      </c>
      <c r="C56" s="221">
        <v>-7.2151448288152148E-2</v>
      </c>
      <c r="D56" s="221">
        <v>-4.0991701541403323E-2</v>
      </c>
      <c r="E56" s="221">
        <v>-0.17693113498743196</v>
      </c>
      <c r="F56" s="226">
        <v>-5.3507783509805312E-2</v>
      </c>
      <c r="G56" s="225">
        <v>-0.17627156566102525</v>
      </c>
      <c r="H56" s="225">
        <v>-9.2519182397549304E-2</v>
      </c>
      <c r="I56" s="225">
        <v>-0.1043557223681532</v>
      </c>
      <c r="J56" s="221">
        <f>(G56*'Combined MOVES output'!L26+'Federal GHG Rule'!H56*'Combined MOVES output'!M26+'Federal GHG Rule'!I56*'Combined MOVES output'!N26)/'Combined MOVES output'!D26</f>
        <v>-0.17535946938094038</v>
      </c>
      <c r="L56" s="209">
        <f t="shared" ref="L56:Q64" si="29">L55</f>
        <v>0.10426023539372055</v>
      </c>
      <c r="M56" s="209">
        <f t="shared" si="29"/>
        <v>0.17200000000000001</v>
      </c>
      <c r="N56" s="270">
        <f t="shared" si="29"/>
        <v>2.5894109383969903E-5</v>
      </c>
      <c r="O56" s="209">
        <f t="shared" si="29"/>
        <v>0.17197410589061604</v>
      </c>
      <c r="P56" s="261">
        <f t="shared" si="29"/>
        <v>1.6494697642028708</v>
      </c>
      <c r="Q56" s="271">
        <f t="shared" si="29"/>
        <v>0.976562220972781</v>
      </c>
    </row>
    <row r="57" spans="1:19">
      <c r="B57">
        <v>2043</v>
      </c>
      <c r="C57" s="221">
        <v>-7.8209326046923322E-2</v>
      </c>
      <c r="D57" s="221">
        <v>-4.8240157669604607E-2</v>
      </c>
      <c r="E57" s="221">
        <v>-0.18052201907045626</v>
      </c>
      <c r="F57" s="226">
        <v>-6.1619189435347013E-2</v>
      </c>
      <c r="G57" s="225">
        <v>-0.17984954273869572</v>
      </c>
      <c r="H57" s="225">
        <v>-9.7197188228869538E-2</v>
      </c>
      <c r="I57" s="225">
        <v>-0.10750946560858435</v>
      </c>
      <c r="J57" s="221">
        <f>(G57*'Combined MOVES output'!L27+'Federal GHG Rule'!H57*'Combined MOVES output'!M27+'Federal GHG Rule'!I57*'Combined MOVES output'!N27)/'Combined MOVES output'!D27</f>
        <v>-0.17891936794057939</v>
      </c>
      <c r="L57" s="209">
        <f t="shared" si="29"/>
        <v>0.10426023539372055</v>
      </c>
      <c r="M57" s="209">
        <f t="shared" si="29"/>
        <v>0.17200000000000001</v>
      </c>
      <c r="N57" s="270">
        <f t="shared" si="29"/>
        <v>2.5894109383969903E-5</v>
      </c>
      <c r="O57" s="209">
        <f t="shared" si="29"/>
        <v>0.17197410589061604</v>
      </c>
      <c r="P57" s="261">
        <f t="shared" si="29"/>
        <v>1.6494697642028708</v>
      </c>
      <c r="Q57" s="271">
        <f t="shared" si="29"/>
        <v>0.976562220972781</v>
      </c>
    </row>
    <row r="58" spans="1:19">
      <c r="B58">
        <v>2044</v>
      </c>
      <c r="C58" s="221">
        <v>-8.391540060231828E-2</v>
      </c>
      <c r="D58" s="221">
        <v>-5.547790572415616E-2</v>
      </c>
      <c r="E58" s="221">
        <v>-0.18329209649440786</v>
      </c>
      <c r="F58" s="226">
        <v>-6.9639775043398314E-2</v>
      </c>
      <c r="G58" s="225">
        <v>-0.18265266834639346</v>
      </c>
      <c r="H58" s="225">
        <v>-0.10145443094431136</v>
      </c>
      <c r="I58" s="225">
        <v>-0.11022721568822236</v>
      </c>
      <c r="J58" s="221">
        <f>(G58*'Combined MOVES output'!L28+'Federal GHG Rule'!H58*'Combined MOVES output'!M28+'Federal GHG Rule'!I58*'Combined MOVES output'!N28)/'Combined MOVES output'!D28</f>
        <v>-0.18170843139257548</v>
      </c>
      <c r="L58" s="209">
        <f t="shared" si="29"/>
        <v>0.10426023539372055</v>
      </c>
      <c r="M58" s="209">
        <f t="shared" si="29"/>
        <v>0.17200000000000001</v>
      </c>
      <c r="N58" s="270">
        <f t="shared" si="29"/>
        <v>2.5894109383969903E-5</v>
      </c>
      <c r="O58" s="209">
        <f t="shared" si="29"/>
        <v>0.17197410589061604</v>
      </c>
      <c r="P58" s="261">
        <f t="shared" si="29"/>
        <v>1.6494697642028708</v>
      </c>
      <c r="Q58" s="271">
        <f t="shared" si="29"/>
        <v>0.976562220972781</v>
      </c>
    </row>
    <row r="59" spans="1:19">
      <c r="B59" s="8">
        <v>2045</v>
      </c>
      <c r="C59" s="221">
        <v>-8.932965535005491E-2</v>
      </c>
      <c r="D59" s="221">
        <v>-6.2502338703982696E-2</v>
      </c>
      <c r="E59" s="221">
        <v>-0.18561813758274714</v>
      </c>
      <c r="F59" s="226">
        <v>-7.757981854354408E-2</v>
      </c>
      <c r="G59" s="225">
        <v>-0.18501064766845743</v>
      </c>
      <c r="H59" s="225">
        <v>-0.10535048599042461</v>
      </c>
      <c r="I59" s="225">
        <v>-0.11266923694147021</v>
      </c>
      <c r="J59" s="221">
        <f>(G59*'Combined MOVES output'!L29+'Federal GHG Rule'!H59*'Combined MOVES output'!M29+'Federal GHG Rule'!I59*'Combined MOVES output'!N29)/'Combined MOVES output'!D29</f>
        <v>-0.18405465243180208</v>
      </c>
      <c r="L59" s="209">
        <f t="shared" si="29"/>
        <v>0.10426023539372055</v>
      </c>
      <c r="M59" s="209">
        <f t="shared" si="29"/>
        <v>0.17200000000000001</v>
      </c>
      <c r="N59" s="270">
        <f t="shared" si="29"/>
        <v>2.5894109383969903E-5</v>
      </c>
      <c r="O59" s="209">
        <f t="shared" si="29"/>
        <v>0.17197410589061604</v>
      </c>
      <c r="P59" s="261">
        <f t="shared" si="29"/>
        <v>1.6494697642028708</v>
      </c>
      <c r="Q59" s="271">
        <f t="shared" si="29"/>
        <v>0.976562220972781</v>
      </c>
    </row>
    <row r="60" spans="1:19">
      <c r="B60">
        <v>2046</v>
      </c>
      <c r="C60" s="221">
        <v>-9.4541663792069713E-2</v>
      </c>
      <c r="D60" s="221">
        <v>-6.9569470348056814E-2</v>
      </c>
      <c r="E60" s="221">
        <v>-0.18756181190198187</v>
      </c>
      <c r="F60" s="226">
        <v>-8.5425156740377761E-2</v>
      </c>
      <c r="G60" s="225">
        <v>-0.18698420036840593</v>
      </c>
      <c r="H60" s="225">
        <v>-0.10895219864809638</v>
      </c>
      <c r="I60" s="225">
        <v>-0.11485088025238867</v>
      </c>
      <c r="J60" s="221">
        <f>(G60*'Combined MOVES output'!L30+'Federal GHG Rule'!H60*'Combined MOVES output'!M30+'Federal GHG Rule'!I60*'Combined MOVES output'!N30)/'Combined MOVES output'!D30</f>
        <v>-0.18601843537286553</v>
      </c>
      <c r="L60" s="209">
        <f t="shared" si="29"/>
        <v>0.10426023539372055</v>
      </c>
      <c r="M60" s="209">
        <f t="shared" si="29"/>
        <v>0.17200000000000001</v>
      </c>
      <c r="N60" s="270">
        <f t="shared" si="29"/>
        <v>2.5894109383969903E-5</v>
      </c>
      <c r="O60" s="209">
        <f t="shared" si="29"/>
        <v>0.17197410589061604</v>
      </c>
      <c r="P60" s="261">
        <f t="shared" si="29"/>
        <v>1.6494697642028708</v>
      </c>
      <c r="Q60" s="271">
        <f t="shared" si="29"/>
        <v>0.976562220972781</v>
      </c>
    </row>
    <row r="61" spans="1:19">
      <c r="B61">
        <v>2047</v>
      </c>
      <c r="C61" s="221">
        <v>-9.9414048016544368E-2</v>
      </c>
      <c r="D61" s="221">
        <v>-7.6589908514479776E-2</v>
      </c>
      <c r="E61" s="221">
        <v>-0.18917553546066723</v>
      </c>
      <c r="F61" s="226">
        <v>-9.2913484078161773E-2</v>
      </c>
      <c r="G61" s="225">
        <v>-0.18862639691397518</v>
      </c>
      <c r="H61" s="225">
        <v>-0.1122638955386045</v>
      </c>
      <c r="I61" s="225">
        <v>-0.11681701699214617</v>
      </c>
      <c r="J61" s="221">
        <f>(G61*'Combined MOVES output'!L31+'Federal GHG Rule'!H61*'Combined MOVES output'!M31+'Federal GHG Rule'!I61*'Combined MOVES output'!N31)/'Combined MOVES output'!D31</f>
        <v>-0.18765257401962093</v>
      </c>
      <c r="L61" s="209">
        <f t="shared" si="29"/>
        <v>0.10426023539372055</v>
      </c>
      <c r="M61" s="209">
        <f t="shared" si="29"/>
        <v>0.17200000000000001</v>
      </c>
      <c r="N61" s="270">
        <f t="shared" si="29"/>
        <v>2.5894109383969903E-5</v>
      </c>
      <c r="O61" s="209">
        <f t="shared" si="29"/>
        <v>0.17197410589061604</v>
      </c>
      <c r="P61" s="261">
        <f t="shared" si="29"/>
        <v>1.6494697642028708</v>
      </c>
      <c r="Q61" s="271">
        <f t="shared" si="29"/>
        <v>0.976562220972781</v>
      </c>
    </row>
    <row r="62" spans="1:19">
      <c r="B62">
        <v>2048</v>
      </c>
      <c r="C62" s="221">
        <v>-0.10401288228704696</v>
      </c>
      <c r="D62" s="221">
        <v>-8.3606583393842207E-2</v>
      </c>
      <c r="E62" s="221">
        <v>-0.19063137961253518</v>
      </c>
      <c r="F62" s="226">
        <v>-9.9882753333487145E-2</v>
      </c>
      <c r="G62" s="225">
        <v>-0.19010923428513934</v>
      </c>
      <c r="H62" s="225">
        <v>-0.1153389567722178</v>
      </c>
      <c r="I62" s="225">
        <v>-0.1186898354997323</v>
      </c>
      <c r="J62" s="221">
        <f>(G62*'Combined MOVES output'!L32+'Federal GHG Rule'!H62*'Combined MOVES output'!M32+'Federal GHG Rule'!I62*'Combined MOVES output'!N32)/'Combined MOVES output'!D32</f>
        <v>-0.18912817476509428</v>
      </c>
      <c r="L62" s="209">
        <f t="shared" si="29"/>
        <v>0.10426023539372055</v>
      </c>
      <c r="M62" s="209">
        <f t="shared" si="29"/>
        <v>0.17200000000000001</v>
      </c>
      <c r="N62" s="270">
        <f t="shared" si="29"/>
        <v>2.5894109383969903E-5</v>
      </c>
      <c r="O62" s="209">
        <f t="shared" si="29"/>
        <v>0.17197410589061604</v>
      </c>
      <c r="P62" s="261">
        <f t="shared" si="29"/>
        <v>1.6494697642028708</v>
      </c>
      <c r="Q62" s="271">
        <f t="shared" si="29"/>
        <v>0.976562220972781</v>
      </c>
    </row>
    <row r="63" spans="1:19">
      <c r="B63" s="8">
        <v>2049</v>
      </c>
      <c r="C63" s="221">
        <v>-0.10812362191663968</v>
      </c>
      <c r="D63" s="221">
        <v>-9.0096608109030807E-2</v>
      </c>
      <c r="E63" s="221">
        <v>-0.1917620675427649</v>
      </c>
      <c r="F63" s="226">
        <v>-0.1053668143370987</v>
      </c>
      <c r="G63" s="225">
        <v>-0.19126834664338813</v>
      </c>
      <c r="H63" s="225">
        <v>-0.11802923124004941</v>
      </c>
      <c r="I63" s="225">
        <v>-0.12025830837986812</v>
      </c>
      <c r="J63" s="221">
        <f>(G63*'Combined MOVES output'!L33+'Federal GHG Rule'!H63*'Combined MOVES output'!M33+'Federal GHG Rule'!I63*'Combined MOVES output'!N33)/'Combined MOVES output'!D33</f>
        <v>-0.19028171592984869</v>
      </c>
      <c r="L63" s="209">
        <f t="shared" si="29"/>
        <v>0.10426023539372055</v>
      </c>
      <c r="M63" s="209">
        <f t="shared" si="29"/>
        <v>0.17200000000000001</v>
      </c>
      <c r="N63" s="270">
        <f t="shared" si="29"/>
        <v>2.5894109383969903E-5</v>
      </c>
      <c r="O63" s="209">
        <f t="shared" si="29"/>
        <v>0.17197410589061604</v>
      </c>
      <c r="P63" s="261">
        <f t="shared" si="29"/>
        <v>1.6494697642028708</v>
      </c>
      <c r="Q63" s="271">
        <f t="shared" si="29"/>
        <v>0.976562220972781</v>
      </c>
    </row>
    <row r="64" spans="1:19">
      <c r="B64">
        <v>2050</v>
      </c>
      <c r="C64" s="221">
        <v>-0.11200237396104488</v>
      </c>
      <c r="D64" s="221">
        <v>-9.6353612831583849E-2</v>
      </c>
      <c r="E64" s="221">
        <v>-0.19268599289622498</v>
      </c>
      <c r="F64" s="226">
        <v>-0.10940948295112958</v>
      </c>
      <c r="G64" s="225">
        <v>-0.19222200423836089</v>
      </c>
      <c r="H64" s="225">
        <v>-0.12053664764879189</v>
      </c>
      <c r="I64" s="225">
        <v>-0.12170789556558126</v>
      </c>
      <c r="J64" s="221">
        <f>(G64*'Combined MOVES output'!L34+'Federal GHG Rule'!H64*'Combined MOVES output'!M34+'Federal GHG Rule'!I64*'Combined MOVES output'!N34)/'Combined MOVES output'!D34</f>
        <v>-0.19123086171596987</v>
      </c>
      <c r="L64" s="209">
        <f t="shared" si="29"/>
        <v>0.10426023539372055</v>
      </c>
      <c r="M64" s="209">
        <f t="shared" si="29"/>
        <v>0.17200000000000001</v>
      </c>
      <c r="N64" s="270">
        <f t="shared" si="29"/>
        <v>2.5894109383969903E-5</v>
      </c>
      <c r="O64" s="209">
        <f t="shared" si="29"/>
        <v>0.17197410589061604</v>
      </c>
      <c r="P64" s="261">
        <f t="shared" si="29"/>
        <v>1.6494697642028708</v>
      </c>
      <c r="Q64" s="271">
        <f t="shared" si="29"/>
        <v>0.976562220972781</v>
      </c>
    </row>
    <row r="65" spans="1:12">
      <c r="A65" t="s">
        <v>377</v>
      </c>
      <c r="C65" s="3"/>
      <c r="D65" s="3"/>
      <c r="E65" s="3"/>
      <c r="F65" s="101"/>
      <c r="G65" s="3"/>
      <c r="H65" s="3"/>
      <c r="I65" s="3"/>
      <c r="L65" s="68" t="s">
        <v>415</v>
      </c>
    </row>
    <row r="66" spans="1:12">
      <c r="C66" s="3"/>
      <c r="D66" s="3"/>
      <c r="E66" s="3"/>
      <c r="F66" s="101"/>
      <c r="G66" s="3"/>
      <c r="H66" s="3"/>
      <c r="I66" s="3"/>
      <c r="L66" s="68" t="s">
        <v>416</v>
      </c>
    </row>
    <row r="67" spans="1:12">
      <c r="C67" s="3"/>
      <c r="D67" s="3"/>
      <c r="E67" s="3"/>
      <c r="F67" s="101"/>
      <c r="G67" s="3"/>
      <c r="H67" s="3"/>
      <c r="I67" s="3"/>
      <c r="L67" s="68" t="s">
        <v>417</v>
      </c>
    </row>
    <row r="68" spans="1:12">
      <c r="A68" t="s">
        <v>419</v>
      </c>
      <c r="C68" s="3"/>
      <c r="D68" s="3"/>
      <c r="E68" s="3"/>
      <c r="F68" s="101"/>
      <c r="G68" s="3"/>
      <c r="H68" s="3"/>
      <c r="I68" s="3"/>
    </row>
    <row r="69" spans="1:12">
      <c r="A69" s="68" t="s">
        <v>427</v>
      </c>
      <c r="C69" s="3"/>
      <c r="D69" s="3"/>
      <c r="E69" s="3"/>
      <c r="F69" s="101"/>
      <c r="G69" s="3"/>
      <c r="H69" s="3"/>
      <c r="I69" s="3"/>
    </row>
    <row r="70" spans="1:12">
      <c r="C70" s="3"/>
      <c r="D70" s="3"/>
      <c r="E70" s="3"/>
      <c r="F70" s="101"/>
      <c r="G70" s="3"/>
      <c r="H70" s="3"/>
      <c r="I70" s="3"/>
      <c r="K70" s="3"/>
    </row>
    <row r="71" spans="1:12">
      <c r="A71" t="s">
        <v>420</v>
      </c>
      <c r="B71" t="s">
        <v>421</v>
      </c>
      <c r="C71" t="s">
        <v>422</v>
      </c>
      <c r="D71" t="s">
        <v>423</v>
      </c>
      <c r="E71" s="3" t="s">
        <v>424</v>
      </c>
      <c r="F71"/>
      <c r="G71" s="236" t="s">
        <v>425</v>
      </c>
      <c r="I71" s="3"/>
      <c r="K71" s="3"/>
    </row>
    <row r="72" spans="1:12">
      <c r="A72">
        <v>2020</v>
      </c>
      <c r="B72">
        <v>21</v>
      </c>
      <c r="C72">
        <v>20</v>
      </c>
      <c r="D72">
        <v>6</v>
      </c>
      <c r="E72">
        <v>114183856</v>
      </c>
      <c r="F72"/>
      <c r="I72" s="3"/>
    </row>
    <row r="73" spans="1:12">
      <c r="A73">
        <v>2020</v>
      </c>
      <c r="B73">
        <v>31</v>
      </c>
      <c r="C73">
        <v>30</v>
      </c>
      <c r="D73">
        <v>6</v>
      </c>
      <c r="E73">
        <v>120339120</v>
      </c>
      <c r="F73"/>
      <c r="I73" s="3"/>
    </row>
    <row r="74" spans="1:12">
      <c r="A74">
        <v>2020</v>
      </c>
      <c r="B74">
        <v>32</v>
      </c>
      <c r="C74">
        <v>30</v>
      </c>
      <c r="D74">
        <v>6</v>
      </c>
      <c r="E74">
        <v>12016034</v>
      </c>
      <c r="F74"/>
      <c r="I74" s="3"/>
    </row>
    <row r="75" spans="1:12">
      <c r="A75">
        <v>2020</v>
      </c>
      <c r="B75">
        <v>31</v>
      </c>
      <c r="C75">
        <v>41</v>
      </c>
      <c r="D75">
        <v>6</v>
      </c>
      <c r="E75" s="3">
        <v>6155894.4960000003</v>
      </c>
      <c r="F75"/>
      <c r="I75" s="3"/>
    </row>
    <row r="76" spans="1:12">
      <c r="A76">
        <v>2020</v>
      </c>
      <c r="B76">
        <v>32</v>
      </c>
      <c r="C76">
        <v>41</v>
      </c>
      <c r="D76">
        <v>6</v>
      </c>
      <c r="E76" s="3">
        <v>2795431.9109999998</v>
      </c>
      <c r="F76"/>
      <c r="I76" s="3"/>
    </row>
    <row r="77" spans="1:12">
      <c r="A77">
        <v>2020</v>
      </c>
      <c r="B77">
        <v>43</v>
      </c>
      <c r="C77">
        <v>41</v>
      </c>
      <c r="D77">
        <v>6</v>
      </c>
      <c r="E77" s="3">
        <v>404.31029510000002</v>
      </c>
      <c r="F77"/>
      <c r="I77" s="3"/>
    </row>
    <row r="78" spans="1:12">
      <c r="A78">
        <v>2020</v>
      </c>
      <c r="B78">
        <v>51</v>
      </c>
      <c r="C78">
        <v>41</v>
      </c>
      <c r="D78">
        <v>6</v>
      </c>
      <c r="E78" s="3">
        <v>58.1487999</v>
      </c>
      <c r="F78"/>
      <c r="I78" s="3"/>
    </row>
    <row r="79" spans="1:12">
      <c r="A79">
        <v>2020</v>
      </c>
      <c r="B79">
        <v>52</v>
      </c>
      <c r="C79">
        <v>41</v>
      </c>
      <c r="D79">
        <v>6</v>
      </c>
      <c r="E79" s="3">
        <v>3516541.7030000002</v>
      </c>
      <c r="F79"/>
      <c r="I79" s="3"/>
    </row>
    <row r="80" spans="1:12">
      <c r="A80">
        <v>2020</v>
      </c>
      <c r="B80">
        <v>53</v>
      </c>
      <c r="C80">
        <v>41</v>
      </c>
      <c r="D80">
        <v>6</v>
      </c>
      <c r="E80" s="3">
        <v>164178.87030000001</v>
      </c>
      <c r="F80">
        <f>SUM(E72:E80)</f>
        <v>259171519.43939501</v>
      </c>
      <c r="G80">
        <f>(E76+E77+E78+E79+E80)/F80</f>
        <v>2.4989686202420473E-2</v>
      </c>
      <c r="I80" s="3"/>
    </row>
    <row r="81" spans="1:11">
      <c r="A81">
        <v>2025</v>
      </c>
      <c r="B81">
        <v>21</v>
      </c>
      <c r="C81">
        <v>20</v>
      </c>
      <c r="D81">
        <v>6</v>
      </c>
      <c r="E81">
        <v>118568047</v>
      </c>
      <c r="F81"/>
      <c r="I81" s="3"/>
    </row>
    <row r="82" spans="1:11">
      <c r="A82">
        <v>2025</v>
      </c>
      <c r="B82">
        <v>31</v>
      </c>
      <c r="C82">
        <v>30</v>
      </c>
      <c r="D82">
        <v>6</v>
      </c>
      <c r="E82">
        <v>123649678</v>
      </c>
      <c r="F82"/>
      <c r="I82" s="3"/>
      <c r="K82" s="3"/>
    </row>
    <row r="83" spans="1:11">
      <c r="A83">
        <v>2025</v>
      </c>
      <c r="B83">
        <v>32</v>
      </c>
      <c r="C83">
        <v>30</v>
      </c>
      <c r="D83">
        <v>6</v>
      </c>
      <c r="E83">
        <v>12754461.1</v>
      </c>
      <c r="F83"/>
      <c r="I83" s="3"/>
      <c r="K83" s="3"/>
    </row>
    <row r="84" spans="1:11">
      <c r="A84">
        <v>2025</v>
      </c>
      <c r="B84">
        <v>31</v>
      </c>
      <c r="C84">
        <v>41</v>
      </c>
      <c r="D84">
        <v>6</v>
      </c>
      <c r="E84" s="3">
        <v>5897261.8090000004</v>
      </c>
      <c r="F84"/>
      <c r="I84" s="3"/>
    </row>
    <row r="85" spans="1:11">
      <c r="A85">
        <v>2025</v>
      </c>
      <c r="B85">
        <v>32</v>
      </c>
      <c r="C85">
        <v>41</v>
      </c>
      <c r="D85">
        <v>6</v>
      </c>
      <c r="E85" s="3">
        <v>2414349.8960000002</v>
      </c>
      <c r="F85"/>
      <c r="I85" s="3"/>
    </row>
    <row r="86" spans="1:11">
      <c r="A86">
        <v>2025</v>
      </c>
      <c r="B86">
        <v>43</v>
      </c>
      <c r="C86">
        <v>41</v>
      </c>
      <c r="D86">
        <v>6</v>
      </c>
      <c r="E86" s="3">
        <v>167.226799</v>
      </c>
      <c r="F86"/>
      <c r="I86" s="3"/>
    </row>
    <row r="87" spans="1:11">
      <c r="A87">
        <v>2025</v>
      </c>
      <c r="B87">
        <v>51</v>
      </c>
      <c r="C87">
        <v>41</v>
      </c>
      <c r="D87">
        <v>6</v>
      </c>
      <c r="E87" s="3">
        <v>39.45829964</v>
      </c>
      <c r="F87"/>
      <c r="I87" s="3"/>
    </row>
    <row r="88" spans="1:11">
      <c r="A88">
        <v>2025</v>
      </c>
      <c r="B88">
        <v>52</v>
      </c>
      <c r="C88">
        <v>41</v>
      </c>
      <c r="D88">
        <v>6</v>
      </c>
      <c r="E88" s="3">
        <v>3744218.406</v>
      </c>
      <c r="F88"/>
      <c r="I88" s="3"/>
    </row>
    <row r="89" spans="1:11">
      <c r="A89">
        <v>2025</v>
      </c>
      <c r="B89">
        <v>53</v>
      </c>
      <c r="C89">
        <v>41</v>
      </c>
      <c r="D89">
        <v>6</v>
      </c>
      <c r="E89" s="3">
        <v>168158.2433</v>
      </c>
      <c r="F89">
        <f>SUM(E81:E89)</f>
        <v>267196381.1393986</v>
      </c>
      <c r="G89">
        <f>(E85+E86+E87+E88+E89)/F89</f>
        <v>2.3678963028686478E-2</v>
      </c>
      <c r="I89" s="3"/>
    </row>
    <row r="90" spans="1:11">
      <c r="A90">
        <v>2030</v>
      </c>
      <c r="B90">
        <v>21</v>
      </c>
      <c r="C90">
        <v>20</v>
      </c>
      <c r="D90">
        <v>6</v>
      </c>
      <c r="E90">
        <v>123423400</v>
      </c>
      <c r="F90"/>
      <c r="I90" s="3"/>
    </row>
    <row r="91" spans="1:11">
      <c r="A91">
        <v>2030</v>
      </c>
      <c r="B91">
        <v>31</v>
      </c>
      <c r="C91">
        <v>30</v>
      </c>
      <c r="D91">
        <v>6</v>
      </c>
      <c r="E91">
        <v>124463416</v>
      </c>
      <c r="F91"/>
      <c r="I91" s="3"/>
    </row>
    <row r="92" spans="1:11">
      <c r="A92">
        <v>2030</v>
      </c>
      <c r="B92">
        <v>32</v>
      </c>
      <c r="C92">
        <v>30</v>
      </c>
      <c r="D92">
        <v>6</v>
      </c>
      <c r="E92">
        <v>13086647.4</v>
      </c>
      <c r="F92"/>
      <c r="I92" s="3"/>
    </row>
    <row r="93" spans="1:11">
      <c r="A93">
        <v>2030</v>
      </c>
      <c r="B93">
        <v>31</v>
      </c>
      <c r="C93">
        <v>41</v>
      </c>
      <c r="D93">
        <v>6</v>
      </c>
      <c r="E93" s="3">
        <v>5830223.7970000003</v>
      </c>
      <c r="F93"/>
      <c r="I93" s="3"/>
    </row>
    <row r="94" spans="1:11">
      <c r="A94">
        <v>2030</v>
      </c>
      <c r="B94">
        <v>32</v>
      </c>
      <c r="C94">
        <v>41</v>
      </c>
      <c r="D94">
        <v>6</v>
      </c>
      <c r="E94" s="3">
        <v>2169596.4959999998</v>
      </c>
      <c r="F94"/>
      <c r="I94" s="3"/>
      <c r="K94" s="3"/>
    </row>
    <row r="95" spans="1:11">
      <c r="A95">
        <v>2030</v>
      </c>
      <c r="B95">
        <v>52</v>
      </c>
      <c r="C95">
        <v>41</v>
      </c>
      <c r="D95">
        <v>6</v>
      </c>
      <c r="E95" s="3">
        <v>3952762.895</v>
      </c>
      <c r="F95"/>
      <c r="I95" s="3"/>
      <c r="K95" s="3"/>
    </row>
    <row r="96" spans="1:11">
      <c r="A96">
        <v>2030</v>
      </c>
      <c r="B96">
        <v>53</v>
      </c>
      <c r="C96">
        <v>41</v>
      </c>
      <c r="D96">
        <v>6</v>
      </c>
      <c r="E96" s="3">
        <v>174333.8904</v>
      </c>
      <c r="F96">
        <f>SUM(E90:E96)</f>
        <v>273100380.47839999</v>
      </c>
      <c r="G96">
        <f>(E94+E95+E96)/F96</f>
        <v>2.3056332877932465E-2</v>
      </c>
      <c r="I96" s="3"/>
    </row>
    <row r="97" spans="1:11">
      <c r="A97">
        <v>2035</v>
      </c>
      <c r="B97">
        <v>21</v>
      </c>
      <c r="C97">
        <v>20</v>
      </c>
      <c r="D97">
        <v>6</v>
      </c>
      <c r="E97">
        <v>129524061</v>
      </c>
      <c r="F97"/>
      <c r="I97" s="3"/>
    </row>
    <row r="98" spans="1:11">
      <c r="A98">
        <v>2035</v>
      </c>
      <c r="B98">
        <v>31</v>
      </c>
      <c r="C98">
        <v>30</v>
      </c>
      <c r="D98">
        <v>6</v>
      </c>
      <c r="E98">
        <v>123266008</v>
      </c>
      <c r="F98"/>
      <c r="H98" s="3"/>
      <c r="I98" s="3"/>
    </row>
    <row r="99" spans="1:11">
      <c r="A99">
        <v>2035</v>
      </c>
      <c r="B99">
        <v>32</v>
      </c>
      <c r="C99">
        <v>30</v>
      </c>
      <c r="D99">
        <v>6</v>
      </c>
      <c r="E99">
        <v>13137474.710000001</v>
      </c>
      <c r="F99"/>
      <c r="H99" s="3"/>
      <c r="I99" s="3"/>
    </row>
    <row r="100" spans="1:11">
      <c r="A100">
        <v>2035</v>
      </c>
      <c r="B100">
        <v>31</v>
      </c>
      <c r="C100">
        <v>41</v>
      </c>
      <c r="D100">
        <v>6</v>
      </c>
      <c r="E100" s="3">
        <v>5719219.2050000001</v>
      </c>
      <c r="F100"/>
      <c r="H100" s="3"/>
      <c r="I100" s="3"/>
    </row>
    <row r="101" spans="1:11">
      <c r="A101">
        <v>2035</v>
      </c>
      <c r="B101">
        <v>32</v>
      </c>
      <c r="C101">
        <v>41</v>
      </c>
      <c r="D101">
        <v>6</v>
      </c>
      <c r="E101" s="3">
        <v>1965564.0930000001</v>
      </c>
      <c r="F101"/>
      <c r="H101" s="3"/>
      <c r="I101" s="3"/>
    </row>
    <row r="102" spans="1:11">
      <c r="A102">
        <v>2035</v>
      </c>
      <c r="B102">
        <v>52</v>
      </c>
      <c r="C102">
        <v>41</v>
      </c>
      <c r="D102">
        <v>6</v>
      </c>
      <c r="E102" s="3">
        <v>4322700.0920000002</v>
      </c>
      <c r="F102"/>
      <c r="H102" s="3"/>
      <c r="I102" s="3"/>
    </row>
    <row r="103" spans="1:11">
      <c r="A103">
        <v>2035</v>
      </c>
      <c r="B103">
        <v>53</v>
      </c>
      <c r="C103">
        <v>41</v>
      </c>
      <c r="D103">
        <v>6</v>
      </c>
      <c r="E103" s="3">
        <v>190649.6054</v>
      </c>
      <c r="F103">
        <f>SUM(E97:E103)</f>
        <v>278125676.70540005</v>
      </c>
      <c r="G103">
        <f>(E101+E102+E103)/F103</f>
        <v>2.3294914252964427E-2</v>
      </c>
      <c r="H103" s="3"/>
      <c r="I103" s="3"/>
    </row>
    <row r="104" spans="1:11">
      <c r="A104">
        <v>2040</v>
      </c>
      <c r="B104">
        <v>21</v>
      </c>
      <c r="C104">
        <v>20</v>
      </c>
      <c r="D104">
        <v>6</v>
      </c>
      <c r="E104">
        <v>137226234</v>
      </c>
      <c r="F104"/>
      <c r="H104" s="3"/>
      <c r="I104" s="3"/>
    </row>
    <row r="105" spans="1:11">
      <c r="A105">
        <v>2040</v>
      </c>
      <c r="B105">
        <v>31</v>
      </c>
      <c r="C105">
        <v>30</v>
      </c>
      <c r="D105">
        <v>6</v>
      </c>
      <c r="E105">
        <v>120733767</v>
      </c>
      <c r="F105"/>
      <c r="H105" s="3"/>
      <c r="I105" s="3"/>
    </row>
    <row r="106" spans="1:11">
      <c r="A106">
        <v>2040</v>
      </c>
      <c r="B106">
        <v>32</v>
      </c>
      <c r="C106">
        <v>30</v>
      </c>
      <c r="D106">
        <v>6</v>
      </c>
      <c r="E106">
        <v>13035329.9</v>
      </c>
      <c r="F106"/>
      <c r="H106" s="3"/>
      <c r="I106" s="3"/>
      <c r="K106" s="3"/>
    </row>
    <row r="107" spans="1:11">
      <c r="A107">
        <v>2040</v>
      </c>
      <c r="B107">
        <v>31</v>
      </c>
      <c r="C107">
        <v>41</v>
      </c>
      <c r="D107">
        <v>6</v>
      </c>
      <c r="E107" s="3">
        <v>5615211.3049999997</v>
      </c>
      <c r="F107"/>
      <c r="H107" s="3"/>
      <c r="I107" s="3"/>
      <c r="K107" s="3"/>
    </row>
    <row r="108" spans="1:11">
      <c r="A108">
        <v>2040</v>
      </c>
      <c r="B108">
        <v>32</v>
      </c>
      <c r="C108">
        <v>41</v>
      </c>
      <c r="D108">
        <v>6</v>
      </c>
      <c r="E108" s="3">
        <v>1759031.1059999999</v>
      </c>
      <c r="F108"/>
      <c r="H108" s="3"/>
      <c r="I108" s="3"/>
    </row>
    <row r="109" spans="1:11">
      <c r="A109">
        <v>2040</v>
      </c>
      <c r="B109">
        <v>52</v>
      </c>
      <c r="C109">
        <v>41</v>
      </c>
      <c r="D109">
        <v>6</v>
      </c>
      <c r="E109" s="3">
        <v>4673578.199</v>
      </c>
      <c r="F109"/>
    </row>
    <row r="110" spans="1:11">
      <c r="A110">
        <v>2040</v>
      </c>
      <c r="B110">
        <v>53</v>
      </c>
      <c r="C110">
        <v>41</v>
      </c>
      <c r="D110">
        <v>6</v>
      </c>
      <c r="E110" s="3">
        <v>206124.639</v>
      </c>
      <c r="F110">
        <f>SUM(E104:E110)</f>
        <v>283249276.14899999</v>
      </c>
      <c r="G110">
        <f>(E108+E109+E110)/F110</f>
        <v>2.3437779027219018E-2</v>
      </c>
    </row>
  </sheetData>
  <sheetProtection algorithmName="SHA-512" hashValue="beQPW0+TOvxZX4XxT1ToWUNcP3USTKSRZGlOdKI0Kmf4CMN+2NfnA14ibopBBTAycNciibJFyoiflgf5WHaxDQ==" saltValue="kHyxL5lplEh+rWQkpUStRw==" spinCount="100000" sheet="1" objects="1" scenarios="1"/>
  <mergeCells count="3">
    <mergeCell ref="L15:M15"/>
    <mergeCell ref="L5:O5"/>
    <mergeCell ref="P5:S5"/>
  </mergeCells>
  <pageMargins left="0.7" right="0.7" top="0.75" bottom="0.75" header="0.3" footer="0.3"/>
  <pageSetup orientation="portrait" r:id="rId1"/>
  <ignoredErrors>
    <ignoredError sqref="F80 F89 F96 F103 F110" formulaRange="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EBC795D553D2EF43A3E3831099A82ADB" ma:contentTypeVersion="17" ma:contentTypeDescription="Create a new document." ma:contentTypeScope="" ma:versionID="eb6af6fa1761a84f5486c862e239bca3">
  <xsd:schema xmlns:xsd="http://www.w3.org/2001/XMLSchema" xmlns:xs="http://www.w3.org/2001/XMLSchema" xmlns:p="http://schemas.microsoft.com/office/2006/metadata/properties" xmlns:ns2="bec0360e-1764-4e96-82f3-8ef208e821db" xmlns:ns3="7a85390b-7aaa-4221-b896-e8172d900df9" targetNamespace="http://schemas.microsoft.com/office/2006/metadata/properties" ma:root="true" ma:fieldsID="e4453a8b523397edec8a8e07d17e0fd9" ns2:_="" ns3:_="">
    <xsd:import namespace="bec0360e-1764-4e96-82f3-8ef208e821db"/>
    <xsd:import namespace="7a85390b-7aaa-4221-b896-e8172d900df9"/>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AutoKeyPoints" minOccurs="0"/>
                <xsd:element ref="ns2:MediaServiceKeyPoints" minOccurs="0"/>
                <xsd:element ref="ns2:MediaServiceOCR" minOccurs="0"/>
                <xsd:element ref="ns2:MediaServiceDateTaken" minOccurs="0"/>
                <xsd:element ref="ns2:MediaServiceLocation" minOccurs="0"/>
                <xsd:element ref="ns3:SharedWithUsers" minOccurs="0"/>
                <xsd:element ref="ns3:SharedWithDetails" minOccurs="0"/>
                <xsd:element ref="ns2:MediaLengthInSeconds" minOccurs="0"/>
                <xsd:element ref="ns2:Lastused"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ec0360e-1764-4e96-82f3-8ef208e821d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astused" ma:index="21" nillable="true" ma:displayName="Last used" ma:description="last time photo used on ICCT website" ma:format="Dropdown" ma:internalName="Lastused">
      <xsd:simpleType>
        <xsd:restriction base="dms:Text">
          <xsd:maxLength value="255"/>
        </xsd:restriction>
      </xsd:simpleType>
    </xsd:element>
    <xsd:element name="lcf76f155ced4ddcb4097134ff3c332f" ma:index="23" nillable="true" ma:taxonomy="true" ma:internalName="lcf76f155ced4ddcb4097134ff3c332f" ma:taxonomyFieldName="MediaServiceImageTags" ma:displayName="Image Tags" ma:readOnly="false" ma:fieldId="{5cf76f15-5ced-4ddc-b409-7134ff3c332f}" ma:taxonomyMulti="true" ma:sspId="d3d0c42d-6e87-4daf-ac4d-d5283275e258"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7a85390b-7aaa-4221-b896-e8172d900df9"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TaxCatchAll" ma:index="24" nillable="true" ma:displayName="Taxonomy Catch All Column" ma:hidden="true" ma:list="{9d468982-5710-431e-9454-72c8e5bf8dc3}" ma:internalName="TaxCatchAll" ma:showField="CatchAllData" ma:web="7a85390b-7aaa-4221-b896-e8172d900df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7a85390b-7aaa-4221-b896-e8172d900df9" xsi:nil="true"/>
    <Lastused xmlns="bec0360e-1764-4e96-82f3-8ef208e821db" xsi:nil="true"/>
    <lcf76f155ced4ddcb4097134ff3c332f xmlns="bec0360e-1764-4e96-82f3-8ef208e821db">
      <Terms xmlns="http://schemas.microsoft.com/office/infopath/2007/PartnerControls"/>
    </lcf76f155ced4ddcb4097134ff3c332f>
    <SharedWithUsers xmlns="7a85390b-7aaa-4221-b896-e8172d900df9">
      <UserInfo>
        <DisplayName/>
        <AccountId xsi:nil="true"/>
        <AccountType/>
      </UserInfo>
    </SharedWithUsers>
    <MediaLengthInSeconds xmlns="bec0360e-1764-4e96-82f3-8ef208e821db" xsi:nil="true"/>
  </documentManagement>
</p:properties>
</file>

<file path=customXml/itemProps1.xml><?xml version="1.0" encoding="utf-8"?>
<ds:datastoreItem xmlns:ds="http://schemas.openxmlformats.org/officeDocument/2006/customXml" ds:itemID="{808CFA44-0EE6-4317-A7F7-B00A0A35D196}">
  <ds:schemaRefs>
    <ds:schemaRef ds:uri="http://schemas.microsoft.com/sharepoint/v3/contenttype/forms"/>
  </ds:schemaRefs>
</ds:datastoreItem>
</file>

<file path=customXml/itemProps2.xml><?xml version="1.0" encoding="utf-8"?>
<ds:datastoreItem xmlns:ds="http://schemas.openxmlformats.org/officeDocument/2006/customXml" ds:itemID="{E8212AC7-C981-4BE1-8F45-F2805C7C76B5}"/>
</file>

<file path=customXml/itemProps3.xml><?xml version="1.0" encoding="utf-8"?>
<ds:datastoreItem xmlns:ds="http://schemas.openxmlformats.org/officeDocument/2006/customXml" ds:itemID="{42767156-BC30-43E9-9109-181AE02E4E78}">
  <ds:schemaRefs>
    <ds:schemaRef ds:uri="http://purl.org/dc/dcmitype/"/>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97fa8ebb-6761-4801-9254-c6b5bbf54625"/>
    <ds:schemaRef ds:uri="50cfde11-9472-42b2-b357-4113ea8bd1a2"/>
    <ds:schemaRef ds:uri="http://schemas.microsoft.com/office/2006/metadata/propertie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23</vt:i4>
      </vt:variant>
    </vt:vector>
  </HeadingPairs>
  <TitlesOfParts>
    <vt:vector size="23" baseType="lpstr">
      <vt:lpstr>Table of Contents</vt:lpstr>
      <vt:lpstr>Key</vt:lpstr>
      <vt:lpstr>Tables</vt:lpstr>
      <vt:lpstr>COBRA Summary</vt:lpstr>
      <vt:lpstr>Emissions Summary</vt:lpstr>
      <vt:lpstr>BAU Scenario</vt:lpstr>
      <vt:lpstr>ACC II - MY2026</vt:lpstr>
      <vt:lpstr>ACC II - MY2027</vt:lpstr>
      <vt:lpstr>Federal GHG Rule</vt:lpstr>
      <vt:lpstr>ACC emissions benefits</vt:lpstr>
      <vt:lpstr>Fleet ZEV fractions</vt:lpstr>
      <vt:lpstr>CARB ZEV counts</vt:lpstr>
      <vt:lpstr>ZEV efficiency</vt:lpstr>
      <vt:lpstr>ZEV Population</vt:lpstr>
      <vt:lpstr>ZEV Sales</vt:lpstr>
      <vt:lpstr>Combined MOVES output</vt:lpstr>
      <vt:lpstr>2040-2050 extrapolation</vt:lpstr>
      <vt:lpstr>County Scale Output 2017-2040</vt:lpstr>
      <vt:lpstr>Default Output 2017-2040</vt:lpstr>
      <vt:lpstr>Output Interpolation</vt:lpstr>
      <vt:lpstr>GREET factors</vt:lpstr>
      <vt:lpstr>State grid data</vt:lpstr>
      <vt:lpstr>Regional GREET factors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Jeff Houk</dc:creator>
  <cp:lastModifiedBy>Microsoft Office User</cp:lastModifiedBy>
  <cp:lastPrinted>2021-02-04T16:18:20Z</cp:lastPrinted>
  <dcterms:created xsi:type="dcterms:W3CDTF">2021-02-03T22:25:35Z</dcterms:created>
  <dcterms:modified xsi:type="dcterms:W3CDTF">2023-05-23T22:20:53Z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3897aee5-b770-4219-a36e-31a9663a4388</vt:lpwstr>
  </property>
  <property fmtid="{D5CDD505-2E9C-101B-9397-08002B2CF9AE}" pid="3" name="ContentTypeId">
    <vt:lpwstr>0x010100EBC795D553D2EF43A3E3831099A82ADB</vt:lpwstr>
  </property>
  <property fmtid="{D5CDD505-2E9C-101B-9397-08002B2CF9AE}" pid="4" name="MSIP_Label_edb26152-23a6-4a6e-8fcb-d99d6e3b8e71_Enabled">
    <vt:lpwstr>true</vt:lpwstr>
  </property>
  <property fmtid="{D5CDD505-2E9C-101B-9397-08002B2CF9AE}" pid="5" name="MSIP_Label_edb26152-23a6-4a6e-8fcb-d99d6e3b8e71_SetDate">
    <vt:lpwstr>2023-05-23T18:18:13Z</vt:lpwstr>
  </property>
  <property fmtid="{D5CDD505-2E9C-101B-9397-08002B2CF9AE}" pid="6" name="MSIP_Label_edb26152-23a6-4a6e-8fcb-d99d6e3b8e71_Method">
    <vt:lpwstr>Standard</vt:lpwstr>
  </property>
  <property fmtid="{D5CDD505-2E9C-101B-9397-08002B2CF9AE}" pid="7" name="MSIP_Label_edb26152-23a6-4a6e-8fcb-d99d6e3b8e71_Name">
    <vt:lpwstr>defa4170-0d19-0005-0004-bc88714345d2</vt:lpwstr>
  </property>
  <property fmtid="{D5CDD505-2E9C-101B-9397-08002B2CF9AE}" pid="8" name="MSIP_Label_edb26152-23a6-4a6e-8fcb-d99d6e3b8e71_SiteId">
    <vt:lpwstr>7fbdd19f-c389-4ced-8a04-0b5090b80cfe</vt:lpwstr>
  </property>
  <property fmtid="{D5CDD505-2E9C-101B-9397-08002B2CF9AE}" pid="9" name="MSIP_Label_edb26152-23a6-4a6e-8fcb-d99d6e3b8e71_ActionId">
    <vt:lpwstr>6362eaca-0271-4059-9287-d8e15aea2f91</vt:lpwstr>
  </property>
  <property fmtid="{D5CDD505-2E9C-101B-9397-08002B2CF9AE}" pid="10" name="MSIP_Label_edb26152-23a6-4a6e-8fcb-d99d6e3b8e71_ContentBits">
    <vt:lpwstr>0</vt:lpwstr>
  </property>
  <property fmtid="{D5CDD505-2E9C-101B-9397-08002B2CF9AE}" pid="11" name="Order">
    <vt:r8>1796600</vt:r8>
  </property>
  <property fmtid="{D5CDD505-2E9C-101B-9397-08002B2CF9AE}" pid="12" name="_SourceUrl">
    <vt:lpwstr/>
  </property>
  <property fmtid="{D5CDD505-2E9C-101B-9397-08002B2CF9AE}" pid="13" name="_SharedFileIndex">
    <vt:lpwstr/>
  </property>
  <property fmtid="{D5CDD505-2E9C-101B-9397-08002B2CF9AE}" pid="14" name="ComplianceAssetId">
    <vt:lpwstr/>
  </property>
  <property fmtid="{D5CDD505-2E9C-101B-9397-08002B2CF9AE}" pid="15" name="_ExtendedDescription">
    <vt:lpwstr/>
  </property>
  <property fmtid="{D5CDD505-2E9C-101B-9397-08002B2CF9AE}" pid="16" name="TriggerFlowInfo">
    <vt:lpwstr/>
  </property>
</Properties>
</file>