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4"/>
  <workbookPr updateLinks="never" codeName="ThisWorkbook"/>
  <mc:AlternateContent xmlns:mc="http://schemas.openxmlformats.org/markup-compatibility/2006">
    <mc:Choice Requires="x15">
      <x15ac:absPath xmlns:x15ac="http://schemas.microsoft.com/office/spreadsheetml/2010/11/ac" url="/Users/aaron.isenstadt/Downloads/ACCII summary reports copy/"/>
    </mc:Choice>
  </mc:AlternateContent>
  <xr:revisionPtr revIDLastSave="0" documentId="13_ncr:1_{9687F5C0-D4F7-BC40-9339-3CB4C771A2A1}" xr6:coauthVersionLast="47" xr6:coauthVersionMax="47" xr10:uidLastSave="{00000000-0000-0000-0000-000000000000}"/>
  <bookViews>
    <workbookView xWindow="-120" yWindow="760" windowWidth="29040" windowHeight="15840" tabRatio="767" xr2:uid="{00000000-000D-0000-FFFF-FFFF00000000}"/>
  </bookViews>
  <sheets>
    <sheet name="Table of Contents" sheetId="29" r:id="rId1"/>
    <sheet name="Key" sheetId="13" r:id="rId2"/>
    <sheet name="Tables" sheetId="15" r:id="rId3"/>
    <sheet name="COBRA Summary" sheetId="36" r:id="rId4"/>
    <sheet name="Emissions Summary" sheetId="11" r:id="rId5"/>
    <sheet name="BAU Scenario" sheetId="5" r:id="rId6"/>
    <sheet name="ACC II - MY2026" sheetId="26" r:id="rId7"/>
    <sheet name="ACC II - MY2027" sheetId="6" r:id="rId8"/>
    <sheet name="Federal GHG Rule" sheetId="35" r:id="rId9"/>
    <sheet name="ACC emissions benefits" sheetId="34" r:id="rId10"/>
    <sheet name="Fleet ZEV fractions" sheetId="2" r:id="rId11"/>
    <sheet name="CARB ZEV counts" sheetId="40" r:id="rId12"/>
    <sheet name="ZEV efficiency" sheetId="39" r:id="rId13"/>
    <sheet name="ZEV Population" sheetId="17" r:id="rId14"/>
    <sheet name="ZEV Sales" sheetId="37" r:id="rId15"/>
    <sheet name="Combined MOVES output" sheetId="1" r:id="rId16"/>
    <sheet name="County Scale Output 2017-2040" sheetId="20" r:id="rId17"/>
    <sheet name="Default Output 2017-2040" sheetId="21" r:id="rId18"/>
    <sheet name="Output Interpolation" sheetId="22" r:id="rId19"/>
    <sheet name="GREET factors" sheetId="9" r:id="rId20"/>
    <sheet name="State grid data" sheetId="31" r:id="rId21"/>
    <sheet name="Regional GREET factors" sheetId="23" r:id="rId22"/>
  </sheets>
  <externalReferences>
    <externalReference r:id="rId23"/>
    <externalReference r:id="rId24"/>
    <externalReference r:id="rId25"/>
  </externalReferences>
  <definedNames>
    <definedName name="_xlnm._FilterDatabase" localSheetId="15" hidden="1">'Combined MOVES output'!$P$1:$BA$36</definedName>
    <definedName name="BEV_Annual_Efficiency_Improvement">'[1]Vehicle Attributes Overview'!$A$8</definedName>
    <definedName name="kWh2BTU">[2]Fuel_Specs!$F$181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4" i="1" l="1"/>
  <c r="E21" i="1"/>
  <c r="E19" i="1"/>
  <c r="E23" i="1" s="1"/>
  <c r="E18" i="1"/>
  <c r="E17" i="1"/>
  <c r="E14" i="1"/>
  <c r="E16" i="1" s="1"/>
  <c r="E9" i="1"/>
  <c r="E13" i="1" s="1"/>
  <c r="E8" i="1"/>
  <c r="W37" i="1"/>
  <c r="W32" i="1"/>
  <c r="W27" i="1"/>
  <c r="W22" i="1"/>
  <c r="W17" i="1"/>
  <c r="I27" i="1"/>
  <c r="J27" i="1"/>
  <c r="I28" i="1"/>
  <c r="J28" i="1"/>
  <c r="I29" i="1"/>
  <c r="J29" i="1"/>
  <c r="I30" i="1"/>
  <c r="J30" i="1"/>
  <c r="I31" i="1"/>
  <c r="J31" i="1"/>
  <c r="I32" i="1"/>
  <c r="J32" i="1"/>
  <c r="I33" i="1"/>
  <c r="J33" i="1"/>
  <c r="I34" i="1"/>
  <c r="J34" i="1"/>
  <c r="I35" i="1"/>
  <c r="J35" i="1"/>
  <c r="I36" i="1"/>
  <c r="J36" i="1"/>
  <c r="I37" i="1"/>
  <c r="J37" i="1"/>
  <c r="I38" i="1"/>
  <c r="J38" i="1"/>
  <c r="I39" i="1"/>
  <c r="J39" i="1"/>
  <c r="I40" i="1"/>
  <c r="J40" i="1"/>
  <c r="I41" i="1"/>
  <c r="J41" i="1"/>
  <c r="I42" i="1"/>
  <c r="J42" i="1"/>
  <c r="I43" i="1"/>
  <c r="J43" i="1"/>
  <c r="I44" i="1"/>
  <c r="J44" i="1"/>
  <c r="I45" i="1"/>
  <c r="J45" i="1"/>
  <c r="I46" i="1"/>
  <c r="J46" i="1"/>
  <c r="I47" i="1"/>
  <c r="J47" i="1"/>
  <c r="I26" i="1"/>
  <c r="K24" i="2"/>
  <c r="L24" i="2"/>
  <c r="K25" i="2"/>
  <c r="L25" i="2"/>
  <c r="K26" i="2"/>
  <c r="L26" i="2"/>
  <c r="K27" i="2"/>
  <c r="L27" i="2"/>
  <c r="K28" i="2"/>
  <c r="L28" i="2"/>
  <c r="K29" i="2"/>
  <c r="L29" i="2"/>
  <c r="K30" i="2"/>
  <c r="L30" i="2"/>
  <c r="K31" i="2"/>
  <c r="L31" i="2"/>
  <c r="K32" i="2"/>
  <c r="L32" i="2"/>
  <c r="K23" i="2"/>
  <c r="L23" i="2"/>
  <c r="B34" i="36"/>
  <c r="B33" i="36"/>
  <c r="B32" i="36"/>
  <c r="B31" i="36"/>
  <c r="B25" i="36"/>
  <c r="B24" i="36"/>
  <c r="B23" i="36"/>
  <c r="B22" i="36"/>
  <c r="B128" i="9"/>
  <c r="K125" i="9"/>
  <c r="J124" i="9"/>
  <c r="D124" i="9"/>
  <c r="J123" i="9"/>
  <c r="D123" i="9"/>
  <c r="J122" i="9"/>
  <c r="D122" i="9"/>
  <c r="J121" i="9"/>
  <c r="D121" i="9"/>
  <c r="J120" i="9"/>
  <c r="D120" i="9"/>
  <c r="J119" i="9"/>
  <c r="D119" i="9"/>
  <c r="J3" i="9" s="1"/>
  <c r="J7" i="9" s="1"/>
  <c r="J118" i="9"/>
  <c r="L5" i="9" s="1"/>
  <c r="D118" i="9"/>
  <c r="L3" i="9" s="1"/>
  <c r="L7" i="9" s="1"/>
  <c r="L6" i="9"/>
  <c r="M5" i="9"/>
  <c r="K5" i="9"/>
  <c r="J5" i="9"/>
  <c r="M4" i="9"/>
  <c r="L4" i="9"/>
  <c r="K4" i="9"/>
  <c r="J4" i="9"/>
  <c r="M3" i="9"/>
  <c r="K3" i="9"/>
  <c r="M24" i="2"/>
  <c r="M25" i="2"/>
  <c r="M26" i="2"/>
  <c r="M27" i="2"/>
  <c r="M28" i="2"/>
  <c r="M29" i="2"/>
  <c r="M30" i="2"/>
  <c r="M31" i="2"/>
  <c r="M32" i="2"/>
  <c r="M23" i="2"/>
  <c r="AF51" i="15"/>
  <c r="AF50" i="15"/>
  <c r="AG49" i="15"/>
  <c r="AF49" i="15"/>
  <c r="AF48" i="15"/>
  <c r="AD47" i="15"/>
  <c r="AC47" i="15"/>
  <c r="AD51" i="15"/>
  <c r="AC51" i="15"/>
  <c r="AD50" i="15"/>
  <c r="AC50" i="15"/>
  <c r="AE49" i="15"/>
  <c r="AD49" i="15"/>
  <c r="AC49" i="15"/>
  <c r="AD48" i="15"/>
  <c r="AC48" i="15"/>
  <c r="D13" i="2"/>
  <c r="Z12" i="2"/>
  <c r="D9" i="31"/>
  <c r="E9" i="31"/>
  <c r="F9" i="31"/>
  <c r="G9" i="31"/>
  <c r="C9" i="31"/>
  <c r="K10" i="34"/>
  <c r="K11" i="34"/>
  <c r="K12" i="34"/>
  <c r="K13" i="34"/>
  <c r="K14" i="34"/>
  <c r="K15" i="34"/>
  <c r="K16" i="34"/>
  <c r="K17" i="34"/>
  <c r="K18" i="34"/>
  <c r="K19" i="34"/>
  <c r="K20" i="34"/>
  <c r="K21" i="34"/>
  <c r="K22" i="34"/>
  <c r="K23" i="34"/>
  <c r="K24" i="34"/>
  <c r="K9" i="34"/>
  <c r="B35" i="36" l="1"/>
  <c r="B26" i="36"/>
  <c r="E11" i="1"/>
  <c r="E10" i="1"/>
  <c r="E12" i="1"/>
  <c r="E20" i="1"/>
  <c r="E22" i="1"/>
  <c r="E15" i="1"/>
  <c r="K7" i="9"/>
  <c r="M7" i="9"/>
  <c r="U9" i="35"/>
  <c r="V9" i="35"/>
  <c r="W9" i="35"/>
  <c r="U10" i="35"/>
  <c r="V10" i="35"/>
  <c r="W10" i="35"/>
  <c r="U11" i="35"/>
  <c r="V11" i="35"/>
  <c r="W11" i="35"/>
  <c r="U12" i="35"/>
  <c r="V12" i="35"/>
  <c r="W12" i="35"/>
  <c r="U13" i="35"/>
  <c r="V13" i="35"/>
  <c r="W13" i="35"/>
  <c r="U14" i="35"/>
  <c r="V14" i="35"/>
  <c r="W14" i="35"/>
  <c r="U15" i="35"/>
  <c r="V15" i="35"/>
  <c r="W15" i="35"/>
  <c r="U16" i="35"/>
  <c r="V16" i="35"/>
  <c r="W16" i="35"/>
  <c r="U17" i="35"/>
  <c r="V17" i="35"/>
  <c r="W17" i="35"/>
  <c r="U18" i="35"/>
  <c r="V18" i="35"/>
  <c r="W18" i="35"/>
  <c r="U19" i="35"/>
  <c r="V19" i="35"/>
  <c r="W19" i="35"/>
  <c r="U20" i="35"/>
  <c r="V20" i="35"/>
  <c r="W20" i="35"/>
  <c r="U21" i="35"/>
  <c r="V21" i="35"/>
  <c r="W21" i="35"/>
  <c r="U22" i="35"/>
  <c r="V22" i="35"/>
  <c r="W22" i="35"/>
  <c r="U23" i="35"/>
  <c r="V23" i="35"/>
  <c r="W23" i="35"/>
  <c r="U24" i="35"/>
  <c r="V24" i="35"/>
  <c r="W24" i="35"/>
  <c r="V8" i="35"/>
  <c r="W8" i="35"/>
  <c r="U8" i="35"/>
  <c r="L14" i="9"/>
  <c r="M14" i="9"/>
  <c r="N14" i="9"/>
  <c r="O14" i="9"/>
  <c r="K14" i="9"/>
  <c r="L35" i="9"/>
  <c r="M35" i="9"/>
  <c r="N35" i="9"/>
  <c r="O35" i="9"/>
  <c r="K35" i="9"/>
  <c r="L56" i="9"/>
  <c r="M56" i="9"/>
  <c r="N56" i="9"/>
  <c r="O56" i="9"/>
  <c r="K56" i="9"/>
  <c r="L77" i="9"/>
  <c r="H73" i="9" s="1"/>
  <c r="M77" i="9"/>
  <c r="B78" i="9" s="1"/>
  <c r="N77" i="9"/>
  <c r="B83" i="9" s="1"/>
  <c r="O77" i="9"/>
  <c r="G88" i="9" s="1"/>
  <c r="K77" i="9"/>
  <c r="B72" i="9" s="1"/>
  <c r="L73" i="9"/>
  <c r="M73" i="9"/>
  <c r="N73" i="9"/>
  <c r="O73" i="9"/>
  <c r="P73" i="9"/>
  <c r="Q73" i="9"/>
  <c r="K73" i="9"/>
  <c r="G73" i="9" l="1"/>
  <c r="F73" i="9"/>
  <c r="C88" i="9"/>
  <c r="F88" i="9"/>
  <c r="C73" i="9"/>
  <c r="B73" i="9"/>
  <c r="B75" i="9" s="1"/>
  <c r="E73" i="9"/>
  <c r="D73" i="9"/>
  <c r="B82" i="9"/>
  <c r="G78" i="9"/>
  <c r="G83" i="9"/>
  <c r="G85" i="9" s="1"/>
  <c r="D72" i="9"/>
  <c r="F72" i="9"/>
  <c r="C72" i="9"/>
  <c r="H72" i="9"/>
  <c r="E72" i="9"/>
  <c r="D88" i="9"/>
  <c r="H88" i="9"/>
  <c r="E78" i="9"/>
  <c r="B79" i="9"/>
  <c r="B80" i="9"/>
  <c r="B81" i="9"/>
  <c r="B88" i="9"/>
  <c r="B87" i="9" s="1"/>
  <c r="G72" i="9"/>
  <c r="C78" i="9"/>
  <c r="C83" i="9"/>
  <c r="D78" i="9"/>
  <c r="D83" i="9"/>
  <c r="E83" i="9"/>
  <c r="E88" i="9"/>
  <c r="F78" i="9"/>
  <c r="F83" i="9"/>
  <c r="H78" i="9"/>
  <c r="H83" i="9"/>
  <c r="Q43" i="35"/>
  <c r="Q42" i="35"/>
  <c r="Q41" i="35"/>
  <c r="Q40" i="35"/>
  <c r="Q38" i="35"/>
  <c r="Q37" i="35"/>
  <c r="Q36" i="35"/>
  <c r="Q35" i="35"/>
  <c r="Q31" i="35"/>
  <c r="Q33" i="35"/>
  <c r="Q32" i="35"/>
  <c r="Q30" i="35"/>
  <c r="Q44" i="35"/>
  <c r="Q39" i="35"/>
  <c r="Q34" i="35"/>
  <c r="Q29" i="35"/>
  <c r="F90" i="35"/>
  <c r="G90" i="35" s="1"/>
  <c r="F83" i="35"/>
  <c r="G83" i="35" s="1"/>
  <c r="F76" i="35"/>
  <c r="G76" i="35" s="1"/>
  <c r="F69" i="35"/>
  <c r="G69" i="35" s="1"/>
  <c r="G60" i="35"/>
  <c r="F60" i="35"/>
  <c r="I73" i="9" l="1"/>
  <c r="E80" i="9"/>
  <c r="G86" i="9"/>
  <c r="B76" i="9"/>
  <c r="B77" i="9"/>
  <c r="G82" i="9"/>
  <c r="C77" i="9"/>
  <c r="B74" i="9"/>
  <c r="I88" i="9"/>
  <c r="I72" i="9"/>
  <c r="G87" i="9"/>
  <c r="G79" i="9"/>
  <c r="G80" i="9"/>
  <c r="G81" i="9"/>
  <c r="G84" i="9"/>
  <c r="E75" i="9"/>
  <c r="D77" i="9"/>
  <c r="F76" i="9"/>
  <c r="E76" i="9"/>
  <c r="D75" i="9"/>
  <c r="D76" i="9"/>
  <c r="E77" i="9"/>
  <c r="E81" i="9"/>
  <c r="E74" i="9"/>
  <c r="E79" i="9"/>
  <c r="H82" i="9"/>
  <c r="H81" i="9"/>
  <c r="H80" i="9"/>
  <c r="H79" i="9"/>
  <c r="G77" i="9"/>
  <c r="G74" i="9"/>
  <c r="G76" i="9"/>
  <c r="G75" i="9"/>
  <c r="E82" i="9"/>
  <c r="B86" i="9"/>
  <c r="C87" i="9"/>
  <c r="C86" i="9"/>
  <c r="C85" i="9"/>
  <c r="C84" i="9"/>
  <c r="H77" i="9"/>
  <c r="C82" i="9"/>
  <c r="C81" i="9"/>
  <c r="C80" i="9"/>
  <c r="C79" i="9"/>
  <c r="B85" i="9"/>
  <c r="D87" i="9"/>
  <c r="D86" i="9"/>
  <c r="D85" i="9"/>
  <c r="D84" i="9"/>
  <c r="B84" i="9"/>
  <c r="C75" i="9"/>
  <c r="H75" i="9"/>
  <c r="I83" i="9"/>
  <c r="F87" i="9"/>
  <c r="F86" i="9"/>
  <c r="F85" i="9"/>
  <c r="F84" i="9"/>
  <c r="I78" i="9"/>
  <c r="F82" i="9"/>
  <c r="F81" i="9"/>
  <c r="F80" i="9"/>
  <c r="F79" i="9"/>
  <c r="E87" i="9"/>
  <c r="E86" i="9"/>
  <c r="E85" i="9"/>
  <c r="E84" i="9"/>
  <c r="C74" i="9"/>
  <c r="H74" i="9"/>
  <c r="H87" i="9"/>
  <c r="H86" i="9"/>
  <c r="H85" i="9"/>
  <c r="H84" i="9"/>
  <c r="D82" i="9"/>
  <c r="D81" i="9"/>
  <c r="D80" i="9"/>
  <c r="D79" i="9"/>
  <c r="C76" i="9"/>
  <c r="H76" i="9"/>
  <c r="D74" i="9"/>
  <c r="W39" i="2"/>
  <c r="X39" i="2"/>
  <c r="Y39" i="2"/>
  <c r="Z39" i="2"/>
  <c r="AA39" i="2"/>
  <c r="W40" i="2"/>
  <c r="X40" i="2"/>
  <c r="Y40" i="2"/>
  <c r="Z40" i="2"/>
  <c r="AA40" i="2"/>
  <c r="W41" i="2"/>
  <c r="X41" i="2"/>
  <c r="Y41" i="2"/>
  <c r="Z41" i="2"/>
  <c r="AA41" i="2"/>
  <c r="W42" i="2"/>
  <c r="X42" i="2"/>
  <c r="Y42" i="2"/>
  <c r="Z42" i="2"/>
  <c r="AA42" i="2"/>
  <c r="W43" i="2"/>
  <c r="X43" i="2"/>
  <c r="Y43" i="2"/>
  <c r="Z43" i="2"/>
  <c r="AA43" i="2"/>
  <c r="W44" i="2"/>
  <c r="X44" i="2"/>
  <c r="Y44" i="2"/>
  <c r="Z44" i="2"/>
  <c r="AA44" i="2"/>
  <c r="W45" i="2"/>
  <c r="X45" i="2"/>
  <c r="Y45" i="2"/>
  <c r="Z45" i="2"/>
  <c r="AA45" i="2"/>
  <c r="W46" i="2"/>
  <c r="X46" i="2"/>
  <c r="Y46" i="2"/>
  <c r="Z46" i="2"/>
  <c r="AA46" i="2"/>
  <c r="W47" i="2"/>
  <c r="X47" i="2"/>
  <c r="Y47" i="2"/>
  <c r="Z47" i="2"/>
  <c r="AA47" i="2"/>
  <c r="W48" i="2"/>
  <c r="X48" i="2"/>
  <c r="Y48" i="2"/>
  <c r="Z48" i="2"/>
  <c r="AA48" i="2"/>
  <c r="W49" i="2"/>
  <c r="X49" i="2"/>
  <c r="Y49" i="2"/>
  <c r="Z49" i="2"/>
  <c r="AA49" i="2"/>
  <c r="W50" i="2"/>
  <c r="X50" i="2"/>
  <c r="Y50" i="2"/>
  <c r="Z50" i="2"/>
  <c r="AA50" i="2"/>
  <c r="W51" i="2"/>
  <c r="X51" i="2"/>
  <c r="Y51" i="2"/>
  <c r="Z51" i="2"/>
  <c r="AA51" i="2"/>
  <c r="W52" i="2"/>
  <c r="X52" i="2"/>
  <c r="Y52" i="2"/>
  <c r="Z52" i="2"/>
  <c r="AA52" i="2"/>
  <c r="W53" i="2"/>
  <c r="X53" i="2"/>
  <c r="Y53" i="2"/>
  <c r="Z53" i="2"/>
  <c r="AA53" i="2"/>
  <c r="W54" i="2"/>
  <c r="X54" i="2"/>
  <c r="Y54" i="2"/>
  <c r="Z54" i="2"/>
  <c r="AA54" i="2"/>
  <c r="W55" i="2"/>
  <c r="X55" i="2"/>
  <c r="Y55" i="2"/>
  <c r="Z55" i="2"/>
  <c r="AA55" i="2"/>
  <c r="W56" i="2"/>
  <c r="X56" i="2"/>
  <c r="Y56" i="2"/>
  <c r="Z56" i="2"/>
  <c r="AA56" i="2"/>
  <c r="AC58" i="2" s="1"/>
  <c r="W57" i="2"/>
  <c r="X57" i="2"/>
  <c r="Y57" i="2"/>
  <c r="Z57" i="2"/>
  <c r="AA57" i="2"/>
  <c r="W58" i="2"/>
  <c r="X58" i="2"/>
  <c r="Y58" i="2"/>
  <c r="Z58" i="2"/>
  <c r="AA58" i="2"/>
  <c r="W59" i="2"/>
  <c r="X59" i="2"/>
  <c r="Y59" i="2"/>
  <c r="Z59" i="2"/>
  <c r="AA59" i="2"/>
  <c r="W60" i="2"/>
  <c r="X60" i="2"/>
  <c r="Y60" i="2"/>
  <c r="Z60" i="2"/>
  <c r="AA60" i="2"/>
  <c r="W61" i="2"/>
  <c r="X61" i="2"/>
  <c r="Y61" i="2"/>
  <c r="Z61" i="2"/>
  <c r="AA61" i="2"/>
  <c r="W62" i="2"/>
  <c r="X62" i="2"/>
  <c r="Y62" i="2"/>
  <c r="Z62" i="2"/>
  <c r="AA62" i="2"/>
  <c r="W63" i="2"/>
  <c r="X63" i="2"/>
  <c r="Y63" i="2"/>
  <c r="Z63" i="2"/>
  <c r="AA63" i="2"/>
  <c r="W64" i="2"/>
  <c r="X64" i="2"/>
  <c r="Y64" i="2"/>
  <c r="Z64" i="2"/>
  <c r="AA64" i="2"/>
  <c r="W65" i="2"/>
  <c r="X65" i="2"/>
  <c r="Y65" i="2"/>
  <c r="Z65" i="2"/>
  <c r="AA65" i="2"/>
  <c r="W66" i="2"/>
  <c r="X66" i="2"/>
  <c r="Y66" i="2"/>
  <c r="Z66" i="2"/>
  <c r="AA66" i="2"/>
  <c r="W67" i="2"/>
  <c r="X67" i="2"/>
  <c r="Y67" i="2"/>
  <c r="Z67" i="2"/>
  <c r="AA67" i="2"/>
  <c r="W68" i="2"/>
  <c r="X68" i="2"/>
  <c r="Y68" i="2"/>
  <c r="Z68" i="2"/>
  <c r="AA68" i="2"/>
  <c r="X38" i="2"/>
  <c r="Y38" i="2"/>
  <c r="Z38" i="2"/>
  <c r="AA38" i="2"/>
  <c r="W38" i="2"/>
  <c r="AC68" i="2" l="1"/>
  <c r="I80" i="9"/>
  <c r="I81" i="9"/>
  <c r="I79" i="9"/>
  <c r="F77" i="9"/>
  <c r="I77" i="9" s="1"/>
  <c r="F74" i="9"/>
  <c r="I74" i="9" s="1"/>
  <c r="F75" i="9"/>
  <c r="I75" i="9" s="1"/>
  <c r="I86" i="9"/>
  <c r="I76" i="9"/>
  <c r="I82" i="9"/>
  <c r="I87" i="9"/>
  <c r="I84" i="9"/>
  <c r="I85" i="9"/>
  <c r="AC48" i="2"/>
  <c r="AB68" i="2"/>
  <c r="AB58" i="2"/>
  <c r="AD58" i="2" s="1"/>
  <c r="AB48" i="2"/>
  <c r="AD68" i="2" l="1"/>
  <c r="AG59" i="2" s="1"/>
  <c r="N44" i="35" s="1"/>
  <c r="AG49" i="2"/>
  <c r="N34" i="35" s="1"/>
  <c r="AD48" i="2"/>
  <c r="J8" i="35"/>
  <c r="AG56" i="2" l="1"/>
  <c r="N41" i="35" s="1"/>
  <c r="AG58" i="2"/>
  <c r="N43" i="35" s="1"/>
  <c r="AG57" i="2"/>
  <c r="N42" i="35" s="1"/>
  <c r="AG50" i="2"/>
  <c r="N35" i="35" s="1"/>
  <c r="AG51" i="2"/>
  <c r="N36" i="35" s="1"/>
  <c r="AG55" i="2"/>
  <c r="N40" i="35" s="1"/>
  <c r="AG52" i="2"/>
  <c r="N37" i="35" s="1"/>
  <c r="AG54" i="2"/>
  <c r="N39" i="35" s="1"/>
  <c r="AG53" i="2"/>
  <c r="N38" i="35" s="1"/>
  <c r="AG44" i="2"/>
  <c r="N29" i="35" s="1"/>
  <c r="AG43" i="2"/>
  <c r="AG42" i="2"/>
  <c r="AG41" i="2"/>
  <c r="AG48" i="2"/>
  <c r="N33" i="35" s="1"/>
  <c r="AG40" i="2"/>
  <c r="AG47" i="2"/>
  <c r="N32" i="35" s="1"/>
  <c r="AG39" i="2"/>
  <c r="AG46" i="2"/>
  <c r="N31" i="35" s="1"/>
  <c r="AG45" i="2"/>
  <c r="N30" i="35" s="1"/>
  <c r="T493" i="34" l="1"/>
  <c r="T462" i="34"/>
  <c r="T431" i="34"/>
  <c r="T400" i="34"/>
  <c r="T369" i="34"/>
  <c r="T338" i="34"/>
  <c r="T307" i="34"/>
  <c r="T276" i="34"/>
  <c r="T245" i="34"/>
  <c r="T214" i="34"/>
  <c r="T183" i="34"/>
  <c r="T152" i="34"/>
  <c r="T121" i="34"/>
  <c r="T90" i="34"/>
  <c r="T59" i="34"/>
  <c r="S493" i="34"/>
  <c r="S462" i="34"/>
  <c r="S431" i="34"/>
  <c r="S400" i="34"/>
  <c r="S369" i="34"/>
  <c r="U369" i="34" s="1"/>
  <c r="Y40" i="34" s="1"/>
  <c r="E39" i="34" s="1"/>
  <c r="S338" i="34"/>
  <c r="S307" i="34"/>
  <c r="S276" i="34"/>
  <c r="S245" i="34"/>
  <c r="S214" i="34"/>
  <c r="S183" i="34"/>
  <c r="S152" i="34"/>
  <c r="S121" i="34"/>
  <c r="U121" i="34" s="1"/>
  <c r="Y32" i="34" s="1"/>
  <c r="E31" i="34" s="1"/>
  <c r="S90" i="34"/>
  <c r="S59" i="34"/>
  <c r="S10" i="35"/>
  <c r="S9" i="35"/>
  <c r="S8" i="35"/>
  <c r="S7" i="35"/>
  <c r="U276" i="34" l="1"/>
  <c r="Y37" i="34" s="1"/>
  <c r="E36" i="34" s="1"/>
  <c r="U183" i="34"/>
  <c r="Y34" i="34" s="1"/>
  <c r="E33" i="34" s="1"/>
  <c r="U431" i="34"/>
  <c r="Y42" i="34" s="1"/>
  <c r="E41" i="34" s="1"/>
  <c r="U214" i="34"/>
  <c r="Y35" i="34" s="1"/>
  <c r="E34" i="34" s="1"/>
  <c r="U462" i="34"/>
  <c r="Y43" i="34" s="1"/>
  <c r="E42" i="34" s="1"/>
  <c r="U245" i="34"/>
  <c r="Y36" i="34" s="1"/>
  <c r="E35" i="34" s="1"/>
  <c r="U493" i="34"/>
  <c r="Y44" i="34" s="1"/>
  <c r="E43" i="34" s="1"/>
  <c r="U59" i="34"/>
  <c r="Y30" i="34" s="1"/>
  <c r="U307" i="34"/>
  <c r="Y38" i="34" s="1"/>
  <c r="E37" i="34" s="1"/>
  <c r="U90" i="34"/>
  <c r="Y31" i="34" s="1"/>
  <c r="E30" i="34" s="1"/>
  <c r="U338" i="34"/>
  <c r="Y39" i="34" s="1"/>
  <c r="E38" i="34" s="1"/>
  <c r="U152" i="34"/>
  <c r="Y33" i="34" s="1"/>
  <c r="E32" i="34" s="1"/>
  <c r="U400" i="34"/>
  <c r="Y41" i="34" s="1"/>
  <c r="E40" i="34" s="1"/>
  <c r="F16" i="2"/>
  <c r="C16" i="2" s="1"/>
  <c r="F17" i="2"/>
  <c r="C17" i="2" s="1"/>
  <c r="F18" i="2"/>
  <c r="F19" i="2" s="1"/>
  <c r="F20" i="2" s="1"/>
  <c r="F21" i="2" s="1"/>
  <c r="F22" i="2" s="1"/>
  <c r="F23" i="2" s="1"/>
  <c r="F24" i="2" s="1"/>
  <c r="F25" i="2" s="1"/>
  <c r="F26" i="2" s="1"/>
  <c r="F27" i="2" s="1"/>
  <c r="F28" i="2" s="1"/>
  <c r="F29" i="2" s="1"/>
  <c r="F30" i="2" s="1"/>
  <c r="F31" i="2" s="1"/>
  <c r="F32" i="2" s="1"/>
  <c r="C32" i="2" s="1"/>
  <c r="F15" i="2"/>
  <c r="C15" i="2" s="1"/>
  <c r="E16" i="2"/>
  <c r="E17" i="2"/>
  <c r="B17" i="2" s="1"/>
  <c r="E18" i="2"/>
  <c r="E15" i="2"/>
  <c r="O8" i="35"/>
  <c r="O9" i="35"/>
  <c r="O10" i="35"/>
  <c r="O7" i="35"/>
  <c r="I19" i="2"/>
  <c r="H19" i="2" s="1"/>
  <c r="I20" i="2"/>
  <c r="H20" i="2" s="1"/>
  <c r="I21" i="2"/>
  <c r="H21" i="2" s="1"/>
  <c r="I22" i="2"/>
  <c r="H22" i="2" s="1"/>
  <c r="I18" i="2"/>
  <c r="H18" i="2" s="1"/>
  <c r="G18" i="2" l="1"/>
  <c r="G19" i="2" s="1"/>
  <c r="G20" i="2" s="1"/>
  <c r="G21" i="2" s="1"/>
  <c r="G22" i="2" s="1"/>
  <c r="G23" i="2" s="1"/>
  <c r="G24" i="2" s="1"/>
  <c r="G25" i="2" s="1"/>
  <c r="G26" i="2" s="1"/>
  <c r="G27" i="2" s="1"/>
  <c r="G28" i="2" s="1"/>
  <c r="G29" i="2" s="1"/>
  <c r="G30" i="2" s="1"/>
  <c r="G31" i="2" s="1"/>
  <c r="G32" i="2" s="1"/>
  <c r="D32" i="2" s="1"/>
  <c r="G15" i="2"/>
  <c r="D15" i="2" s="1"/>
  <c r="D14" i="2" s="1"/>
  <c r="L30" i="35"/>
  <c r="M30" i="35"/>
  <c r="O30" i="35" s="1"/>
  <c r="M32" i="35"/>
  <c r="L32" i="35"/>
  <c r="L33" i="35" s="1"/>
  <c r="L34" i="35" s="1"/>
  <c r="L35" i="35" s="1"/>
  <c r="L36" i="35" s="1"/>
  <c r="L37" i="35" s="1"/>
  <c r="L38" i="35" s="1"/>
  <c r="L39" i="35" s="1"/>
  <c r="L40" i="35" s="1"/>
  <c r="L41" i="35" s="1"/>
  <c r="L42" i="35" s="1"/>
  <c r="L43" i="35" s="1"/>
  <c r="L44" i="35" s="1"/>
  <c r="L29" i="35"/>
  <c r="M29" i="35"/>
  <c r="O29" i="35" s="1"/>
  <c r="P29" i="35" s="1"/>
  <c r="M31" i="35"/>
  <c r="O31" i="35" s="1"/>
  <c r="L31" i="35"/>
  <c r="C22" i="2"/>
  <c r="C31" i="2"/>
  <c r="C30" i="2"/>
  <c r="C25" i="2"/>
  <c r="C23" i="2"/>
  <c r="D28" i="2"/>
  <c r="D20" i="2"/>
  <c r="B18" i="2"/>
  <c r="B15" i="2"/>
  <c r="C28" i="2"/>
  <c r="C20" i="2"/>
  <c r="G16" i="2"/>
  <c r="D16" i="2" s="1"/>
  <c r="C27" i="2"/>
  <c r="D24" i="2"/>
  <c r="C19" i="2"/>
  <c r="D30" i="2"/>
  <c r="C24" i="2"/>
  <c r="D21" i="2"/>
  <c r="C29" i="2"/>
  <c r="D26" i="2"/>
  <c r="C21" i="2"/>
  <c r="B16" i="2"/>
  <c r="C26" i="2"/>
  <c r="D23" i="2"/>
  <c r="C18" i="2"/>
  <c r="G17" i="2"/>
  <c r="D17" i="2" s="1"/>
  <c r="E19" i="2"/>
  <c r="E100" i="2"/>
  <c r="D100" i="2"/>
  <c r="C100" i="2"/>
  <c r="G97" i="2"/>
  <c r="G96" i="2"/>
  <c r="G95" i="2"/>
  <c r="G94" i="2"/>
  <c r="G93" i="2"/>
  <c r="G92" i="2"/>
  <c r="G91" i="2"/>
  <c r="G90" i="2"/>
  <c r="G89" i="2"/>
  <c r="G88" i="2"/>
  <c r="G87" i="2"/>
  <c r="G86" i="2"/>
  <c r="G85" i="2"/>
  <c r="G84" i="2"/>
  <c r="G83" i="2"/>
  <c r="G82" i="2"/>
  <c r="G81"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D31" i="2" l="1"/>
  <c r="D19" i="2"/>
  <c r="D27" i="2"/>
  <c r="D25" i="2"/>
  <c r="D29" i="2"/>
  <c r="D18" i="2"/>
  <c r="D22" i="2"/>
  <c r="C9" i="35"/>
  <c r="D9" i="35"/>
  <c r="E9" i="35"/>
  <c r="F9" i="35"/>
  <c r="P31" i="35"/>
  <c r="O32" i="35"/>
  <c r="P32" i="35" s="1"/>
  <c r="M33" i="35"/>
  <c r="P30" i="35"/>
  <c r="E20" i="2"/>
  <c r="B19" i="2"/>
  <c r="G100" i="2"/>
  <c r="F100" i="2" s="1"/>
  <c r="E114" i="23"/>
  <c r="D114" i="23"/>
  <c r="E113" i="23"/>
  <c r="D113" i="23"/>
  <c r="E112" i="23"/>
  <c r="D112" i="23"/>
  <c r="E111" i="23"/>
  <c r="D111" i="23"/>
  <c r="E110" i="23"/>
  <c r="D110" i="23"/>
  <c r="E109" i="23"/>
  <c r="D109" i="23"/>
  <c r="E94" i="23"/>
  <c r="D94" i="23"/>
  <c r="E93" i="23"/>
  <c r="D93" i="23"/>
  <c r="E92" i="23"/>
  <c r="D92" i="23"/>
  <c r="E91" i="23"/>
  <c r="D91" i="23"/>
  <c r="E90" i="23"/>
  <c r="D90" i="23"/>
  <c r="E89" i="23"/>
  <c r="D89" i="23"/>
  <c r="E74" i="23"/>
  <c r="D74" i="23"/>
  <c r="E73" i="23"/>
  <c r="D73" i="23"/>
  <c r="E72" i="23"/>
  <c r="D72" i="23"/>
  <c r="E71" i="23"/>
  <c r="D71" i="23"/>
  <c r="E70" i="23"/>
  <c r="D70" i="23"/>
  <c r="E69" i="23"/>
  <c r="D69" i="23"/>
  <c r="E10" i="35" l="1"/>
  <c r="F10" i="35"/>
  <c r="C10" i="35"/>
  <c r="D10" i="35"/>
  <c r="D12" i="35"/>
  <c r="E12" i="35"/>
  <c r="C12" i="35"/>
  <c r="F12" i="35"/>
  <c r="D11" i="35"/>
  <c r="E11" i="35"/>
  <c r="F11" i="35"/>
  <c r="C11" i="35"/>
  <c r="O33" i="35"/>
  <c r="P33" i="35" s="1"/>
  <c r="M34" i="35"/>
  <c r="E21" i="2"/>
  <c r="B20" i="2"/>
  <c r="D75" i="23"/>
  <c r="B79" i="23" s="1"/>
  <c r="L10" i="9" s="1"/>
  <c r="C25" i="9" s="1"/>
  <c r="C109" i="9" s="1"/>
  <c r="G103" i="23"/>
  <c r="F103" i="23"/>
  <c r="E103" i="23"/>
  <c r="D103" i="23"/>
  <c r="C103" i="23"/>
  <c r="B103" i="23"/>
  <c r="A103" i="23"/>
  <c r="G83" i="23"/>
  <c r="F83" i="23"/>
  <c r="E83" i="23"/>
  <c r="D83" i="23"/>
  <c r="C83" i="23"/>
  <c r="B83" i="23"/>
  <c r="A83" i="23"/>
  <c r="G63" i="23"/>
  <c r="F63" i="23"/>
  <c r="E63" i="23"/>
  <c r="D63" i="23"/>
  <c r="C63" i="23"/>
  <c r="B63" i="23"/>
  <c r="A63" i="23"/>
  <c r="D115" i="23"/>
  <c r="D95" i="23"/>
  <c r="AN19" i="15"/>
  <c r="AN18" i="15"/>
  <c r="AN17" i="15"/>
  <c r="AN16" i="15"/>
  <c r="AN15" i="15"/>
  <c r="AN14" i="15"/>
  <c r="AN13" i="15"/>
  <c r="AN12" i="15"/>
  <c r="AN11" i="15"/>
  <c r="AN10" i="15"/>
  <c r="AN9" i="15"/>
  <c r="AN8" i="15"/>
  <c r="AN7" i="15"/>
  <c r="AN6" i="15"/>
  <c r="AN5" i="15"/>
  <c r="AN4" i="15"/>
  <c r="C64" i="40"/>
  <c r="B64" i="40"/>
  <c r="C24" i="40"/>
  <c r="B24" i="40"/>
  <c r="H44" i="39"/>
  <c r="C75" i="40"/>
  <c r="C76" i="40" s="1"/>
  <c r="C77" i="40" s="1"/>
  <c r="C78" i="40" s="1"/>
  <c r="C79" i="40" s="1"/>
  <c r="B75" i="40"/>
  <c r="B76" i="40" s="1"/>
  <c r="B77" i="40" s="1"/>
  <c r="B78" i="40" s="1"/>
  <c r="B79" i="40" s="1"/>
  <c r="C71" i="40"/>
  <c r="C72" i="40" s="1"/>
  <c r="C73" i="40" s="1"/>
  <c r="C74" i="40" s="1"/>
  <c r="B71" i="40"/>
  <c r="B72" i="40" s="1"/>
  <c r="B73" i="40" s="1"/>
  <c r="C70" i="40"/>
  <c r="B70" i="40"/>
  <c r="C69" i="40"/>
  <c r="B69" i="40"/>
  <c r="C68" i="40"/>
  <c r="B68" i="40"/>
  <c r="C67" i="40"/>
  <c r="B67" i="40"/>
  <c r="C66" i="40"/>
  <c r="B66" i="40"/>
  <c r="C65" i="40"/>
  <c r="B65" i="40"/>
  <c r="L60" i="40"/>
  <c r="K60" i="40"/>
  <c r="I60" i="40"/>
  <c r="H60" i="40"/>
  <c r="G60" i="40"/>
  <c r="F60" i="40"/>
  <c r="E60" i="40"/>
  <c r="L59" i="40"/>
  <c r="K59" i="40"/>
  <c r="I59" i="40"/>
  <c r="H59" i="40"/>
  <c r="G59" i="40"/>
  <c r="F59" i="40"/>
  <c r="E59" i="40"/>
  <c r="L58" i="40"/>
  <c r="K58" i="40"/>
  <c r="I58" i="40"/>
  <c r="H58" i="40"/>
  <c r="G58" i="40"/>
  <c r="F58" i="40"/>
  <c r="E58" i="40"/>
  <c r="L57" i="40"/>
  <c r="K57" i="40"/>
  <c r="I57" i="40"/>
  <c r="H57" i="40"/>
  <c r="G57" i="40"/>
  <c r="F57" i="40"/>
  <c r="E57" i="40"/>
  <c r="L56" i="40"/>
  <c r="K56" i="40"/>
  <c r="I56" i="40"/>
  <c r="H56" i="40"/>
  <c r="G56" i="40"/>
  <c r="F56" i="40"/>
  <c r="E56" i="40"/>
  <c r="L55" i="40"/>
  <c r="K55" i="40"/>
  <c r="I55" i="40"/>
  <c r="H55" i="40"/>
  <c r="G55" i="40"/>
  <c r="F55" i="40"/>
  <c r="E55" i="40"/>
  <c r="L54" i="40"/>
  <c r="K54" i="40"/>
  <c r="I54" i="40"/>
  <c r="H54" i="40"/>
  <c r="G54" i="40"/>
  <c r="F54" i="40"/>
  <c r="E54" i="40"/>
  <c r="L53" i="40"/>
  <c r="K53" i="40"/>
  <c r="I53" i="40"/>
  <c r="H53" i="40"/>
  <c r="G53" i="40"/>
  <c r="F53" i="40"/>
  <c r="E53" i="40"/>
  <c r="L52" i="40"/>
  <c r="K52" i="40"/>
  <c r="I52" i="40"/>
  <c r="H52" i="40"/>
  <c r="G52" i="40"/>
  <c r="F52" i="40"/>
  <c r="E52" i="40"/>
  <c r="L51" i="40"/>
  <c r="K51" i="40"/>
  <c r="I51" i="40"/>
  <c r="H51" i="40"/>
  <c r="G51" i="40"/>
  <c r="F51" i="40"/>
  <c r="E51" i="40"/>
  <c r="L50" i="40"/>
  <c r="K50" i="40"/>
  <c r="I50" i="40"/>
  <c r="H50" i="40"/>
  <c r="G50" i="40"/>
  <c r="F50" i="40"/>
  <c r="E50" i="40"/>
  <c r="L49" i="40"/>
  <c r="K49" i="40"/>
  <c r="I49" i="40"/>
  <c r="H49" i="40"/>
  <c r="G49" i="40"/>
  <c r="F49" i="40"/>
  <c r="E49" i="40"/>
  <c r="L48" i="40"/>
  <c r="K48" i="40"/>
  <c r="I48" i="40"/>
  <c r="H48" i="40"/>
  <c r="G48" i="40"/>
  <c r="F48" i="40"/>
  <c r="E48" i="40"/>
  <c r="L47" i="40"/>
  <c r="K47" i="40"/>
  <c r="I47" i="40"/>
  <c r="H47" i="40"/>
  <c r="G47" i="40"/>
  <c r="F47" i="40"/>
  <c r="E47" i="40"/>
  <c r="L46" i="40"/>
  <c r="K46" i="40"/>
  <c r="I46" i="40"/>
  <c r="H46" i="40"/>
  <c r="G46" i="40"/>
  <c r="F46" i="40"/>
  <c r="E46" i="40"/>
  <c r="L45" i="40"/>
  <c r="K45" i="40"/>
  <c r="I45" i="40"/>
  <c r="H45" i="40"/>
  <c r="G45" i="40"/>
  <c r="F45" i="40"/>
  <c r="E45" i="40"/>
  <c r="C35" i="40"/>
  <c r="C36" i="40" s="1"/>
  <c r="C37" i="40" s="1"/>
  <c r="C38" i="40" s="1"/>
  <c r="C39" i="40" s="1"/>
  <c r="B35" i="40"/>
  <c r="B36" i="40" s="1"/>
  <c r="B37" i="40" s="1"/>
  <c r="B38" i="40" s="1"/>
  <c r="B39" i="40" s="1"/>
  <c r="C31" i="40"/>
  <c r="C32" i="40" s="1"/>
  <c r="C33" i="40" s="1"/>
  <c r="C34" i="40" s="1"/>
  <c r="B31" i="40"/>
  <c r="B32" i="40" s="1"/>
  <c r="B33" i="40" s="1"/>
  <c r="B34" i="40" s="1"/>
  <c r="C30" i="40"/>
  <c r="B30" i="40"/>
  <c r="C29" i="40"/>
  <c r="B29" i="40"/>
  <c r="C28" i="40"/>
  <c r="B28" i="40"/>
  <c r="C27" i="40"/>
  <c r="B27" i="40"/>
  <c r="C26" i="40"/>
  <c r="B26" i="40"/>
  <c r="C25" i="40"/>
  <c r="B25" i="40"/>
  <c r="L20" i="40"/>
  <c r="K20" i="40"/>
  <c r="I20" i="40"/>
  <c r="H20" i="40"/>
  <c r="G20" i="40"/>
  <c r="F20" i="40"/>
  <c r="E20" i="40"/>
  <c r="L19" i="40"/>
  <c r="K19" i="40"/>
  <c r="I19" i="40"/>
  <c r="H19" i="40"/>
  <c r="G19" i="40"/>
  <c r="F19" i="40"/>
  <c r="E19" i="40"/>
  <c r="L18" i="40"/>
  <c r="K18" i="40"/>
  <c r="I18" i="40"/>
  <c r="H18" i="40"/>
  <c r="G18" i="40"/>
  <c r="F18" i="40"/>
  <c r="E18" i="40"/>
  <c r="L17" i="40"/>
  <c r="K17" i="40"/>
  <c r="I17" i="40"/>
  <c r="H17" i="40"/>
  <c r="G17" i="40"/>
  <c r="F17" i="40"/>
  <c r="E17" i="40"/>
  <c r="L16" i="40"/>
  <c r="K16" i="40"/>
  <c r="I16" i="40"/>
  <c r="H16" i="40"/>
  <c r="G16" i="40"/>
  <c r="F16" i="40"/>
  <c r="E16" i="40"/>
  <c r="L15" i="40"/>
  <c r="K15" i="40"/>
  <c r="I15" i="40"/>
  <c r="H15" i="40"/>
  <c r="G15" i="40"/>
  <c r="F15" i="40"/>
  <c r="E15" i="40"/>
  <c r="L14" i="40"/>
  <c r="K14" i="40"/>
  <c r="I14" i="40"/>
  <c r="H14" i="40"/>
  <c r="G14" i="40"/>
  <c r="F14" i="40"/>
  <c r="E14" i="40"/>
  <c r="L13" i="40"/>
  <c r="K13" i="40"/>
  <c r="I13" i="40"/>
  <c r="H13" i="40"/>
  <c r="G13" i="40"/>
  <c r="F13" i="40"/>
  <c r="E13" i="40"/>
  <c r="L12" i="40"/>
  <c r="K12" i="40"/>
  <c r="I12" i="40"/>
  <c r="H12" i="40"/>
  <c r="G12" i="40"/>
  <c r="F12" i="40"/>
  <c r="E12" i="40"/>
  <c r="L11" i="40"/>
  <c r="K11" i="40"/>
  <c r="I11" i="40"/>
  <c r="H11" i="40"/>
  <c r="G11" i="40"/>
  <c r="F11" i="40"/>
  <c r="E11" i="40"/>
  <c r="L10" i="40"/>
  <c r="K10" i="40"/>
  <c r="I10" i="40"/>
  <c r="H10" i="40"/>
  <c r="G10" i="40"/>
  <c r="F10" i="40"/>
  <c r="E10" i="40"/>
  <c r="L9" i="40"/>
  <c r="K9" i="40"/>
  <c r="I9" i="40"/>
  <c r="H9" i="40"/>
  <c r="G9" i="40"/>
  <c r="F9" i="40"/>
  <c r="E9" i="40"/>
  <c r="L8" i="40"/>
  <c r="K8" i="40"/>
  <c r="I8" i="40"/>
  <c r="H8" i="40"/>
  <c r="G8" i="40"/>
  <c r="F8" i="40"/>
  <c r="E8" i="40"/>
  <c r="L7" i="40"/>
  <c r="K7" i="40"/>
  <c r="I7" i="40"/>
  <c r="H7" i="40"/>
  <c r="G7" i="40"/>
  <c r="F7" i="40"/>
  <c r="E7" i="40"/>
  <c r="L6" i="40"/>
  <c r="K6" i="40"/>
  <c r="I6" i="40"/>
  <c r="H6" i="40"/>
  <c r="G6" i="40"/>
  <c r="F6" i="40"/>
  <c r="E6" i="40"/>
  <c r="L5" i="40"/>
  <c r="K5" i="40"/>
  <c r="I5" i="40"/>
  <c r="H5" i="40"/>
  <c r="G5" i="40"/>
  <c r="F5" i="40"/>
  <c r="E5" i="40"/>
  <c r="D13" i="35" l="1"/>
  <c r="E13" i="35"/>
  <c r="C13" i="35"/>
  <c r="F13" i="35"/>
  <c r="M35" i="35"/>
  <c r="O34" i="35"/>
  <c r="P34" i="35" s="1"/>
  <c r="E22" i="2"/>
  <c r="B21" i="2"/>
  <c r="M10" i="40"/>
  <c r="I49" i="39" s="1"/>
  <c r="E79" i="23"/>
  <c r="O10" i="9" s="1"/>
  <c r="F9" i="9" s="1"/>
  <c r="F10" i="9" s="1"/>
  <c r="A79" i="23"/>
  <c r="K10" i="9" s="1"/>
  <c r="B20" i="9" s="1"/>
  <c r="B104" i="9" s="1"/>
  <c r="G79" i="23"/>
  <c r="Q10" i="9" s="1"/>
  <c r="H9" i="9" s="1"/>
  <c r="H93" i="9" s="1"/>
  <c r="F79" i="23"/>
  <c r="P10" i="9" s="1"/>
  <c r="G15" i="9" s="1"/>
  <c r="D79" i="23"/>
  <c r="N10" i="9" s="1"/>
  <c r="C79" i="23"/>
  <c r="M10" i="9" s="1"/>
  <c r="C9" i="9"/>
  <c r="G99" i="23"/>
  <c r="Q31" i="9" s="1"/>
  <c r="F99" i="23"/>
  <c r="P31" i="9" s="1"/>
  <c r="E99" i="23"/>
  <c r="O31" i="9" s="1"/>
  <c r="D99" i="23"/>
  <c r="N31" i="9" s="1"/>
  <c r="A99" i="23"/>
  <c r="K31" i="9" s="1"/>
  <c r="C99" i="23"/>
  <c r="M31" i="9" s="1"/>
  <c r="B99" i="23"/>
  <c r="L31" i="9" s="1"/>
  <c r="A119" i="23"/>
  <c r="K52" i="9" s="1"/>
  <c r="B119" i="23"/>
  <c r="L52" i="9" s="1"/>
  <c r="C119" i="23"/>
  <c r="M52" i="9" s="1"/>
  <c r="F119" i="23"/>
  <c r="P52" i="9" s="1"/>
  <c r="G119" i="23"/>
  <c r="Q52" i="9" s="1"/>
  <c r="D119" i="23"/>
  <c r="N52" i="9" s="1"/>
  <c r="E119" i="23"/>
  <c r="O52" i="9" s="1"/>
  <c r="C20" i="9"/>
  <c r="C15" i="9"/>
  <c r="J49" i="40"/>
  <c r="J59" i="40"/>
  <c r="J57" i="40"/>
  <c r="J48" i="40"/>
  <c r="N67" i="40" s="1"/>
  <c r="J47" i="40"/>
  <c r="B47" i="40" s="1"/>
  <c r="J56" i="40"/>
  <c r="N75" i="40" s="1"/>
  <c r="J58" i="40"/>
  <c r="N77" i="40" s="1"/>
  <c r="J50" i="40"/>
  <c r="B50" i="40" s="1"/>
  <c r="J9" i="40"/>
  <c r="B9" i="40" s="1"/>
  <c r="J46" i="40"/>
  <c r="N65" i="40" s="1"/>
  <c r="J55" i="40"/>
  <c r="B55" i="40" s="1"/>
  <c r="J13" i="40"/>
  <c r="M13" i="40" s="1"/>
  <c r="I52" i="39" s="1"/>
  <c r="B48" i="40"/>
  <c r="J54" i="40"/>
  <c r="B54" i="40" s="1"/>
  <c r="J53" i="40"/>
  <c r="B53" i="40" s="1"/>
  <c r="J45" i="40"/>
  <c r="B45" i="40" s="1"/>
  <c r="J51" i="40"/>
  <c r="N78" i="40"/>
  <c r="B74" i="40"/>
  <c r="N74" i="40" s="1"/>
  <c r="N66" i="40"/>
  <c r="J52" i="40"/>
  <c r="N71" i="40" s="1"/>
  <c r="J60" i="40"/>
  <c r="N79" i="40" s="1"/>
  <c r="J12" i="40"/>
  <c r="J20" i="40"/>
  <c r="J8" i="40"/>
  <c r="J7" i="40"/>
  <c r="B7" i="40" s="1"/>
  <c r="J6" i="40"/>
  <c r="N25" i="40" s="1"/>
  <c r="J15" i="40"/>
  <c r="B15" i="40" s="1"/>
  <c r="J18" i="40"/>
  <c r="B18" i="40" s="1"/>
  <c r="B13" i="40"/>
  <c r="J17" i="40"/>
  <c r="B17" i="40" s="1"/>
  <c r="J11" i="40"/>
  <c r="N30" i="40" s="1"/>
  <c r="J16" i="40"/>
  <c r="J5" i="40"/>
  <c r="J10" i="40"/>
  <c r="N29" i="40" s="1"/>
  <c r="J14" i="40"/>
  <c r="B14" i="40" s="1"/>
  <c r="J19" i="40"/>
  <c r="N38" i="40" s="1"/>
  <c r="N32" i="40"/>
  <c r="C14" i="35" l="1"/>
  <c r="F14" i="35"/>
  <c r="D14" i="35"/>
  <c r="E14" i="35"/>
  <c r="H15" i="9"/>
  <c r="H99" i="9" s="1"/>
  <c r="F25" i="9"/>
  <c r="F109" i="9" s="1"/>
  <c r="M36" i="35"/>
  <c r="O35" i="35"/>
  <c r="P35" i="35" s="1"/>
  <c r="F15" i="9"/>
  <c r="F99" i="9" s="1"/>
  <c r="F93" i="9"/>
  <c r="H25" i="9"/>
  <c r="H109" i="9" s="1"/>
  <c r="F20" i="9"/>
  <c r="F104" i="9" s="1"/>
  <c r="E23" i="2"/>
  <c r="B22" i="2"/>
  <c r="B25" i="9"/>
  <c r="B109" i="9" s="1"/>
  <c r="M56" i="40"/>
  <c r="J55" i="39" s="1"/>
  <c r="Q78" i="40"/>
  <c r="N64" i="40"/>
  <c r="M53" i="40"/>
  <c r="J52" i="39" s="1"/>
  <c r="B46" i="40"/>
  <c r="M58" i="40"/>
  <c r="J57" i="39" s="1"/>
  <c r="Q65" i="40"/>
  <c r="M50" i="40"/>
  <c r="J49" i="39" s="1"/>
  <c r="M18" i="40"/>
  <c r="I57" i="39" s="1"/>
  <c r="M17" i="40"/>
  <c r="I56" i="39" s="1"/>
  <c r="M45" i="40"/>
  <c r="J44" i="39" s="1"/>
  <c r="L44" i="39" s="1"/>
  <c r="N70" i="40"/>
  <c r="M51" i="40"/>
  <c r="J50" i="39" s="1"/>
  <c r="N68" i="40"/>
  <c r="M49" i="40"/>
  <c r="J48" i="39" s="1"/>
  <c r="M54" i="40"/>
  <c r="J53" i="39" s="1"/>
  <c r="M52" i="40"/>
  <c r="J51" i="39" s="1"/>
  <c r="M46" i="40"/>
  <c r="J45" i="39" s="1"/>
  <c r="M47" i="40"/>
  <c r="J46" i="39" s="1"/>
  <c r="M55" i="40"/>
  <c r="J54" i="39" s="1"/>
  <c r="Q70" i="40"/>
  <c r="N76" i="40"/>
  <c r="M57" i="40"/>
  <c r="J56" i="39" s="1"/>
  <c r="B59" i="40"/>
  <c r="M59" i="40"/>
  <c r="J58" i="39" s="1"/>
  <c r="M60" i="40"/>
  <c r="J59" i="39" s="1"/>
  <c r="M48" i="40"/>
  <c r="J47" i="39" s="1"/>
  <c r="M6" i="40"/>
  <c r="I45" i="39" s="1"/>
  <c r="B5" i="40"/>
  <c r="M5" i="40"/>
  <c r="I44" i="39" s="1"/>
  <c r="K44" i="39" s="1"/>
  <c r="B16" i="40"/>
  <c r="M16" i="40"/>
  <c r="I55" i="39" s="1"/>
  <c r="B8" i="40"/>
  <c r="M8" i="40"/>
  <c r="I47" i="39" s="1"/>
  <c r="N24" i="40"/>
  <c r="Q64" i="40" s="1"/>
  <c r="N34" i="40"/>
  <c r="Q74" i="40" s="1"/>
  <c r="N31" i="40"/>
  <c r="Q71" i="40" s="1"/>
  <c r="M12" i="40"/>
  <c r="I51" i="39" s="1"/>
  <c r="M15" i="40"/>
  <c r="I54" i="39" s="1"/>
  <c r="M19" i="40"/>
  <c r="I58" i="39" s="1"/>
  <c r="C52" i="34"/>
  <c r="B20" i="40"/>
  <c r="M20" i="40"/>
  <c r="I59" i="39" s="1"/>
  <c r="M7" i="40"/>
  <c r="I46" i="39" s="1"/>
  <c r="M11" i="40"/>
  <c r="I50" i="39" s="1"/>
  <c r="C60" i="34"/>
  <c r="M9" i="40"/>
  <c r="I48" i="39" s="1"/>
  <c r="M14" i="40"/>
  <c r="I53" i="39" s="1"/>
  <c r="H10" i="9"/>
  <c r="H94" i="9" s="1"/>
  <c r="G20" i="9"/>
  <c r="G104" i="9" s="1"/>
  <c r="B9" i="9"/>
  <c r="B15" i="9"/>
  <c r="B19" i="9" s="1"/>
  <c r="B103" i="9" s="1"/>
  <c r="H20" i="9"/>
  <c r="D20" i="9"/>
  <c r="D9" i="9"/>
  <c r="D15" i="9"/>
  <c r="D25" i="9"/>
  <c r="D109" i="9" s="1"/>
  <c r="E25" i="9"/>
  <c r="E109" i="9" s="1"/>
  <c r="E20" i="9"/>
  <c r="E9" i="9"/>
  <c r="E15" i="9"/>
  <c r="G25" i="9"/>
  <c r="G9" i="9"/>
  <c r="G99" i="9"/>
  <c r="F94" i="9"/>
  <c r="C19" i="9"/>
  <c r="C103" i="9" s="1"/>
  <c r="C99" i="9"/>
  <c r="C10" i="9"/>
  <c r="C94" i="9" s="1"/>
  <c r="C93" i="9"/>
  <c r="C24" i="9"/>
  <c r="C108" i="9" s="1"/>
  <c r="C104" i="9"/>
  <c r="C21" i="9"/>
  <c r="C105" i="9" s="1"/>
  <c r="C23" i="9"/>
  <c r="C107" i="9" s="1"/>
  <c r="C22" i="9"/>
  <c r="C106" i="9" s="1"/>
  <c r="B57" i="9"/>
  <c r="B62" i="9"/>
  <c r="B51" i="9"/>
  <c r="B52" i="9" s="1"/>
  <c r="B67" i="9"/>
  <c r="H41" i="9"/>
  <c r="H46" i="9"/>
  <c r="H30" i="9"/>
  <c r="H31" i="9" s="1"/>
  <c r="H36" i="9"/>
  <c r="C67" i="9"/>
  <c r="C62" i="9"/>
  <c r="C51" i="9"/>
  <c r="C52" i="9" s="1"/>
  <c r="C57" i="9"/>
  <c r="G41" i="9"/>
  <c r="G36" i="9"/>
  <c r="G46" i="9"/>
  <c r="G30" i="9"/>
  <c r="G31" i="9" s="1"/>
  <c r="C16" i="9"/>
  <c r="C100" i="9" s="1"/>
  <c r="F57" i="9"/>
  <c r="F67" i="9"/>
  <c r="F51" i="9"/>
  <c r="F62" i="9"/>
  <c r="C17" i="9"/>
  <c r="C101" i="9" s="1"/>
  <c r="E62" i="9"/>
  <c r="E67" i="9"/>
  <c r="E51" i="9"/>
  <c r="E52" i="9" s="1"/>
  <c r="E57" i="9"/>
  <c r="C30" i="9"/>
  <c r="C31" i="9" s="1"/>
  <c r="C36" i="9"/>
  <c r="C41" i="9"/>
  <c r="C46" i="9"/>
  <c r="F36" i="9"/>
  <c r="F41" i="9"/>
  <c r="F30" i="9"/>
  <c r="F46" i="9"/>
  <c r="C18" i="9"/>
  <c r="C102" i="9" s="1"/>
  <c r="H51" i="9"/>
  <c r="H52" i="9" s="1"/>
  <c r="H62" i="9"/>
  <c r="H67" i="9"/>
  <c r="H57" i="9"/>
  <c r="D46" i="9"/>
  <c r="D30" i="9"/>
  <c r="D31" i="9" s="1"/>
  <c r="D36" i="9"/>
  <c r="D41" i="9"/>
  <c r="G67" i="9"/>
  <c r="G57" i="9"/>
  <c r="G51" i="9"/>
  <c r="G52" i="9" s="1"/>
  <c r="G62" i="9"/>
  <c r="B30" i="9"/>
  <c r="B31" i="9" s="1"/>
  <c r="B36" i="9"/>
  <c r="B41" i="9"/>
  <c r="B46" i="9"/>
  <c r="D57" i="9"/>
  <c r="D62" i="9"/>
  <c r="D67" i="9"/>
  <c r="D51" i="9"/>
  <c r="D52" i="9" s="1"/>
  <c r="E30" i="9"/>
  <c r="E31" i="9" s="1"/>
  <c r="E36" i="9"/>
  <c r="E46" i="9"/>
  <c r="E41" i="9"/>
  <c r="N72" i="40"/>
  <c r="Q72" i="40" s="1"/>
  <c r="B49" i="40"/>
  <c r="B57" i="40"/>
  <c r="B11" i="40"/>
  <c r="B58" i="40"/>
  <c r="B12" i="40"/>
  <c r="N73" i="40"/>
  <c r="N39" i="40"/>
  <c r="Q79" i="40" s="1"/>
  <c r="B19" i="40"/>
  <c r="B10" i="40"/>
  <c r="B51" i="40"/>
  <c r="N69" i="40"/>
  <c r="Q69" i="40" s="1"/>
  <c r="N28" i="40"/>
  <c r="Q68" i="40" s="1"/>
  <c r="B56" i="40"/>
  <c r="B60" i="40"/>
  <c r="B52" i="40"/>
  <c r="N27" i="40"/>
  <c r="Q67" i="40" s="1"/>
  <c r="N37" i="40"/>
  <c r="Q77" i="40" s="1"/>
  <c r="B6" i="40"/>
  <c r="N26" i="40"/>
  <c r="Q66" i="40" s="1"/>
  <c r="N36" i="40"/>
  <c r="N35" i="40"/>
  <c r="Q75" i="40" s="1"/>
  <c r="N33" i="40"/>
  <c r="Q73" i="40" s="1"/>
  <c r="F15" i="35" l="1"/>
  <c r="E15" i="35"/>
  <c r="C15" i="35"/>
  <c r="D15" i="35"/>
  <c r="F14" i="9"/>
  <c r="F98" i="9" s="1"/>
  <c r="H18" i="9"/>
  <c r="H102" i="9" s="1"/>
  <c r="F13" i="9"/>
  <c r="F97" i="9" s="1"/>
  <c r="F11" i="9"/>
  <c r="F95" i="9" s="1"/>
  <c r="F12" i="9"/>
  <c r="F96" i="9" s="1"/>
  <c r="H13" i="9"/>
  <c r="H97" i="9" s="1"/>
  <c r="G16" i="9"/>
  <c r="G100" i="9" s="1"/>
  <c r="H11" i="9"/>
  <c r="H95" i="9" s="1"/>
  <c r="H14" i="9"/>
  <c r="H98" i="9" s="1"/>
  <c r="H12" i="9"/>
  <c r="H96" i="9" s="1"/>
  <c r="B17" i="9"/>
  <c r="B101" i="9" s="1"/>
  <c r="F16" i="9"/>
  <c r="F100" i="9" s="1"/>
  <c r="M37" i="35"/>
  <c r="O36" i="35"/>
  <c r="P36" i="35" s="1"/>
  <c r="B24" i="9"/>
  <c r="B108" i="9" s="1"/>
  <c r="H17" i="9"/>
  <c r="H101" i="9" s="1"/>
  <c r="F21" i="9"/>
  <c r="F105" i="9" s="1"/>
  <c r="F24" i="9"/>
  <c r="F108" i="9" s="1"/>
  <c r="F23" i="9"/>
  <c r="F107" i="9" s="1"/>
  <c r="F17" i="9"/>
  <c r="F101" i="9" s="1"/>
  <c r="F18" i="9"/>
  <c r="F102" i="9" s="1"/>
  <c r="B21" i="9"/>
  <c r="B105" i="9" s="1"/>
  <c r="F22" i="9"/>
  <c r="F106" i="9" s="1"/>
  <c r="B23" i="9"/>
  <c r="B107" i="9" s="1"/>
  <c r="F19" i="9"/>
  <c r="F103" i="9" s="1"/>
  <c r="B22" i="9"/>
  <c r="B106" i="9" s="1"/>
  <c r="E24" i="2"/>
  <c r="B23" i="2"/>
  <c r="C47" i="34"/>
  <c r="C51" i="34"/>
  <c r="C54" i="34"/>
  <c r="M10" i="26"/>
  <c r="M15" i="6"/>
  <c r="M10" i="6"/>
  <c r="M15" i="26"/>
  <c r="Q76" i="40"/>
  <c r="C58" i="34" s="1"/>
  <c r="C49" i="34"/>
  <c r="C50" i="34"/>
  <c r="C53" i="34"/>
  <c r="C56" i="34"/>
  <c r="C59" i="34"/>
  <c r="C61" i="34"/>
  <c r="C55" i="34"/>
  <c r="C57" i="34"/>
  <c r="C48" i="34"/>
  <c r="M15" i="5"/>
  <c r="M10" i="5"/>
  <c r="C11" i="9"/>
  <c r="C95" i="9" s="1"/>
  <c r="G19" i="9"/>
  <c r="G103" i="9" s="1"/>
  <c r="G17" i="9"/>
  <c r="G101" i="9" s="1"/>
  <c r="C13" i="9"/>
  <c r="C97" i="9" s="1"/>
  <c r="B16" i="9"/>
  <c r="B100" i="9" s="1"/>
  <c r="B18" i="9"/>
  <c r="B102" i="9" s="1"/>
  <c r="B99" i="9"/>
  <c r="B10" i="9"/>
  <c r="B93" i="9"/>
  <c r="G18" i="9"/>
  <c r="G102" i="9" s="1"/>
  <c r="H19" i="9"/>
  <c r="H103" i="9" s="1"/>
  <c r="C14" i="9"/>
  <c r="C98" i="9" s="1"/>
  <c r="C12" i="9"/>
  <c r="C96" i="9" s="1"/>
  <c r="I20" i="9"/>
  <c r="I104" i="9" s="1"/>
  <c r="H16" i="9"/>
  <c r="H100" i="9" s="1"/>
  <c r="I15" i="9"/>
  <c r="I99" i="9" s="1"/>
  <c r="G93" i="9"/>
  <c r="G10" i="9"/>
  <c r="I25" i="9"/>
  <c r="I109" i="9" s="1"/>
  <c r="G109" i="9"/>
  <c r="G21" i="9"/>
  <c r="G105" i="9" s="1"/>
  <c r="G23" i="9"/>
  <c r="G107" i="9" s="1"/>
  <c r="D10" i="9"/>
  <c r="I9" i="9"/>
  <c r="I93" i="9" s="1"/>
  <c r="D93" i="9"/>
  <c r="E99" i="9"/>
  <c r="E17" i="9"/>
  <c r="E101" i="9" s="1"/>
  <c r="E18" i="9"/>
  <c r="E102" i="9" s="1"/>
  <c r="E19" i="9"/>
  <c r="E103" i="9" s="1"/>
  <c r="E16" i="9"/>
  <c r="E100" i="9" s="1"/>
  <c r="D104" i="9"/>
  <c r="D23" i="9"/>
  <c r="D107" i="9" s="1"/>
  <c r="D22" i="9"/>
  <c r="D106" i="9" s="1"/>
  <c r="D24" i="9"/>
  <c r="D108" i="9" s="1"/>
  <c r="D21" i="9"/>
  <c r="H42" i="9"/>
  <c r="G24" i="9"/>
  <c r="G108" i="9" s="1"/>
  <c r="G22" i="9"/>
  <c r="G106" i="9" s="1"/>
  <c r="E10" i="9"/>
  <c r="E93" i="9"/>
  <c r="H104" i="9"/>
  <c r="H24" i="9"/>
  <c r="H108" i="9" s="1"/>
  <c r="H22" i="9"/>
  <c r="H106" i="9" s="1"/>
  <c r="H21" i="9"/>
  <c r="H105" i="9" s="1"/>
  <c r="H23" i="9"/>
  <c r="H107" i="9" s="1"/>
  <c r="D99" i="9"/>
  <c r="D16" i="9"/>
  <c r="D100" i="9" s="1"/>
  <c r="D19" i="9"/>
  <c r="D103" i="9" s="1"/>
  <c r="D18" i="9"/>
  <c r="D17" i="9"/>
  <c r="D101" i="9" s="1"/>
  <c r="E104" i="9"/>
  <c r="E23" i="9"/>
  <c r="E107" i="9" s="1"/>
  <c r="E24" i="9"/>
  <c r="E108" i="9" s="1"/>
  <c r="E22" i="9"/>
  <c r="E106" i="9" s="1"/>
  <c r="E21" i="9"/>
  <c r="E105" i="9" s="1"/>
  <c r="G45" i="9"/>
  <c r="D42" i="9"/>
  <c r="D59" i="9"/>
  <c r="D65" i="9"/>
  <c r="D64" i="9"/>
  <c r="D63" i="9"/>
  <c r="D66" i="9"/>
  <c r="F40" i="9"/>
  <c r="F39" i="9"/>
  <c r="F38" i="9"/>
  <c r="F37" i="9"/>
  <c r="I36" i="9"/>
  <c r="C35" i="9"/>
  <c r="C38" i="9"/>
  <c r="C40" i="9"/>
  <c r="C37" i="9"/>
  <c r="C39" i="9"/>
  <c r="F52" i="9"/>
  <c r="I51" i="9"/>
  <c r="G38" i="9"/>
  <c r="G40" i="9"/>
  <c r="G39" i="9"/>
  <c r="G37" i="9"/>
  <c r="F45" i="9"/>
  <c r="F44" i="9"/>
  <c r="F43" i="9"/>
  <c r="F42" i="9"/>
  <c r="I41" i="9"/>
  <c r="H33" i="9"/>
  <c r="H35" i="9"/>
  <c r="H32" i="9"/>
  <c r="H34" i="9"/>
  <c r="G61" i="9"/>
  <c r="G60" i="9"/>
  <c r="G59" i="9"/>
  <c r="G58" i="9"/>
  <c r="D60" i="9"/>
  <c r="D61" i="9"/>
  <c r="D58" i="9"/>
  <c r="H65" i="9"/>
  <c r="H64" i="9"/>
  <c r="H63" i="9"/>
  <c r="H66" i="9"/>
  <c r="C33" i="9"/>
  <c r="C32" i="9"/>
  <c r="C34" i="9"/>
  <c r="I67" i="9"/>
  <c r="G43" i="9"/>
  <c r="G42" i="9"/>
  <c r="G44" i="9"/>
  <c r="H45" i="9"/>
  <c r="H43" i="9"/>
  <c r="H44" i="9"/>
  <c r="G56" i="9"/>
  <c r="G53" i="9"/>
  <c r="G55" i="9"/>
  <c r="G54" i="9"/>
  <c r="E45" i="9"/>
  <c r="E44" i="9"/>
  <c r="E43" i="9"/>
  <c r="E42" i="9"/>
  <c r="H53" i="9"/>
  <c r="H55" i="9"/>
  <c r="H56" i="9"/>
  <c r="E58" i="9"/>
  <c r="E60" i="9"/>
  <c r="E59" i="9"/>
  <c r="E61" i="9"/>
  <c r="F60" i="9"/>
  <c r="F59" i="9"/>
  <c r="F58" i="9"/>
  <c r="I57" i="9"/>
  <c r="F61" i="9"/>
  <c r="C58" i="9"/>
  <c r="C61" i="9"/>
  <c r="C59" i="9"/>
  <c r="C60" i="9"/>
  <c r="C45" i="9"/>
  <c r="C44" i="9"/>
  <c r="C43" i="9"/>
  <c r="C42" i="9"/>
  <c r="B42" i="9"/>
  <c r="B43" i="9"/>
  <c r="B45" i="9"/>
  <c r="B44" i="9"/>
  <c r="D44" i="9"/>
  <c r="D45" i="9"/>
  <c r="D43" i="9"/>
  <c r="E53" i="9"/>
  <c r="E55" i="9"/>
  <c r="E56" i="9"/>
  <c r="E54" i="9"/>
  <c r="C56" i="9"/>
  <c r="C55" i="9"/>
  <c r="C53" i="9"/>
  <c r="C54" i="9"/>
  <c r="H54" i="9"/>
  <c r="H61" i="9"/>
  <c r="H60" i="9"/>
  <c r="H59" i="9"/>
  <c r="H58" i="9"/>
  <c r="E38" i="9"/>
  <c r="E37" i="9"/>
  <c r="E40" i="9"/>
  <c r="E39" i="9"/>
  <c r="B33" i="9"/>
  <c r="B40" i="9"/>
  <c r="B39" i="9"/>
  <c r="B37" i="9"/>
  <c r="B38" i="9"/>
  <c r="D37" i="9"/>
  <c r="D40" i="9"/>
  <c r="D38" i="9"/>
  <c r="D39" i="9"/>
  <c r="C64" i="9"/>
  <c r="C63" i="9"/>
  <c r="C65" i="9"/>
  <c r="C66" i="9"/>
  <c r="B54" i="9"/>
  <c r="B55" i="9"/>
  <c r="B56" i="9"/>
  <c r="I62" i="9"/>
  <c r="F66" i="9"/>
  <c r="F65" i="9"/>
  <c r="F63" i="9"/>
  <c r="F64" i="9"/>
  <c r="E35" i="9"/>
  <c r="E34" i="9"/>
  <c r="E33" i="9"/>
  <c r="E32" i="9"/>
  <c r="B34" i="9"/>
  <c r="B32" i="9"/>
  <c r="B35" i="9"/>
  <c r="D32" i="9"/>
  <c r="D34" i="9"/>
  <c r="D33" i="9"/>
  <c r="D35" i="9"/>
  <c r="I46" i="9"/>
  <c r="E65" i="9"/>
  <c r="E63" i="9"/>
  <c r="E64" i="9"/>
  <c r="E66" i="9"/>
  <c r="B63" i="9"/>
  <c r="B65" i="9"/>
  <c r="B66" i="9"/>
  <c r="B64" i="9"/>
  <c r="D55" i="9"/>
  <c r="D53" i="9"/>
  <c r="D56" i="9"/>
  <c r="D54" i="9"/>
  <c r="G63" i="9"/>
  <c r="G66" i="9"/>
  <c r="G64" i="9"/>
  <c r="G65" i="9"/>
  <c r="F31" i="9"/>
  <c r="F35" i="9" s="1"/>
  <c r="I30" i="9"/>
  <c r="G34" i="9"/>
  <c r="G33" i="9"/>
  <c r="G32" i="9"/>
  <c r="G35" i="9"/>
  <c r="H40" i="9"/>
  <c r="H38" i="9"/>
  <c r="H37" i="9"/>
  <c r="H39" i="9"/>
  <c r="B53" i="9"/>
  <c r="B58" i="9"/>
  <c r="B61" i="9"/>
  <c r="B60" i="9"/>
  <c r="B59" i="9"/>
  <c r="E57" i="39"/>
  <c r="D57" i="39"/>
  <c r="C57" i="39"/>
  <c r="D52" i="39"/>
  <c r="C52" i="39"/>
  <c r="E52" i="39" s="1"/>
  <c r="E47" i="39"/>
  <c r="D47" i="39"/>
  <c r="C47" i="39"/>
  <c r="C37" i="39"/>
  <c r="C34" i="39"/>
  <c r="C39" i="39" s="1"/>
  <c r="C29" i="39"/>
  <c r="C38" i="39" s="1"/>
  <c r="C28" i="39"/>
  <c r="C27" i="39"/>
  <c r="C26" i="39"/>
  <c r="C25" i="39"/>
  <c r="C36" i="39" s="1"/>
  <c r="C24" i="39"/>
  <c r="C22" i="39"/>
  <c r="C23" i="39" s="1"/>
  <c r="C35" i="39" s="1"/>
  <c r="C21" i="39"/>
  <c r="C20" i="39"/>
  <c r="D15" i="39"/>
  <c r="E15" i="39" s="1"/>
  <c r="F15" i="39" s="1"/>
  <c r="G15" i="39" s="1"/>
  <c r="H15" i="39" s="1"/>
  <c r="I15" i="39" s="1"/>
  <c r="J15" i="39" s="1"/>
  <c r="K15" i="39" s="1"/>
  <c r="L15" i="39" s="1"/>
  <c r="M15" i="39" s="1"/>
  <c r="D14" i="39"/>
  <c r="D13" i="39"/>
  <c r="E13" i="39" s="1"/>
  <c r="F13" i="39" s="1"/>
  <c r="G13" i="39" s="1"/>
  <c r="H13" i="39" s="1"/>
  <c r="I13" i="39" s="1"/>
  <c r="J13" i="39" s="1"/>
  <c r="K13" i="39" s="1"/>
  <c r="L13" i="39" s="1"/>
  <c r="M13" i="39" s="1"/>
  <c r="D12" i="39"/>
  <c r="D11" i="39"/>
  <c r="E11" i="39" s="1"/>
  <c r="F11" i="39" s="1"/>
  <c r="G11" i="39" s="1"/>
  <c r="H11" i="39" s="1"/>
  <c r="I11" i="39" s="1"/>
  <c r="J11" i="39" s="1"/>
  <c r="K11" i="39" s="1"/>
  <c r="L11" i="39" s="1"/>
  <c r="M11" i="39" s="1"/>
  <c r="D10" i="39"/>
  <c r="D9" i="39"/>
  <c r="E9" i="39" s="1"/>
  <c r="F9" i="39" s="1"/>
  <c r="G9" i="39" s="1"/>
  <c r="H9" i="39" s="1"/>
  <c r="I9" i="39" s="1"/>
  <c r="J9" i="39" s="1"/>
  <c r="K9" i="39" s="1"/>
  <c r="L9" i="39" s="1"/>
  <c r="M9" i="39" s="1"/>
  <c r="D8" i="39"/>
  <c r="E8" i="39" s="1"/>
  <c r="D7" i="39"/>
  <c r="E7" i="39" s="1"/>
  <c r="F7" i="39" s="1"/>
  <c r="G7" i="39" s="1"/>
  <c r="H7" i="39" s="1"/>
  <c r="I7" i="39" s="1"/>
  <c r="J7" i="39" s="1"/>
  <c r="K7" i="39" s="1"/>
  <c r="L7" i="39" s="1"/>
  <c r="M7" i="39" s="1"/>
  <c r="D6" i="39"/>
  <c r="D16" i="35" l="1"/>
  <c r="E16" i="35"/>
  <c r="C16" i="35"/>
  <c r="F16" i="35"/>
  <c r="M38" i="35"/>
  <c r="O37" i="35"/>
  <c r="P37" i="35" s="1"/>
  <c r="E25" i="2"/>
  <c r="B24" i="2"/>
  <c r="B94" i="9"/>
  <c r="B11" i="9"/>
  <c r="B95" i="9" s="1"/>
  <c r="B12" i="9"/>
  <c r="B96" i="9" s="1"/>
  <c r="B13" i="9"/>
  <c r="B97" i="9" s="1"/>
  <c r="B14" i="9"/>
  <c r="B98" i="9" s="1"/>
  <c r="D26" i="39"/>
  <c r="D27" i="39" s="1"/>
  <c r="D37" i="39" s="1"/>
  <c r="I16" i="9"/>
  <c r="I100" i="9" s="1"/>
  <c r="I24" i="9"/>
  <c r="I108" i="9" s="1"/>
  <c r="I23" i="9"/>
  <c r="I107" i="9" s="1"/>
  <c r="D105" i="9"/>
  <c r="I21" i="9"/>
  <c r="I105" i="9" s="1"/>
  <c r="D94" i="9"/>
  <c r="D13" i="9"/>
  <c r="D14" i="9"/>
  <c r="D11" i="9"/>
  <c r="D12" i="9"/>
  <c r="I10" i="9"/>
  <c r="I94" i="9" s="1"/>
  <c r="I17" i="9"/>
  <c r="I101" i="9" s="1"/>
  <c r="D102" i="9"/>
  <c r="I18" i="9"/>
  <c r="I102" i="9" s="1"/>
  <c r="I19" i="9"/>
  <c r="I103" i="9" s="1"/>
  <c r="G94" i="9"/>
  <c r="G13" i="9"/>
  <c r="G97" i="9" s="1"/>
  <c r="G14" i="9"/>
  <c r="G98" i="9" s="1"/>
  <c r="G11" i="9"/>
  <c r="G95" i="9" s="1"/>
  <c r="G12" i="9"/>
  <c r="G96" i="9" s="1"/>
  <c r="E94" i="9"/>
  <c r="E13" i="9"/>
  <c r="E97" i="9" s="1"/>
  <c r="E11" i="9"/>
  <c r="E95" i="9" s="1"/>
  <c r="E14" i="9"/>
  <c r="E98" i="9" s="1"/>
  <c r="E12" i="9"/>
  <c r="E96" i="9" s="1"/>
  <c r="I22" i="9"/>
  <c r="I106" i="9" s="1"/>
  <c r="I64" i="9"/>
  <c r="I35" i="9"/>
  <c r="I59" i="9"/>
  <c r="I43" i="9"/>
  <c r="I61" i="9"/>
  <c r="I45" i="9"/>
  <c r="I40" i="9"/>
  <c r="I44" i="9"/>
  <c r="I39" i="9"/>
  <c r="D20" i="39"/>
  <c r="D21" i="39" s="1"/>
  <c r="D34" i="39" s="1"/>
  <c r="D28" i="39"/>
  <c r="D29" i="39" s="1"/>
  <c r="D38" i="39" s="1"/>
  <c r="I31" i="9"/>
  <c r="I58" i="9"/>
  <c r="I63" i="9"/>
  <c r="I60" i="9"/>
  <c r="F34" i="9"/>
  <c r="I34" i="9" s="1"/>
  <c r="F33" i="9"/>
  <c r="I33" i="9" s="1"/>
  <c r="F32" i="9"/>
  <c r="I32" i="9" s="1"/>
  <c r="I65" i="9"/>
  <c r="I66" i="9"/>
  <c r="I42" i="9"/>
  <c r="I37" i="9"/>
  <c r="I52" i="9"/>
  <c r="F55" i="9"/>
  <c r="I55" i="9" s="1"/>
  <c r="F54" i="9"/>
  <c r="I54" i="9" s="1"/>
  <c r="F56" i="9"/>
  <c r="I56" i="9" s="1"/>
  <c r="F53" i="9"/>
  <c r="I53" i="9" s="1"/>
  <c r="I38" i="9"/>
  <c r="D24" i="39"/>
  <c r="D25" i="39" s="1"/>
  <c r="D36" i="39" s="1"/>
  <c r="C40" i="39"/>
  <c r="F8" i="39"/>
  <c r="E22" i="39"/>
  <c r="E23" i="39" s="1"/>
  <c r="E35" i="39" s="1"/>
  <c r="E6" i="39"/>
  <c r="E10" i="39"/>
  <c r="E14" i="39"/>
  <c r="D22" i="39"/>
  <c r="D23" i="39" s="1"/>
  <c r="D35" i="39" s="1"/>
  <c r="E12" i="39"/>
  <c r="E17" i="35" l="1"/>
  <c r="C17" i="35"/>
  <c r="D17" i="35"/>
  <c r="F17" i="35"/>
  <c r="M39" i="35"/>
  <c r="O38" i="35"/>
  <c r="P38" i="35" s="1"/>
  <c r="E26" i="2"/>
  <c r="B25" i="2"/>
  <c r="D96" i="9"/>
  <c r="I12" i="9"/>
  <c r="I96" i="9" s="1"/>
  <c r="D95" i="9"/>
  <c r="I11" i="9"/>
  <c r="I95" i="9" s="1"/>
  <c r="D98" i="9"/>
  <c r="I14" i="9"/>
  <c r="I98" i="9" s="1"/>
  <c r="D97" i="9"/>
  <c r="I13" i="9"/>
  <c r="I97" i="9" s="1"/>
  <c r="D39" i="39"/>
  <c r="E28" i="39"/>
  <c r="E29" i="39" s="1"/>
  <c r="E38" i="39" s="1"/>
  <c r="F14" i="39"/>
  <c r="F6" i="39"/>
  <c r="E20" i="39"/>
  <c r="E21" i="39" s="1"/>
  <c r="E34" i="39" s="1"/>
  <c r="G8" i="39"/>
  <c r="F22" i="39"/>
  <c r="F23" i="39" s="1"/>
  <c r="F35" i="39" s="1"/>
  <c r="F10" i="39"/>
  <c r="E24" i="39"/>
  <c r="E25" i="39" s="1"/>
  <c r="E36" i="39" s="1"/>
  <c r="F12" i="39"/>
  <c r="E26" i="39"/>
  <c r="E27" i="39" s="1"/>
  <c r="E37" i="39" s="1"/>
  <c r="E18" i="35" l="1"/>
  <c r="F18" i="35"/>
  <c r="C18" i="35"/>
  <c r="D18" i="35"/>
  <c r="M40" i="35"/>
  <c r="O39" i="35"/>
  <c r="P39" i="35" s="1"/>
  <c r="E27" i="2"/>
  <c r="B26" i="2"/>
  <c r="F24" i="39"/>
  <c r="F25" i="39" s="1"/>
  <c r="F36" i="39" s="1"/>
  <c r="G10" i="39"/>
  <c r="G22" i="39"/>
  <c r="G23" i="39" s="1"/>
  <c r="G35" i="39" s="1"/>
  <c r="H8" i="39"/>
  <c r="E39" i="39"/>
  <c r="F28" i="39"/>
  <c r="F29" i="39" s="1"/>
  <c r="F38" i="39" s="1"/>
  <c r="G14" i="39"/>
  <c r="G12" i="39"/>
  <c r="F26" i="39"/>
  <c r="F27" i="39" s="1"/>
  <c r="F37" i="39" s="1"/>
  <c r="F20" i="39"/>
  <c r="F21" i="39" s="1"/>
  <c r="F34" i="39" s="1"/>
  <c r="G6" i="39"/>
  <c r="D19" i="35" l="1"/>
  <c r="C19" i="35"/>
  <c r="E19" i="35"/>
  <c r="F19" i="35"/>
  <c r="M41" i="35"/>
  <c r="O40" i="35"/>
  <c r="P40" i="35" s="1"/>
  <c r="E28" i="2"/>
  <c r="B27" i="2"/>
  <c r="F39" i="39"/>
  <c r="G26" i="39"/>
  <c r="G27" i="39" s="1"/>
  <c r="G37" i="39" s="1"/>
  <c r="H12" i="39"/>
  <c r="H10" i="39"/>
  <c r="G24" i="39"/>
  <c r="G25" i="39" s="1"/>
  <c r="G36" i="39" s="1"/>
  <c r="H14" i="39"/>
  <c r="G28" i="39"/>
  <c r="G29" i="39" s="1"/>
  <c r="G38" i="39" s="1"/>
  <c r="H22" i="39"/>
  <c r="H23" i="39" s="1"/>
  <c r="H35" i="39" s="1"/>
  <c r="I8" i="39"/>
  <c r="H6" i="39"/>
  <c r="G20" i="39"/>
  <c r="G21" i="39" s="1"/>
  <c r="G34" i="39" s="1"/>
  <c r="D20" i="35" l="1"/>
  <c r="F20" i="35"/>
  <c r="E20" i="35"/>
  <c r="C20" i="35"/>
  <c r="M42" i="35"/>
  <c r="O41" i="35"/>
  <c r="P41" i="35" s="1"/>
  <c r="E29" i="2"/>
  <c r="B28" i="2"/>
  <c r="G39" i="39"/>
  <c r="H26" i="39"/>
  <c r="H27" i="39" s="1"/>
  <c r="H37" i="39" s="1"/>
  <c r="I12" i="39"/>
  <c r="J8" i="39"/>
  <c r="I22" i="39"/>
  <c r="I23" i="39" s="1"/>
  <c r="I35" i="39" s="1"/>
  <c r="I14" i="39"/>
  <c r="H28" i="39"/>
  <c r="H29" i="39" s="1"/>
  <c r="H38" i="39" s="1"/>
  <c r="I6" i="39"/>
  <c r="H20" i="39"/>
  <c r="H21" i="39" s="1"/>
  <c r="H34" i="39" s="1"/>
  <c r="H24" i="39"/>
  <c r="H25" i="39" s="1"/>
  <c r="H36" i="39" s="1"/>
  <c r="I10" i="39"/>
  <c r="D21" i="35" l="1"/>
  <c r="E21" i="35"/>
  <c r="F21" i="35"/>
  <c r="C21" i="35"/>
  <c r="M43" i="35"/>
  <c r="O42" i="35"/>
  <c r="P42" i="35" s="1"/>
  <c r="E30" i="2"/>
  <c r="B29" i="2"/>
  <c r="J6" i="39"/>
  <c r="I20" i="39"/>
  <c r="I21" i="39" s="1"/>
  <c r="I34" i="39" s="1"/>
  <c r="H39" i="39"/>
  <c r="H40" i="39" s="1"/>
  <c r="H49" i="39" s="1"/>
  <c r="J14" i="39"/>
  <c r="I28" i="39"/>
  <c r="I29" i="39" s="1"/>
  <c r="I38" i="39" s="1"/>
  <c r="I26" i="39"/>
  <c r="I27" i="39" s="1"/>
  <c r="I37" i="39" s="1"/>
  <c r="J12" i="39"/>
  <c r="J10" i="39"/>
  <c r="I24" i="39"/>
  <c r="I25" i="39" s="1"/>
  <c r="I36" i="39" s="1"/>
  <c r="K8" i="39"/>
  <c r="J22" i="39"/>
  <c r="J23" i="39" s="1"/>
  <c r="J35" i="39" s="1"/>
  <c r="C22" i="35" l="1"/>
  <c r="D22" i="35"/>
  <c r="F22" i="35"/>
  <c r="E22" i="35"/>
  <c r="M44" i="35"/>
  <c r="O44" i="35" s="1"/>
  <c r="P44" i="35" s="1"/>
  <c r="O43" i="35"/>
  <c r="P43" i="35" s="1"/>
  <c r="E31" i="2"/>
  <c r="B30" i="2"/>
  <c r="H48" i="39"/>
  <c r="H47" i="39"/>
  <c r="L49" i="39"/>
  <c r="H46" i="39"/>
  <c r="H45" i="39"/>
  <c r="K49" i="39"/>
  <c r="M40" i="5" s="1"/>
  <c r="I39" i="39"/>
  <c r="K6" i="39"/>
  <c r="J20" i="39"/>
  <c r="J21" i="39" s="1"/>
  <c r="J34" i="39" s="1"/>
  <c r="L8" i="39"/>
  <c r="K22" i="39"/>
  <c r="K23" i="39" s="1"/>
  <c r="K35" i="39" s="1"/>
  <c r="J26" i="39"/>
  <c r="J27" i="39" s="1"/>
  <c r="J37" i="39" s="1"/>
  <c r="K12" i="39"/>
  <c r="J24" i="39"/>
  <c r="J25" i="39" s="1"/>
  <c r="J36" i="39" s="1"/>
  <c r="K10" i="39"/>
  <c r="K14" i="39"/>
  <c r="J28" i="39"/>
  <c r="J29" i="39" s="1"/>
  <c r="J38" i="39" s="1"/>
  <c r="F23" i="35" l="1"/>
  <c r="C23" i="35"/>
  <c r="E23" i="35"/>
  <c r="D23" i="35"/>
  <c r="D24" i="35"/>
  <c r="E24" i="35"/>
  <c r="C24" i="35"/>
  <c r="F24" i="35"/>
  <c r="E32" i="2"/>
  <c r="B32" i="2" s="1"/>
  <c r="B31" i="2"/>
  <c r="L45" i="39"/>
  <c r="K45" i="39"/>
  <c r="M20" i="5" s="1"/>
  <c r="L46" i="39"/>
  <c r="K46" i="39"/>
  <c r="M25" i="5" s="1"/>
  <c r="M40" i="6"/>
  <c r="M40" i="26"/>
  <c r="L47" i="39"/>
  <c r="K47" i="39"/>
  <c r="M30" i="5" s="1"/>
  <c r="L48" i="39"/>
  <c r="K48" i="39"/>
  <c r="M35" i="5" s="1"/>
  <c r="L10" i="39"/>
  <c r="K24" i="39"/>
  <c r="K25" i="39" s="1"/>
  <c r="K36" i="39" s="1"/>
  <c r="M8" i="39"/>
  <c r="M22" i="39" s="1"/>
  <c r="M23" i="39" s="1"/>
  <c r="M35" i="39" s="1"/>
  <c r="L22" i="39"/>
  <c r="L23" i="39" s="1"/>
  <c r="L35" i="39" s="1"/>
  <c r="J39" i="39"/>
  <c r="K26" i="39"/>
  <c r="K27" i="39" s="1"/>
  <c r="K37" i="39" s="1"/>
  <c r="L12" i="39"/>
  <c r="K28" i="39"/>
  <c r="K29" i="39" s="1"/>
  <c r="K38" i="39" s="1"/>
  <c r="L14" i="39"/>
  <c r="K20" i="39"/>
  <c r="K21" i="39" s="1"/>
  <c r="K34" i="39" s="1"/>
  <c r="L6" i="39"/>
  <c r="M20" i="26" l="1"/>
  <c r="M20" i="6"/>
  <c r="M30" i="6"/>
  <c r="M30" i="26"/>
  <c r="M35" i="6"/>
  <c r="M35" i="26"/>
  <c r="M25" i="6"/>
  <c r="M25" i="26"/>
  <c r="L24" i="39"/>
  <c r="L25" i="39" s="1"/>
  <c r="L36" i="39" s="1"/>
  <c r="M10" i="39"/>
  <c r="M24" i="39" s="1"/>
  <c r="M25" i="39" s="1"/>
  <c r="M36" i="39" s="1"/>
  <c r="L28" i="39"/>
  <c r="L29" i="39" s="1"/>
  <c r="L38" i="39" s="1"/>
  <c r="M14" i="39"/>
  <c r="M28" i="39" s="1"/>
  <c r="M29" i="39" s="1"/>
  <c r="M38" i="39" s="1"/>
  <c r="L26" i="39"/>
  <c r="L27" i="39" s="1"/>
  <c r="L37" i="39" s="1"/>
  <c r="M12" i="39"/>
  <c r="M26" i="39" s="1"/>
  <c r="M27" i="39" s="1"/>
  <c r="M37" i="39" s="1"/>
  <c r="L20" i="39"/>
  <c r="L21" i="39" s="1"/>
  <c r="L34" i="39" s="1"/>
  <c r="M6" i="39"/>
  <c r="M20" i="39" s="1"/>
  <c r="M21" i="39" s="1"/>
  <c r="M34" i="39" s="1"/>
  <c r="K39" i="39"/>
  <c r="L39" i="39" l="1"/>
  <c r="M39" i="39"/>
  <c r="M40" i="39" s="1"/>
  <c r="H54" i="39" s="1"/>
  <c r="P28" i="2"/>
  <c r="P29" i="2"/>
  <c r="P30" i="2"/>
  <c r="P31" i="2"/>
  <c r="P32" i="2"/>
  <c r="P7" i="1"/>
  <c r="Q7" i="1"/>
  <c r="R7" i="1"/>
  <c r="S7" i="1"/>
  <c r="T7" i="1"/>
  <c r="T4" i="15"/>
  <c r="T5" i="15" s="1"/>
  <c r="T6" i="15" s="1"/>
  <c r="T7" i="15" s="1"/>
  <c r="T8" i="15" s="1"/>
  <c r="T9" i="15" s="1"/>
  <c r="T10" i="15" s="1"/>
  <c r="T11" i="15" s="1"/>
  <c r="T12" i="15" s="1"/>
  <c r="T13" i="15" s="1"/>
  <c r="T14" i="15" s="1"/>
  <c r="T15" i="15" s="1"/>
  <c r="T16" i="15" s="1"/>
  <c r="T17" i="15" s="1"/>
  <c r="T18" i="15" s="1"/>
  <c r="T19" i="15" s="1"/>
  <c r="L54" i="39" l="1"/>
  <c r="K54" i="39"/>
  <c r="M65" i="5" s="1"/>
  <c r="H55" i="39"/>
  <c r="H51" i="39"/>
  <c r="H50" i="39"/>
  <c r="H53" i="39"/>
  <c r="H52" i="39"/>
  <c r="AB4" i="15"/>
  <c r="B4" i="15"/>
  <c r="H4" i="15" s="1"/>
  <c r="O4" i="15" s="1"/>
  <c r="L50" i="39" l="1"/>
  <c r="K50" i="39"/>
  <c r="M45" i="5" s="1"/>
  <c r="K53" i="39"/>
  <c r="M60" i="5" s="1"/>
  <c r="L53" i="39"/>
  <c r="L51" i="39"/>
  <c r="K51" i="39"/>
  <c r="M50" i="5" s="1"/>
  <c r="L52" i="39"/>
  <c r="K52" i="39"/>
  <c r="M55" i="5" s="1"/>
  <c r="H56" i="39"/>
  <c r="L55" i="39"/>
  <c r="K55" i="39"/>
  <c r="M70" i="5" s="1"/>
  <c r="M65" i="6"/>
  <c r="M65" i="26"/>
  <c r="B18" i="17"/>
  <c r="B17" i="17"/>
  <c r="B16" i="17"/>
  <c r="B14" i="17"/>
  <c r="B13" i="17"/>
  <c r="B12" i="17"/>
  <c r="B10" i="17"/>
  <c r="B9" i="17"/>
  <c r="B8" i="17"/>
  <c r="B6" i="17"/>
  <c r="A6" i="17"/>
  <c r="A7" i="17" s="1"/>
  <c r="B5" i="17"/>
  <c r="A5" i="17"/>
  <c r="B4" i="17"/>
  <c r="A4" i="17"/>
  <c r="X10" i="37"/>
  <c r="AB10" i="37" s="1"/>
  <c r="X11" i="37"/>
  <c r="AB15" i="37" s="1"/>
  <c r="X12" i="37"/>
  <c r="AB16" i="37" s="1"/>
  <c r="X13" i="37"/>
  <c r="AB25" i="37" s="1"/>
  <c r="X14" i="37"/>
  <c r="AF10" i="37" s="1"/>
  <c r="X15" i="37"/>
  <c r="AF19" i="37" s="1"/>
  <c r="X16" i="37"/>
  <c r="AF12" i="37" s="1"/>
  <c r="X17" i="37"/>
  <c r="AF17" i="37" s="1"/>
  <c r="B18" i="37"/>
  <c r="B17" i="37"/>
  <c r="B16" i="37"/>
  <c r="B14" i="37"/>
  <c r="B13" i="37"/>
  <c r="B12" i="37"/>
  <c r="B10" i="37"/>
  <c r="B9" i="37"/>
  <c r="B8" i="37"/>
  <c r="B6" i="37"/>
  <c r="A6" i="37"/>
  <c r="A7" i="37" s="1"/>
  <c r="B5" i="37"/>
  <c r="A5" i="37"/>
  <c r="B4" i="37"/>
  <c r="A4" i="37"/>
  <c r="M55" i="6" l="1"/>
  <c r="M55" i="26"/>
  <c r="M70" i="6"/>
  <c r="M70" i="26"/>
  <c r="M50" i="6"/>
  <c r="M50" i="26"/>
  <c r="H57" i="39"/>
  <c r="L56" i="39"/>
  <c r="K56" i="39"/>
  <c r="M75" i="5" s="1"/>
  <c r="M60" i="6"/>
  <c r="M60" i="26"/>
  <c r="M45" i="6"/>
  <c r="M45" i="26"/>
  <c r="AF23" i="37"/>
  <c r="AB17" i="37"/>
  <c r="AF14" i="37"/>
  <c r="AB23" i="37"/>
  <c r="AF22" i="37"/>
  <c r="AF13" i="37"/>
  <c r="AF18" i="37"/>
  <c r="AB13" i="37"/>
  <c r="AB22" i="37"/>
  <c r="AF15" i="37"/>
  <c r="AB21" i="37"/>
  <c r="AF11" i="37"/>
  <c r="AB14" i="37"/>
  <c r="AB18" i="37"/>
  <c r="AB19" i="37"/>
  <c r="AF25" i="37"/>
  <c r="AF21" i="37"/>
  <c r="AB12" i="37"/>
  <c r="AF24" i="37"/>
  <c r="AF20" i="37"/>
  <c r="AB24" i="37"/>
  <c r="AB20" i="37"/>
  <c r="AF16" i="37"/>
  <c r="AB11" i="37"/>
  <c r="G43" i="23"/>
  <c r="F43" i="23"/>
  <c r="AX27" i="1"/>
  <c r="AY27" i="1"/>
  <c r="AW27" i="1"/>
  <c r="AX17" i="1"/>
  <c r="AY17" i="1"/>
  <c r="AW17" i="1"/>
  <c r="AX12" i="1"/>
  <c r="AY12" i="1"/>
  <c r="AW12" i="1"/>
  <c r="AB34" i="1"/>
  <c r="AC34" i="1"/>
  <c r="AD34" i="1"/>
  <c r="AB35" i="1"/>
  <c r="AC35" i="1"/>
  <c r="AD35" i="1"/>
  <c r="AC33" i="1"/>
  <c r="AD33" i="1"/>
  <c r="AB33" i="1"/>
  <c r="AB24" i="1"/>
  <c r="AC24" i="1"/>
  <c r="AD24" i="1"/>
  <c r="AB25" i="1"/>
  <c r="AC25" i="1"/>
  <c r="AD25" i="1"/>
  <c r="AC23" i="1"/>
  <c r="AD23" i="1"/>
  <c r="AB23" i="1"/>
  <c r="AB8" i="1"/>
  <c r="AC8" i="1"/>
  <c r="AD8" i="1"/>
  <c r="AB9" i="1"/>
  <c r="AC9" i="1"/>
  <c r="AD9" i="1"/>
  <c r="AC7" i="1"/>
  <c r="AD7" i="1"/>
  <c r="AB7" i="1"/>
  <c r="M31" i="22"/>
  <c r="L31" i="22"/>
  <c r="K31" i="22"/>
  <c r="M30" i="22"/>
  <c r="L30" i="22"/>
  <c r="K30" i="22"/>
  <c r="M29" i="22"/>
  <c r="L29" i="22"/>
  <c r="K29" i="22"/>
  <c r="M26" i="22"/>
  <c r="L26" i="22"/>
  <c r="K26" i="22"/>
  <c r="M25" i="22"/>
  <c r="L25" i="22"/>
  <c r="K25" i="22"/>
  <c r="M24" i="22"/>
  <c r="L24" i="22"/>
  <c r="K24" i="22"/>
  <c r="M21" i="22"/>
  <c r="L21" i="22"/>
  <c r="K21" i="22"/>
  <c r="M20" i="22"/>
  <c r="L20" i="22"/>
  <c r="K20" i="22"/>
  <c r="M19" i="22"/>
  <c r="L19" i="22"/>
  <c r="K19" i="22"/>
  <c r="M16" i="22"/>
  <c r="L16" i="22"/>
  <c r="K16" i="22"/>
  <c r="M15" i="22"/>
  <c r="L15" i="22"/>
  <c r="K15" i="22"/>
  <c r="M14" i="22"/>
  <c r="L14" i="22"/>
  <c r="K14" i="22"/>
  <c r="M11" i="22"/>
  <c r="L11" i="22"/>
  <c r="K11" i="22"/>
  <c r="M10" i="22"/>
  <c r="L10" i="22"/>
  <c r="K10" i="22"/>
  <c r="M9" i="22"/>
  <c r="L9" i="22"/>
  <c r="K9" i="22"/>
  <c r="K6" i="22"/>
  <c r="L6" i="22"/>
  <c r="M6" i="22"/>
  <c r="K5" i="22"/>
  <c r="L5" i="22"/>
  <c r="M5" i="22"/>
  <c r="K4" i="22"/>
  <c r="L4" i="22"/>
  <c r="M4" i="22"/>
  <c r="K19" i="2"/>
  <c r="L19" i="2"/>
  <c r="K20" i="2"/>
  <c r="L20" i="2"/>
  <c r="K21" i="2"/>
  <c r="L21" i="2"/>
  <c r="K22" i="2"/>
  <c r="L22" i="2"/>
  <c r="L18" i="2"/>
  <c r="K18" i="2"/>
  <c r="J24" i="2"/>
  <c r="J25" i="2"/>
  <c r="J26" i="2"/>
  <c r="J27" i="2"/>
  <c r="P19" i="2"/>
  <c r="P20" i="2"/>
  <c r="P21" i="2"/>
  <c r="P22" i="2"/>
  <c r="P23" i="2"/>
  <c r="P24" i="2"/>
  <c r="P25" i="2"/>
  <c r="P26" i="2"/>
  <c r="P27" i="2"/>
  <c r="P18" i="2"/>
  <c r="M75" i="6" l="1"/>
  <c r="M75" i="26"/>
  <c r="H58" i="39"/>
  <c r="L57" i="39"/>
  <c r="K57" i="39"/>
  <c r="M80" i="5" s="1"/>
  <c r="AM26" i="22"/>
  <c r="AY30" i="1" s="1"/>
  <c r="AD30" i="1" s="1"/>
  <c r="AB10" i="1"/>
  <c r="AB36" i="1"/>
  <c r="AB26" i="1"/>
  <c r="M21" i="2"/>
  <c r="M18" i="2"/>
  <c r="M22" i="2"/>
  <c r="M20" i="2"/>
  <c r="M19" i="2"/>
  <c r="AM25" i="22"/>
  <c r="AY29" i="1" s="1"/>
  <c r="AD29" i="1" s="1"/>
  <c r="AM24" i="22"/>
  <c r="AY28" i="1" s="1"/>
  <c r="AD28" i="1" s="1"/>
  <c r="AC10" i="1"/>
  <c r="AD26" i="1"/>
  <c r="AD36" i="1"/>
  <c r="AC26" i="1"/>
  <c r="AD10" i="1"/>
  <c r="AC36" i="1"/>
  <c r="M80" i="26" l="1"/>
  <c r="M80" i="6"/>
  <c r="H59" i="39"/>
  <c r="L58" i="39"/>
  <c r="K58" i="39"/>
  <c r="M85" i="5" s="1"/>
  <c r="G10" i="11"/>
  <c r="G24" i="1"/>
  <c r="G90" i="5" s="1"/>
  <c r="I8" i="11"/>
  <c r="I14" i="1"/>
  <c r="H8" i="11"/>
  <c r="H14" i="1"/>
  <c r="H40" i="5" s="1"/>
  <c r="G8" i="11"/>
  <c r="G14" i="1"/>
  <c r="G40" i="5" s="1"/>
  <c r="H10" i="11"/>
  <c r="H24" i="1"/>
  <c r="H90" i="5" s="1"/>
  <c r="I10" i="11"/>
  <c r="I24" i="1"/>
  <c r="AD31" i="1"/>
  <c r="E43" i="23"/>
  <c r="D43" i="23"/>
  <c r="C43" i="23"/>
  <c r="B43" i="23"/>
  <c r="A43" i="23"/>
  <c r="L59" i="39" l="1"/>
  <c r="K59" i="39"/>
  <c r="M90" i="5" s="1"/>
  <c r="M85" i="6"/>
  <c r="M85" i="26"/>
  <c r="I9" i="11"/>
  <c r="I19" i="1"/>
  <c r="D55" i="23"/>
  <c r="I17" i="1" l="1"/>
  <c r="M90" i="6"/>
  <c r="M90" i="26"/>
  <c r="C59" i="23"/>
  <c r="F59" i="23"/>
  <c r="G59" i="23"/>
  <c r="I23" i="1"/>
  <c r="I22" i="1"/>
  <c r="I21" i="1"/>
  <c r="I20" i="1"/>
  <c r="I18" i="1"/>
  <c r="I16" i="1"/>
  <c r="I15" i="1"/>
  <c r="A59" i="23"/>
  <c r="D59" i="23"/>
  <c r="E59" i="23"/>
  <c r="B59" i="23"/>
  <c r="AN14" i="22" l="1"/>
  <c r="AO14" i="22"/>
  <c r="AP14" i="22"/>
  <c r="AQ14" i="22"/>
  <c r="AN15" i="22"/>
  <c r="AO15" i="22"/>
  <c r="AP15" i="22"/>
  <c r="AQ15" i="22"/>
  <c r="AN16" i="22"/>
  <c r="AO16" i="22"/>
  <c r="AP16" i="22"/>
  <c r="AQ16" i="22"/>
  <c r="AN9" i="22"/>
  <c r="AO9" i="22"/>
  <c r="AP9" i="22"/>
  <c r="AQ9" i="22"/>
  <c r="AN10" i="22"/>
  <c r="AO10" i="22"/>
  <c r="AP10" i="22"/>
  <c r="AQ10" i="22"/>
  <c r="AN11" i="22"/>
  <c r="AO11" i="22"/>
  <c r="AP11" i="22"/>
  <c r="AQ11" i="22"/>
  <c r="P33" i="1" l="1"/>
  <c r="Q33" i="1"/>
  <c r="R33" i="1"/>
  <c r="S33" i="1"/>
  <c r="T33" i="1"/>
  <c r="U33" i="1"/>
  <c r="W33" i="1"/>
  <c r="X33" i="1"/>
  <c r="Y33" i="1"/>
  <c r="Z33" i="1"/>
  <c r="AE33" i="1"/>
  <c r="AF33" i="1"/>
  <c r="W19" i="15" s="1"/>
  <c r="P34" i="1"/>
  <c r="Q34" i="1"/>
  <c r="R34" i="1"/>
  <c r="S34" i="1"/>
  <c r="T34" i="1"/>
  <c r="U34" i="1"/>
  <c r="W34" i="1"/>
  <c r="X34" i="1"/>
  <c r="Y34" i="1"/>
  <c r="Z34" i="1"/>
  <c r="AE34" i="1"/>
  <c r="AF34" i="1"/>
  <c r="X19" i="15" s="1"/>
  <c r="P35" i="1"/>
  <c r="Q35" i="1"/>
  <c r="R35" i="1"/>
  <c r="S35" i="1"/>
  <c r="T35" i="1"/>
  <c r="U35" i="1"/>
  <c r="W35" i="1"/>
  <c r="X35" i="1"/>
  <c r="Y35" i="1"/>
  <c r="Z35" i="1"/>
  <c r="AE35" i="1"/>
  <c r="AF35" i="1"/>
  <c r="Y19" i="15" s="1"/>
  <c r="P23" i="1"/>
  <c r="Q23" i="1"/>
  <c r="R23" i="1"/>
  <c r="S23" i="1"/>
  <c r="T23" i="1"/>
  <c r="U23" i="1"/>
  <c r="W23" i="1"/>
  <c r="X23" i="1"/>
  <c r="Y23" i="1"/>
  <c r="Z23" i="1"/>
  <c r="AE23" i="1"/>
  <c r="AG24" i="1" s="1"/>
  <c r="AF23" i="1"/>
  <c r="W9" i="15" s="1"/>
  <c r="P24" i="1"/>
  <c r="Q24" i="1"/>
  <c r="R24" i="1"/>
  <c r="S24" i="1"/>
  <c r="T24" i="1"/>
  <c r="U24" i="1"/>
  <c r="W24" i="1"/>
  <c r="X24" i="1"/>
  <c r="Y24" i="1"/>
  <c r="Z24" i="1"/>
  <c r="AE24" i="1"/>
  <c r="AF24" i="1"/>
  <c r="X9" i="15" s="1"/>
  <c r="P25" i="1"/>
  <c r="R25" i="1"/>
  <c r="S25" i="1"/>
  <c r="T25" i="1"/>
  <c r="U25" i="1"/>
  <c r="W25" i="1"/>
  <c r="X25" i="1"/>
  <c r="Y25" i="1"/>
  <c r="Z25" i="1"/>
  <c r="AE25" i="1"/>
  <c r="AF25" i="1"/>
  <c r="Y9" i="15" s="1"/>
  <c r="U7" i="1"/>
  <c r="W7" i="1"/>
  <c r="X7" i="1"/>
  <c r="Y7" i="1"/>
  <c r="Z7" i="1"/>
  <c r="AE7" i="1"/>
  <c r="AF7" i="1"/>
  <c r="P8" i="1"/>
  <c r="Q8" i="1"/>
  <c r="R8" i="1"/>
  <c r="S8" i="1"/>
  <c r="T8" i="1"/>
  <c r="U8" i="1"/>
  <c r="W8" i="1"/>
  <c r="X8" i="1"/>
  <c r="Y8" i="1"/>
  <c r="Z8" i="1"/>
  <c r="AE8" i="1"/>
  <c r="AF8" i="1"/>
  <c r="P9" i="1"/>
  <c r="P10" i="1" s="1"/>
  <c r="Q9" i="1"/>
  <c r="R9" i="1"/>
  <c r="S9" i="1"/>
  <c r="T9" i="1"/>
  <c r="U9" i="1"/>
  <c r="W9" i="1"/>
  <c r="X9" i="1"/>
  <c r="Y9" i="1"/>
  <c r="Z9" i="1"/>
  <c r="AE9" i="1"/>
  <c r="AF9" i="1"/>
  <c r="Q6" i="1"/>
  <c r="R6" i="1"/>
  <c r="S6" i="1"/>
  <c r="T6" i="1"/>
  <c r="U6" i="1"/>
  <c r="W6" i="1"/>
  <c r="X6" i="1"/>
  <c r="Y6" i="1"/>
  <c r="Z6" i="1"/>
  <c r="AE6" i="1"/>
  <c r="AF6" i="1"/>
  <c r="P6" i="1"/>
  <c r="AG34" i="1" l="1"/>
  <c r="AJ9" i="1"/>
  <c r="V9" i="1" s="1"/>
  <c r="AC9" i="15"/>
  <c r="C24" i="37"/>
  <c r="C24" i="17"/>
  <c r="AD19" i="15"/>
  <c r="C49" i="17"/>
  <c r="C49" i="37"/>
  <c r="D49" i="37" s="1"/>
  <c r="D49" i="17" s="1"/>
  <c r="AD9" i="15"/>
  <c r="C25" i="37"/>
  <c r="C25" i="17"/>
  <c r="AE19" i="15"/>
  <c r="C50" i="37"/>
  <c r="D50" i="37" s="1"/>
  <c r="D50" i="17" s="1"/>
  <c r="AC19" i="15"/>
  <c r="C48" i="17"/>
  <c r="C51" i="17" s="1"/>
  <c r="C48" i="37"/>
  <c r="D48" i="37" s="1"/>
  <c r="AE9" i="15"/>
  <c r="C26" i="37"/>
  <c r="AJ8" i="1"/>
  <c r="V8" i="1" s="1"/>
  <c r="AJ7" i="1"/>
  <c r="V7" i="1" s="1"/>
  <c r="AA24" i="1"/>
  <c r="AA23" i="1"/>
  <c r="AA35" i="1"/>
  <c r="AA34" i="1"/>
  <c r="AA33" i="1"/>
  <c r="AA9" i="1"/>
  <c r="AA8" i="1"/>
  <c r="AA7" i="1"/>
  <c r="AA25" i="1"/>
  <c r="AF36" i="1"/>
  <c r="K24" i="1" s="1"/>
  <c r="AF26" i="1"/>
  <c r="K14" i="1" s="1"/>
  <c r="AE26" i="1"/>
  <c r="J14" i="1" s="1"/>
  <c r="AE36" i="1"/>
  <c r="J24" i="1" s="1"/>
  <c r="X10" i="1"/>
  <c r="W10" i="1"/>
  <c r="U10" i="1"/>
  <c r="T10" i="1"/>
  <c r="AF10" i="1"/>
  <c r="S10" i="1"/>
  <c r="R10" i="1"/>
  <c r="AE10" i="1"/>
  <c r="Z10" i="1"/>
  <c r="Y10" i="1"/>
  <c r="A4" i="22"/>
  <c r="B4" i="22"/>
  <c r="C4" i="22"/>
  <c r="D4" i="22"/>
  <c r="E4" i="22"/>
  <c r="F4" i="22"/>
  <c r="H4" i="22"/>
  <c r="I4" i="22"/>
  <c r="J4" i="22"/>
  <c r="N4" i="22"/>
  <c r="O4" i="22"/>
  <c r="A5" i="22"/>
  <c r="B5" i="22"/>
  <c r="C5" i="22"/>
  <c r="D5" i="22"/>
  <c r="E5" i="22"/>
  <c r="F5" i="22"/>
  <c r="H5" i="22"/>
  <c r="I5" i="22"/>
  <c r="J5" i="22"/>
  <c r="N5" i="22"/>
  <c r="O5" i="22"/>
  <c r="A6" i="22"/>
  <c r="B6" i="22"/>
  <c r="C6" i="22"/>
  <c r="D6" i="22"/>
  <c r="E6" i="22"/>
  <c r="F6" i="22"/>
  <c r="H6" i="22"/>
  <c r="I6" i="22"/>
  <c r="J6" i="22"/>
  <c r="N6" i="22"/>
  <c r="O6" i="22"/>
  <c r="A8" i="22"/>
  <c r="AC8" i="22" s="1"/>
  <c r="AM12" i="1" s="1"/>
  <c r="B8" i="22"/>
  <c r="AD8" i="22" s="1"/>
  <c r="AN12" i="1" s="1"/>
  <c r="C8" i="22"/>
  <c r="AE8" i="22" s="1"/>
  <c r="AO12" i="1" s="1"/>
  <c r="D8" i="22"/>
  <c r="AF8" i="22" s="1"/>
  <c r="AP12" i="1" s="1"/>
  <c r="E8" i="22"/>
  <c r="AG8" i="22" s="1"/>
  <c r="AQ12" i="1" s="1"/>
  <c r="F8" i="22"/>
  <c r="AH8" i="22" s="1"/>
  <c r="AR12" i="1" s="1"/>
  <c r="G8" i="22"/>
  <c r="AI8" i="22" s="1"/>
  <c r="AS12" i="1" s="1"/>
  <c r="H8" i="22"/>
  <c r="AJ8" i="22" s="1"/>
  <c r="AT12" i="1" s="1"/>
  <c r="I8" i="22"/>
  <c r="AN8" i="22" s="1"/>
  <c r="AU12" i="1" s="1"/>
  <c r="J8" i="22"/>
  <c r="AO8" i="22" s="1"/>
  <c r="AV12" i="1" s="1"/>
  <c r="N8" i="22"/>
  <c r="AP8" i="22" s="1"/>
  <c r="AZ12" i="1" s="1"/>
  <c r="O8" i="22"/>
  <c r="AQ8" i="22" s="1"/>
  <c r="BA12" i="1" s="1"/>
  <c r="A9" i="22"/>
  <c r="AC9" i="22" s="1"/>
  <c r="AM13" i="1" s="1"/>
  <c r="P13" i="1" s="1"/>
  <c r="B9" i="22"/>
  <c r="AD9" i="22" s="1"/>
  <c r="AN13" i="1" s="1"/>
  <c r="Q13" i="1" s="1"/>
  <c r="C9" i="22"/>
  <c r="D9" i="22"/>
  <c r="E9" i="22"/>
  <c r="F9" i="22"/>
  <c r="G9" i="22"/>
  <c r="H9" i="22"/>
  <c r="I9" i="22"/>
  <c r="J9" i="22"/>
  <c r="N9" i="22"/>
  <c r="O9" i="22"/>
  <c r="A10" i="22"/>
  <c r="AC10" i="22" s="1"/>
  <c r="AM14" i="1" s="1"/>
  <c r="P14" i="1" s="1"/>
  <c r="B10" i="22"/>
  <c r="AD10" i="22" s="1"/>
  <c r="AN14" i="1" s="1"/>
  <c r="Q14" i="1" s="1"/>
  <c r="C10" i="22"/>
  <c r="D10" i="22"/>
  <c r="E10" i="22"/>
  <c r="F10" i="22"/>
  <c r="G10" i="22"/>
  <c r="H10" i="22"/>
  <c r="I10" i="22"/>
  <c r="J10" i="22"/>
  <c r="N10" i="22"/>
  <c r="O10" i="22"/>
  <c r="A11" i="22"/>
  <c r="AC11" i="22" s="1"/>
  <c r="AM15" i="1" s="1"/>
  <c r="P15" i="1" s="1"/>
  <c r="B11" i="22"/>
  <c r="AD11" i="22" s="1"/>
  <c r="AN15" i="1" s="1"/>
  <c r="Q15" i="1" s="1"/>
  <c r="C11" i="22"/>
  <c r="D11" i="22"/>
  <c r="E11" i="22"/>
  <c r="F11" i="22"/>
  <c r="G11" i="22"/>
  <c r="H11" i="22"/>
  <c r="I11" i="22"/>
  <c r="J11" i="22"/>
  <c r="N11" i="22"/>
  <c r="O11" i="22"/>
  <c r="A13" i="22"/>
  <c r="AC13" i="22" s="1"/>
  <c r="AM17" i="1" s="1"/>
  <c r="B13" i="22"/>
  <c r="AD13" i="22" s="1"/>
  <c r="AN17" i="1" s="1"/>
  <c r="C13" i="22"/>
  <c r="AE13" i="22" s="1"/>
  <c r="AO17" i="1" s="1"/>
  <c r="D13" i="22"/>
  <c r="AF13" i="22" s="1"/>
  <c r="AP17" i="1" s="1"/>
  <c r="E13" i="22"/>
  <c r="AG13" i="22" s="1"/>
  <c r="AQ17" i="1" s="1"/>
  <c r="F13" i="22"/>
  <c r="AH13" i="22" s="1"/>
  <c r="AR17" i="1" s="1"/>
  <c r="G13" i="22"/>
  <c r="AI13" i="22" s="1"/>
  <c r="AS17" i="1" s="1"/>
  <c r="H13" i="22"/>
  <c r="AJ13" i="22" s="1"/>
  <c r="AT17" i="1" s="1"/>
  <c r="I13" i="22"/>
  <c r="AN13" i="22" s="1"/>
  <c r="AU17" i="1" s="1"/>
  <c r="J13" i="22"/>
  <c r="AO13" i="22" s="1"/>
  <c r="AV17" i="1" s="1"/>
  <c r="N13" i="22"/>
  <c r="AP13" i="22" s="1"/>
  <c r="AZ17" i="1" s="1"/>
  <c r="O13" i="22"/>
  <c r="AQ13" i="22" s="1"/>
  <c r="BA17" i="1" s="1"/>
  <c r="A14" i="22"/>
  <c r="AC14" i="22" s="1"/>
  <c r="AM18" i="1" s="1"/>
  <c r="B14" i="22"/>
  <c r="AD14" i="22" s="1"/>
  <c r="AN18" i="1" s="1"/>
  <c r="C14" i="22"/>
  <c r="D14" i="22"/>
  <c r="E14" i="22"/>
  <c r="F14" i="22"/>
  <c r="G14" i="22"/>
  <c r="H14" i="22"/>
  <c r="I14" i="22"/>
  <c r="J14" i="22"/>
  <c r="N14" i="22"/>
  <c r="O14" i="22"/>
  <c r="A15" i="22"/>
  <c r="AC15" i="22" s="1"/>
  <c r="AM19" i="1" s="1"/>
  <c r="B15" i="22"/>
  <c r="AD15" i="22" s="1"/>
  <c r="AN19" i="1" s="1"/>
  <c r="C15" i="22"/>
  <c r="D15" i="22"/>
  <c r="E15" i="22"/>
  <c r="F15" i="22"/>
  <c r="G15" i="22"/>
  <c r="H15" i="22"/>
  <c r="I15" i="22"/>
  <c r="J15" i="22"/>
  <c r="N15" i="22"/>
  <c r="O15" i="22"/>
  <c r="A16" i="22"/>
  <c r="AC16" i="22" s="1"/>
  <c r="AM20" i="1" s="1"/>
  <c r="B16" i="22"/>
  <c r="AD16" i="22" s="1"/>
  <c r="AN20" i="1" s="1"/>
  <c r="C16" i="22"/>
  <c r="D16" i="22"/>
  <c r="E16" i="22"/>
  <c r="F16" i="22"/>
  <c r="G16" i="22"/>
  <c r="H16" i="22"/>
  <c r="I16" i="22"/>
  <c r="J16" i="22"/>
  <c r="N16" i="22"/>
  <c r="O16" i="22"/>
  <c r="A18" i="22"/>
  <c r="B18" i="22"/>
  <c r="C18" i="22"/>
  <c r="D18" i="22"/>
  <c r="E18" i="22"/>
  <c r="F18" i="22"/>
  <c r="G18" i="22"/>
  <c r="H18" i="22"/>
  <c r="I18" i="22"/>
  <c r="J18" i="22"/>
  <c r="N18" i="22"/>
  <c r="O18" i="22"/>
  <c r="A19" i="22"/>
  <c r="B19" i="22"/>
  <c r="C19" i="22"/>
  <c r="D19" i="22"/>
  <c r="E19" i="22"/>
  <c r="F19" i="22"/>
  <c r="G19" i="22"/>
  <c r="H19" i="22"/>
  <c r="I19" i="22"/>
  <c r="J19" i="22"/>
  <c r="N19" i="22"/>
  <c r="O19" i="22"/>
  <c r="A20" i="22"/>
  <c r="B20" i="22"/>
  <c r="C20" i="22"/>
  <c r="D20" i="22"/>
  <c r="E20" i="22"/>
  <c r="F20" i="22"/>
  <c r="G20" i="22"/>
  <c r="H20" i="22"/>
  <c r="I20" i="22"/>
  <c r="J20" i="22"/>
  <c r="N20" i="22"/>
  <c r="O20" i="22"/>
  <c r="A21" i="22"/>
  <c r="B21" i="22"/>
  <c r="C21" i="22"/>
  <c r="D21" i="22"/>
  <c r="E21" i="22"/>
  <c r="F21" i="22"/>
  <c r="G21" i="22"/>
  <c r="H21" i="22"/>
  <c r="I21" i="22"/>
  <c r="J21" i="22"/>
  <c r="N21" i="22"/>
  <c r="O21" i="22"/>
  <c r="A23" i="22"/>
  <c r="AC23" i="22" s="1"/>
  <c r="AM27" i="1" s="1"/>
  <c r="B23" i="22"/>
  <c r="AD23" i="22" s="1"/>
  <c r="AN27" i="1" s="1"/>
  <c r="C23" i="22"/>
  <c r="AE23" i="22" s="1"/>
  <c r="AO27" i="1" s="1"/>
  <c r="D23" i="22"/>
  <c r="AF23" i="22" s="1"/>
  <c r="AP27" i="1" s="1"/>
  <c r="E23" i="22"/>
  <c r="AG23" i="22" s="1"/>
  <c r="AQ27" i="1" s="1"/>
  <c r="F23" i="22"/>
  <c r="AH23" i="22" s="1"/>
  <c r="AR27" i="1" s="1"/>
  <c r="G23" i="22"/>
  <c r="AI23" i="22" s="1"/>
  <c r="AS27" i="1" s="1"/>
  <c r="H23" i="22"/>
  <c r="AJ23" i="22" s="1"/>
  <c r="AT27" i="1" s="1"/>
  <c r="I23" i="22"/>
  <c r="AN23" i="22" s="1"/>
  <c r="AU27" i="1" s="1"/>
  <c r="J23" i="22"/>
  <c r="AO23" i="22" s="1"/>
  <c r="AV27" i="1" s="1"/>
  <c r="N23" i="22"/>
  <c r="AP23" i="22" s="1"/>
  <c r="AZ27" i="1" s="1"/>
  <c r="O23" i="22"/>
  <c r="AQ23" i="22" s="1"/>
  <c r="BA27" i="1" s="1"/>
  <c r="A24" i="22"/>
  <c r="AC24" i="22" s="1"/>
  <c r="AM28" i="1" s="1"/>
  <c r="B24" i="22"/>
  <c r="AD24" i="22" s="1"/>
  <c r="AN28" i="1" s="1"/>
  <c r="C24" i="22"/>
  <c r="D24" i="22"/>
  <c r="E24" i="22"/>
  <c r="F24" i="22"/>
  <c r="G24" i="22"/>
  <c r="H24" i="22"/>
  <c r="I24" i="22"/>
  <c r="J24" i="22"/>
  <c r="N24" i="22"/>
  <c r="O24" i="22"/>
  <c r="A25" i="22"/>
  <c r="AC25" i="22" s="1"/>
  <c r="AM29" i="1" s="1"/>
  <c r="B25" i="22"/>
  <c r="AD25" i="22" s="1"/>
  <c r="AN29" i="1" s="1"/>
  <c r="C25" i="22"/>
  <c r="D25" i="22"/>
  <c r="E25" i="22"/>
  <c r="F25" i="22"/>
  <c r="G25" i="22"/>
  <c r="H25" i="22"/>
  <c r="I25" i="22"/>
  <c r="J25" i="22"/>
  <c r="N25" i="22"/>
  <c r="O25" i="22"/>
  <c r="A26" i="22"/>
  <c r="AC26" i="22" s="1"/>
  <c r="AM30" i="1" s="1"/>
  <c r="B26" i="22"/>
  <c r="AD26" i="22" s="1"/>
  <c r="AN30" i="1" s="1"/>
  <c r="C26" i="22"/>
  <c r="D26" i="22"/>
  <c r="E26" i="22"/>
  <c r="F26" i="22"/>
  <c r="G26" i="22"/>
  <c r="H26" i="22"/>
  <c r="I26" i="22"/>
  <c r="J26" i="22"/>
  <c r="N26" i="22"/>
  <c r="O26" i="22"/>
  <c r="A28" i="22"/>
  <c r="B28" i="22"/>
  <c r="C28" i="22"/>
  <c r="D28" i="22"/>
  <c r="E28" i="22"/>
  <c r="F28" i="22"/>
  <c r="G28" i="22"/>
  <c r="H28" i="22"/>
  <c r="I28" i="22"/>
  <c r="J28" i="22"/>
  <c r="N28" i="22"/>
  <c r="O28" i="22"/>
  <c r="A29" i="22"/>
  <c r="B29" i="22"/>
  <c r="C29" i="22"/>
  <c r="D29" i="22"/>
  <c r="E29" i="22"/>
  <c r="F29" i="22"/>
  <c r="G29" i="22"/>
  <c r="H29" i="22"/>
  <c r="I29" i="22"/>
  <c r="J29" i="22"/>
  <c r="N29" i="22"/>
  <c r="O29" i="22"/>
  <c r="A30" i="22"/>
  <c r="B30" i="22"/>
  <c r="C30" i="22"/>
  <c r="D30" i="22"/>
  <c r="E30" i="22"/>
  <c r="F30" i="22"/>
  <c r="G30" i="22"/>
  <c r="H30" i="22"/>
  <c r="I30" i="22"/>
  <c r="J30" i="22"/>
  <c r="N30" i="22"/>
  <c r="O30" i="22"/>
  <c r="A31" i="22"/>
  <c r="B31" i="22"/>
  <c r="C31" i="22"/>
  <c r="D31" i="22"/>
  <c r="E31" i="22"/>
  <c r="F31" i="22"/>
  <c r="G31" i="22"/>
  <c r="H31" i="22"/>
  <c r="I31" i="22"/>
  <c r="J31" i="22"/>
  <c r="N31" i="22"/>
  <c r="O31" i="22"/>
  <c r="B3" i="22"/>
  <c r="C3" i="22"/>
  <c r="D3" i="22"/>
  <c r="E3" i="22"/>
  <c r="F3" i="22"/>
  <c r="G3" i="22"/>
  <c r="H3" i="22"/>
  <c r="I3" i="22"/>
  <c r="J3" i="22"/>
  <c r="N3" i="22"/>
  <c r="O3" i="22"/>
  <c r="A3" i="22"/>
  <c r="AJ23" i="1"/>
  <c r="V23" i="1" s="1"/>
  <c r="AJ24" i="1"/>
  <c r="V24" i="1" s="1"/>
  <c r="AJ25" i="1"/>
  <c r="V25" i="1" s="1"/>
  <c r="AJ33" i="1"/>
  <c r="V33" i="1" s="1"/>
  <c r="AJ34" i="1"/>
  <c r="V34" i="1" s="1"/>
  <c r="AJ35" i="1"/>
  <c r="V35" i="1" s="1"/>
  <c r="C27" i="17" l="1"/>
  <c r="AK24" i="22"/>
  <c r="AW28" i="1" s="1"/>
  <c r="AB28" i="1" s="1"/>
  <c r="AJ26" i="22"/>
  <c r="AL25" i="22"/>
  <c r="AX29" i="1" s="1"/>
  <c r="AC29" i="1" s="1"/>
  <c r="AK26" i="22"/>
  <c r="AW30" i="1" s="1"/>
  <c r="AB30" i="1" s="1"/>
  <c r="AK25" i="22"/>
  <c r="AW29" i="1" s="1"/>
  <c r="AB29" i="1" s="1"/>
  <c r="AJ25" i="22"/>
  <c r="AT29" i="1" s="1"/>
  <c r="X29" i="1" s="1"/>
  <c r="X5" i="22"/>
  <c r="AL26" i="22"/>
  <c r="AX30" i="1" s="1"/>
  <c r="AC30" i="1" s="1"/>
  <c r="AL24" i="22"/>
  <c r="AX28" i="1" s="1"/>
  <c r="AC28" i="1" s="1"/>
  <c r="D48" i="17"/>
  <c r="E49" i="17" s="1"/>
  <c r="U32" i="2" s="1"/>
  <c r="E49" i="37"/>
  <c r="E51" i="37" s="1"/>
  <c r="C27" i="37"/>
  <c r="C51" i="37"/>
  <c r="D51" i="37" s="1"/>
  <c r="T32" i="2"/>
  <c r="D26" i="37"/>
  <c r="D26" i="17" s="1"/>
  <c r="D25" i="37"/>
  <c r="D25" i="17" s="1"/>
  <c r="D24" i="37"/>
  <c r="AA19" i="22"/>
  <c r="Y19" i="22"/>
  <c r="Z19" i="22"/>
  <c r="AA4" i="22"/>
  <c r="Z4" i="22"/>
  <c r="Y4" i="22"/>
  <c r="Z14" i="22"/>
  <c r="AA14" i="22"/>
  <c r="Y14" i="22"/>
  <c r="Y21" i="22"/>
  <c r="AA21" i="22"/>
  <c r="Z21" i="22"/>
  <c r="AA9" i="22"/>
  <c r="Y9" i="22"/>
  <c r="Z9" i="22"/>
  <c r="Z20" i="22"/>
  <c r="Y20" i="22"/>
  <c r="AA20" i="22"/>
  <c r="Z15" i="22"/>
  <c r="AA15" i="22"/>
  <c r="Y15" i="22"/>
  <c r="AA10" i="22"/>
  <c r="Z10" i="22"/>
  <c r="Y10" i="22"/>
  <c r="X6" i="22"/>
  <c r="Z5" i="22"/>
  <c r="Y5" i="22"/>
  <c r="AA5" i="22"/>
  <c r="Y16" i="22"/>
  <c r="Z16" i="22"/>
  <c r="AA16" i="22"/>
  <c r="Z11" i="22"/>
  <c r="AA11" i="22"/>
  <c r="Y11" i="22"/>
  <c r="AA6" i="22"/>
  <c r="Z6" i="22"/>
  <c r="Y6" i="22"/>
  <c r="AJ10" i="1"/>
  <c r="V10" i="1" s="1"/>
  <c r="AA10" i="1"/>
  <c r="V6" i="22"/>
  <c r="V4" i="22"/>
  <c r="V20" i="22"/>
  <c r="V11" i="22"/>
  <c r="V9" i="22"/>
  <c r="U20" i="22"/>
  <c r="U21" i="22"/>
  <c r="U19" i="22"/>
  <c r="X4" i="22"/>
  <c r="W21" i="22"/>
  <c r="W19" i="22"/>
  <c r="W16" i="22"/>
  <c r="W14" i="22"/>
  <c r="W11" i="22"/>
  <c r="W9" i="22"/>
  <c r="W6" i="22"/>
  <c r="W4" i="22"/>
  <c r="S20" i="22"/>
  <c r="S15" i="22"/>
  <c r="S10" i="22"/>
  <c r="S5" i="22"/>
  <c r="X20" i="22"/>
  <c r="X15" i="22"/>
  <c r="W20" i="22"/>
  <c r="W15" i="22"/>
  <c r="V15" i="22"/>
  <c r="V10" i="22"/>
  <c r="V5" i="22"/>
  <c r="U15" i="22"/>
  <c r="U10" i="22"/>
  <c r="U5" i="22"/>
  <c r="X10" i="22"/>
  <c r="W10" i="22"/>
  <c r="X21" i="22"/>
  <c r="T20" i="22"/>
  <c r="X19" i="22"/>
  <c r="X16" i="22"/>
  <c r="T15" i="22"/>
  <c r="X14" i="22"/>
  <c r="X11" i="22"/>
  <c r="T10" i="22"/>
  <c r="X9" i="22"/>
  <c r="T5" i="22"/>
  <c r="V21" i="22"/>
  <c r="V19" i="22"/>
  <c r="V16" i="22"/>
  <c r="V14" i="22"/>
  <c r="U16" i="22"/>
  <c r="U14" i="22"/>
  <c r="U11" i="22"/>
  <c r="U9" i="22"/>
  <c r="U6" i="22"/>
  <c r="U4" i="22"/>
  <c r="T21" i="22"/>
  <c r="T19" i="22"/>
  <c r="T16" i="22"/>
  <c r="T14" i="22"/>
  <c r="T11" i="22"/>
  <c r="T9" i="22"/>
  <c r="T6" i="22"/>
  <c r="T4" i="22"/>
  <c r="S21" i="22"/>
  <c r="S19" i="22"/>
  <c r="S16" i="22"/>
  <c r="S14" i="22"/>
  <c r="S11" i="22"/>
  <c r="S9" i="22"/>
  <c r="S6" i="22"/>
  <c r="W5" i="22"/>
  <c r="S4" i="22"/>
  <c r="Z19" i="15"/>
  <c r="Z9" i="15"/>
  <c r="AI26" i="22"/>
  <c r="AS30" i="1" s="1"/>
  <c r="W30" i="1" s="1"/>
  <c r="AE25" i="22"/>
  <c r="AO29" i="1" s="1"/>
  <c r="R29" i="1" s="1"/>
  <c r="AI24" i="22"/>
  <c r="AS28" i="1" s="1"/>
  <c r="W28" i="1" s="1"/>
  <c r="AH26" i="22"/>
  <c r="AR30" i="1" s="1"/>
  <c r="U30" i="1" s="1"/>
  <c r="AO25" i="22"/>
  <c r="AV29" i="1" s="1"/>
  <c r="Z29" i="1" s="1"/>
  <c r="AH24" i="22"/>
  <c r="AR28" i="1" s="1"/>
  <c r="U28" i="1" s="1"/>
  <c r="AQ25" i="22"/>
  <c r="BA29" i="1" s="1"/>
  <c r="AF29" i="1" s="1"/>
  <c r="X14" i="15" s="1"/>
  <c r="AF25" i="22"/>
  <c r="AP25" i="22"/>
  <c r="AZ29" i="1" s="1"/>
  <c r="AG26" i="22"/>
  <c r="AQ30" i="1" s="1"/>
  <c r="T30" i="1" s="1"/>
  <c r="AN25" i="22"/>
  <c r="AU29" i="1" s="1"/>
  <c r="Y29" i="1" s="1"/>
  <c r="AG24" i="22"/>
  <c r="AQ28" i="1" s="1"/>
  <c r="T28" i="1" s="1"/>
  <c r="AT30" i="1"/>
  <c r="X30" i="1" s="1"/>
  <c r="AF26" i="22"/>
  <c r="AP30" i="1" s="1"/>
  <c r="S30" i="1" s="1"/>
  <c r="AQ24" i="22"/>
  <c r="BA28" i="1" s="1"/>
  <c r="AF28" i="1" s="1"/>
  <c r="W14" i="15" s="1"/>
  <c r="AF24" i="22"/>
  <c r="AP28" i="1" s="1"/>
  <c r="S28" i="1" s="1"/>
  <c r="AP26" i="22"/>
  <c r="AZ30" i="1" s="1"/>
  <c r="AE30" i="1" s="1"/>
  <c r="AE26" i="22"/>
  <c r="AO30" i="1" s="1"/>
  <c r="R30" i="1" s="1"/>
  <c r="AI25" i="22"/>
  <c r="AS29" i="1" s="1"/>
  <c r="W29" i="1" s="1"/>
  <c r="AP24" i="22"/>
  <c r="AZ28" i="1" s="1"/>
  <c r="AE24" i="22"/>
  <c r="AO28" i="1" s="1"/>
  <c r="R28" i="1" s="1"/>
  <c r="AJ24" i="22"/>
  <c r="AT28" i="1" s="1"/>
  <c r="X28" i="1" s="1"/>
  <c r="AQ26" i="22"/>
  <c r="BA30" i="1" s="1"/>
  <c r="AF30" i="1" s="1"/>
  <c r="Y14" i="15" s="1"/>
  <c r="AO26" i="22"/>
  <c r="AV30" i="1" s="1"/>
  <c r="Z30" i="1" s="1"/>
  <c r="AH25" i="22"/>
  <c r="AR29" i="1" s="1"/>
  <c r="U29" i="1" s="1"/>
  <c r="AO24" i="22"/>
  <c r="AV28" i="1" s="1"/>
  <c r="Z28" i="1" s="1"/>
  <c r="AN26" i="22"/>
  <c r="AU30" i="1" s="1"/>
  <c r="Y30" i="1" s="1"/>
  <c r="AG25" i="22"/>
  <c r="AQ29" i="1" s="1"/>
  <c r="T29" i="1" s="1"/>
  <c r="AN24" i="22"/>
  <c r="AU28" i="1" s="1"/>
  <c r="Y28" i="1" s="1"/>
  <c r="AU15" i="1"/>
  <c r="Y15" i="1" s="1"/>
  <c r="AU13" i="1"/>
  <c r="Y13" i="1" s="1"/>
  <c r="AP29" i="1"/>
  <c r="S29" i="1" s="1"/>
  <c r="BA14" i="1"/>
  <c r="AF14" i="1" s="1"/>
  <c r="AV15" i="1"/>
  <c r="Z15" i="1" s="1"/>
  <c r="AV13" i="1"/>
  <c r="Z13" i="1" s="1"/>
  <c r="AZ14" i="1"/>
  <c r="AE14" i="1" s="1"/>
  <c r="AV14" i="1"/>
  <c r="Z14" i="1" s="1"/>
  <c r="AU14" i="1"/>
  <c r="Y14" i="1" s="1"/>
  <c r="BA15" i="1"/>
  <c r="BA13" i="1"/>
  <c r="AF13" i="1" s="1"/>
  <c r="AZ15" i="1"/>
  <c r="AE15" i="1" s="1"/>
  <c r="AZ13" i="1"/>
  <c r="AE13" i="1" s="1"/>
  <c r="AJ36" i="1"/>
  <c r="V36" i="1" s="1"/>
  <c r="BA20" i="1"/>
  <c r="BA18" i="1"/>
  <c r="AF18" i="1" s="1"/>
  <c r="W4" i="15" s="1"/>
  <c r="W20" i="15" s="1"/>
  <c r="AZ18" i="1"/>
  <c r="AE18" i="1" s="1"/>
  <c r="AV20" i="1"/>
  <c r="Z20" i="1" s="1"/>
  <c r="AV18" i="1"/>
  <c r="Z18" i="1" s="1"/>
  <c r="AU20" i="1"/>
  <c r="Y20" i="1" s="1"/>
  <c r="AU18" i="1"/>
  <c r="Y18" i="1" s="1"/>
  <c r="BA19" i="1"/>
  <c r="AF19" i="1" s="1"/>
  <c r="X4" i="15" s="1"/>
  <c r="X20" i="15" s="1"/>
  <c r="AZ19" i="1"/>
  <c r="AE19" i="1" s="1"/>
  <c r="AD4" i="15" s="1"/>
  <c r="AD20" i="15" s="1"/>
  <c r="AV19" i="1"/>
  <c r="Z19" i="1" s="1"/>
  <c r="AZ20" i="1"/>
  <c r="AE20" i="1" s="1"/>
  <c r="AE4" i="15" s="1"/>
  <c r="AE20" i="15" s="1"/>
  <c r="AU19" i="1"/>
  <c r="Y19" i="1" s="1"/>
  <c r="AJ26" i="1"/>
  <c r="V26" i="1" s="1"/>
  <c r="G51" i="37" l="1"/>
  <c r="P51" i="37"/>
  <c r="L51" i="37"/>
  <c r="H51" i="37"/>
  <c r="K51" i="37"/>
  <c r="I51" i="37"/>
  <c r="F51" i="37" s="1"/>
  <c r="O51" i="37"/>
  <c r="AC4" i="15"/>
  <c r="AC20" i="15" s="1"/>
  <c r="AG19" i="1"/>
  <c r="AE17" i="1"/>
  <c r="T12" i="2" s="1"/>
  <c r="AG16" i="1"/>
  <c r="AC31" i="1"/>
  <c r="H9" i="11" s="1"/>
  <c r="AB31" i="1"/>
  <c r="G9" i="11" s="1"/>
  <c r="D24" i="17"/>
  <c r="E25" i="17" s="1"/>
  <c r="U22" i="2" s="1"/>
  <c r="E25" i="37"/>
  <c r="E27" i="37" s="1"/>
  <c r="D8" i="11"/>
  <c r="D14" i="1"/>
  <c r="D10" i="11"/>
  <c r="D24" i="1"/>
  <c r="D27" i="37"/>
  <c r="AE14" i="15"/>
  <c r="C46" i="37"/>
  <c r="C38" i="37" s="1"/>
  <c r="D51" i="17"/>
  <c r="T22" i="2"/>
  <c r="C4" i="37"/>
  <c r="C16" i="37" s="1"/>
  <c r="C4" i="17"/>
  <c r="C16" i="17" s="1"/>
  <c r="C5" i="17"/>
  <c r="C17" i="17" s="1"/>
  <c r="C5" i="37"/>
  <c r="C17" i="37" s="1"/>
  <c r="C6" i="37"/>
  <c r="C18" i="37" s="1"/>
  <c r="AK9" i="22"/>
  <c r="AW13" i="1" s="1"/>
  <c r="AB13" i="1" s="1"/>
  <c r="AK14" i="22"/>
  <c r="AW18" i="1" s="1"/>
  <c r="AK11" i="22"/>
  <c r="AW15" i="1" s="1"/>
  <c r="AB15" i="1" s="1"/>
  <c r="AK16" i="22"/>
  <c r="AW20" i="1" s="1"/>
  <c r="AK10" i="22"/>
  <c r="AW14" i="1" s="1"/>
  <c r="AB14" i="1" s="1"/>
  <c r="AK15" i="22"/>
  <c r="AW19" i="1" s="1"/>
  <c r="AL14" i="22"/>
  <c r="AX18" i="1" s="1"/>
  <c r="AL9" i="22"/>
  <c r="AX13" i="1" s="1"/>
  <c r="AC13" i="1" s="1"/>
  <c r="AL11" i="22"/>
  <c r="AX15" i="1" s="1"/>
  <c r="AC15" i="1" s="1"/>
  <c r="AL16" i="22"/>
  <c r="AX20" i="1" s="1"/>
  <c r="AL15" i="22"/>
  <c r="AX19" i="1" s="1"/>
  <c r="AL10" i="22"/>
  <c r="AX14" i="1" s="1"/>
  <c r="AC14" i="1" s="1"/>
  <c r="AM14" i="22"/>
  <c r="AY18" i="1" s="1"/>
  <c r="AM9" i="22"/>
  <c r="AY13" i="1" s="1"/>
  <c r="AD13" i="1" s="1"/>
  <c r="AM16" i="22"/>
  <c r="AY20" i="1" s="1"/>
  <c r="AM11" i="22"/>
  <c r="AY15" i="1" s="1"/>
  <c r="AD15" i="1" s="1"/>
  <c r="AM15" i="22"/>
  <c r="AY19" i="1" s="1"/>
  <c r="AM10" i="22"/>
  <c r="AY14" i="1" s="1"/>
  <c r="AD14" i="1" s="1"/>
  <c r="AA30" i="1"/>
  <c r="AA29" i="1"/>
  <c r="AA28" i="1"/>
  <c r="AG10" i="22"/>
  <c r="AQ14" i="1" s="1"/>
  <c r="T14" i="1" s="1"/>
  <c r="AI9" i="22"/>
  <c r="AS13" i="1" s="1"/>
  <c r="W13" i="1" s="1"/>
  <c r="AH11" i="22"/>
  <c r="AR15" i="1" s="1"/>
  <c r="U15" i="1" s="1"/>
  <c r="AE10" i="22"/>
  <c r="AO14" i="1" s="1"/>
  <c r="R14" i="1" s="1"/>
  <c r="AI16" i="22"/>
  <c r="AS20" i="1" s="1"/>
  <c r="AH9" i="22"/>
  <c r="AR13" i="1" s="1"/>
  <c r="U13" i="1" s="1"/>
  <c r="AJ11" i="22"/>
  <c r="AT15" i="1" s="1"/>
  <c r="X15" i="1" s="1"/>
  <c r="AA15" i="1" s="1"/>
  <c r="AI14" i="22"/>
  <c r="AS18" i="1" s="1"/>
  <c r="AH15" i="22"/>
  <c r="AR19" i="1" s="1"/>
  <c r="AI11" i="22"/>
  <c r="AS15" i="1" s="1"/>
  <c r="W15" i="1" s="1"/>
  <c r="AJ10" i="22"/>
  <c r="AT14" i="1" s="1"/>
  <c r="X14" i="1" s="1"/>
  <c r="AA14" i="1" s="1"/>
  <c r="AE15" i="22"/>
  <c r="AO19" i="1" s="1"/>
  <c r="AH14" i="22"/>
  <c r="AR18" i="1" s="1"/>
  <c r="AH10" i="22"/>
  <c r="AR14" i="1" s="1"/>
  <c r="U14" i="1" s="1"/>
  <c r="AG15" i="22"/>
  <c r="AQ19" i="1" s="1"/>
  <c r="AF15" i="22"/>
  <c r="AP19" i="1" s="1"/>
  <c r="AG16" i="22"/>
  <c r="AQ20" i="1" s="1"/>
  <c r="AF9" i="22"/>
  <c r="AP13" i="1" s="1"/>
  <c r="S13" i="1" s="1"/>
  <c r="AI10" i="22"/>
  <c r="AS14" i="1" s="1"/>
  <c r="W14" i="1" s="1"/>
  <c r="W16" i="15"/>
  <c r="AG14" i="22"/>
  <c r="AQ18" i="1" s="1"/>
  <c r="AJ16" i="22"/>
  <c r="AT20" i="1" s="1"/>
  <c r="AJ9" i="22"/>
  <c r="AT13" i="1" s="1"/>
  <c r="X13" i="1" s="1"/>
  <c r="AA13" i="1" s="1"/>
  <c r="AF20" i="1"/>
  <c r="Y4" i="15" s="1"/>
  <c r="Y20" i="15" s="1"/>
  <c r="X6" i="15"/>
  <c r="AF15" i="1"/>
  <c r="AE14" i="22"/>
  <c r="AO18" i="1" s="1"/>
  <c r="AJ15" i="22"/>
  <c r="AT19" i="1" s="1"/>
  <c r="AH16" i="22"/>
  <c r="AR20" i="1" s="1"/>
  <c r="Y13" i="15"/>
  <c r="X15" i="15"/>
  <c r="AE11" i="22"/>
  <c r="AO15" i="1" s="1"/>
  <c r="R15" i="1" s="1"/>
  <c r="AI15" i="22"/>
  <c r="AS19" i="1" s="1"/>
  <c r="AE16" i="22"/>
  <c r="AO20" i="1" s="1"/>
  <c r="AF14" i="22"/>
  <c r="AP18" i="1" s="1"/>
  <c r="AF11" i="22"/>
  <c r="AP15" i="1" s="1"/>
  <c r="S15" i="1" s="1"/>
  <c r="AF16" i="22"/>
  <c r="AP20" i="1" s="1"/>
  <c r="AG9" i="22"/>
  <c r="AQ13" i="1" s="1"/>
  <c r="T13" i="1" s="1"/>
  <c r="AE9" i="22"/>
  <c r="AO13" i="1" s="1"/>
  <c r="R13" i="1" s="1"/>
  <c r="AG11" i="22"/>
  <c r="AQ15" i="1" s="1"/>
  <c r="T15" i="1" s="1"/>
  <c r="AF10" i="22"/>
  <c r="AP14" i="1" s="1"/>
  <c r="S14" i="1" s="1"/>
  <c r="AJ14" i="22"/>
  <c r="AT18" i="1" s="1"/>
  <c r="AE28" i="1"/>
  <c r="AE29" i="1"/>
  <c r="AJ30" i="1"/>
  <c r="V30" i="1" s="1"/>
  <c r="AJ29" i="1"/>
  <c r="V29" i="1" s="1"/>
  <c r="AJ28" i="1"/>
  <c r="V28" i="1" s="1"/>
  <c r="AF31" i="1"/>
  <c r="K19" i="1" s="1"/>
  <c r="AG29" i="1" l="1"/>
  <c r="AG38" i="1" s="1"/>
  <c r="AP39" i="2"/>
  <c r="AA12" i="2"/>
  <c r="L10" i="5" s="1"/>
  <c r="Q27" i="37"/>
  <c r="N27" i="37" s="1"/>
  <c r="O27" i="37"/>
  <c r="H27" i="37"/>
  <c r="M27" i="37"/>
  <c r="J27" i="37" s="1"/>
  <c r="K27" i="37"/>
  <c r="I27" i="37"/>
  <c r="F27" i="37" s="1"/>
  <c r="L27" i="37"/>
  <c r="G27" i="37"/>
  <c r="P27" i="37"/>
  <c r="C7" i="17"/>
  <c r="C11" i="17" s="1"/>
  <c r="H19" i="1"/>
  <c r="H18" i="1" s="1"/>
  <c r="H60" i="5" s="1"/>
  <c r="G19" i="1"/>
  <c r="K23" i="1"/>
  <c r="K22" i="1"/>
  <c r="K21" i="1"/>
  <c r="K20" i="1"/>
  <c r="K18" i="1"/>
  <c r="K17" i="1"/>
  <c r="K15" i="1"/>
  <c r="K16" i="1"/>
  <c r="D46" i="37"/>
  <c r="D46" i="17" s="1"/>
  <c r="D38" i="37"/>
  <c r="D38" i="17" s="1"/>
  <c r="C30" i="37"/>
  <c r="D30" i="37" s="1"/>
  <c r="D30" i="17" s="1"/>
  <c r="C42" i="37"/>
  <c r="D42" i="37" s="1"/>
  <c r="D42" i="17" s="1"/>
  <c r="C34" i="37"/>
  <c r="D34" i="37" s="1"/>
  <c r="D34" i="17" s="1"/>
  <c r="D27" i="17"/>
  <c r="AD14" i="15"/>
  <c r="C45" i="37"/>
  <c r="C37" i="37" s="1"/>
  <c r="C45" i="17"/>
  <c r="C37" i="17" s="1"/>
  <c r="AC14" i="15"/>
  <c r="C44" i="37"/>
  <c r="C36" i="37" s="1"/>
  <c r="C44" i="17"/>
  <c r="C36" i="17" s="1"/>
  <c r="Y6" i="15"/>
  <c r="AD19" i="1"/>
  <c r="D5" i="37"/>
  <c r="D5" i="17" s="1"/>
  <c r="C13" i="37"/>
  <c r="D13" i="37" s="1"/>
  <c r="D13" i="17" s="1"/>
  <c r="C21" i="37"/>
  <c r="D21" i="37" s="1"/>
  <c r="D21" i="17" s="1"/>
  <c r="C9" i="37"/>
  <c r="D9" i="37" s="1"/>
  <c r="D9" i="17" s="1"/>
  <c r="D17" i="37"/>
  <c r="D17" i="17" s="1"/>
  <c r="C21" i="17"/>
  <c r="C13" i="17"/>
  <c r="C9" i="17"/>
  <c r="D6" i="37"/>
  <c r="D6" i="17" s="1"/>
  <c r="C14" i="37"/>
  <c r="D14" i="37" s="1"/>
  <c r="D14" i="17" s="1"/>
  <c r="C10" i="37"/>
  <c r="D10" i="37" s="1"/>
  <c r="D10" i="17" s="1"/>
  <c r="C22" i="37"/>
  <c r="D22" i="37" s="1"/>
  <c r="D22" i="17" s="1"/>
  <c r="D18" i="37"/>
  <c r="D18" i="17" s="1"/>
  <c r="C12" i="17"/>
  <c r="C8" i="17"/>
  <c r="C20" i="17"/>
  <c r="AC19" i="1"/>
  <c r="C12" i="37"/>
  <c r="D12" i="37" s="1"/>
  <c r="C20" i="37"/>
  <c r="D20" i="37" s="1"/>
  <c r="D16" i="37"/>
  <c r="D4" i="37"/>
  <c r="C8" i="37"/>
  <c r="D8" i="37" s="1"/>
  <c r="AB20" i="1"/>
  <c r="AB19" i="1"/>
  <c r="AB16" i="1"/>
  <c r="AB18" i="1"/>
  <c r="AC20" i="1"/>
  <c r="AC16" i="1"/>
  <c r="AC18" i="1"/>
  <c r="AD20" i="1"/>
  <c r="AD16" i="1"/>
  <c r="AD18" i="1"/>
  <c r="U20" i="1"/>
  <c r="T19" i="1"/>
  <c r="W18" i="1"/>
  <c r="U18" i="1"/>
  <c r="T20" i="1"/>
  <c r="W20" i="1"/>
  <c r="AJ13" i="1"/>
  <c r="V13" i="1" s="1"/>
  <c r="AF21" i="1"/>
  <c r="K9" i="1" s="1"/>
  <c r="X20" i="1"/>
  <c r="AA20" i="1" s="1"/>
  <c r="R19" i="1"/>
  <c r="Y12" i="15"/>
  <c r="S18" i="1"/>
  <c r="S19" i="1"/>
  <c r="X19" i="1"/>
  <c r="AA19" i="1" s="1"/>
  <c r="Y17" i="15"/>
  <c r="Y18" i="15"/>
  <c r="U19" i="1"/>
  <c r="W19" i="1"/>
  <c r="W11" i="15"/>
  <c r="W17" i="15"/>
  <c r="W18" i="15"/>
  <c r="W13" i="15"/>
  <c r="W10" i="15"/>
  <c r="W12" i="15"/>
  <c r="Y16" i="15"/>
  <c r="W15" i="15"/>
  <c r="Y15" i="15"/>
  <c r="Y10" i="15"/>
  <c r="R18" i="1"/>
  <c r="Y11" i="15"/>
  <c r="X18" i="15"/>
  <c r="AJ14" i="1"/>
  <c r="V14" i="1" s="1"/>
  <c r="Y8" i="15"/>
  <c r="Y5" i="15"/>
  <c r="W7" i="15"/>
  <c r="W8" i="15"/>
  <c r="W6" i="15"/>
  <c r="X13" i="15"/>
  <c r="X10" i="15"/>
  <c r="X18" i="1"/>
  <c r="AA18" i="1" s="1"/>
  <c r="X11" i="15"/>
  <c r="X12" i="15"/>
  <c r="X8" i="15"/>
  <c r="X17" i="15"/>
  <c r="X16" i="15"/>
  <c r="AF16" i="1"/>
  <c r="K8" i="1" s="1"/>
  <c r="Y7" i="15"/>
  <c r="W5" i="15"/>
  <c r="Z14" i="15"/>
  <c r="X7" i="15"/>
  <c r="T18" i="1"/>
  <c r="Z4" i="15"/>
  <c r="Z20" i="15" s="1"/>
  <c r="X5" i="15"/>
  <c r="R20" i="1"/>
  <c r="AJ15" i="1"/>
  <c r="V15" i="1" s="1"/>
  <c r="S20" i="1"/>
  <c r="AE31" i="1"/>
  <c r="J19" i="1" s="1"/>
  <c r="AE16" i="1"/>
  <c r="AG17" i="1" s="1"/>
  <c r="AE21" i="1"/>
  <c r="J9" i="1" s="1"/>
  <c r="AJ31" i="1"/>
  <c r="V31" i="1" s="1"/>
  <c r="C15" i="17" l="1"/>
  <c r="E5" i="37"/>
  <c r="E7" i="37" s="1"/>
  <c r="C23" i="17"/>
  <c r="L10" i="6"/>
  <c r="L10" i="26"/>
  <c r="I10" i="5"/>
  <c r="H7" i="37"/>
  <c r="I7" i="37"/>
  <c r="G7" i="37"/>
  <c r="G16" i="1"/>
  <c r="G50" i="5" s="1"/>
  <c r="G65" i="5"/>
  <c r="H15" i="1"/>
  <c r="H45" i="5" s="1"/>
  <c r="H65" i="5"/>
  <c r="X13" i="35"/>
  <c r="Z13" i="35" s="1"/>
  <c r="H13" i="35" s="1"/>
  <c r="X21" i="35"/>
  <c r="Z21" i="35" s="1"/>
  <c r="H21" i="35" s="1"/>
  <c r="I75" i="5" s="1"/>
  <c r="X17" i="35"/>
  <c r="Z17" i="35" s="1"/>
  <c r="H17" i="35" s="1"/>
  <c r="I55" i="5" s="1"/>
  <c r="X10" i="35"/>
  <c r="Z10" i="35" s="1"/>
  <c r="H10" i="35" s="1"/>
  <c r="X14" i="35"/>
  <c r="Z14" i="35" s="1"/>
  <c r="H14" i="35" s="1"/>
  <c r="I40" i="5" s="1"/>
  <c r="X22" i="35"/>
  <c r="Z22" i="35" s="1"/>
  <c r="H22" i="35" s="1"/>
  <c r="I80" i="5" s="1"/>
  <c r="X15" i="35"/>
  <c r="Z15" i="35" s="1"/>
  <c r="H15" i="35" s="1"/>
  <c r="I45" i="5" s="1"/>
  <c r="X23" i="35"/>
  <c r="Z23" i="35" s="1"/>
  <c r="H23" i="35" s="1"/>
  <c r="I85" i="5" s="1"/>
  <c r="X16" i="35"/>
  <c r="Z16" i="35" s="1"/>
  <c r="H16" i="35" s="1"/>
  <c r="I50" i="5" s="1"/>
  <c r="X24" i="35"/>
  <c r="Z24" i="35" s="1"/>
  <c r="H24" i="35" s="1"/>
  <c r="I90" i="5" s="1"/>
  <c r="X9" i="35"/>
  <c r="Z9" i="35" s="1"/>
  <c r="H9" i="35" s="1"/>
  <c r="X18" i="35"/>
  <c r="Z18" i="35" s="1"/>
  <c r="H18" i="35" s="1"/>
  <c r="I60" i="5" s="1"/>
  <c r="X11" i="35"/>
  <c r="Z11" i="35" s="1"/>
  <c r="H11" i="35" s="1"/>
  <c r="X19" i="35"/>
  <c r="Z19" i="35" s="1"/>
  <c r="H19" i="35" s="1"/>
  <c r="I65" i="5" s="1"/>
  <c r="X12" i="35"/>
  <c r="Z12" i="35" s="1"/>
  <c r="H12" i="35" s="1"/>
  <c r="X20" i="35"/>
  <c r="Z20" i="35" s="1"/>
  <c r="H20" i="35" s="1"/>
  <c r="I70" i="5" s="1"/>
  <c r="C19" i="17"/>
  <c r="H23" i="1"/>
  <c r="H85" i="5" s="1"/>
  <c r="H20" i="1"/>
  <c r="H70" i="5" s="1"/>
  <c r="H21" i="1"/>
  <c r="H75" i="5" s="1"/>
  <c r="H17" i="1"/>
  <c r="H55" i="5" s="1"/>
  <c r="H16" i="1"/>
  <c r="H50" i="5" s="1"/>
  <c r="C47" i="17"/>
  <c r="C39" i="17" s="1"/>
  <c r="H22" i="1"/>
  <c r="H80" i="5" s="1"/>
  <c r="G18" i="1"/>
  <c r="G60" i="5" s="1"/>
  <c r="G23" i="1"/>
  <c r="G85" i="5" s="1"/>
  <c r="G15" i="1"/>
  <c r="G45" i="5" s="1"/>
  <c r="G22" i="1"/>
  <c r="G80" i="5" s="1"/>
  <c r="G20" i="1"/>
  <c r="G70" i="5" s="1"/>
  <c r="G17" i="1"/>
  <c r="G55" i="5" s="1"/>
  <c r="G21" i="1"/>
  <c r="G75" i="5" s="1"/>
  <c r="D16" i="17"/>
  <c r="E17" i="17" s="1"/>
  <c r="U20" i="2" s="1"/>
  <c r="E17" i="37"/>
  <c r="E19" i="37" s="1"/>
  <c r="D20" i="17"/>
  <c r="E21" i="17" s="1"/>
  <c r="U21" i="2" s="1"/>
  <c r="E21" i="37"/>
  <c r="E23" i="37" s="1"/>
  <c r="D4" i="17"/>
  <c r="E5" i="17" s="1"/>
  <c r="U17" i="2" s="1"/>
  <c r="D12" i="17"/>
  <c r="E13" i="17" s="1"/>
  <c r="U19" i="2" s="1"/>
  <c r="E13" i="37"/>
  <c r="E15" i="37" s="1"/>
  <c r="D8" i="17"/>
  <c r="E9" i="17" s="1"/>
  <c r="U18" i="2" s="1"/>
  <c r="E9" i="37"/>
  <c r="E11" i="37" s="1"/>
  <c r="J20" i="1"/>
  <c r="J23" i="1"/>
  <c r="J22" i="1"/>
  <c r="J21" i="1"/>
  <c r="J18" i="1"/>
  <c r="J17" i="1"/>
  <c r="J16" i="1"/>
  <c r="J15" i="1"/>
  <c r="K13" i="1"/>
  <c r="K12" i="1"/>
  <c r="K11" i="1"/>
  <c r="K10" i="1"/>
  <c r="J10" i="1"/>
  <c r="J11" i="1"/>
  <c r="J13" i="1"/>
  <c r="J12" i="1"/>
  <c r="D9" i="11"/>
  <c r="D19" i="1"/>
  <c r="H6" i="11"/>
  <c r="H8" i="1"/>
  <c r="I6" i="11"/>
  <c r="I8" i="1"/>
  <c r="J8" i="1"/>
  <c r="G6" i="11"/>
  <c r="G8" i="1"/>
  <c r="Z6" i="15"/>
  <c r="C47" i="37"/>
  <c r="C39" i="37" s="1"/>
  <c r="C32" i="17"/>
  <c r="C40" i="17"/>
  <c r="C28" i="17"/>
  <c r="C29" i="17"/>
  <c r="C41" i="17"/>
  <c r="C33" i="17"/>
  <c r="D44" i="37"/>
  <c r="C28" i="37"/>
  <c r="D28" i="37" s="1"/>
  <c r="C32" i="37"/>
  <c r="D32" i="37" s="1"/>
  <c r="D36" i="37"/>
  <c r="C40" i="37"/>
  <c r="D40" i="37" s="1"/>
  <c r="D45" i="37"/>
  <c r="D45" i="17" s="1"/>
  <c r="C41" i="37"/>
  <c r="D41" i="37" s="1"/>
  <c r="D41" i="17" s="1"/>
  <c r="C33" i="37"/>
  <c r="D33" i="37" s="1"/>
  <c r="D33" i="17" s="1"/>
  <c r="D37" i="37"/>
  <c r="D37" i="17" s="1"/>
  <c r="C29" i="37"/>
  <c r="D29" i="37" s="1"/>
  <c r="D29" i="17" s="1"/>
  <c r="C7" i="37"/>
  <c r="AB21" i="1"/>
  <c r="AC21" i="1"/>
  <c r="AD21" i="1"/>
  <c r="AJ18" i="1"/>
  <c r="V18" i="1" s="1"/>
  <c r="AJ20" i="1"/>
  <c r="V20" i="1" s="1"/>
  <c r="Z5" i="15"/>
  <c r="Z8" i="15"/>
  <c r="Z7" i="15"/>
  <c r="AJ19" i="1"/>
  <c r="V19" i="1" s="1"/>
  <c r="Z17" i="15"/>
  <c r="Z18" i="15"/>
  <c r="Z15" i="15"/>
  <c r="Z13" i="15"/>
  <c r="Z11" i="15"/>
  <c r="Z16" i="15"/>
  <c r="Z12" i="15"/>
  <c r="Z10" i="15"/>
  <c r="AJ16" i="1"/>
  <c r="V16" i="1" s="1"/>
  <c r="M11" i="37" l="1"/>
  <c r="J11" i="37" s="1"/>
  <c r="O11" i="37"/>
  <c r="K11" i="37"/>
  <c r="H11" i="37"/>
  <c r="P11" i="37"/>
  <c r="I11" i="37"/>
  <c r="F11" i="37" s="1"/>
  <c r="Q11" i="37"/>
  <c r="N11" i="37" s="1"/>
  <c r="G11" i="37"/>
  <c r="L11" i="37"/>
  <c r="P15" i="37"/>
  <c r="I15" i="37"/>
  <c r="F15" i="37" s="1"/>
  <c r="Q15" i="37"/>
  <c r="N15" i="37" s="1"/>
  <c r="G15" i="37"/>
  <c r="O15" i="37"/>
  <c r="L15" i="37"/>
  <c r="M15" i="37"/>
  <c r="J15" i="37" s="1"/>
  <c r="K15" i="37"/>
  <c r="H15" i="37"/>
  <c r="K7" i="37"/>
  <c r="O7" i="37"/>
  <c r="K23" i="37"/>
  <c r="O23" i="37"/>
  <c r="H23" i="37"/>
  <c r="I23" i="37"/>
  <c r="F23" i="37" s="1"/>
  <c r="P23" i="37"/>
  <c r="Q23" i="37"/>
  <c r="N23" i="37" s="1"/>
  <c r="L23" i="37"/>
  <c r="G23" i="37"/>
  <c r="M23" i="37"/>
  <c r="J23" i="37" s="1"/>
  <c r="Q7" i="37"/>
  <c r="M7" i="37"/>
  <c r="P7" i="37"/>
  <c r="L7" i="37"/>
  <c r="L19" i="37"/>
  <c r="M19" i="37"/>
  <c r="J19" i="37" s="1"/>
  <c r="K19" i="37"/>
  <c r="P19" i="37"/>
  <c r="Q19" i="37"/>
  <c r="N19" i="37" s="1"/>
  <c r="O19" i="37"/>
  <c r="F7" i="37"/>
  <c r="G19" i="37"/>
  <c r="H19" i="37"/>
  <c r="I19" i="37"/>
  <c r="F19" i="37" s="1"/>
  <c r="C35" i="17"/>
  <c r="T24" i="2" s="1"/>
  <c r="T25" i="2"/>
  <c r="C43" i="17"/>
  <c r="C31" i="17"/>
  <c r="T23" i="2" s="1"/>
  <c r="AM12" i="2"/>
  <c r="D40" i="17"/>
  <c r="E41" i="17" s="1"/>
  <c r="U26" i="2" s="1"/>
  <c r="E41" i="37"/>
  <c r="E43" i="37" s="1"/>
  <c r="D36" i="17"/>
  <c r="E37" i="17" s="1"/>
  <c r="U25" i="2" s="1"/>
  <c r="E37" i="37"/>
  <c r="E39" i="37" s="1"/>
  <c r="D32" i="17"/>
  <c r="E33" i="17" s="1"/>
  <c r="U24" i="2" s="1"/>
  <c r="E33" i="37"/>
  <c r="E35" i="37" s="1"/>
  <c r="D28" i="17"/>
  <c r="E29" i="17" s="1"/>
  <c r="U23" i="2" s="1"/>
  <c r="E29" i="37"/>
  <c r="E31" i="37" s="1"/>
  <c r="D44" i="17"/>
  <c r="E45" i="17" s="1"/>
  <c r="U27" i="2" s="1"/>
  <c r="E45" i="37"/>
  <c r="E47" i="37" s="1"/>
  <c r="D20" i="1"/>
  <c r="D23" i="1"/>
  <c r="D21" i="1"/>
  <c r="D22" i="1"/>
  <c r="D18" i="1"/>
  <c r="D17" i="1"/>
  <c r="D16" i="1"/>
  <c r="D15" i="1"/>
  <c r="I7" i="11"/>
  <c r="I9" i="1"/>
  <c r="I15" i="5" s="1"/>
  <c r="D6" i="11"/>
  <c r="D8" i="1"/>
  <c r="D10" i="5" s="1"/>
  <c r="X10" i="6" s="1"/>
  <c r="H7" i="11"/>
  <c r="H9" i="1"/>
  <c r="H15" i="5" s="1"/>
  <c r="G7" i="11"/>
  <c r="G9" i="1"/>
  <c r="G15" i="5" s="1"/>
  <c r="AS12" i="2"/>
  <c r="D47" i="37"/>
  <c r="C43" i="37"/>
  <c r="D43" i="37" s="1"/>
  <c r="C31" i="37"/>
  <c r="D31" i="37" s="1"/>
  <c r="D39" i="37"/>
  <c r="C35" i="37"/>
  <c r="D35" i="37" s="1"/>
  <c r="T27" i="2"/>
  <c r="T17" i="2"/>
  <c r="T13" i="2" s="1"/>
  <c r="T18" i="2"/>
  <c r="T19" i="2"/>
  <c r="D7" i="37"/>
  <c r="C11" i="37"/>
  <c r="D11" i="37" s="1"/>
  <c r="C19" i="37"/>
  <c r="D19" i="37" s="1"/>
  <c r="C15" i="37"/>
  <c r="D15" i="37" s="1"/>
  <c r="C23" i="37"/>
  <c r="D23" i="37" s="1"/>
  <c r="AJ21" i="1"/>
  <c r="V21" i="1" s="1"/>
  <c r="AP40" i="2" l="1"/>
  <c r="AA13" i="2"/>
  <c r="X10" i="5"/>
  <c r="P47" i="37"/>
  <c r="Q47" i="37"/>
  <c r="H47" i="37"/>
  <c r="O47" i="37"/>
  <c r="L47" i="37"/>
  <c r="K47" i="37"/>
  <c r="I47" i="37"/>
  <c r="F47" i="37" s="1"/>
  <c r="G47" i="37"/>
  <c r="M47" i="37"/>
  <c r="J47" i="37" s="1"/>
  <c r="M43" i="37"/>
  <c r="J43" i="37" s="1"/>
  <c r="H43" i="37"/>
  <c r="K43" i="37"/>
  <c r="I43" i="37"/>
  <c r="F43" i="37" s="1"/>
  <c r="G43" i="37"/>
  <c r="P43" i="37"/>
  <c r="Q43" i="37"/>
  <c r="N43" i="37" s="1"/>
  <c r="O43" i="37"/>
  <c r="L43" i="37"/>
  <c r="O39" i="37"/>
  <c r="K39" i="37"/>
  <c r="L39" i="37"/>
  <c r="M39" i="37"/>
  <c r="J39" i="37" s="1"/>
  <c r="P39" i="37"/>
  <c r="Q39" i="37"/>
  <c r="N39" i="37" s="1"/>
  <c r="L31" i="37"/>
  <c r="G31" i="37"/>
  <c r="M31" i="37"/>
  <c r="J31" i="37" s="1"/>
  <c r="P31" i="37"/>
  <c r="Q31" i="37"/>
  <c r="N31" i="37" s="1"/>
  <c r="K31" i="37"/>
  <c r="O31" i="37"/>
  <c r="H31" i="37"/>
  <c r="I31" i="37"/>
  <c r="F31" i="37" s="1"/>
  <c r="N7" i="37"/>
  <c r="J7" i="37"/>
  <c r="P35" i="37"/>
  <c r="I35" i="37"/>
  <c r="F35" i="37" s="1"/>
  <c r="Q35" i="37"/>
  <c r="N35" i="37" s="1"/>
  <c r="O35" i="37"/>
  <c r="H35" i="37"/>
  <c r="L35" i="37"/>
  <c r="M35" i="37"/>
  <c r="J35" i="37" s="1"/>
  <c r="K35" i="37"/>
  <c r="G35" i="37"/>
  <c r="H39" i="37"/>
  <c r="I39" i="37"/>
  <c r="F39" i="37" s="1"/>
  <c r="G39" i="37"/>
  <c r="U13" i="2"/>
  <c r="T15" i="2"/>
  <c r="U15" i="2" s="1"/>
  <c r="U12" i="2"/>
  <c r="T16" i="2"/>
  <c r="U16" i="2" s="1"/>
  <c r="T14" i="2"/>
  <c r="U14" i="2" s="1"/>
  <c r="I10" i="6"/>
  <c r="I54" i="11" s="1"/>
  <c r="H10" i="5"/>
  <c r="H10" i="6" s="1"/>
  <c r="H54" i="11" s="1"/>
  <c r="G10" i="5"/>
  <c r="G10" i="26" s="1"/>
  <c r="G34" i="11" s="1"/>
  <c r="D10" i="6"/>
  <c r="G13" i="1"/>
  <c r="G35" i="5" s="1"/>
  <c r="G12" i="1"/>
  <c r="G30" i="5" s="1"/>
  <c r="G11" i="1"/>
  <c r="G25" i="5" s="1"/>
  <c r="G10" i="1"/>
  <c r="G20" i="5" s="1"/>
  <c r="H10" i="1"/>
  <c r="H20" i="5" s="1"/>
  <c r="H13" i="1"/>
  <c r="H35" i="5" s="1"/>
  <c r="H11" i="1"/>
  <c r="H25" i="5" s="1"/>
  <c r="H12" i="1"/>
  <c r="H30" i="5" s="1"/>
  <c r="I13" i="1"/>
  <c r="I35" i="5" s="1"/>
  <c r="I12" i="1"/>
  <c r="I30" i="5" s="1"/>
  <c r="I11" i="1"/>
  <c r="I25" i="5" s="1"/>
  <c r="I10" i="1"/>
  <c r="I20" i="5" s="1"/>
  <c r="D7" i="11"/>
  <c r="D9" i="1"/>
  <c r="D39" i="17"/>
  <c r="D35" i="17"/>
  <c r="D31" i="17"/>
  <c r="D43" i="17"/>
  <c r="D47" i="17"/>
  <c r="T29" i="2"/>
  <c r="T30" i="2"/>
  <c r="T31" i="2"/>
  <c r="T28" i="2"/>
  <c r="T26" i="2"/>
  <c r="D23" i="17"/>
  <c r="D15" i="17"/>
  <c r="T20" i="2"/>
  <c r="D19" i="17"/>
  <c r="D11" i="17"/>
  <c r="D7" i="17"/>
  <c r="T21" i="2"/>
  <c r="N47" i="37" l="1"/>
  <c r="AG50" i="15"/>
  <c r="Z14" i="2"/>
  <c r="Z15" i="2" s="1"/>
  <c r="Z16" i="2" s="1"/>
  <c r="Z17" i="2" s="1"/>
  <c r="G10" i="6"/>
  <c r="G54" i="11" s="1"/>
  <c r="D14" i="11"/>
  <c r="D10" i="26"/>
  <c r="D34" i="11" s="1"/>
  <c r="I10" i="26"/>
  <c r="I34" i="11" s="1"/>
  <c r="X10" i="26"/>
  <c r="H10" i="26"/>
  <c r="H34" i="11" s="1"/>
  <c r="I14" i="11"/>
  <c r="G14" i="11"/>
  <c r="H14" i="11"/>
  <c r="D10" i="1"/>
  <c r="D13" i="1"/>
  <c r="D11" i="1"/>
  <c r="D12" i="1"/>
  <c r="D54" i="11"/>
  <c r="AA17" i="2" l="1"/>
  <c r="L9" i="34" s="1"/>
  <c r="M9" i="34" s="1"/>
  <c r="I7" i="17"/>
  <c r="AI4" i="15"/>
  <c r="Z18" i="2"/>
  <c r="I11" i="17" s="1"/>
  <c r="F11" i="17" s="1"/>
  <c r="AL17" i="2"/>
  <c r="AJ4" i="15" s="1"/>
  <c r="V17" i="2"/>
  <c r="G7" i="17" s="1"/>
  <c r="AF17" i="2"/>
  <c r="AF18" i="2" s="1"/>
  <c r="AR17" i="2"/>
  <c r="AK4" i="15" s="1"/>
  <c r="U31" i="2"/>
  <c r="U30" i="2"/>
  <c r="U29" i="2"/>
  <c r="U28" i="2"/>
  <c r="L15" i="5" l="1"/>
  <c r="L15" i="6" s="1"/>
  <c r="K7" i="17"/>
  <c r="O7" i="17"/>
  <c r="AG18" i="2"/>
  <c r="M11" i="17"/>
  <c r="J11" i="17" s="1"/>
  <c r="Q7" i="17"/>
  <c r="M7" i="17"/>
  <c r="F7" i="17"/>
  <c r="AA18" i="2"/>
  <c r="AS18" i="2" s="1"/>
  <c r="X17" i="2"/>
  <c r="V18" i="2"/>
  <c r="W17" i="2"/>
  <c r="AS17" i="2"/>
  <c r="G15" i="11"/>
  <c r="Z19" i="2"/>
  <c r="AI5" i="15"/>
  <c r="I15" i="11"/>
  <c r="H15" i="6"/>
  <c r="H55" i="11" s="1"/>
  <c r="AM17" i="2"/>
  <c r="AG17" i="2"/>
  <c r="AR18" i="2"/>
  <c r="AR19" i="2" s="1"/>
  <c r="AN17" i="2"/>
  <c r="AO17" i="2" s="1"/>
  <c r="AB17" i="2"/>
  <c r="AC17" i="2" s="1"/>
  <c r="AL18" i="2"/>
  <c r="AH17" i="2"/>
  <c r="AH18" i="2" s="1"/>
  <c r="O11" i="17" s="1"/>
  <c r="AF19" i="2"/>
  <c r="L15" i="26" l="1"/>
  <c r="L20" i="5"/>
  <c r="L20" i="6" s="1"/>
  <c r="L10" i="34"/>
  <c r="M10" i="34" s="1"/>
  <c r="AN18" i="2"/>
  <c r="AN19" i="2" s="1"/>
  <c r="AN20" i="2" s="1"/>
  <c r="G11" i="17"/>
  <c r="Y17" i="2"/>
  <c r="H7" i="17"/>
  <c r="AL19" i="2"/>
  <c r="AM19" i="2" s="1"/>
  <c r="L25" i="26" s="1"/>
  <c r="Q11" i="17"/>
  <c r="N11" i="17" s="1"/>
  <c r="N7" i="17"/>
  <c r="J7" i="17"/>
  <c r="AG19" i="2"/>
  <c r="M15" i="17"/>
  <c r="J15" i="17" s="1"/>
  <c r="AA19" i="2"/>
  <c r="I15" i="17"/>
  <c r="F15" i="17" s="1"/>
  <c r="AP17" i="2"/>
  <c r="AQ17" i="2" s="1"/>
  <c r="AJ17" i="2"/>
  <c r="AJ18" i="2" s="1"/>
  <c r="P11" i="17" s="1"/>
  <c r="AD17" i="2"/>
  <c r="AD18" i="2" s="1"/>
  <c r="L11" i="17" s="1"/>
  <c r="AI6" i="15"/>
  <c r="AB18" i="2"/>
  <c r="AI17" i="2"/>
  <c r="W18" i="2"/>
  <c r="V19" i="2"/>
  <c r="G15" i="17" s="1"/>
  <c r="I15" i="6"/>
  <c r="I55" i="11" s="1"/>
  <c r="Z20" i="2"/>
  <c r="Z21" i="2" s="1"/>
  <c r="I15" i="26"/>
  <c r="I35" i="11" s="1"/>
  <c r="H15" i="11"/>
  <c r="H15" i="26"/>
  <c r="H35" i="11" s="1"/>
  <c r="G15" i="26"/>
  <c r="G35" i="11" s="1"/>
  <c r="G15" i="6"/>
  <c r="G55" i="11" s="1"/>
  <c r="AK5" i="15"/>
  <c r="AO18" i="2"/>
  <c r="X18" i="2"/>
  <c r="H11" i="17" s="1"/>
  <c r="AJ5" i="15"/>
  <c r="AM18" i="2"/>
  <c r="L20" i="26" s="1"/>
  <c r="AO19" i="2"/>
  <c r="AI18" i="2"/>
  <c r="AH19" i="2"/>
  <c r="O15" i="17" s="1"/>
  <c r="AK6" i="15"/>
  <c r="AS19" i="2"/>
  <c r="AR20" i="2"/>
  <c r="AF20" i="2"/>
  <c r="AC11" i="15"/>
  <c r="AC16" i="15"/>
  <c r="AC17" i="15"/>
  <c r="AC12" i="15"/>
  <c r="AC6" i="15"/>
  <c r="AC7" i="15"/>
  <c r="AC8" i="15"/>
  <c r="AC13" i="15"/>
  <c r="AC18" i="15"/>
  <c r="AC5" i="15"/>
  <c r="AC10" i="15"/>
  <c r="AC15" i="15"/>
  <c r="L25" i="5" l="1"/>
  <c r="L11" i="34"/>
  <c r="M11" i="34" s="1"/>
  <c r="H10" i="34"/>
  <c r="I10" i="34" s="1"/>
  <c r="C10" i="34"/>
  <c r="D47" i="34" s="1"/>
  <c r="D10" i="34"/>
  <c r="E47" i="34" s="1"/>
  <c r="F10" i="34"/>
  <c r="F47" i="34" s="1"/>
  <c r="G10" i="34"/>
  <c r="G47" i="34" s="1"/>
  <c r="AE17" i="2"/>
  <c r="AJ6" i="15"/>
  <c r="Q15" i="17"/>
  <c r="N15" i="17" s="1"/>
  <c r="P7" i="17"/>
  <c r="L7" i="17"/>
  <c r="AL20" i="2"/>
  <c r="Q19" i="17" s="1"/>
  <c r="N19" i="17" s="1"/>
  <c r="AC18" i="2"/>
  <c r="K11" i="17"/>
  <c r="AA20" i="2"/>
  <c r="I19" i="17"/>
  <c r="F19" i="17" s="1"/>
  <c r="AG20" i="2"/>
  <c r="M19" i="17"/>
  <c r="J19" i="17" s="1"/>
  <c r="AA21" i="2"/>
  <c r="L13" i="34" s="1"/>
  <c r="M13" i="34" s="1"/>
  <c r="I23" i="17"/>
  <c r="F23" i="17" s="1"/>
  <c r="AB19" i="2"/>
  <c r="K15" i="17" s="1"/>
  <c r="AK17" i="2"/>
  <c r="V20" i="2"/>
  <c r="W19" i="2"/>
  <c r="AI8" i="15"/>
  <c r="X19" i="2"/>
  <c r="AP18" i="2"/>
  <c r="AP19" i="2" s="1"/>
  <c r="AP20" i="2" s="1"/>
  <c r="AQ20" i="2" s="1"/>
  <c r="Y18" i="2"/>
  <c r="AI7" i="15"/>
  <c r="Z22" i="2"/>
  <c r="AH20" i="2"/>
  <c r="O19" i="17" s="1"/>
  <c r="AI19" i="2"/>
  <c r="AO20" i="2"/>
  <c r="AN21" i="2"/>
  <c r="AD19" i="2"/>
  <c r="L15" i="17" s="1"/>
  <c r="AE18" i="2"/>
  <c r="AJ19" i="2"/>
  <c r="P15" i="17" s="1"/>
  <c r="AK18" i="2"/>
  <c r="L25" i="6"/>
  <c r="AK7" i="15"/>
  <c r="AS20" i="2"/>
  <c r="AR21" i="2"/>
  <c r="AF21" i="2"/>
  <c r="L30" i="5" l="1"/>
  <c r="L12" i="34"/>
  <c r="M12" i="34" s="1"/>
  <c r="H11" i="34"/>
  <c r="C11" i="34"/>
  <c r="F11" i="34"/>
  <c r="G11" i="34"/>
  <c r="D11" i="34"/>
  <c r="H13" i="34"/>
  <c r="H32" i="34" s="1"/>
  <c r="G13" i="34"/>
  <c r="C13" i="34"/>
  <c r="D13" i="34"/>
  <c r="F13" i="34"/>
  <c r="AJ7" i="15"/>
  <c r="AC19" i="2"/>
  <c r="Y19" i="2"/>
  <c r="H15" i="17"/>
  <c r="AB20" i="2"/>
  <c r="K19" i="17" s="1"/>
  <c r="AL21" i="2"/>
  <c r="AJ8" i="15" s="1"/>
  <c r="AM20" i="2"/>
  <c r="L30" i="26" s="1"/>
  <c r="AA22" i="2"/>
  <c r="L14" i="34" s="1"/>
  <c r="M14" i="34" s="1"/>
  <c r="I27" i="17"/>
  <c r="F27" i="17" s="1"/>
  <c r="AF22" i="2"/>
  <c r="M27" i="17" s="1"/>
  <c r="J27" i="17" s="1"/>
  <c r="M23" i="17"/>
  <c r="J23" i="17" s="1"/>
  <c r="X20" i="2"/>
  <c r="G19" i="17"/>
  <c r="AP21" i="2"/>
  <c r="AP22" i="2" s="1"/>
  <c r="AQ18" i="2"/>
  <c r="AI9" i="15"/>
  <c r="V21" i="2"/>
  <c r="G23" i="17" s="1"/>
  <c r="W20" i="2"/>
  <c r="AQ19" i="2"/>
  <c r="Z23" i="2"/>
  <c r="AI20" i="2"/>
  <c r="AH21" i="2"/>
  <c r="O23" i="17" s="1"/>
  <c r="AD20" i="2"/>
  <c r="L19" i="17" s="1"/>
  <c r="AE19" i="2"/>
  <c r="AJ20" i="2"/>
  <c r="P19" i="17" s="1"/>
  <c r="AK19" i="2"/>
  <c r="AN22" i="2"/>
  <c r="AO21" i="2"/>
  <c r="L30" i="6"/>
  <c r="AG21" i="2"/>
  <c r="AK8" i="15"/>
  <c r="AR22" i="2"/>
  <c r="AS21" i="2"/>
  <c r="L35" i="5"/>
  <c r="AB5" i="15"/>
  <c r="AH4" i="15"/>
  <c r="O5" i="15"/>
  <c r="O6" i="15" s="1"/>
  <c r="O7" i="15" s="1"/>
  <c r="O8" i="15" s="1"/>
  <c r="O9" i="15" s="1"/>
  <c r="O10" i="15" s="1"/>
  <c r="O11" i="15" s="1"/>
  <c r="O12" i="15" s="1"/>
  <c r="O13" i="15" s="1"/>
  <c r="O14" i="15" s="1"/>
  <c r="O15" i="15" s="1"/>
  <c r="O16" i="15" s="1"/>
  <c r="O17" i="15" s="1"/>
  <c r="O18" i="15" s="1"/>
  <c r="O19" i="15" s="1"/>
  <c r="H5" i="15"/>
  <c r="H6" i="15" s="1"/>
  <c r="H7" i="15" s="1"/>
  <c r="H8" i="15" s="1"/>
  <c r="H9" i="15" s="1"/>
  <c r="H10" i="15" s="1"/>
  <c r="H11" i="15" s="1"/>
  <c r="H12" i="15" s="1"/>
  <c r="H13" i="15" s="1"/>
  <c r="H14" i="15" s="1"/>
  <c r="H15" i="15" s="1"/>
  <c r="H16" i="15" s="1"/>
  <c r="H17" i="15" s="1"/>
  <c r="H18" i="15" s="1"/>
  <c r="H19" i="15" s="1"/>
  <c r="B5" i="15"/>
  <c r="B6" i="15" s="1"/>
  <c r="B7" i="15" s="1"/>
  <c r="B8" i="15" s="1"/>
  <c r="B9" i="15" s="1"/>
  <c r="B10" i="15" s="1"/>
  <c r="B11" i="15" s="1"/>
  <c r="B12" i="15" s="1"/>
  <c r="B13" i="15" s="1"/>
  <c r="B14" i="15" s="1"/>
  <c r="B15" i="15" s="1"/>
  <c r="B16" i="15" s="1"/>
  <c r="B17" i="15" s="1"/>
  <c r="B18" i="15" s="1"/>
  <c r="B19" i="15" s="1"/>
  <c r="D30" i="34" l="1"/>
  <c r="E48" i="34"/>
  <c r="G30" i="34"/>
  <c r="G48" i="34"/>
  <c r="F30" i="34"/>
  <c r="F48" i="34"/>
  <c r="F32" i="34"/>
  <c r="F50" i="34"/>
  <c r="C30" i="34"/>
  <c r="D48" i="34"/>
  <c r="D32" i="34"/>
  <c r="E50" i="34"/>
  <c r="H30" i="34"/>
  <c r="I11" i="34"/>
  <c r="I30" i="34" s="1"/>
  <c r="C32" i="34"/>
  <c r="D50" i="34"/>
  <c r="H12" i="34"/>
  <c r="D12" i="34"/>
  <c r="F12" i="34"/>
  <c r="C12" i="34"/>
  <c r="G12" i="34"/>
  <c r="H14" i="34"/>
  <c r="H33" i="34" s="1"/>
  <c r="F14" i="34"/>
  <c r="C14" i="34"/>
  <c r="G14" i="34"/>
  <c r="D14" i="34"/>
  <c r="G32" i="34"/>
  <c r="G50" i="34"/>
  <c r="AC20" i="2"/>
  <c r="AG22" i="2"/>
  <c r="AF23" i="2"/>
  <c r="M31" i="17" s="1"/>
  <c r="J31" i="17" s="1"/>
  <c r="AB21" i="2"/>
  <c r="K23" i="17" s="1"/>
  <c r="AL22" i="2"/>
  <c r="AJ9" i="15" s="1"/>
  <c r="AM21" i="2"/>
  <c r="L35" i="26" s="1"/>
  <c r="Q23" i="17"/>
  <c r="N23" i="17" s="1"/>
  <c r="Y20" i="2"/>
  <c r="H19" i="17"/>
  <c r="AA23" i="2"/>
  <c r="L15" i="34" s="1"/>
  <c r="M15" i="34" s="1"/>
  <c r="I31" i="17"/>
  <c r="F31" i="17" s="1"/>
  <c r="AQ21" i="2"/>
  <c r="AI10" i="15"/>
  <c r="V22" i="2"/>
  <c r="G27" i="17" s="1"/>
  <c r="W21" i="2"/>
  <c r="X21" i="2"/>
  <c r="Z24" i="2"/>
  <c r="AP23" i="2"/>
  <c r="AQ22" i="2"/>
  <c r="AN23" i="2"/>
  <c r="AO22" i="2"/>
  <c r="AD21" i="2"/>
  <c r="L23" i="17" s="1"/>
  <c r="AE20" i="2"/>
  <c r="AJ21" i="2"/>
  <c r="P23" i="17" s="1"/>
  <c r="AK20" i="2"/>
  <c r="AH22" i="2"/>
  <c r="O27" i="17" s="1"/>
  <c r="AI21" i="2"/>
  <c r="L35" i="6"/>
  <c r="AK9" i="15"/>
  <c r="AS22" i="2"/>
  <c r="AR23" i="2"/>
  <c r="I13" i="34"/>
  <c r="I32" i="34" s="1"/>
  <c r="L40" i="5"/>
  <c r="AB6" i="15"/>
  <c r="AH5" i="15"/>
  <c r="F33" i="34" l="1"/>
  <c r="F51" i="34"/>
  <c r="G31" i="34"/>
  <c r="G49" i="34"/>
  <c r="C31" i="34"/>
  <c r="D49" i="34"/>
  <c r="G33" i="34"/>
  <c r="G51" i="34"/>
  <c r="C33" i="34"/>
  <c r="D51" i="34"/>
  <c r="F31" i="34"/>
  <c r="F49" i="34"/>
  <c r="H31" i="34"/>
  <c r="I12" i="34"/>
  <c r="I31" i="34" s="1"/>
  <c r="H15" i="34"/>
  <c r="H34" i="34" s="1"/>
  <c r="D15" i="34"/>
  <c r="G15" i="34"/>
  <c r="F15" i="34"/>
  <c r="C15" i="34"/>
  <c r="D33" i="34"/>
  <c r="E51" i="34"/>
  <c r="D31" i="34"/>
  <c r="E49" i="34"/>
  <c r="Q27" i="17"/>
  <c r="N27" i="17" s="1"/>
  <c r="AF24" i="2"/>
  <c r="M35" i="17" s="1"/>
  <c r="J35" i="17" s="1"/>
  <c r="AC21" i="2"/>
  <c r="AG23" i="2"/>
  <c r="AB22" i="2"/>
  <c r="K27" i="17" s="1"/>
  <c r="AL23" i="2"/>
  <c r="AM22" i="2"/>
  <c r="L40" i="26" s="1"/>
  <c r="AA24" i="2"/>
  <c r="L16" i="34" s="1"/>
  <c r="M16" i="34" s="1"/>
  <c r="I35" i="17"/>
  <c r="F35" i="17" s="1"/>
  <c r="Y21" i="2"/>
  <c r="H23" i="17"/>
  <c r="AI11" i="15"/>
  <c r="V23" i="2"/>
  <c r="G31" i="17" s="1"/>
  <c r="W22" i="2"/>
  <c r="X22" i="2"/>
  <c r="Z25" i="2"/>
  <c r="AD22" i="2"/>
  <c r="L27" i="17" s="1"/>
  <c r="AE21" i="2"/>
  <c r="AH23" i="2"/>
  <c r="O31" i="17" s="1"/>
  <c r="AI22" i="2"/>
  <c r="AN24" i="2"/>
  <c r="AO23" i="2"/>
  <c r="AJ22" i="2"/>
  <c r="P27" i="17" s="1"/>
  <c r="AK21" i="2"/>
  <c r="AP24" i="2"/>
  <c r="AQ23" i="2"/>
  <c r="L40" i="6"/>
  <c r="AK10" i="15"/>
  <c r="AS23" i="2"/>
  <c r="AR24" i="2"/>
  <c r="L45" i="5"/>
  <c r="I14" i="34"/>
  <c r="I33" i="34" s="1"/>
  <c r="AB7" i="15"/>
  <c r="AH6" i="15"/>
  <c r="AB23" i="2" l="1"/>
  <c r="K31" i="17" s="1"/>
  <c r="H16" i="34"/>
  <c r="H35" i="34" s="1"/>
  <c r="C16" i="34"/>
  <c r="F16" i="34"/>
  <c r="D16" i="34"/>
  <c r="G16" i="34"/>
  <c r="D34" i="34"/>
  <c r="E52" i="34"/>
  <c r="AC22" i="2"/>
  <c r="C34" i="34"/>
  <c r="D52" i="34"/>
  <c r="F34" i="34"/>
  <c r="F52" i="34"/>
  <c r="G34" i="34"/>
  <c r="G52" i="34"/>
  <c r="AF25" i="2"/>
  <c r="M39" i="17" s="1"/>
  <c r="J39" i="17" s="1"/>
  <c r="AG24" i="2"/>
  <c r="AM23" i="2"/>
  <c r="L45" i="26" s="1"/>
  <c r="AL24" i="2"/>
  <c r="AJ10" i="15"/>
  <c r="Q31" i="17"/>
  <c r="N31" i="17" s="1"/>
  <c r="AA25" i="2"/>
  <c r="L17" i="34" s="1"/>
  <c r="M17" i="34" s="1"/>
  <c r="I39" i="17"/>
  <c r="F39" i="17" s="1"/>
  <c r="Y22" i="2"/>
  <c r="H27" i="17"/>
  <c r="AI12" i="15"/>
  <c r="V24" i="2"/>
  <c r="G35" i="17" s="1"/>
  <c r="W23" i="2"/>
  <c r="X23" i="2"/>
  <c r="Z26" i="2"/>
  <c r="I43" i="17" s="1"/>
  <c r="F43" i="17" s="1"/>
  <c r="AN25" i="2"/>
  <c r="AO24" i="2"/>
  <c r="AP25" i="2"/>
  <c r="AQ24" i="2"/>
  <c r="AH24" i="2"/>
  <c r="O35" i="17" s="1"/>
  <c r="AI23" i="2"/>
  <c r="AJ23" i="2"/>
  <c r="P31" i="17" s="1"/>
  <c r="AK22" i="2"/>
  <c r="AD23" i="2"/>
  <c r="L31" i="17" s="1"/>
  <c r="AE22" i="2"/>
  <c r="H18" i="11"/>
  <c r="H40" i="6"/>
  <c r="H60" i="11" s="1"/>
  <c r="H40" i="26"/>
  <c r="H40" i="11" s="1"/>
  <c r="I17" i="11"/>
  <c r="I40" i="26"/>
  <c r="I40" i="11" s="1"/>
  <c r="G19" i="11"/>
  <c r="G40" i="26"/>
  <c r="G40" i="11" s="1"/>
  <c r="G40" i="6"/>
  <c r="G60" i="11" s="1"/>
  <c r="L45" i="6"/>
  <c r="AK11" i="15"/>
  <c r="AR25" i="2"/>
  <c r="AS24" i="2"/>
  <c r="L50" i="5"/>
  <c r="I20" i="11"/>
  <c r="I15" i="34"/>
  <c r="I34" i="34" s="1"/>
  <c r="G20" i="11"/>
  <c r="H20" i="11"/>
  <c r="AB8" i="15"/>
  <c r="AH7" i="15"/>
  <c r="AB24" i="2" l="1"/>
  <c r="K35" i="17" s="1"/>
  <c r="AC23" i="2"/>
  <c r="H17" i="34"/>
  <c r="H36" i="34" s="1"/>
  <c r="D17" i="34"/>
  <c r="C17" i="34"/>
  <c r="F17" i="34"/>
  <c r="G17" i="34"/>
  <c r="G35" i="34"/>
  <c r="G53" i="34"/>
  <c r="D35" i="34"/>
  <c r="E53" i="34"/>
  <c r="F35" i="34"/>
  <c r="F53" i="34"/>
  <c r="C35" i="34"/>
  <c r="D53" i="34"/>
  <c r="AG25" i="2"/>
  <c r="AF26" i="2"/>
  <c r="M43" i="17" s="1"/>
  <c r="J43" i="17" s="1"/>
  <c r="AL25" i="2"/>
  <c r="AM24" i="2"/>
  <c r="L50" i="26" s="1"/>
  <c r="AJ11" i="15"/>
  <c r="Q35" i="17"/>
  <c r="N35" i="17" s="1"/>
  <c r="Y23" i="2"/>
  <c r="H31" i="17"/>
  <c r="AI13" i="15"/>
  <c r="AA26" i="2"/>
  <c r="L18" i="34" s="1"/>
  <c r="M18" i="34" s="1"/>
  <c r="V25" i="2"/>
  <c r="G39" i="17" s="1"/>
  <c r="W24" i="2"/>
  <c r="X24" i="2"/>
  <c r="Z27" i="2"/>
  <c r="I40" i="6"/>
  <c r="I60" i="11" s="1"/>
  <c r="I97" i="11" s="1"/>
  <c r="AH25" i="2"/>
  <c r="O39" i="17" s="1"/>
  <c r="AI24" i="2"/>
  <c r="AP26" i="2"/>
  <c r="AQ25" i="2"/>
  <c r="AD24" i="2"/>
  <c r="L35" i="17" s="1"/>
  <c r="AE23" i="2"/>
  <c r="AJ24" i="2"/>
  <c r="P35" i="17" s="1"/>
  <c r="AK23" i="2"/>
  <c r="AN26" i="2"/>
  <c r="AO25" i="2"/>
  <c r="H17" i="11"/>
  <c r="H25" i="6"/>
  <c r="H57" i="11" s="1"/>
  <c r="H25" i="26"/>
  <c r="H37" i="11" s="1"/>
  <c r="G30" i="26"/>
  <c r="G38" i="11" s="1"/>
  <c r="G30" i="6"/>
  <c r="G58" i="11" s="1"/>
  <c r="H20" i="26"/>
  <c r="H36" i="11" s="1"/>
  <c r="G16" i="11"/>
  <c r="G20" i="26"/>
  <c r="G36" i="11" s="1"/>
  <c r="I30" i="26"/>
  <c r="I38" i="11" s="1"/>
  <c r="I30" i="6"/>
  <c r="I58" i="11" s="1"/>
  <c r="I35" i="26"/>
  <c r="I39" i="11" s="1"/>
  <c r="I35" i="6"/>
  <c r="I59" i="11" s="1"/>
  <c r="H19" i="11"/>
  <c r="H35" i="26"/>
  <c r="H39" i="11" s="1"/>
  <c r="H35" i="6"/>
  <c r="H59" i="11" s="1"/>
  <c r="I16" i="11"/>
  <c r="I20" i="26"/>
  <c r="I25" i="6"/>
  <c r="I57" i="11" s="1"/>
  <c r="I94" i="11" s="1"/>
  <c r="I25" i="26"/>
  <c r="I37" i="11" s="1"/>
  <c r="I76" i="11" s="1"/>
  <c r="G35" i="26"/>
  <c r="G39" i="11" s="1"/>
  <c r="G78" i="11" s="1"/>
  <c r="G35" i="6"/>
  <c r="G59" i="11" s="1"/>
  <c r="G96" i="11" s="1"/>
  <c r="G25" i="26"/>
  <c r="G37" i="11" s="1"/>
  <c r="G25" i="6"/>
  <c r="G57" i="11" s="1"/>
  <c r="H30" i="26"/>
  <c r="H38" i="11" s="1"/>
  <c r="H77" i="11" s="1"/>
  <c r="H30" i="6"/>
  <c r="H58" i="11" s="1"/>
  <c r="H95" i="11" s="1"/>
  <c r="L50" i="6"/>
  <c r="I19" i="11"/>
  <c r="I18" i="11"/>
  <c r="I79" i="11"/>
  <c r="G17" i="11"/>
  <c r="L55" i="5"/>
  <c r="I20" i="6"/>
  <c r="I56" i="11" s="1"/>
  <c r="AK12" i="15"/>
  <c r="AR26" i="2"/>
  <c r="AS25" i="2"/>
  <c r="I16" i="34"/>
  <c r="I35" i="34" s="1"/>
  <c r="H20" i="6"/>
  <c r="H56" i="11" s="1"/>
  <c r="G20" i="6"/>
  <c r="G56" i="11" s="1"/>
  <c r="H16" i="11"/>
  <c r="G79" i="11"/>
  <c r="G97" i="11"/>
  <c r="H79" i="11"/>
  <c r="G18" i="11"/>
  <c r="H97" i="11"/>
  <c r="AB9" i="15"/>
  <c r="AH8" i="15"/>
  <c r="AC24" i="2" l="1"/>
  <c r="AB25" i="2"/>
  <c r="K39" i="17" s="1"/>
  <c r="H18" i="34"/>
  <c r="H37" i="34" s="1"/>
  <c r="C18" i="34"/>
  <c r="D18" i="34"/>
  <c r="F18" i="34"/>
  <c r="G18" i="34"/>
  <c r="G36" i="34"/>
  <c r="G54" i="34"/>
  <c r="F36" i="34"/>
  <c r="F54" i="34"/>
  <c r="C36" i="34"/>
  <c r="D54" i="34"/>
  <c r="D36" i="34"/>
  <c r="E54" i="34"/>
  <c r="AG26" i="2"/>
  <c r="AF27" i="2"/>
  <c r="M47" i="17" s="1"/>
  <c r="J47" i="17" s="1"/>
  <c r="AM25" i="2"/>
  <c r="L55" i="26" s="1"/>
  <c r="AL26" i="2"/>
  <c r="AJ12" i="15"/>
  <c r="Q39" i="17"/>
  <c r="N39" i="17" s="1"/>
  <c r="AA27" i="2"/>
  <c r="L19" i="34" s="1"/>
  <c r="M19" i="34" s="1"/>
  <c r="I47" i="17"/>
  <c r="F47" i="17" s="1"/>
  <c r="Y24" i="2"/>
  <c r="H35" i="17"/>
  <c r="AI14" i="15"/>
  <c r="V26" i="2"/>
  <c r="G43" i="17" s="1"/>
  <c r="W25" i="2"/>
  <c r="X25" i="2"/>
  <c r="Z28" i="2"/>
  <c r="AA28" i="2" s="1"/>
  <c r="L20" i="34" s="1"/>
  <c r="M20" i="34" s="1"/>
  <c r="G75" i="11"/>
  <c r="AB26" i="2"/>
  <c r="K43" i="17" s="1"/>
  <c r="AC25" i="2"/>
  <c r="AD25" i="2"/>
  <c r="L39" i="17" s="1"/>
  <c r="AE24" i="2"/>
  <c r="AN27" i="2"/>
  <c r="AO26" i="2"/>
  <c r="AP27" i="2"/>
  <c r="AQ26" i="2"/>
  <c r="AJ25" i="2"/>
  <c r="P39" i="17" s="1"/>
  <c r="AK24" i="2"/>
  <c r="AH26" i="2"/>
  <c r="O43" i="17" s="1"/>
  <c r="AI25" i="2"/>
  <c r="G93" i="11"/>
  <c r="I93" i="11"/>
  <c r="H78" i="11"/>
  <c r="H94" i="11"/>
  <c r="H96" i="11"/>
  <c r="H76" i="11"/>
  <c r="I95" i="11"/>
  <c r="I78" i="11"/>
  <c r="G76" i="11"/>
  <c r="H75" i="11"/>
  <c r="L55" i="6"/>
  <c r="I96" i="11"/>
  <c r="G94" i="11"/>
  <c r="I77" i="11"/>
  <c r="L60" i="5"/>
  <c r="AK13" i="15"/>
  <c r="AS26" i="2"/>
  <c r="AR27" i="2"/>
  <c r="H93" i="11"/>
  <c r="G95" i="11"/>
  <c r="G77" i="11"/>
  <c r="I17" i="34"/>
  <c r="I36" i="34" s="1"/>
  <c r="AB10" i="15"/>
  <c r="AH9" i="15"/>
  <c r="AG27" i="2" l="1"/>
  <c r="H19" i="34"/>
  <c r="H38" i="34" s="1"/>
  <c r="C19" i="34"/>
  <c r="D19" i="34"/>
  <c r="F19" i="34"/>
  <c r="G19" i="34"/>
  <c r="F37" i="34"/>
  <c r="F55" i="34"/>
  <c r="H20" i="34"/>
  <c r="H39" i="34" s="1"/>
  <c r="G20" i="34"/>
  <c r="F20" i="34"/>
  <c r="C20" i="34"/>
  <c r="D20" i="34"/>
  <c r="D37" i="34"/>
  <c r="E55" i="34"/>
  <c r="G37" i="34"/>
  <c r="G55" i="34"/>
  <c r="C37" i="34"/>
  <c r="D55" i="34"/>
  <c r="AL27" i="2"/>
  <c r="AM26" i="2"/>
  <c r="L60" i="26" s="1"/>
  <c r="AJ13" i="15"/>
  <c r="Q43" i="17"/>
  <c r="N43" i="17" s="1"/>
  <c r="AI15" i="15"/>
  <c r="Y25" i="2"/>
  <c r="H39" i="17"/>
  <c r="V27" i="2"/>
  <c r="G47" i="17" s="1"/>
  <c r="W26" i="2"/>
  <c r="X26" i="2"/>
  <c r="Z29" i="2"/>
  <c r="AA29" i="2" s="1"/>
  <c r="L21" i="34" s="1"/>
  <c r="M21" i="34" s="1"/>
  <c r="AP28" i="2"/>
  <c r="AQ27" i="2"/>
  <c r="AN28" i="2"/>
  <c r="AO27" i="2"/>
  <c r="AH27" i="2"/>
  <c r="O47" i="17" s="1"/>
  <c r="AI26" i="2"/>
  <c r="AD26" i="2"/>
  <c r="L43" i="17" s="1"/>
  <c r="AE25" i="2"/>
  <c r="AJ26" i="2"/>
  <c r="P43" i="17" s="1"/>
  <c r="AK25" i="2"/>
  <c r="AB27" i="2"/>
  <c r="K47" i="17" s="1"/>
  <c r="AC26" i="2"/>
  <c r="L60" i="6"/>
  <c r="AK14" i="15"/>
  <c r="AS27" i="2"/>
  <c r="I18" i="34"/>
  <c r="I37" i="34" s="1"/>
  <c r="L65" i="5"/>
  <c r="AB11" i="15"/>
  <c r="AH10" i="15"/>
  <c r="G39" i="34" l="1"/>
  <c r="G57" i="34"/>
  <c r="C38" i="34"/>
  <c r="D56" i="34"/>
  <c r="D39" i="34"/>
  <c r="E57" i="34"/>
  <c r="F38" i="34"/>
  <c r="F56" i="34"/>
  <c r="F39" i="34"/>
  <c r="F57" i="34"/>
  <c r="H21" i="34"/>
  <c r="H40" i="34" s="1"/>
  <c r="G21" i="34"/>
  <c r="D21" i="34"/>
  <c r="F21" i="34"/>
  <c r="C21" i="34"/>
  <c r="G38" i="34"/>
  <c r="G56" i="34"/>
  <c r="C39" i="34"/>
  <c r="D57" i="34"/>
  <c r="D38" i="34"/>
  <c r="E56" i="34"/>
  <c r="AM27" i="2"/>
  <c r="L65" i="26" s="1"/>
  <c r="AJ14" i="15"/>
  <c r="AE50" i="15" s="1"/>
  <c r="Q47" i="17"/>
  <c r="N47" i="17" s="1"/>
  <c r="Y26" i="2"/>
  <c r="H43" i="17"/>
  <c r="AI16" i="15"/>
  <c r="V28" i="2"/>
  <c r="W27" i="2"/>
  <c r="X27" i="2"/>
  <c r="Z30" i="2"/>
  <c r="AA30" i="2" s="1"/>
  <c r="L22" i="34" s="1"/>
  <c r="M22" i="34" s="1"/>
  <c r="AD27" i="2"/>
  <c r="L47" i="17" s="1"/>
  <c r="AE26" i="2"/>
  <c r="AH28" i="2"/>
  <c r="AI27" i="2"/>
  <c r="AN29" i="2"/>
  <c r="AO28" i="2"/>
  <c r="AB28" i="2"/>
  <c r="AC27" i="2"/>
  <c r="AJ27" i="2"/>
  <c r="P47" i="17" s="1"/>
  <c r="AK26" i="2"/>
  <c r="AP29" i="2"/>
  <c r="AQ28" i="2"/>
  <c r="L65" i="6"/>
  <c r="L70" i="5"/>
  <c r="I19" i="34"/>
  <c r="I38" i="34" s="1"/>
  <c r="AB12" i="15"/>
  <c r="AH11" i="15"/>
  <c r="H22" i="34" l="1"/>
  <c r="H41" i="34" s="1"/>
  <c r="F22" i="34"/>
  <c r="G22" i="34"/>
  <c r="C22" i="34"/>
  <c r="D22" i="34"/>
  <c r="C40" i="34"/>
  <c r="D58" i="34"/>
  <c r="F40" i="34"/>
  <c r="F58" i="34"/>
  <c r="G40" i="34"/>
  <c r="G58" i="34"/>
  <c r="D40" i="34"/>
  <c r="E58" i="34"/>
  <c r="Y27" i="2"/>
  <c r="H47" i="17"/>
  <c r="AI17" i="15"/>
  <c r="V29" i="2"/>
  <c r="W28" i="2"/>
  <c r="X28" i="2"/>
  <c r="Y28" i="2" s="1"/>
  <c r="Z31" i="2"/>
  <c r="AA31" i="2" s="1"/>
  <c r="L23" i="34" s="1"/>
  <c r="M23" i="34" s="1"/>
  <c r="AB29" i="2"/>
  <c r="AC28" i="2"/>
  <c r="AN30" i="2"/>
  <c r="AO29" i="2"/>
  <c r="AP30" i="2"/>
  <c r="AQ29" i="2"/>
  <c r="AH29" i="2"/>
  <c r="AI28" i="2"/>
  <c r="AJ28" i="2"/>
  <c r="AK27" i="2"/>
  <c r="AD28" i="2"/>
  <c r="AE27" i="2"/>
  <c r="G22" i="11"/>
  <c r="G65" i="26"/>
  <c r="G45" i="11" s="1"/>
  <c r="G65" i="6"/>
  <c r="G65" i="11" s="1"/>
  <c r="I25" i="11"/>
  <c r="I65" i="26"/>
  <c r="I45" i="11" s="1"/>
  <c r="H23" i="11"/>
  <c r="H65" i="6"/>
  <c r="H65" i="11" s="1"/>
  <c r="H65" i="26"/>
  <c r="H45" i="11" s="1"/>
  <c r="L75" i="5"/>
  <c r="H25" i="11"/>
  <c r="G25" i="11"/>
  <c r="AB13" i="15"/>
  <c r="AH12" i="15"/>
  <c r="A8" i="11"/>
  <c r="A6" i="11"/>
  <c r="F41" i="34" l="1"/>
  <c r="F59" i="34"/>
  <c r="H23" i="34"/>
  <c r="H42" i="34" s="1"/>
  <c r="D23" i="34"/>
  <c r="C23" i="34"/>
  <c r="F23" i="34"/>
  <c r="G23" i="34"/>
  <c r="C41" i="34"/>
  <c r="D59" i="34"/>
  <c r="D41" i="34"/>
  <c r="E59" i="34"/>
  <c r="G41" i="34"/>
  <c r="G59" i="34"/>
  <c r="AI18" i="15"/>
  <c r="V30" i="2"/>
  <c r="W29" i="2"/>
  <c r="X29" i="2"/>
  <c r="Y29" i="2" s="1"/>
  <c r="Z32" i="2"/>
  <c r="I65" i="6"/>
  <c r="I65" i="11" s="1"/>
  <c r="I102" i="11" s="1"/>
  <c r="AP31" i="2"/>
  <c r="AQ30" i="2"/>
  <c r="AH30" i="2"/>
  <c r="AI29" i="2"/>
  <c r="AD29" i="2"/>
  <c r="AE28" i="2"/>
  <c r="AN31" i="2"/>
  <c r="AO30" i="2"/>
  <c r="AJ29" i="2"/>
  <c r="AK28" i="2"/>
  <c r="AB30" i="2"/>
  <c r="AC29" i="2"/>
  <c r="I84" i="11"/>
  <c r="G55" i="26"/>
  <c r="G43" i="11" s="1"/>
  <c r="G55" i="6"/>
  <c r="G63" i="11" s="1"/>
  <c r="H60" i="6"/>
  <c r="H64" i="11" s="1"/>
  <c r="H60" i="26"/>
  <c r="H44" i="11" s="1"/>
  <c r="I55" i="26"/>
  <c r="I43" i="11" s="1"/>
  <c r="I55" i="6"/>
  <c r="I63" i="11" s="1"/>
  <c r="I45" i="6"/>
  <c r="I61" i="11" s="1"/>
  <c r="I45" i="26"/>
  <c r="I41" i="11" s="1"/>
  <c r="H55" i="26"/>
  <c r="H43" i="11" s="1"/>
  <c r="H82" i="11" s="1"/>
  <c r="H55" i="6"/>
  <c r="H63" i="11" s="1"/>
  <c r="H100" i="11" s="1"/>
  <c r="H50" i="26"/>
  <c r="H42" i="11" s="1"/>
  <c r="H50" i="6"/>
  <c r="H62" i="11" s="1"/>
  <c r="I50" i="26"/>
  <c r="I42" i="11" s="1"/>
  <c r="I50" i="6"/>
  <c r="I62" i="11" s="1"/>
  <c r="G21" i="11"/>
  <c r="G45" i="26"/>
  <c r="G41" i="11" s="1"/>
  <c r="G45" i="6"/>
  <c r="G61" i="11" s="1"/>
  <c r="H45" i="6"/>
  <c r="H61" i="11" s="1"/>
  <c r="H45" i="26"/>
  <c r="H41" i="11" s="1"/>
  <c r="G50" i="26"/>
  <c r="G42" i="11" s="1"/>
  <c r="G81" i="11" s="1"/>
  <c r="G50" i="6"/>
  <c r="G62" i="11" s="1"/>
  <c r="G99" i="11" s="1"/>
  <c r="I60" i="6"/>
  <c r="I64" i="11" s="1"/>
  <c r="I60" i="26"/>
  <c r="I44" i="11" s="1"/>
  <c r="G60" i="26"/>
  <c r="G44" i="11" s="1"/>
  <c r="G60" i="6"/>
  <c r="G64" i="11" s="1"/>
  <c r="I22" i="11"/>
  <c r="I21" i="11"/>
  <c r="L80" i="5"/>
  <c r="H22" i="11"/>
  <c r="H84" i="11"/>
  <c r="H21" i="11"/>
  <c r="G23" i="11"/>
  <c r="I23" i="11"/>
  <c r="H24" i="11"/>
  <c r="G84" i="11"/>
  <c r="H102" i="11"/>
  <c r="I24" i="11"/>
  <c r="G102" i="11"/>
  <c r="G24" i="11"/>
  <c r="AB14" i="15"/>
  <c r="AH13" i="15"/>
  <c r="G42" i="34" l="1"/>
  <c r="G60" i="34"/>
  <c r="F42" i="34"/>
  <c r="F60" i="34"/>
  <c r="C42" i="34"/>
  <c r="D60" i="34"/>
  <c r="D42" i="34"/>
  <c r="E60" i="34"/>
  <c r="AA32" i="2"/>
  <c r="I51" i="17"/>
  <c r="F51" i="17" s="1"/>
  <c r="V31" i="2"/>
  <c r="W30" i="2"/>
  <c r="X30" i="2"/>
  <c r="Y30" i="2" s="1"/>
  <c r="AJ30" i="2"/>
  <c r="AK29" i="2"/>
  <c r="AN32" i="2"/>
  <c r="AO32" i="2" s="1"/>
  <c r="AO31" i="2"/>
  <c r="AD30" i="2"/>
  <c r="AE29" i="2"/>
  <c r="AP32" i="2"/>
  <c r="AQ32" i="2" s="1"/>
  <c r="AQ31" i="2"/>
  <c r="AB31" i="2"/>
  <c r="AC30" i="2"/>
  <c r="AH31" i="2"/>
  <c r="AI30" i="2"/>
  <c r="H101" i="11"/>
  <c r="G80" i="11"/>
  <c r="H81" i="11"/>
  <c r="I80" i="11"/>
  <c r="I101" i="11"/>
  <c r="G98" i="11"/>
  <c r="H98" i="11"/>
  <c r="G101" i="11"/>
  <c r="G100" i="11"/>
  <c r="I81" i="11"/>
  <c r="I99" i="11"/>
  <c r="I98" i="11"/>
  <c r="AI19" i="15"/>
  <c r="L85" i="5"/>
  <c r="I82" i="11"/>
  <c r="I100" i="11"/>
  <c r="H99" i="11"/>
  <c r="H80" i="11"/>
  <c r="H83" i="11"/>
  <c r="G82" i="11"/>
  <c r="I83" i="11"/>
  <c r="G83" i="11"/>
  <c r="AB15" i="15"/>
  <c r="AH14" i="15"/>
  <c r="Z26" i="1"/>
  <c r="Y26" i="1"/>
  <c r="X26" i="1"/>
  <c r="D35" i="1" s="1"/>
  <c r="W26" i="1"/>
  <c r="U26" i="1"/>
  <c r="L14" i="1" s="1"/>
  <c r="T26" i="1"/>
  <c r="N14" i="1" s="1"/>
  <c r="S26" i="1"/>
  <c r="M14" i="1" s="1"/>
  <c r="R26" i="1"/>
  <c r="R16" i="1"/>
  <c r="S16" i="1"/>
  <c r="T16" i="1"/>
  <c r="U16" i="1"/>
  <c r="W16" i="1"/>
  <c r="X16" i="1"/>
  <c r="D29" i="1" s="1"/>
  <c r="Y16" i="1"/>
  <c r="Z16" i="1"/>
  <c r="L90" i="5" l="1"/>
  <c r="L24" i="34"/>
  <c r="M24" i="34" s="1"/>
  <c r="J34" i="35"/>
  <c r="G14" i="35" s="1"/>
  <c r="J14" i="35" s="1"/>
  <c r="D40" i="5" s="1"/>
  <c r="C14" i="1"/>
  <c r="C40" i="5" s="1"/>
  <c r="V32" i="2"/>
  <c r="G51" i="17" s="1"/>
  <c r="W31" i="2"/>
  <c r="X31" i="2"/>
  <c r="Y31" i="2" s="1"/>
  <c r="E10" i="5"/>
  <c r="O10" i="5" s="1"/>
  <c r="E40" i="5"/>
  <c r="O40" i="5" s="1"/>
  <c r="C8" i="1"/>
  <c r="C10" i="5" s="1"/>
  <c r="C10" i="26" s="1"/>
  <c r="C34" i="11" s="1"/>
  <c r="AI20" i="15"/>
  <c r="AD31" i="2"/>
  <c r="AE30" i="2"/>
  <c r="AH32" i="2"/>
  <c r="AI31" i="2"/>
  <c r="AB32" i="2"/>
  <c r="AC31" i="2"/>
  <c r="AJ31" i="2"/>
  <c r="AK30" i="2"/>
  <c r="E8" i="11"/>
  <c r="C6" i="11"/>
  <c r="C8" i="11"/>
  <c r="E6" i="11"/>
  <c r="AA16" i="1"/>
  <c r="F8" i="1" s="1"/>
  <c r="AA26" i="1"/>
  <c r="F14" i="1" s="1"/>
  <c r="F40" i="5" s="1"/>
  <c r="AB16" i="15"/>
  <c r="AH15" i="15"/>
  <c r="U36" i="1"/>
  <c r="L24" i="1" s="1"/>
  <c r="U31" i="1"/>
  <c r="L19" i="1" s="1"/>
  <c r="L18" i="1" s="1"/>
  <c r="R31" i="1"/>
  <c r="R36" i="1"/>
  <c r="W36" i="1"/>
  <c r="W31" i="1"/>
  <c r="T31" i="1"/>
  <c r="N19" i="1" s="1"/>
  <c r="N17" i="1" s="1"/>
  <c r="T36" i="1"/>
  <c r="N24" i="1" s="1"/>
  <c r="X31" i="1"/>
  <c r="D40" i="1" s="1"/>
  <c r="X36" i="1"/>
  <c r="D45" i="1" s="1"/>
  <c r="Y36" i="1"/>
  <c r="Y31" i="1"/>
  <c r="Z31" i="1"/>
  <c r="Z36" i="1"/>
  <c r="U21" i="1"/>
  <c r="L9" i="1" s="1"/>
  <c r="Y21" i="1"/>
  <c r="R21" i="1"/>
  <c r="Z21" i="1"/>
  <c r="W21" i="1"/>
  <c r="T21" i="1"/>
  <c r="N9" i="1" s="1"/>
  <c r="X21" i="1"/>
  <c r="D30" i="1" s="1"/>
  <c r="Y40" i="5" l="1"/>
  <c r="Z40" i="5"/>
  <c r="Y10" i="5"/>
  <c r="Z10" i="5"/>
  <c r="H24" i="34"/>
  <c r="H43" i="34" s="1"/>
  <c r="C24" i="34"/>
  <c r="D24" i="34"/>
  <c r="F24" i="34"/>
  <c r="G24" i="34"/>
  <c r="G90" i="26" s="1"/>
  <c r="G50" i="11" s="1"/>
  <c r="N16" i="1"/>
  <c r="N15" i="1"/>
  <c r="L15" i="1"/>
  <c r="N10" i="1"/>
  <c r="N12" i="1"/>
  <c r="N13" i="1"/>
  <c r="N11" i="1"/>
  <c r="L17" i="1"/>
  <c r="N20" i="1"/>
  <c r="N22" i="1"/>
  <c r="N23" i="1"/>
  <c r="N21" i="1"/>
  <c r="L23" i="1"/>
  <c r="L22" i="1"/>
  <c r="L21" i="1"/>
  <c r="L20" i="1"/>
  <c r="L16" i="1"/>
  <c r="L13" i="1"/>
  <c r="L12" i="1"/>
  <c r="L11" i="1"/>
  <c r="L10" i="1"/>
  <c r="N18" i="1"/>
  <c r="X40" i="5"/>
  <c r="D40" i="26"/>
  <c r="D40" i="6"/>
  <c r="D20" i="11"/>
  <c r="AI32" i="2"/>
  <c r="O51" i="17"/>
  <c r="AC32" i="2"/>
  <c r="K51" i="17"/>
  <c r="C29" i="1"/>
  <c r="E29" i="1" s="1"/>
  <c r="F10" i="5" s="1"/>
  <c r="F10" i="26" s="1"/>
  <c r="F34" i="11" s="1"/>
  <c r="C35" i="1"/>
  <c r="E35" i="1" s="1"/>
  <c r="W32" i="2"/>
  <c r="X32" i="2"/>
  <c r="C19" i="1"/>
  <c r="C17" i="1" s="1"/>
  <c r="C55" i="5" s="1"/>
  <c r="C9" i="1"/>
  <c r="D42" i="1"/>
  <c r="D41" i="1"/>
  <c r="D44" i="1"/>
  <c r="D43" i="1"/>
  <c r="D37" i="1"/>
  <c r="D38" i="1"/>
  <c r="D39" i="1"/>
  <c r="E65" i="5"/>
  <c r="O65" i="5" s="1"/>
  <c r="D32" i="1"/>
  <c r="D31" i="1"/>
  <c r="D34" i="1"/>
  <c r="D33" i="1"/>
  <c r="E40" i="6"/>
  <c r="O40" i="6" s="1"/>
  <c r="E40" i="26"/>
  <c r="O40" i="26" s="1"/>
  <c r="D36" i="1"/>
  <c r="AJ32" i="2"/>
  <c r="AK31" i="2"/>
  <c r="AD32" i="2"/>
  <c r="AE31" i="2"/>
  <c r="C40" i="26"/>
  <c r="C40" i="11" s="1"/>
  <c r="C40" i="6"/>
  <c r="C60" i="11" s="1"/>
  <c r="E55" i="5"/>
  <c r="E10" i="11"/>
  <c r="E90" i="5"/>
  <c r="O90" i="5" s="1"/>
  <c r="C10" i="11"/>
  <c r="C24" i="1"/>
  <c r="C90" i="5" s="1"/>
  <c r="C14" i="11"/>
  <c r="C10" i="6"/>
  <c r="C54" i="11" s="1"/>
  <c r="E9" i="11"/>
  <c r="C20" i="11"/>
  <c r="F8" i="11"/>
  <c r="E7" i="11"/>
  <c r="C9" i="11"/>
  <c r="F6" i="11"/>
  <c r="E20" i="11"/>
  <c r="C7" i="11"/>
  <c r="E10" i="6"/>
  <c r="O10" i="6" s="1"/>
  <c r="E14" i="11"/>
  <c r="E10" i="26"/>
  <c r="O10" i="26" s="1"/>
  <c r="H30" i="11"/>
  <c r="I30" i="11"/>
  <c r="G30" i="11"/>
  <c r="AA36" i="1"/>
  <c r="F24" i="1" s="1"/>
  <c r="F90" i="5" s="1"/>
  <c r="AA21" i="1"/>
  <c r="F9" i="1" s="1"/>
  <c r="F15" i="5" s="1"/>
  <c r="AA31" i="1"/>
  <c r="F19" i="1" s="1"/>
  <c r="AB17" i="15"/>
  <c r="AH16" i="15"/>
  <c r="AB90" i="5" l="1"/>
  <c r="AA90" i="5"/>
  <c r="R6" i="11"/>
  <c r="C18" i="1"/>
  <c r="C60" i="5" s="1"/>
  <c r="E45" i="5"/>
  <c r="O45" i="5" s="1"/>
  <c r="E60" i="5"/>
  <c r="Y40" i="26"/>
  <c r="Z40" i="26"/>
  <c r="Z40" i="6"/>
  <c r="Y40" i="6"/>
  <c r="Z65" i="5"/>
  <c r="Y65" i="5"/>
  <c r="Y90" i="5"/>
  <c r="Z90" i="5"/>
  <c r="Z10" i="6"/>
  <c r="Y10" i="6"/>
  <c r="Y10" i="26"/>
  <c r="Z10" i="26"/>
  <c r="G43" i="34"/>
  <c r="G90" i="6" s="1"/>
  <c r="G70" i="11" s="1"/>
  <c r="G107" i="11" s="1"/>
  <c r="G61" i="34"/>
  <c r="F43" i="34"/>
  <c r="F61" i="34"/>
  <c r="D43" i="34"/>
  <c r="E61" i="34"/>
  <c r="C43" i="34"/>
  <c r="C90" i="6" s="1"/>
  <c r="C70" i="11" s="1"/>
  <c r="E19" i="15" s="1"/>
  <c r="D61" i="34"/>
  <c r="X40" i="6"/>
  <c r="D60" i="11"/>
  <c r="D97" i="11" s="1"/>
  <c r="X40" i="26"/>
  <c r="D40" i="11"/>
  <c r="D79" i="11" s="1"/>
  <c r="C40" i="1"/>
  <c r="E40" i="1" s="1"/>
  <c r="F65" i="5"/>
  <c r="F65" i="26" s="1"/>
  <c r="E35" i="5"/>
  <c r="O35" i="5" s="1"/>
  <c r="E15" i="5"/>
  <c r="O15" i="5" s="1"/>
  <c r="C11" i="1"/>
  <c r="C25" i="5" s="1"/>
  <c r="C25" i="6" s="1"/>
  <c r="C57" i="11" s="1"/>
  <c r="E6" i="15" s="1"/>
  <c r="C15" i="5"/>
  <c r="C15" i="26" s="1"/>
  <c r="C35" i="11" s="1"/>
  <c r="D4" i="15" s="1"/>
  <c r="C16" i="1"/>
  <c r="C50" i="5" s="1"/>
  <c r="C65" i="5"/>
  <c r="C65" i="6" s="1"/>
  <c r="C65" i="11" s="1"/>
  <c r="AK32" i="2"/>
  <c r="P51" i="17"/>
  <c r="AE32" i="2"/>
  <c r="L51" i="17"/>
  <c r="Y32" i="2"/>
  <c r="H51" i="17"/>
  <c r="E30" i="5"/>
  <c r="O30" i="5" s="1"/>
  <c r="C12" i="1"/>
  <c r="C30" i="5" s="1"/>
  <c r="F40" i="6"/>
  <c r="F60" i="11" s="1"/>
  <c r="F40" i="26"/>
  <c r="F40" i="11" s="1"/>
  <c r="C30" i="1"/>
  <c r="E30" i="1" s="1"/>
  <c r="F15" i="11" s="1"/>
  <c r="I4" i="15" s="1"/>
  <c r="C13" i="1"/>
  <c r="C35" i="5" s="1"/>
  <c r="C15" i="1"/>
  <c r="C45" i="5" s="1"/>
  <c r="C45" i="1"/>
  <c r="E45" i="1" s="1"/>
  <c r="C10" i="1"/>
  <c r="C20" i="5" s="1"/>
  <c r="C23" i="1"/>
  <c r="C85" i="5" s="1"/>
  <c r="E35" i="6"/>
  <c r="O35" i="6" s="1"/>
  <c r="C20" i="1"/>
  <c r="C70" i="5" s="1"/>
  <c r="E90" i="6"/>
  <c r="E60" i="6"/>
  <c r="O60" i="6" s="1"/>
  <c r="E60" i="26"/>
  <c r="O60" i="26" s="1"/>
  <c r="E55" i="6"/>
  <c r="O55" i="6" s="1"/>
  <c r="E55" i="26"/>
  <c r="O55" i="26" s="1"/>
  <c r="E50" i="5"/>
  <c r="O50" i="5" s="1"/>
  <c r="E65" i="6"/>
  <c r="O65" i="6" s="1"/>
  <c r="E65" i="26"/>
  <c r="O65" i="26" s="1"/>
  <c r="G70" i="26"/>
  <c r="G46" i="11" s="1"/>
  <c r="G70" i="6"/>
  <c r="G66" i="11" s="1"/>
  <c r="G75" i="26"/>
  <c r="G47" i="11" s="1"/>
  <c r="G75" i="6"/>
  <c r="G67" i="11" s="1"/>
  <c r="C90" i="26"/>
  <c r="C50" i="11" s="1"/>
  <c r="D19" i="15" s="1"/>
  <c r="G85" i="26"/>
  <c r="G49" i="11" s="1"/>
  <c r="G85" i="6"/>
  <c r="G69" i="11" s="1"/>
  <c r="G80" i="26"/>
  <c r="G48" i="11" s="1"/>
  <c r="G80" i="6"/>
  <c r="G68" i="11" s="1"/>
  <c r="F20" i="1"/>
  <c r="F70" i="5" s="1"/>
  <c r="F23" i="1"/>
  <c r="F85" i="5" s="1"/>
  <c r="F21" i="1"/>
  <c r="F75" i="5" s="1"/>
  <c r="F22" i="1"/>
  <c r="F80" i="5" s="1"/>
  <c r="F10" i="1"/>
  <c r="F13" i="1"/>
  <c r="F35" i="5" s="1"/>
  <c r="F11" i="1"/>
  <c r="F25" i="5" s="1"/>
  <c r="F12" i="1"/>
  <c r="F30" i="5" s="1"/>
  <c r="C21" i="1"/>
  <c r="C75" i="5" s="1"/>
  <c r="C22" i="1"/>
  <c r="C80" i="5" s="1"/>
  <c r="F15" i="1"/>
  <c r="F45" i="5" s="1"/>
  <c r="F16" i="1"/>
  <c r="F50" i="5" s="1"/>
  <c r="F17" i="1"/>
  <c r="F55" i="5" s="1"/>
  <c r="F18" i="1"/>
  <c r="F60" i="5" s="1"/>
  <c r="F10" i="6"/>
  <c r="F54" i="11" s="1"/>
  <c r="F14" i="11"/>
  <c r="C30" i="11"/>
  <c r="C19" i="15" s="1"/>
  <c r="O55" i="5"/>
  <c r="F10" i="11"/>
  <c r="E30" i="11"/>
  <c r="P10" i="5"/>
  <c r="AD10" i="5" s="1"/>
  <c r="K14" i="11" s="1"/>
  <c r="V10" i="5"/>
  <c r="S10" i="5"/>
  <c r="R10" i="5"/>
  <c r="T10" i="5"/>
  <c r="W10" i="5"/>
  <c r="Q10" i="5"/>
  <c r="AE10" i="5" s="1"/>
  <c r="L14" i="11" s="1"/>
  <c r="U10" i="5"/>
  <c r="E9" i="15"/>
  <c r="C97" i="11"/>
  <c r="E54" i="11"/>
  <c r="W10" i="6"/>
  <c r="E60" i="11"/>
  <c r="E97" i="11" s="1"/>
  <c r="C9" i="15"/>
  <c r="W10" i="26"/>
  <c r="E34" i="11"/>
  <c r="E40" i="11"/>
  <c r="E79" i="11" s="1"/>
  <c r="F20" i="11"/>
  <c r="I9" i="15" s="1"/>
  <c r="D9" i="15"/>
  <c r="C79" i="11"/>
  <c r="F9" i="11"/>
  <c r="U40" i="5"/>
  <c r="T40" i="5"/>
  <c r="AC40" i="5" s="1"/>
  <c r="J40" i="5" s="1"/>
  <c r="J20" i="11" s="1"/>
  <c r="P9" i="15" s="1"/>
  <c r="S40" i="5"/>
  <c r="R40" i="5"/>
  <c r="Q40" i="5"/>
  <c r="AE40" i="5" s="1"/>
  <c r="P40" i="5"/>
  <c r="AD40" i="5" s="1"/>
  <c r="K20" i="11" s="1"/>
  <c r="V40" i="5"/>
  <c r="W40" i="5"/>
  <c r="E25" i="11"/>
  <c r="F7" i="11"/>
  <c r="G89" i="11"/>
  <c r="G29" i="11"/>
  <c r="I28" i="11"/>
  <c r="I29" i="11"/>
  <c r="H29" i="11"/>
  <c r="H26" i="11"/>
  <c r="G28" i="11"/>
  <c r="H28" i="11"/>
  <c r="G26" i="11"/>
  <c r="I27" i="11"/>
  <c r="H27" i="11"/>
  <c r="G27" i="11"/>
  <c r="I26" i="11"/>
  <c r="AB18" i="15"/>
  <c r="AH17" i="15"/>
  <c r="S31" i="1"/>
  <c r="M19" i="1" s="1"/>
  <c r="S21" i="1"/>
  <c r="M9" i="1" s="1"/>
  <c r="S36" i="1"/>
  <c r="M24" i="1" s="1"/>
  <c r="J44" i="35" s="1"/>
  <c r="G24" i="35" s="1"/>
  <c r="J24" i="35" s="1"/>
  <c r="D90" i="5" s="1"/>
  <c r="V6" i="11" l="1"/>
  <c r="R7" i="11"/>
  <c r="S6" i="11"/>
  <c r="U6" i="11"/>
  <c r="T6" i="11"/>
  <c r="C65" i="26"/>
  <c r="C45" i="11" s="1"/>
  <c r="C17" i="11"/>
  <c r="C6" i="15" s="1"/>
  <c r="C15" i="6"/>
  <c r="C55" i="11" s="1"/>
  <c r="E4" i="15" s="1"/>
  <c r="E21" i="15" s="1"/>
  <c r="C25" i="26"/>
  <c r="C37" i="11" s="1"/>
  <c r="D6" i="15" s="1"/>
  <c r="L20" i="11"/>
  <c r="E45" i="26"/>
  <c r="O45" i="26" s="1"/>
  <c r="Y45" i="26" s="1"/>
  <c r="E45" i="6"/>
  <c r="O45" i="6" s="1"/>
  <c r="Z45" i="6" s="1"/>
  <c r="E35" i="26"/>
  <c r="O35" i="26" s="1"/>
  <c r="Z35" i="26" s="1"/>
  <c r="E30" i="26"/>
  <c r="O30" i="26" s="1"/>
  <c r="Z30" i="26" s="1"/>
  <c r="Z55" i="6"/>
  <c r="Y55" i="6"/>
  <c r="Y15" i="5"/>
  <c r="Z15" i="5"/>
  <c r="Y65" i="26"/>
  <c r="Z65" i="26"/>
  <c r="Z60" i="26"/>
  <c r="Y60" i="26"/>
  <c r="Z35" i="6"/>
  <c r="Y35" i="6"/>
  <c r="Z45" i="5"/>
  <c r="Y45" i="5"/>
  <c r="Y65" i="6"/>
  <c r="Z65" i="6"/>
  <c r="Z60" i="6"/>
  <c r="Y60" i="6"/>
  <c r="Y30" i="5"/>
  <c r="Z30" i="5"/>
  <c r="Y50" i="5"/>
  <c r="Z50" i="5"/>
  <c r="Y35" i="5"/>
  <c r="Z35" i="5"/>
  <c r="Y55" i="5"/>
  <c r="Z55" i="5"/>
  <c r="Z55" i="26"/>
  <c r="Y55" i="26"/>
  <c r="E15" i="26"/>
  <c r="O15" i="26" s="1"/>
  <c r="W15" i="26" s="1"/>
  <c r="C15" i="11"/>
  <c r="C4" i="15" s="1"/>
  <c r="C25" i="11"/>
  <c r="C14" i="15" s="1"/>
  <c r="E15" i="6"/>
  <c r="O15" i="6" s="1"/>
  <c r="E15" i="11"/>
  <c r="M10" i="1"/>
  <c r="J30" i="35" s="1"/>
  <c r="G10" i="35" s="1"/>
  <c r="J10" i="35" s="1"/>
  <c r="D20" i="5" s="1"/>
  <c r="M12" i="1"/>
  <c r="J32" i="35" s="1"/>
  <c r="G12" i="35" s="1"/>
  <c r="J12" i="35" s="1"/>
  <c r="D30" i="5" s="1"/>
  <c r="M11" i="1"/>
  <c r="J31" i="35" s="1"/>
  <c r="G11" i="35" s="1"/>
  <c r="J11" i="35" s="1"/>
  <c r="D25" i="5" s="1"/>
  <c r="M13" i="1"/>
  <c r="J33" i="35" s="1"/>
  <c r="G13" i="35" s="1"/>
  <c r="J13" i="35" s="1"/>
  <c r="D35" i="5" s="1"/>
  <c r="J29" i="35"/>
  <c r="G9" i="35" s="1"/>
  <c r="J9" i="35" s="1"/>
  <c r="D15" i="5" s="1"/>
  <c r="E75" i="6"/>
  <c r="E75" i="5"/>
  <c r="O75" i="5" s="1"/>
  <c r="E80" i="6"/>
  <c r="E80" i="5"/>
  <c r="O80" i="5" s="1"/>
  <c r="E85" i="6"/>
  <c r="E85" i="5"/>
  <c r="O85" i="5" s="1"/>
  <c r="E70" i="6"/>
  <c r="E70" i="5"/>
  <c r="O70" i="5" s="1"/>
  <c r="M20" i="1"/>
  <c r="J40" i="35" s="1"/>
  <c r="G20" i="35" s="1"/>
  <c r="J20" i="35" s="1"/>
  <c r="D70" i="5" s="1"/>
  <c r="M23" i="1"/>
  <c r="J43" i="35" s="1"/>
  <c r="G23" i="35" s="1"/>
  <c r="J23" i="35" s="1"/>
  <c r="D85" i="5" s="1"/>
  <c r="M21" i="1"/>
  <c r="J41" i="35" s="1"/>
  <c r="G21" i="35" s="1"/>
  <c r="J21" i="35" s="1"/>
  <c r="D75" i="5" s="1"/>
  <c r="M22" i="1"/>
  <c r="J42" i="35" s="1"/>
  <c r="G22" i="35" s="1"/>
  <c r="J22" i="35" s="1"/>
  <c r="D80" i="5" s="1"/>
  <c r="M17" i="1"/>
  <c r="J37" i="35" s="1"/>
  <c r="G17" i="35" s="1"/>
  <c r="J17" i="35" s="1"/>
  <c r="D55" i="5" s="1"/>
  <c r="M18" i="1"/>
  <c r="J38" i="35" s="1"/>
  <c r="G18" i="35" s="1"/>
  <c r="J18" i="35" s="1"/>
  <c r="D60" i="5" s="1"/>
  <c r="M15" i="1"/>
  <c r="J35" i="35" s="1"/>
  <c r="G15" i="35" s="1"/>
  <c r="J15" i="35" s="1"/>
  <c r="D45" i="5" s="1"/>
  <c r="M16" i="1"/>
  <c r="J36" i="35" s="1"/>
  <c r="G16" i="35" s="1"/>
  <c r="J16" i="35" s="1"/>
  <c r="D50" i="5" s="1"/>
  <c r="J39" i="35"/>
  <c r="G19" i="35" s="1"/>
  <c r="J19" i="35" s="1"/>
  <c r="D65" i="5" s="1"/>
  <c r="E25" i="26"/>
  <c r="O25" i="26" s="1"/>
  <c r="E25" i="5"/>
  <c r="O25" i="5" s="1"/>
  <c r="X90" i="5"/>
  <c r="D90" i="26"/>
  <c r="D90" i="6"/>
  <c r="D30" i="11"/>
  <c r="C31" i="1"/>
  <c r="E31" i="1" s="1"/>
  <c r="F20" i="5"/>
  <c r="F20" i="26" s="1"/>
  <c r="F36" i="11" s="1"/>
  <c r="J5" i="15" s="1"/>
  <c r="E30" i="6"/>
  <c r="O30" i="6" s="1"/>
  <c r="E20" i="26"/>
  <c r="O20" i="26" s="1"/>
  <c r="E20" i="5"/>
  <c r="O20" i="5" s="1"/>
  <c r="E25" i="6"/>
  <c r="O25" i="6" s="1"/>
  <c r="F90" i="26"/>
  <c r="F50" i="11" s="1"/>
  <c r="F90" i="6"/>
  <c r="F70" i="11" s="1"/>
  <c r="C42" i="1"/>
  <c r="E42" i="1" s="1"/>
  <c r="C33" i="1"/>
  <c r="E33" i="1" s="1"/>
  <c r="C41" i="1"/>
  <c r="E41" i="1" s="1"/>
  <c r="C36" i="1"/>
  <c r="E36" i="1" s="1"/>
  <c r="C32" i="1"/>
  <c r="E32" i="1" s="1"/>
  <c r="C39" i="1"/>
  <c r="E39" i="1" s="1"/>
  <c r="C34" i="1"/>
  <c r="E34" i="1" s="1"/>
  <c r="C38" i="1"/>
  <c r="E38" i="1" s="1"/>
  <c r="C43" i="1"/>
  <c r="E43" i="1" s="1"/>
  <c r="C44" i="1"/>
  <c r="E44" i="1" s="1"/>
  <c r="C37" i="1"/>
  <c r="E37" i="1" s="1"/>
  <c r="F65" i="6"/>
  <c r="F65" i="11" s="1"/>
  <c r="E22" i="11"/>
  <c r="E50" i="6"/>
  <c r="O50" i="6" s="1"/>
  <c r="E50" i="26"/>
  <c r="O50" i="26" s="1"/>
  <c r="I36" i="11"/>
  <c r="I75" i="11" s="1"/>
  <c r="E24" i="11"/>
  <c r="O60" i="5"/>
  <c r="D21" i="15"/>
  <c r="C85" i="26"/>
  <c r="C49" i="11" s="1"/>
  <c r="D18" i="15" s="1"/>
  <c r="C85" i="6"/>
  <c r="C69" i="11" s="1"/>
  <c r="E18" i="15" s="1"/>
  <c r="C18" i="11"/>
  <c r="C7" i="15" s="1"/>
  <c r="C30" i="26"/>
  <c r="C38" i="11" s="1"/>
  <c r="D7" i="15" s="1"/>
  <c r="C30" i="6"/>
  <c r="C58" i="11" s="1"/>
  <c r="E7" i="15" s="1"/>
  <c r="C55" i="26"/>
  <c r="C43" i="11" s="1"/>
  <c r="D12" i="15" s="1"/>
  <c r="C55" i="6"/>
  <c r="C63" i="11" s="1"/>
  <c r="E12" i="15" s="1"/>
  <c r="C75" i="26"/>
  <c r="C47" i="11" s="1"/>
  <c r="D16" i="15" s="1"/>
  <c r="C75" i="6"/>
  <c r="C67" i="11" s="1"/>
  <c r="E16" i="15" s="1"/>
  <c r="C45" i="26"/>
  <c r="C41" i="11" s="1"/>
  <c r="C45" i="6"/>
  <c r="C61" i="11" s="1"/>
  <c r="C80" i="26"/>
  <c r="C48" i="11" s="1"/>
  <c r="D17" i="15" s="1"/>
  <c r="C80" i="6"/>
  <c r="C68" i="11" s="1"/>
  <c r="E17" i="15" s="1"/>
  <c r="C35" i="26"/>
  <c r="C39" i="11" s="1"/>
  <c r="D8" i="15" s="1"/>
  <c r="C35" i="6"/>
  <c r="C59" i="11" s="1"/>
  <c r="E8" i="15" s="1"/>
  <c r="C20" i="26"/>
  <c r="C36" i="11" s="1"/>
  <c r="D5" i="15" s="1"/>
  <c r="C50" i="26"/>
  <c r="C42" i="11" s="1"/>
  <c r="C50" i="6"/>
  <c r="C62" i="11" s="1"/>
  <c r="C24" i="11"/>
  <c r="C13" i="15" s="1"/>
  <c r="C60" i="26"/>
  <c r="C44" i="11" s="1"/>
  <c r="C60" i="6"/>
  <c r="C64" i="11" s="1"/>
  <c r="C70" i="26"/>
  <c r="C46" i="11" s="1"/>
  <c r="D15" i="15" s="1"/>
  <c r="C70" i="6"/>
  <c r="C66" i="11" s="1"/>
  <c r="E15" i="15" s="1"/>
  <c r="E21" i="11"/>
  <c r="C107" i="11"/>
  <c r="C19" i="11"/>
  <c r="C8" i="15" s="1"/>
  <c r="C28" i="11"/>
  <c r="C17" i="15" s="1"/>
  <c r="C29" i="11"/>
  <c r="C18" i="15" s="1"/>
  <c r="C21" i="15"/>
  <c r="C89" i="11"/>
  <c r="C90" i="11" s="1"/>
  <c r="C26" i="11"/>
  <c r="C15" i="15" s="1"/>
  <c r="C20" i="6"/>
  <c r="C56" i="11" s="1"/>
  <c r="E5" i="15" s="1"/>
  <c r="C16" i="11"/>
  <c r="C5" i="15" s="1"/>
  <c r="E23" i="11"/>
  <c r="W55" i="5"/>
  <c r="C27" i="11"/>
  <c r="C16" i="15" s="1"/>
  <c r="F15" i="6"/>
  <c r="F55" i="11" s="1"/>
  <c r="K4" i="15" s="1"/>
  <c r="F15" i="26"/>
  <c r="F35" i="11" s="1"/>
  <c r="J4" i="15" s="1"/>
  <c r="C23" i="11"/>
  <c r="C12" i="15" s="1"/>
  <c r="C21" i="11"/>
  <c r="C10" i="15" s="1"/>
  <c r="E45" i="11"/>
  <c r="E84" i="11" s="1"/>
  <c r="E18" i="11"/>
  <c r="E44" i="11"/>
  <c r="R10" i="6"/>
  <c r="R10" i="26"/>
  <c r="E63" i="11"/>
  <c r="R45" i="5"/>
  <c r="Q45" i="5"/>
  <c r="T45" i="5"/>
  <c r="W45" i="5"/>
  <c r="V45" i="5"/>
  <c r="U45" i="5"/>
  <c r="P45" i="5"/>
  <c r="S45" i="5"/>
  <c r="S10" i="26"/>
  <c r="S10" i="6"/>
  <c r="Q65" i="5"/>
  <c r="AE65" i="5" s="1"/>
  <c r="W65" i="5"/>
  <c r="V65" i="5"/>
  <c r="U65" i="5"/>
  <c r="P65" i="5"/>
  <c r="AD65" i="5" s="1"/>
  <c r="K25" i="11" s="1"/>
  <c r="T65" i="5"/>
  <c r="S65" i="5"/>
  <c r="R65" i="5"/>
  <c r="E26" i="11"/>
  <c r="F45" i="11"/>
  <c r="F25" i="11"/>
  <c r="I14" i="15" s="1"/>
  <c r="J9" i="15"/>
  <c r="F79" i="11"/>
  <c r="S40" i="6"/>
  <c r="T40" i="6"/>
  <c r="AC40" i="6" s="1"/>
  <c r="J40" i="6" s="1"/>
  <c r="J60" i="11" s="1"/>
  <c r="J97" i="11" s="1"/>
  <c r="W40" i="6"/>
  <c r="V40" i="6"/>
  <c r="Q40" i="6"/>
  <c r="AE40" i="6" s="1"/>
  <c r="L60" i="11" s="1"/>
  <c r="P40" i="6"/>
  <c r="AD40" i="6" s="1"/>
  <c r="K60" i="11" s="1"/>
  <c r="K97" i="11" s="1"/>
  <c r="R40" i="6"/>
  <c r="U40" i="6"/>
  <c r="E19" i="11"/>
  <c r="E64" i="11"/>
  <c r="W50" i="5"/>
  <c r="V50" i="5"/>
  <c r="U50" i="5"/>
  <c r="T50" i="5"/>
  <c r="S50" i="5"/>
  <c r="P50" i="5"/>
  <c r="R50" i="5"/>
  <c r="Q50" i="5"/>
  <c r="V10" i="6"/>
  <c r="V10" i="26"/>
  <c r="AC10" i="5"/>
  <c r="J10" i="5" s="1"/>
  <c r="J14" i="11" s="1"/>
  <c r="T10" i="26"/>
  <c r="AC10" i="26" s="1"/>
  <c r="J10" i="26" s="1"/>
  <c r="J34" i="11" s="1"/>
  <c r="T10" i="6"/>
  <c r="AC10" i="6" s="1"/>
  <c r="J10" i="6" s="1"/>
  <c r="J54" i="11" s="1"/>
  <c r="K9" i="15"/>
  <c r="F97" i="11"/>
  <c r="P10" i="26"/>
  <c r="AD10" i="26" s="1"/>
  <c r="K34" i="11" s="1"/>
  <c r="P10" i="6"/>
  <c r="AD10" i="6" s="1"/>
  <c r="K54" i="11" s="1"/>
  <c r="C22" i="11"/>
  <c r="C11" i="15" s="1"/>
  <c r="U10" i="6"/>
  <c r="U10" i="26"/>
  <c r="S90" i="5"/>
  <c r="R90" i="5"/>
  <c r="Q90" i="5"/>
  <c r="AE90" i="5" s="1"/>
  <c r="P90" i="5"/>
  <c r="AD90" i="5" s="1"/>
  <c r="K30" i="11" s="1"/>
  <c r="T90" i="5"/>
  <c r="W90" i="5"/>
  <c r="V90" i="5"/>
  <c r="AG90" i="5" s="1"/>
  <c r="N30" i="11" s="1"/>
  <c r="U90" i="5"/>
  <c r="AF90" i="5" s="1"/>
  <c r="M30" i="11" s="1"/>
  <c r="E14" i="15"/>
  <c r="E29" i="11"/>
  <c r="P40" i="26"/>
  <c r="AD40" i="26" s="1"/>
  <c r="K40" i="11" s="1"/>
  <c r="K79" i="11" s="1"/>
  <c r="Q40" i="26"/>
  <c r="AE40" i="26" s="1"/>
  <c r="L40" i="11" s="1"/>
  <c r="U40" i="26"/>
  <c r="R40" i="26"/>
  <c r="S40" i="26"/>
  <c r="T40" i="26"/>
  <c r="AC40" i="26" s="1"/>
  <c r="J40" i="26" s="1"/>
  <c r="J40" i="11" s="1"/>
  <c r="J79" i="11" s="1"/>
  <c r="W40" i="26"/>
  <c r="V40" i="26"/>
  <c r="D14" i="15"/>
  <c r="Q10" i="26"/>
  <c r="AE10" i="26" s="1"/>
  <c r="L34" i="11" s="1"/>
  <c r="Q10" i="6"/>
  <c r="AE10" i="6" s="1"/>
  <c r="L54" i="11" s="1"/>
  <c r="F30" i="11"/>
  <c r="I19" i="15" s="1"/>
  <c r="I21" i="15" s="1"/>
  <c r="Q15" i="5"/>
  <c r="U15" i="5"/>
  <c r="T15" i="5"/>
  <c r="W15" i="5"/>
  <c r="R15" i="5"/>
  <c r="S15" i="5"/>
  <c r="V15" i="5"/>
  <c r="P15" i="5"/>
  <c r="E65" i="11"/>
  <c r="E102" i="11" s="1"/>
  <c r="G85" i="11"/>
  <c r="C76" i="11"/>
  <c r="G88" i="11"/>
  <c r="G103" i="11"/>
  <c r="G104" i="11"/>
  <c r="C94" i="11"/>
  <c r="G87" i="11"/>
  <c r="G105" i="11"/>
  <c r="G86" i="11"/>
  <c r="G106" i="11"/>
  <c r="AB19" i="15"/>
  <c r="AH18" i="15"/>
  <c r="AD45" i="5" l="1"/>
  <c r="E20" i="6"/>
  <c r="O20" i="6" s="1"/>
  <c r="E16" i="11"/>
  <c r="E28" i="11"/>
  <c r="V7" i="11"/>
  <c r="U7" i="11"/>
  <c r="T7" i="11"/>
  <c r="R8" i="11"/>
  <c r="S7" i="11"/>
  <c r="E55" i="11"/>
  <c r="E61" i="11"/>
  <c r="E98" i="11" s="1"/>
  <c r="AE15" i="5"/>
  <c r="L15" i="11" s="1"/>
  <c r="AE50" i="5"/>
  <c r="Y45" i="6"/>
  <c r="AD50" i="5"/>
  <c r="K22" i="11" s="1"/>
  <c r="Y35" i="26"/>
  <c r="L30" i="11"/>
  <c r="E35" i="11"/>
  <c r="L97" i="11"/>
  <c r="Y30" i="26"/>
  <c r="E17" i="11"/>
  <c r="C84" i="11"/>
  <c r="L79" i="11"/>
  <c r="K21" i="11"/>
  <c r="C102" i="11"/>
  <c r="Z45" i="26"/>
  <c r="AD15" i="5"/>
  <c r="K15" i="11" s="1"/>
  <c r="AE45" i="5"/>
  <c r="Z20" i="5"/>
  <c r="Y20" i="5"/>
  <c r="Z80" i="5"/>
  <c r="Y80" i="5"/>
  <c r="Z20" i="26"/>
  <c r="Y20" i="26"/>
  <c r="Z25" i="5"/>
  <c r="Y25" i="5"/>
  <c r="Z30" i="6"/>
  <c r="Y30" i="6"/>
  <c r="Y25" i="26"/>
  <c r="Z25" i="26"/>
  <c r="Y75" i="5"/>
  <c r="Z75" i="5"/>
  <c r="W15" i="6"/>
  <c r="Z15" i="6"/>
  <c r="Y15" i="6"/>
  <c r="S60" i="5"/>
  <c r="Z60" i="5"/>
  <c r="Y60" i="5"/>
  <c r="Z70" i="5"/>
  <c r="Y70" i="5"/>
  <c r="Z15" i="26"/>
  <c r="Y15" i="26"/>
  <c r="Z20" i="6"/>
  <c r="Y20" i="6"/>
  <c r="Y50" i="26"/>
  <c r="Z50" i="26"/>
  <c r="Z85" i="5"/>
  <c r="Y85" i="5"/>
  <c r="L25" i="11"/>
  <c r="Z50" i="6"/>
  <c r="Y50" i="6"/>
  <c r="Y25" i="6"/>
  <c r="Z25" i="6"/>
  <c r="AC90" i="5"/>
  <c r="J90" i="5" s="1"/>
  <c r="J30" i="11" s="1"/>
  <c r="P19" i="15" s="1"/>
  <c r="E27" i="11"/>
  <c r="X75" i="5"/>
  <c r="D75" i="26"/>
  <c r="D27" i="11"/>
  <c r="D75" i="6"/>
  <c r="X85" i="5"/>
  <c r="D85" i="6"/>
  <c r="D29" i="11"/>
  <c r="D85" i="26"/>
  <c r="X65" i="5"/>
  <c r="AC65" i="5" s="1"/>
  <c r="J65" i="5" s="1"/>
  <c r="J25" i="11" s="1"/>
  <c r="P14" i="15" s="1"/>
  <c r="D25" i="11"/>
  <c r="D65" i="26"/>
  <c r="D65" i="6"/>
  <c r="X70" i="5"/>
  <c r="D26" i="11"/>
  <c r="D70" i="26"/>
  <c r="D70" i="6"/>
  <c r="X50" i="5"/>
  <c r="AC50" i="5" s="1"/>
  <c r="J50" i="5" s="1"/>
  <c r="J22" i="11" s="1"/>
  <c r="P11" i="15" s="1"/>
  <c r="D50" i="26"/>
  <c r="D50" i="6"/>
  <c r="D22" i="11"/>
  <c r="X15" i="6"/>
  <c r="X15" i="5"/>
  <c r="AC15" i="5" s="1"/>
  <c r="J15" i="5" s="1"/>
  <c r="J15" i="11" s="1"/>
  <c r="X15" i="26"/>
  <c r="D15" i="6"/>
  <c r="D55" i="11" s="1"/>
  <c r="D15" i="11"/>
  <c r="D15" i="26"/>
  <c r="D35" i="11" s="1"/>
  <c r="X45" i="5"/>
  <c r="AC45" i="5" s="1"/>
  <c r="J45" i="5" s="1"/>
  <c r="J21" i="11" s="1"/>
  <c r="P10" i="15" s="1"/>
  <c r="D21" i="11"/>
  <c r="D45" i="26"/>
  <c r="D45" i="6"/>
  <c r="X35" i="5"/>
  <c r="D35" i="26"/>
  <c r="D19" i="11"/>
  <c r="D35" i="6"/>
  <c r="X90" i="6"/>
  <c r="D70" i="11"/>
  <c r="D107" i="11" s="1"/>
  <c r="X60" i="5"/>
  <c r="D24" i="11"/>
  <c r="D60" i="26"/>
  <c r="D60" i="6"/>
  <c r="X25" i="5"/>
  <c r="D25" i="26"/>
  <c r="D25" i="6"/>
  <c r="D17" i="11"/>
  <c r="X90" i="26"/>
  <c r="D50" i="11"/>
  <c r="D89" i="11" s="1"/>
  <c r="D90" i="11" s="1"/>
  <c r="X55" i="5"/>
  <c r="D23" i="11"/>
  <c r="D55" i="26"/>
  <c r="D55" i="6"/>
  <c r="X30" i="5"/>
  <c r="D30" i="26"/>
  <c r="D30" i="6"/>
  <c r="D18" i="11"/>
  <c r="X80" i="5"/>
  <c r="D80" i="6"/>
  <c r="D80" i="26"/>
  <c r="D28" i="11"/>
  <c r="X20" i="5"/>
  <c r="D20" i="26"/>
  <c r="D20" i="6"/>
  <c r="D16" i="11"/>
  <c r="AU16" i="15"/>
  <c r="F45" i="6"/>
  <c r="F61" i="11" s="1"/>
  <c r="F45" i="26"/>
  <c r="F41" i="11" s="1"/>
  <c r="F70" i="6"/>
  <c r="F66" i="11" s="1"/>
  <c r="F70" i="26"/>
  <c r="F46" i="11" s="1"/>
  <c r="F30" i="6"/>
  <c r="F58" i="11" s="1"/>
  <c r="K7" i="15" s="1"/>
  <c r="F30" i="26"/>
  <c r="F38" i="11" s="1"/>
  <c r="J7" i="15" s="1"/>
  <c r="F25" i="26"/>
  <c r="F37" i="11" s="1"/>
  <c r="J6" i="15" s="1"/>
  <c r="F25" i="6"/>
  <c r="F57" i="11" s="1"/>
  <c r="K6" i="15" s="1"/>
  <c r="F17" i="11"/>
  <c r="I6" i="15" s="1"/>
  <c r="F22" i="11"/>
  <c r="I11" i="15" s="1"/>
  <c r="F50" i="6"/>
  <c r="F62" i="11" s="1"/>
  <c r="K11" i="15" s="1"/>
  <c r="F50" i="26"/>
  <c r="F42" i="11" s="1"/>
  <c r="F80" i="26"/>
  <c r="F48" i="11" s="1"/>
  <c r="F80" i="6"/>
  <c r="F68" i="11" s="1"/>
  <c r="F75" i="26"/>
  <c r="F47" i="11" s="1"/>
  <c r="F75" i="6"/>
  <c r="F67" i="11" s="1"/>
  <c r="F55" i="6"/>
  <c r="F63" i="11" s="1"/>
  <c r="F55" i="26"/>
  <c r="F43" i="11" s="1"/>
  <c r="F24" i="11"/>
  <c r="I13" i="15" s="1"/>
  <c r="F60" i="6"/>
  <c r="F60" i="26"/>
  <c r="F44" i="11" s="1"/>
  <c r="F85" i="6"/>
  <c r="F69" i="11" s="1"/>
  <c r="F85" i="26"/>
  <c r="F49" i="11" s="1"/>
  <c r="F35" i="26"/>
  <c r="F39" i="11" s="1"/>
  <c r="J8" i="15" s="1"/>
  <c r="F19" i="11"/>
  <c r="I8" i="15" s="1"/>
  <c r="F35" i="6"/>
  <c r="F59" i="11" s="1"/>
  <c r="K8" i="15" s="1"/>
  <c r="AU15" i="15"/>
  <c r="E101" i="11"/>
  <c r="E42" i="11"/>
  <c r="E81" i="11" s="1"/>
  <c r="E62" i="11"/>
  <c r="E99" i="11" s="1"/>
  <c r="E83" i="11"/>
  <c r="C101" i="11"/>
  <c r="C83" i="11"/>
  <c r="R9" i="15"/>
  <c r="Q9" i="15"/>
  <c r="P60" i="5"/>
  <c r="T60" i="5"/>
  <c r="AC60" i="5" s="1"/>
  <c r="J60" i="5" s="1"/>
  <c r="J24" i="11" s="1"/>
  <c r="P13" i="15" s="1"/>
  <c r="U60" i="5"/>
  <c r="Q60" i="5"/>
  <c r="R60" i="5"/>
  <c r="V60" i="5"/>
  <c r="W60" i="5"/>
  <c r="C87" i="11"/>
  <c r="C105" i="11"/>
  <c r="D13" i="15"/>
  <c r="C95" i="11"/>
  <c r="C78" i="11"/>
  <c r="C96" i="11"/>
  <c r="E41" i="11"/>
  <c r="E80" i="11" s="1"/>
  <c r="C88" i="11"/>
  <c r="T55" i="5"/>
  <c r="AC55" i="5" s="1"/>
  <c r="J55" i="5" s="1"/>
  <c r="J23" i="11" s="1"/>
  <c r="P12" i="15" s="1"/>
  <c r="P55" i="5"/>
  <c r="AD55" i="5" s="1"/>
  <c r="K23" i="11" s="1"/>
  <c r="R55" i="5"/>
  <c r="E13" i="15"/>
  <c r="C103" i="11"/>
  <c r="C85" i="11"/>
  <c r="E43" i="11"/>
  <c r="E82" i="11" s="1"/>
  <c r="C75" i="11"/>
  <c r="C93" i="11"/>
  <c r="C77" i="11"/>
  <c r="F20" i="6"/>
  <c r="F56" i="11" s="1"/>
  <c r="K5" i="15" s="1"/>
  <c r="F16" i="11"/>
  <c r="I5" i="15" s="1"/>
  <c r="F18" i="11"/>
  <c r="I7" i="15" s="1"/>
  <c r="E100" i="11"/>
  <c r="C106" i="11"/>
  <c r="F64" i="11"/>
  <c r="K13" i="15" s="1"/>
  <c r="S55" i="5"/>
  <c r="U55" i="5"/>
  <c r="V55" i="5"/>
  <c r="Q55" i="5"/>
  <c r="AE55" i="5" s="1"/>
  <c r="C104" i="11"/>
  <c r="C86" i="11"/>
  <c r="C100" i="11"/>
  <c r="C82" i="11"/>
  <c r="S55" i="26"/>
  <c r="P55" i="26"/>
  <c r="AD55" i="26" s="1"/>
  <c r="K43" i="11" s="1"/>
  <c r="W55" i="26"/>
  <c r="Q55" i="26"/>
  <c r="AE55" i="26" s="1"/>
  <c r="V55" i="26"/>
  <c r="R55" i="26"/>
  <c r="U55" i="26"/>
  <c r="T55" i="26"/>
  <c r="R15" i="6"/>
  <c r="R15" i="26"/>
  <c r="U35" i="5"/>
  <c r="T35" i="5"/>
  <c r="P35" i="5"/>
  <c r="AD35" i="5" s="1"/>
  <c r="K19" i="11" s="1"/>
  <c r="S35" i="5"/>
  <c r="R35" i="5"/>
  <c r="Q35" i="5"/>
  <c r="AE35" i="5" s="1"/>
  <c r="V35" i="5"/>
  <c r="W35" i="5"/>
  <c r="K14" i="15"/>
  <c r="F102" i="11"/>
  <c r="E59" i="11"/>
  <c r="E96" i="11" s="1"/>
  <c r="W25" i="5"/>
  <c r="S25" i="5"/>
  <c r="V25" i="5"/>
  <c r="U25" i="5"/>
  <c r="T25" i="5"/>
  <c r="P25" i="5"/>
  <c r="AD25" i="5" s="1"/>
  <c r="K17" i="11" s="1"/>
  <c r="R25" i="5"/>
  <c r="Q25" i="5"/>
  <c r="F23" i="11"/>
  <c r="I12" i="15" s="1"/>
  <c r="E39" i="11"/>
  <c r="E78" i="11" s="1"/>
  <c r="E38" i="11"/>
  <c r="E77" i="11" s="1"/>
  <c r="D10" i="15"/>
  <c r="C80" i="11"/>
  <c r="J19" i="15"/>
  <c r="J21" i="15" s="1"/>
  <c r="F89" i="11"/>
  <c r="F90" i="11" s="1"/>
  <c r="W20" i="5"/>
  <c r="V20" i="5"/>
  <c r="V20" i="6" s="1"/>
  <c r="U20" i="5"/>
  <c r="U20" i="6" s="1"/>
  <c r="T20" i="5"/>
  <c r="R20" i="5"/>
  <c r="R20" i="6" s="1"/>
  <c r="S20" i="5"/>
  <c r="S20" i="6" s="1"/>
  <c r="Q20" i="5"/>
  <c r="P20" i="5"/>
  <c r="U60" i="26"/>
  <c r="T60" i="26"/>
  <c r="Q60" i="26"/>
  <c r="AE60" i="26" s="1"/>
  <c r="S60" i="26"/>
  <c r="V60" i="26"/>
  <c r="W60" i="26"/>
  <c r="R60" i="26"/>
  <c r="P60" i="26"/>
  <c r="AD60" i="26" s="1"/>
  <c r="K44" i="11" s="1"/>
  <c r="Q65" i="6"/>
  <c r="AE65" i="6" s="1"/>
  <c r="L65" i="11" s="1"/>
  <c r="S65" i="6"/>
  <c r="R65" i="6"/>
  <c r="T65" i="6"/>
  <c r="P65" i="6"/>
  <c r="AD65" i="6" s="1"/>
  <c r="K65" i="11" s="1"/>
  <c r="K102" i="11" s="1"/>
  <c r="W65" i="6"/>
  <c r="U65" i="6"/>
  <c r="V65" i="6"/>
  <c r="T15" i="6"/>
  <c r="AC15" i="6" s="1"/>
  <c r="T15" i="26"/>
  <c r="S75" i="5"/>
  <c r="R75" i="5"/>
  <c r="Q75" i="5"/>
  <c r="P75" i="5"/>
  <c r="W75" i="5"/>
  <c r="U75" i="5"/>
  <c r="T75" i="5"/>
  <c r="V75" i="5"/>
  <c r="R50" i="6"/>
  <c r="P50" i="6"/>
  <c r="S50" i="6"/>
  <c r="W50" i="6"/>
  <c r="Q50" i="6"/>
  <c r="V50" i="6"/>
  <c r="U50" i="6"/>
  <c r="T50" i="6"/>
  <c r="J14" i="15"/>
  <c r="F84" i="11"/>
  <c r="F26" i="11"/>
  <c r="I15" i="15" s="1"/>
  <c r="U15" i="6"/>
  <c r="U15" i="26"/>
  <c r="P80" i="5"/>
  <c r="S80" i="5"/>
  <c r="R80" i="5"/>
  <c r="Q80" i="5"/>
  <c r="W80" i="5"/>
  <c r="U80" i="5"/>
  <c r="V80" i="5"/>
  <c r="T80" i="5"/>
  <c r="AC80" i="5" s="1"/>
  <c r="J80" i="5" s="1"/>
  <c r="J28" i="11" s="1"/>
  <c r="P17" i="15" s="1"/>
  <c r="F21" i="11"/>
  <c r="I10" i="15" s="1"/>
  <c r="S50" i="26"/>
  <c r="V50" i="26"/>
  <c r="T50" i="26"/>
  <c r="U50" i="26"/>
  <c r="W50" i="26"/>
  <c r="P50" i="26"/>
  <c r="Q50" i="26"/>
  <c r="R50" i="26"/>
  <c r="W55" i="6"/>
  <c r="S55" i="6"/>
  <c r="U55" i="6"/>
  <c r="P55" i="6"/>
  <c r="AD55" i="6" s="1"/>
  <c r="K63" i="11" s="1"/>
  <c r="V55" i="6"/>
  <c r="T55" i="6"/>
  <c r="Q55" i="6"/>
  <c r="AE55" i="6" s="1"/>
  <c r="R55" i="6"/>
  <c r="E58" i="11"/>
  <c r="E95" i="11" s="1"/>
  <c r="E10" i="15"/>
  <c r="C98" i="11"/>
  <c r="Q15" i="6"/>
  <c r="AE15" i="6" s="1"/>
  <c r="L55" i="11" s="1"/>
  <c r="Q15" i="26"/>
  <c r="D11" i="15"/>
  <c r="C81" i="11"/>
  <c r="V45" i="26"/>
  <c r="Q45" i="26"/>
  <c r="S45" i="26"/>
  <c r="R45" i="26"/>
  <c r="W45" i="26"/>
  <c r="P45" i="26"/>
  <c r="AD45" i="26" s="1"/>
  <c r="K41" i="11" s="1"/>
  <c r="U45" i="26"/>
  <c r="T45" i="26"/>
  <c r="E36" i="11"/>
  <c r="E75" i="11" s="1"/>
  <c r="W45" i="6"/>
  <c r="R45" i="6"/>
  <c r="P45" i="6"/>
  <c r="S45" i="6"/>
  <c r="T45" i="6"/>
  <c r="V45" i="6"/>
  <c r="U45" i="6"/>
  <c r="Q45" i="6"/>
  <c r="AE45" i="6" s="1"/>
  <c r="W60" i="6"/>
  <c r="S60" i="6"/>
  <c r="P60" i="6"/>
  <c r="AD60" i="6" s="1"/>
  <c r="K64" i="11" s="1"/>
  <c r="T60" i="6"/>
  <c r="U60" i="6"/>
  <c r="V60" i="6"/>
  <c r="R60" i="6"/>
  <c r="Q60" i="6"/>
  <c r="AE60" i="6" s="1"/>
  <c r="F28" i="11"/>
  <c r="I17" i="15" s="1"/>
  <c r="E37" i="11"/>
  <c r="E76" i="11" s="1"/>
  <c r="V30" i="5"/>
  <c r="R30" i="5"/>
  <c r="U30" i="5"/>
  <c r="T30" i="5"/>
  <c r="AC30" i="5" s="1"/>
  <c r="J30" i="5" s="1"/>
  <c r="J18" i="11" s="1"/>
  <c r="S30" i="5"/>
  <c r="P30" i="5"/>
  <c r="AD30" i="5" s="1"/>
  <c r="K18" i="11" s="1"/>
  <c r="Q30" i="5"/>
  <c r="AE30" i="5" s="1"/>
  <c r="W30" i="5"/>
  <c r="J11" i="15"/>
  <c r="S15" i="6"/>
  <c r="S15" i="26"/>
  <c r="P15" i="6"/>
  <c r="P15" i="26"/>
  <c r="S85" i="5"/>
  <c r="P85" i="5"/>
  <c r="R85" i="5"/>
  <c r="Q85" i="5"/>
  <c r="W85" i="5"/>
  <c r="U85" i="5"/>
  <c r="V85" i="5"/>
  <c r="T85" i="5"/>
  <c r="AC85" i="5" s="1"/>
  <c r="J85" i="5" s="1"/>
  <c r="J29" i="11" s="1"/>
  <c r="P18" i="15" s="1"/>
  <c r="W20" i="6"/>
  <c r="E56" i="11"/>
  <c r="E93" i="11" s="1"/>
  <c r="F29" i="11"/>
  <c r="I18" i="15" s="1"/>
  <c r="S70" i="5"/>
  <c r="P70" i="5"/>
  <c r="V70" i="5"/>
  <c r="R70" i="5"/>
  <c r="Q70" i="5"/>
  <c r="W70" i="5"/>
  <c r="U70" i="5"/>
  <c r="T70" i="5"/>
  <c r="AC70" i="5" s="1"/>
  <c r="J70" i="5" s="1"/>
  <c r="J26" i="11" s="1"/>
  <c r="P15" i="15" s="1"/>
  <c r="E57" i="11"/>
  <c r="E94" i="11" s="1"/>
  <c r="V15" i="6"/>
  <c r="V15" i="26"/>
  <c r="K19" i="15"/>
  <c r="K21" i="15" s="1"/>
  <c r="F107" i="11"/>
  <c r="E11" i="15"/>
  <c r="C99" i="11"/>
  <c r="F27" i="11"/>
  <c r="I16" i="15" s="1"/>
  <c r="P65" i="26"/>
  <c r="AD65" i="26" s="1"/>
  <c r="K45" i="11" s="1"/>
  <c r="K84" i="11" s="1"/>
  <c r="T65" i="26"/>
  <c r="W65" i="26"/>
  <c r="Q65" i="26"/>
  <c r="AE65" i="26" s="1"/>
  <c r="L45" i="11" s="1"/>
  <c r="U65" i="26"/>
  <c r="R65" i="26"/>
  <c r="V65" i="26"/>
  <c r="S65" i="26"/>
  <c r="AH19" i="15"/>
  <c r="K100" i="11" l="1"/>
  <c r="AD80" i="5"/>
  <c r="K28" i="11" s="1"/>
  <c r="V8" i="11"/>
  <c r="U8" i="11"/>
  <c r="T8" i="11"/>
  <c r="R9" i="11"/>
  <c r="S8" i="11"/>
  <c r="J15" i="6"/>
  <c r="J55" i="11" s="1"/>
  <c r="R4" i="15" s="1"/>
  <c r="L64" i="11"/>
  <c r="AD50" i="6"/>
  <c r="K62" i="11" s="1"/>
  <c r="K99" i="11" s="1"/>
  <c r="AD15" i="6"/>
  <c r="K55" i="11" s="1"/>
  <c r="L44" i="11"/>
  <c r="AD45" i="6"/>
  <c r="K61" i="11" s="1"/>
  <c r="K98" i="11" s="1"/>
  <c r="AD50" i="26"/>
  <c r="K42" i="11" s="1"/>
  <c r="K81" i="11" s="1"/>
  <c r="L61" i="11"/>
  <c r="AE70" i="5"/>
  <c r="L26" i="11" s="1"/>
  <c r="AD75" i="5"/>
  <c r="K27" i="11" s="1"/>
  <c r="AE85" i="5"/>
  <c r="L29" i="11" s="1"/>
  <c r="AD70" i="5"/>
  <c r="K26" i="11" s="1"/>
  <c r="L102" i="11"/>
  <c r="AE25" i="5"/>
  <c r="L17" i="11" s="1"/>
  <c r="L43" i="11"/>
  <c r="L84" i="11"/>
  <c r="AE15" i="26"/>
  <c r="L35" i="11" s="1"/>
  <c r="AE80" i="5"/>
  <c r="L28" i="11" s="1"/>
  <c r="AE60" i="5"/>
  <c r="L24" i="11" s="1"/>
  <c r="K80" i="11"/>
  <c r="AE75" i="5"/>
  <c r="L27" i="11" s="1"/>
  <c r="AD60" i="5"/>
  <c r="K24" i="11" s="1"/>
  <c r="K83" i="11" s="1"/>
  <c r="L19" i="11"/>
  <c r="AD85" i="5"/>
  <c r="K29" i="11" s="1"/>
  <c r="L18" i="11"/>
  <c r="AE45" i="26"/>
  <c r="L41" i="11" s="1"/>
  <c r="AC75" i="5"/>
  <c r="J75" i="5" s="1"/>
  <c r="J27" i="11" s="1"/>
  <c r="P16" i="15" s="1"/>
  <c r="AD15" i="26"/>
  <c r="K35" i="11" s="1"/>
  <c r="L63" i="11"/>
  <c r="AE50" i="26"/>
  <c r="L42" i="11" s="1"/>
  <c r="AE50" i="6"/>
  <c r="L62" i="11" s="1"/>
  <c r="K82" i="11"/>
  <c r="L23" i="11"/>
  <c r="L21" i="11"/>
  <c r="L22" i="11"/>
  <c r="P20" i="6"/>
  <c r="AD20" i="6" s="1"/>
  <c r="K56" i="11" s="1"/>
  <c r="AD20" i="5"/>
  <c r="K16" i="11" s="1"/>
  <c r="Q20" i="6"/>
  <c r="AE20" i="6" s="1"/>
  <c r="L56" i="11" s="1"/>
  <c r="AE20" i="5"/>
  <c r="L16" i="11" s="1"/>
  <c r="AC25" i="5"/>
  <c r="J25" i="5" s="1"/>
  <c r="J17" i="11" s="1"/>
  <c r="P6" i="15" s="1"/>
  <c r="AC15" i="26"/>
  <c r="J15" i="26" s="1"/>
  <c r="J35" i="11" s="1"/>
  <c r="Q4" i="15" s="1"/>
  <c r="AC35" i="5"/>
  <c r="J35" i="5" s="1"/>
  <c r="J19" i="11" s="1"/>
  <c r="P8" i="15" s="1"/>
  <c r="X20" i="6"/>
  <c r="D56" i="11"/>
  <c r="D93" i="11" s="1"/>
  <c r="D58" i="11"/>
  <c r="D95" i="11" s="1"/>
  <c r="X30" i="6"/>
  <c r="D61" i="11"/>
  <c r="D98" i="11" s="1"/>
  <c r="X45" i="6"/>
  <c r="AC45" i="6" s="1"/>
  <c r="J45" i="6" s="1"/>
  <c r="J61" i="11" s="1"/>
  <c r="X70" i="26"/>
  <c r="D46" i="11"/>
  <c r="D85" i="11" s="1"/>
  <c r="X20" i="26"/>
  <c r="D36" i="11"/>
  <c r="D75" i="11" s="1"/>
  <c r="X30" i="26"/>
  <c r="D38" i="11"/>
  <c r="D77" i="11" s="1"/>
  <c r="D41" i="11"/>
  <c r="D80" i="11" s="1"/>
  <c r="X45" i="26"/>
  <c r="AC45" i="26" s="1"/>
  <c r="J45" i="26" s="1"/>
  <c r="J41" i="11" s="1"/>
  <c r="J80" i="11" s="1"/>
  <c r="X85" i="6"/>
  <c r="D69" i="11"/>
  <c r="D106" i="11" s="1"/>
  <c r="D63" i="11"/>
  <c r="D100" i="11" s="1"/>
  <c r="X55" i="6"/>
  <c r="AC55" i="6" s="1"/>
  <c r="J55" i="6" s="1"/>
  <c r="J63" i="11" s="1"/>
  <c r="D57" i="11"/>
  <c r="D94" i="11" s="1"/>
  <c r="X25" i="6"/>
  <c r="D62" i="11"/>
  <c r="D99" i="11" s="1"/>
  <c r="X50" i="6"/>
  <c r="AC50" i="6" s="1"/>
  <c r="J50" i="6" s="1"/>
  <c r="J62" i="11" s="1"/>
  <c r="X65" i="6"/>
  <c r="AC65" i="6" s="1"/>
  <c r="J65" i="6" s="1"/>
  <c r="J65" i="11" s="1"/>
  <c r="D65" i="11"/>
  <c r="D102" i="11" s="1"/>
  <c r="X75" i="6"/>
  <c r="D67" i="11"/>
  <c r="D104" i="11" s="1"/>
  <c r="X80" i="26"/>
  <c r="D48" i="11"/>
  <c r="D87" i="11" s="1"/>
  <c r="D43" i="11"/>
  <c r="D82" i="11" s="1"/>
  <c r="X55" i="26"/>
  <c r="AC55" i="26" s="1"/>
  <c r="J55" i="26" s="1"/>
  <c r="J43" i="11" s="1"/>
  <c r="X25" i="26"/>
  <c r="D37" i="11"/>
  <c r="D76" i="11" s="1"/>
  <c r="D59" i="11"/>
  <c r="D96" i="11" s="1"/>
  <c r="X35" i="6"/>
  <c r="D42" i="11"/>
  <c r="D81" i="11" s="1"/>
  <c r="X50" i="26"/>
  <c r="AC50" i="26" s="1"/>
  <c r="J50" i="26" s="1"/>
  <c r="J42" i="11" s="1"/>
  <c r="D45" i="11"/>
  <c r="D84" i="11" s="1"/>
  <c r="X65" i="26"/>
  <c r="AC65" i="26" s="1"/>
  <c r="J65" i="26" s="1"/>
  <c r="J45" i="11" s="1"/>
  <c r="X80" i="6"/>
  <c r="D68" i="11"/>
  <c r="D105" i="11" s="1"/>
  <c r="X75" i="26"/>
  <c r="D47" i="11"/>
  <c r="D86" i="11" s="1"/>
  <c r="D64" i="11"/>
  <c r="D101" i="11" s="1"/>
  <c r="X60" i="6"/>
  <c r="AC60" i="6" s="1"/>
  <c r="J60" i="6" s="1"/>
  <c r="J64" i="11" s="1"/>
  <c r="D39" i="11"/>
  <c r="D78" i="11" s="1"/>
  <c r="X35" i="26"/>
  <c r="D44" i="11"/>
  <c r="D83" i="11" s="1"/>
  <c r="X60" i="26"/>
  <c r="AC60" i="26" s="1"/>
  <c r="J60" i="26" s="1"/>
  <c r="J44" i="11" s="1"/>
  <c r="X70" i="6"/>
  <c r="D66" i="11"/>
  <c r="D103" i="11" s="1"/>
  <c r="X85" i="26"/>
  <c r="D49" i="11"/>
  <c r="D88" i="11" s="1"/>
  <c r="F83" i="11"/>
  <c r="F81" i="11"/>
  <c r="F99" i="11"/>
  <c r="AU8" i="15"/>
  <c r="AV15" i="15"/>
  <c r="AU22" i="15"/>
  <c r="AU23" i="15"/>
  <c r="AV16" i="15"/>
  <c r="AU9" i="15"/>
  <c r="F76" i="11"/>
  <c r="F94" i="11"/>
  <c r="F95" i="11"/>
  <c r="F77" i="11"/>
  <c r="F93" i="11"/>
  <c r="F101" i="11"/>
  <c r="F75" i="11"/>
  <c r="E20" i="15"/>
  <c r="J13" i="15"/>
  <c r="F78" i="11"/>
  <c r="F96" i="11"/>
  <c r="D20" i="15"/>
  <c r="I20" i="15"/>
  <c r="P7" i="15"/>
  <c r="K17" i="15"/>
  <c r="F105" i="11"/>
  <c r="T20" i="6"/>
  <c r="AC20" i="5"/>
  <c r="J20" i="5" s="1"/>
  <c r="J16" i="11" s="1"/>
  <c r="J56" i="11" s="1"/>
  <c r="J93" i="11" s="1"/>
  <c r="J12" i="15"/>
  <c r="F82" i="11"/>
  <c r="J18" i="15"/>
  <c r="F88" i="11"/>
  <c r="Q20" i="26"/>
  <c r="AE20" i="26" s="1"/>
  <c r="L36" i="11" s="1"/>
  <c r="S20" i="26"/>
  <c r="W20" i="26"/>
  <c r="P20" i="26"/>
  <c r="AD20" i="26" s="1"/>
  <c r="K36" i="11" s="1"/>
  <c r="T20" i="26"/>
  <c r="U20" i="26"/>
  <c r="R20" i="26"/>
  <c r="V20" i="26"/>
  <c r="Q30" i="6"/>
  <c r="AE30" i="6" s="1"/>
  <c r="L58" i="11" s="1"/>
  <c r="P30" i="6"/>
  <c r="AD30" i="6" s="1"/>
  <c r="K58" i="11" s="1"/>
  <c r="K95" i="11" s="1"/>
  <c r="T30" i="6"/>
  <c r="U30" i="6"/>
  <c r="V30" i="6"/>
  <c r="W30" i="6"/>
  <c r="S30" i="6"/>
  <c r="R30" i="6"/>
  <c r="J15" i="15"/>
  <c r="F85" i="11"/>
  <c r="P4" i="15"/>
  <c r="P21" i="15" s="1"/>
  <c r="R30" i="26"/>
  <c r="S30" i="26"/>
  <c r="Q30" i="26"/>
  <c r="AE30" i="26" s="1"/>
  <c r="L38" i="11" s="1"/>
  <c r="W30" i="26"/>
  <c r="V30" i="26"/>
  <c r="T30" i="26"/>
  <c r="P30" i="26"/>
  <c r="AD30" i="26" s="1"/>
  <c r="K38" i="11" s="1"/>
  <c r="K77" i="11" s="1"/>
  <c r="U30" i="26"/>
  <c r="U35" i="6"/>
  <c r="P35" i="6"/>
  <c r="AD35" i="6" s="1"/>
  <c r="K59" i="11" s="1"/>
  <c r="K96" i="11" s="1"/>
  <c r="V35" i="6"/>
  <c r="T35" i="6"/>
  <c r="Q35" i="6"/>
  <c r="AE35" i="6" s="1"/>
  <c r="L59" i="11" s="1"/>
  <c r="W35" i="6"/>
  <c r="R35" i="6"/>
  <c r="S35" i="6"/>
  <c r="J16" i="15"/>
  <c r="F86" i="11"/>
  <c r="K18" i="15"/>
  <c r="F106" i="11"/>
  <c r="K12" i="15"/>
  <c r="F100" i="11"/>
  <c r="J10" i="15"/>
  <c r="F80" i="11"/>
  <c r="K15" i="15"/>
  <c r="F103" i="11"/>
  <c r="K16" i="15"/>
  <c r="F104" i="11"/>
  <c r="Q25" i="26"/>
  <c r="AE25" i="26" s="1"/>
  <c r="L37" i="11" s="1"/>
  <c r="U25" i="26"/>
  <c r="V25" i="26"/>
  <c r="W25" i="26"/>
  <c r="P25" i="26"/>
  <c r="AD25" i="26" s="1"/>
  <c r="K37" i="11" s="1"/>
  <c r="K76" i="11" s="1"/>
  <c r="S25" i="26"/>
  <c r="R25" i="26"/>
  <c r="T25" i="26"/>
  <c r="K10" i="15"/>
  <c r="F98" i="11"/>
  <c r="S35" i="26"/>
  <c r="T35" i="26"/>
  <c r="R35" i="26"/>
  <c r="U35" i="26"/>
  <c r="Q35" i="26"/>
  <c r="AE35" i="26" s="1"/>
  <c r="L39" i="11" s="1"/>
  <c r="P35" i="26"/>
  <c r="AD35" i="26" s="1"/>
  <c r="K39" i="11" s="1"/>
  <c r="K78" i="11" s="1"/>
  <c r="W35" i="26"/>
  <c r="V35" i="26"/>
  <c r="S25" i="6"/>
  <c r="P25" i="6"/>
  <c r="AD25" i="6" s="1"/>
  <c r="K57" i="11" s="1"/>
  <c r="K94" i="11" s="1"/>
  <c r="U25" i="6"/>
  <c r="V25" i="6"/>
  <c r="Q25" i="6"/>
  <c r="AE25" i="6" s="1"/>
  <c r="L57" i="11" s="1"/>
  <c r="T25" i="6"/>
  <c r="R25" i="6"/>
  <c r="W25" i="6"/>
  <c r="J17" i="15"/>
  <c r="F87" i="11"/>
  <c r="C20" i="15"/>
  <c r="U9" i="11" l="1"/>
  <c r="V9" i="11"/>
  <c r="T9" i="11"/>
  <c r="S9" i="11"/>
  <c r="L98" i="11"/>
  <c r="L83" i="11"/>
  <c r="AC30" i="26"/>
  <c r="J30" i="26" s="1"/>
  <c r="J38" i="11" s="1"/>
  <c r="J77" i="11" s="1"/>
  <c r="L94" i="11"/>
  <c r="K75" i="11"/>
  <c r="L76" i="11"/>
  <c r="L75" i="11"/>
  <c r="L99" i="11"/>
  <c r="K101" i="11"/>
  <c r="L96" i="11"/>
  <c r="L78" i="11"/>
  <c r="AC20" i="6"/>
  <c r="J20" i="6" s="1"/>
  <c r="L95" i="11"/>
  <c r="L100" i="11"/>
  <c r="L77" i="11"/>
  <c r="L101" i="11"/>
  <c r="L82" i="11"/>
  <c r="K93" i="11"/>
  <c r="L93" i="11"/>
  <c r="L81" i="11"/>
  <c r="L80" i="11"/>
  <c r="AC25" i="26"/>
  <c r="J25" i="26" s="1"/>
  <c r="J37" i="11" s="1"/>
  <c r="J76" i="11" s="1"/>
  <c r="AC20" i="26"/>
  <c r="J20" i="26" s="1"/>
  <c r="J36" i="11" s="1"/>
  <c r="J75" i="11" s="1"/>
  <c r="AC35" i="6"/>
  <c r="J35" i="6" s="1"/>
  <c r="J59" i="11" s="1"/>
  <c r="J96" i="11" s="1"/>
  <c r="AC25" i="6"/>
  <c r="J25" i="6" s="1"/>
  <c r="J57" i="11" s="1"/>
  <c r="J94" i="11" s="1"/>
  <c r="AC35" i="26"/>
  <c r="J35" i="26" s="1"/>
  <c r="J39" i="11" s="1"/>
  <c r="Q8" i="15" s="1"/>
  <c r="AC30" i="6"/>
  <c r="J30" i="6" s="1"/>
  <c r="J58" i="11" s="1"/>
  <c r="J95" i="11" s="1"/>
  <c r="J102" i="11"/>
  <c r="R14" i="15"/>
  <c r="J98" i="11"/>
  <c r="R10" i="15"/>
  <c r="Q10" i="15"/>
  <c r="J99" i="11"/>
  <c r="R11" i="15"/>
  <c r="J84" i="11"/>
  <c r="Q14" i="15"/>
  <c r="J81" i="11"/>
  <c r="Q11" i="15"/>
  <c r="R12" i="15"/>
  <c r="J100" i="11"/>
  <c r="J82" i="11"/>
  <c r="Q12" i="15"/>
  <c r="J83" i="11"/>
  <c r="Q13" i="15"/>
  <c r="J101" i="11"/>
  <c r="R13" i="15"/>
  <c r="AV8" i="15"/>
  <c r="AV9" i="15"/>
  <c r="AV22" i="15"/>
  <c r="AV23" i="15"/>
  <c r="R5" i="15"/>
  <c r="J20" i="15"/>
  <c r="P5" i="15"/>
  <c r="P20" i="15" s="1"/>
  <c r="K20" i="15"/>
  <c r="Q7" i="15" l="1"/>
  <c r="R6" i="15"/>
  <c r="R8" i="15"/>
  <c r="Q5" i="15"/>
  <c r="Q6" i="15"/>
  <c r="R7" i="15"/>
  <c r="J78" i="11"/>
  <c r="AD6" i="15"/>
  <c r="AF4" i="15"/>
  <c r="AD7" i="15"/>
  <c r="AD5" i="15"/>
  <c r="AD8" i="15"/>
  <c r="AD13" i="15"/>
  <c r="AD10" i="15"/>
  <c r="AD11" i="15"/>
  <c r="AD12" i="15"/>
  <c r="AD17" i="15"/>
  <c r="AD18" i="15"/>
  <c r="AD15" i="15"/>
  <c r="AD16" i="15"/>
  <c r="AF19" i="15"/>
  <c r="AO19" i="15" s="1"/>
  <c r="AE8" i="15"/>
  <c r="AE5" i="15"/>
  <c r="AE6" i="15"/>
  <c r="AE7" i="15"/>
  <c r="AE10" i="15"/>
  <c r="AE13" i="15"/>
  <c r="AE11" i="15"/>
  <c r="AE12" i="15"/>
  <c r="AE18" i="15"/>
  <c r="AE17" i="15"/>
  <c r="AE16" i="15"/>
  <c r="AE15" i="15"/>
  <c r="J28" i="2"/>
  <c r="J29" i="2"/>
  <c r="J30" i="2"/>
  <c r="J31" i="2"/>
  <c r="J32" i="2"/>
  <c r="M51" i="37" s="1"/>
  <c r="J51" i="37" s="1"/>
  <c r="AW22" i="15" l="1"/>
  <c r="AW23" i="15"/>
  <c r="AW16" i="15"/>
  <c r="AW15" i="15"/>
  <c r="AQ4" i="15"/>
  <c r="AP4" i="15"/>
  <c r="AO4" i="15"/>
  <c r="AO20" i="15" s="1"/>
  <c r="AF14" i="15"/>
  <c r="AF20" i="15"/>
  <c r="AF7" i="15"/>
  <c r="AF28" i="2"/>
  <c r="Q51" i="37"/>
  <c r="AF16" i="15"/>
  <c r="AO16" i="15" s="1"/>
  <c r="AF15" i="15"/>
  <c r="AO15" i="15" s="1"/>
  <c r="AF18" i="15"/>
  <c r="AO18" i="15" s="1"/>
  <c r="AF17" i="15"/>
  <c r="AO17" i="15" s="1"/>
  <c r="AF12" i="15"/>
  <c r="AF11" i="15"/>
  <c r="AF10" i="15"/>
  <c r="AF13" i="15"/>
  <c r="AF6" i="15"/>
  <c r="AF8" i="15"/>
  <c r="AF5" i="15"/>
  <c r="N51" i="37" l="1"/>
  <c r="AG51" i="15"/>
  <c r="AP6" i="15"/>
  <c r="AO6" i="15"/>
  <c r="AQ6" i="15"/>
  <c r="AP7" i="15"/>
  <c r="AO7" i="15"/>
  <c r="AQ7" i="15"/>
  <c r="AF9" i="15"/>
  <c r="AP14" i="15"/>
  <c r="AO14" i="15"/>
  <c r="AQ14" i="15"/>
  <c r="AP13" i="15"/>
  <c r="AO13" i="15"/>
  <c r="AQ13" i="15"/>
  <c r="AP10" i="15"/>
  <c r="AO10" i="15"/>
  <c r="AQ10" i="15"/>
  <c r="AO5" i="15"/>
  <c r="AQ5" i="15"/>
  <c r="AP5" i="15"/>
  <c r="AP11" i="15"/>
  <c r="AO11" i="15"/>
  <c r="AQ11" i="15"/>
  <c r="AP8" i="15"/>
  <c r="AO8" i="15"/>
  <c r="AQ8" i="15"/>
  <c r="AO12" i="15"/>
  <c r="AP12" i="15"/>
  <c r="AQ12" i="15"/>
  <c r="AL28" i="2"/>
  <c r="AJ15" i="15" s="1"/>
  <c r="AP15" i="15" s="1"/>
  <c r="AR28" i="2"/>
  <c r="AF29" i="2"/>
  <c r="AG28" i="2"/>
  <c r="AP9" i="15" l="1"/>
  <c r="AO9" i="15"/>
  <c r="AQ9" i="15"/>
  <c r="AM28" i="2"/>
  <c r="AL29" i="2"/>
  <c r="AJ16" i="15" s="1"/>
  <c r="AP16" i="15" s="1"/>
  <c r="AK15" i="15"/>
  <c r="AQ15" i="15" s="1"/>
  <c r="AR29" i="2"/>
  <c r="AS28" i="2"/>
  <c r="AG29" i="2"/>
  <c r="AF30" i="2"/>
  <c r="AL30" i="2" l="1"/>
  <c r="AJ17" i="15" s="1"/>
  <c r="AP17" i="15" s="1"/>
  <c r="L70" i="26"/>
  <c r="H70" i="26"/>
  <c r="H46" i="11" s="1"/>
  <c r="H85" i="11" s="1"/>
  <c r="AM29" i="2"/>
  <c r="L70" i="6"/>
  <c r="O70" i="6" s="1"/>
  <c r="AR30" i="2"/>
  <c r="AS29" i="2"/>
  <c r="AK16" i="15"/>
  <c r="AQ16" i="15" s="1"/>
  <c r="AG30" i="2"/>
  <c r="AF31" i="2"/>
  <c r="Z70" i="6" l="1"/>
  <c r="Y70" i="6"/>
  <c r="AM30" i="2"/>
  <c r="AL31" i="2"/>
  <c r="AJ18" i="15" s="1"/>
  <c r="AP18" i="15" s="1"/>
  <c r="L75" i="26"/>
  <c r="H75" i="26"/>
  <c r="H47" i="11" s="1"/>
  <c r="H86" i="11" s="1"/>
  <c r="I20" i="34"/>
  <c r="AK17" i="15"/>
  <c r="AQ17" i="15" s="1"/>
  <c r="AS30" i="2"/>
  <c r="AR31" i="2"/>
  <c r="H70" i="6"/>
  <c r="H66" i="11" s="1"/>
  <c r="H103" i="11" s="1"/>
  <c r="L75" i="6"/>
  <c r="O75" i="6" s="1"/>
  <c r="E70" i="26"/>
  <c r="O70" i="26" s="1"/>
  <c r="E75" i="26"/>
  <c r="E66" i="11"/>
  <c r="E103" i="11" s="1"/>
  <c r="AF32" i="2"/>
  <c r="AG31" i="2"/>
  <c r="Y70" i="26" l="1"/>
  <c r="Z70" i="26"/>
  <c r="Z75" i="6"/>
  <c r="Y75" i="6"/>
  <c r="I70" i="26"/>
  <c r="I46" i="11" s="1"/>
  <c r="I85" i="11" s="1"/>
  <c r="I39" i="34"/>
  <c r="I70" i="6" s="1"/>
  <c r="I66" i="11" s="1"/>
  <c r="I103" i="11" s="1"/>
  <c r="AG32" i="2"/>
  <c r="M51" i="17"/>
  <c r="J51" i="17" s="1"/>
  <c r="L80" i="26"/>
  <c r="H80" i="26"/>
  <c r="H48" i="11" s="1"/>
  <c r="H87" i="11" s="1"/>
  <c r="I21" i="34"/>
  <c r="O75" i="26"/>
  <c r="AL32" i="2"/>
  <c r="AM31" i="2"/>
  <c r="H75" i="6"/>
  <c r="H67" i="11" s="1"/>
  <c r="H104" i="11" s="1"/>
  <c r="AR32" i="2"/>
  <c r="AS31" i="2"/>
  <c r="AK18" i="15"/>
  <c r="AQ18" i="15" s="1"/>
  <c r="L80" i="6"/>
  <c r="O80" i="6" s="1"/>
  <c r="E46" i="11"/>
  <c r="E85" i="11" s="1"/>
  <c r="R70" i="26"/>
  <c r="P70" i="26"/>
  <c r="S70" i="26"/>
  <c r="U70" i="26"/>
  <c r="W70" i="26"/>
  <c r="Q70" i="26"/>
  <c r="V70" i="26"/>
  <c r="T70" i="26"/>
  <c r="AC70" i="26" s="1"/>
  <c r="J70" i="26" s="1"/>
  <c r="J46" i="11" s="1"/>
  <c r="J85" i="11" s="1"/>
  <c r="E80" i="26"/>
  <c r="E67" i="11"/>
  <c r="E104" i="11" s="1"/>
  <c r="V70" i="6"/>
  <c r="T70" i="6"/>
  <c r="AC70" i="6" s="1"/>
  <c r="J70" i="6" s="1"/>
  <c r="J66" i="11" s="1"/>
  <c r="J103" i="11" s="1"/>
  <c r="S70" i="6"/>
  <c r="R70" i="6"/>
  <c r="W70" i="6"/>
  <c r="Q70" i="6"/>
  <c r="AE70" i="6" s="1"/>
  <c r="L66" i="11" s="1"/>
  <c r="L103" i="11" s="1"/>
  <c r="P70" i="6"/>
  <c r="AD70" i="6" s="1"/>
  <c r="K66" i="11" s="1"/>
  <c r="K103" i="11" s="1"/>
  <c r="U70" i="6"/>
  <c r="E47" i="11"/>
  <c r="E86" i="11" s="1"/>
  <c r="AD70" i="26" l="1"/>
  <c r="K46" i="11" s="1"/>
  <c r="K85" i="11" s="1"/>
  <c r="AE70" i="26"/>
  <c r="L46" i="11" s="1"/>
  <c r="L85" i="11" s="1"/>
  <c r="P75" i="26"/>
  <c r="Z75" i="26"/>
  <c r="Y75" i="26"/>
  <c r="Z80" i="6"/>
  <c r="Y80" i="6"/>
  <c r="I75" i="26"/>
  <c r="I47" i="11" s="1"/>
  <c r="I86" i="11" s="1"/>
  <c r="I40" i="34"/>
  <c r="I75" i="6" s="1"/>
  <c r="I67" i="11" s="1"/>
  <c r="I104" i="11" s="1"/>
  <c r="AJ19" i="15"/>
  <c r="Q51" i="17"/>
  <c r="N51" i="17" s="1"/>
  <c r="O80" i="26"/>
  <c r="L85" i="26"/>
  <c r="H85" i="26"/>
  <c r="H49" i="11" s="1"/>
  <c r="H88" i="11" s="1"/>
  <c r="I22" i="34"/>
  <c r="AM32" i="2"/>
  <c r="V75" i="26"/>
  <c r="U75" i="26"/>
  <c r="W75" i="26"/>
  <c r="S75" i="26"/>
  <c r="T75" i="26"/>
  <c r="AC75" i="26" s="1"/>
  <c r="J75" i="26" s="1"/>
  <c r="J47" i="11" s="1"/>
  <c r="J86" i="11" s="1"/>
  <c r="Q75" i="26"/>
  <c r="R75" i="26"/>
  <c r="L85" i="6"/>
  <c r="O85" i="6" s="1"/>
  <c r="AS32" i="2"/>
  <c r="AK19" i="15"/>
  <c r="H80" i="6"/>
  <c r="H68" i="11" s="1"/>
  <c r="H105" i="11" s="1"/>
  <c r="R15" i="15"/>
  <c r="Q15" i="15"/>
  <c r="I23" i="34"/>
  <c r="I42" i="34" s="1"/>
  <c r="H90" i="26"/>
  <c r="E68" i="11"/>
  <c r="E105" i="11" s="1"/>
  <c r="S75" i="6"/>
  <c r="U75" i="6"/>
  <c r="R75" i="6"/>
  <c r="P75" i="6"/>
  <c r="AD75" i="6" s="1"/>
  <c r="K67" i="11" s="1"/>
  <c r="K104" i="11" s="1"/>
  <c r="W75" i="6"/>
  <c r="Q75" i="6"/>
  <c r="AE75" i="6" s="1"/>
  <c r="L67" i="11" s="1"/>
  <c r="L104" i="11" s="1"/>
  <c r="T75" i="6"/>
  <c r="AC75" i="6" s="1"/>
  <c r="J75" i="6" s="1"/>
  <c r="J67" i="11" s="1"/>
  <c r="J104" i="11" s="1"/>
  <c r="V75" i="6"/>
  <c r="E48" i="11"/>
  <c r="E87" i="11" s="1"/>
  <c r="AE75" i="26" l="1"/>
  <c r="L47" i="11" s="1"/>
  <c r="L86" i="11" s="1"/>
  <c r="AJ20" i="15"/>
  <c r="AE51" i="15"/>
  <c r="Y85" i="6"/>
  <c r="Z85" i="6"/>
  <c r="Q80" i="26"/>
  <c r="Z80" i="26"/>
  <c r="Y80" i="26"/>
  <c r="AD75" i="26"/>
  <c r="K47" i="11" s="1"/>
  <c r="K86" i="11" s="1"/>
  <c r="I80" i="26"/>
  <c r="I48" i="11" s="1"/>
  <c r="I87" i="11" s="1"/>
  <c r="I41" i="34"/>
  <c r="I80" i="6" s="1"/>
  <c r="I68" i="11" s="1"/>
  <c r="I105" i="11" s="1"/>
  <c r="AP19" i="15"/>
  <c r="AP20" i="15" s="1"/>
  <c r="W80" i="26"/>
  <c r="R80" i="26"/>
  <c r="S80" i="26"/>
  <c r="L90" i="26"/>
  <c r="V80" i="26"/>
  <c r="U80" i="26"/>
  <c r="T80" i="26"/>
  <c r="AC80" i="26" s="1"/>
  <c r="J80" i="26" s="1"/>
  <c r="J48" i="11" s="1"/>
  <c r="J87" i="11" s="1"/>
  <c r="P80" i="26"/>
  <c r="Q16" i="15"/>
  <c r="AK20" i="15"/>
  <c r="AQ19" i="15"/>
  <c r="AQ20" i="15" s="1"/>
  <c r="L90" i="6"/>
  <c r="O90" i="6" s="1"/>
  <c r="H85" i="6"/>
  <c r="H69" i="11" s="1"/>
  <c r="H106" i="11" s="1"/>
  <c r="R16" i="15"/>
  <c r="I85" i="26"/>
  <c r="I49" i="11" s="1"/>
  <c r="I88" i="11" s="1"/>
  <c r="E85" i="26"/>
  <c r="O85" i="26" s="1"/>
  <c r="I24" i="34"/>
  <c r="H50" i="11"/>
  <c r="H89" i="11" s="1"/>
  <c r="E69" i="11"/>
  <c r="E106" i="11" s="1"/>
  <c r="E70" i="11"/>
  <c r="E107" i="11" s="1"/>
  <c r="V80" i="6"/>
  <c r="P80" i="6"/>
  <c r="AD80" i="6" s="1"/>
  <c r="K68" i="11" s="1"/>
  <c r="K105" i="11" s="1"/>
  <c r="R80" i="6"/>
  <c r="S80" i="6"/>
  <c r="U80" i="6"/>
  <c r="W80" i="6"/>
  <c r="Q80" i="6"/>
  <c r="AE80" i="6" s="1"/>
  <c r="L68" i="11" s="1"/>
  <c r="L105" i="11" s="1"/>
  <c r="T80" i="6"/>
  <c r="AC80" i="6" s="1"/>
  <c r="J80" i="6" s="1"/>
  <c r="J68" i="11" s="1"/>
  <c r="J105" i="11" s="1"/>
  <c r="AA90" i="6" l="1"/>
  <c r="R14" i="11"/>
  <c r="AB90" i="6"/>
  <c r="Z90" i="6"/>
  <c r="Y90" i="6"/>
  <c r="AE80" i="26"/>
  <c r="L48" i="11" s="1"/>
  <c r="L87" i="11" s="1"/>
  <c r="Y85" i="26"/>
  <c r="Z85" i="26"/>
  <c r="AD80" i="26"/>
  <c r="K48" i="11" s="1"/>
  <c r="K87" i="11" s="1"/>
  <c r="I90" i="26"/>
  <c r="I50" i="11" s="1"/>
  <c r="I89" i="11" s="1"/>
  <c r="I43" i="34"/>
  <c r="Q17" i="15"/>
  <c r="I85" i="6"/>
  <c r="I69" i="11" s="1"/>
  <c r="I106" i="11" s="1"/>
  <c r="H90" i="6"/>
  <c r="H70" i="11" s="1"/>
  <c r="H107" i="11" s="1"/>
  <c r="R17" i="15"/>
  <c r="E49" i="11"/>
  <c r="E88" i="11" s="1"/>
  <c r="U85" i="26"/>
  <c r="R85" i="26"/>
  <c r="T85" i="26"/>
  <c r="AC85" i="26" s="1"/>
  <c r="J85" i="26" s="1"/>
  <c r="J49" i="11" s="1"/>
  <c r="V85" i="26"/>
  <c r="P85" i="26"/>
  <c r="S85" i="26"/>
  <c r="Q85" i="26"/>
  <c r="W85" i="26"/>
  <c r="E90" i="26"/>
  <c r="O90" i="26" s="1"/>
  <c r="T90" i="6"/>
  <c r="AC90" i="6" s="1"/>
  <c r="J90" i="6" s="1"/>
  <c r="J70" i="11" s="1"/>
  <c r="V90" i="6"/>
  <c r="AG90" i="6" s="1"/>
  <c r="N70" i="11" s="1"/>
  <c r="N107" i="11" s="1"/>
  <c r="U90" i="6"/>
  <c r="AF90" i="6" s="1"/>
  <c r="M70" i="11" s="1"/>
  <c r="M107" i="11" s="1"/>
  <c r="S90" i="6"/>
  <c r="R90" i="6"/>
  <c r="Q90" i="6"/>
  <c r="W90" i="6"/>
  <c r="P90" i="6"/>
  <c r="V85" i="6"/>
  <c r="U85" i="6"/>
  <c r="W85" i="6"/>
  <c r="R85" i="6"/>
  <c r="P85" i="6"/>
  <c r="AD85" i="6" s="1"/>
  <c r="K69" i="11" s="1"/>
  <c r="K106" i="11" s="1"/>
  <c r="T85" i="6"/>
  <c r="AC85" i="6" s="1"/>
  <c r="J85" i="6" s="1"/>
  <c r="J69" i="11" s="1"/>
  <c r="Q85" i="6"/>
  <c r="AE85" i="6" s="1"/>
  <c r="L69" i="11" s="1"/>
  <c r="L106" i="11" s="1"/>
  <c r="S85" i="6"/>
  <c r="U14" i="11" l="1"/>
  <c r="U22" i="11" s="1"/>
  <c r="R15" i="11"/>
  <c r="V14" i="11"/>
  <c r="V22" i="11" s="1"/>
  <c r="S14" i="11"/>
  <c r="S22" i="11" s="1"/>
  <c r="T14" i="11"/>
  <c r="T22" i="11" s="1"/>
  <c r="R10" i="11"/>
  <c r="AB90" i="26"/>
  <c r="AA90" i="26"/>
  <c r="AD90" i="6"/>
  <c r="K70" i="11" s="1"/>
  <c r="K107" i="11" s="1"/>
  <c r="AE90" i="6"/>
  <c r="L70" i="11" s="1"/>
  <c r="L107" i="11" s="1"/>
  <c r="Y90" i="26"/>
  <c r="Z90" i="26"/>
  <c r="AE85" i="26"/>
  <c r="L49" i="11" s="1"/>
  <c r="L88" i="11" s="1"/>
  <c r="AD85" i="26"/>
  <c r="K49" i="11" s="1"/>
  <c r="K88" i="11" s="1"/>
  <c r="R18" i="15"/>
  <c r="J106" i="11"/>
  <c r="R19" i="15"/>
  <c r="R21" i="15" s="1"/>
  <c r="J107" i="11"/>
  <c r="Q18" i="15"/>
  <c r="J88" i="11"/>
  <c r="I90" i="6"/>
  <c r="I70" i="11" s="1"/>
  <c r="I107" i="11" s="1"/>
  <c r="E50" i="11"/>
  <c r="E89" i="11" s="1"/>
  <c r="Q90" i="26"/>
  <c r="R90" i="26"/>
  <c r="U90" i="26"/>
  <c r="P90" i="26"/>
  <c r="T90" i="26"/>
  <c r="AC90" i="26" s="1"/>
  <c r="J90" i="26" s="1"/>
  <c r="J50" i="11" s="1"/>
  <c r="W90" i="26"/>
  <c r="V90" i="26"/>
  <c r="S90" i="26"/>
  <c r="V10" i="11" l="1"/>
  <c r="V18" i="11" s="1"/>
  <c r="T10" i="11"/>
  <c r="T18" i="11" s="1"/>
  <c r="U10" i="11"/>
  <c r="U18" i="11" s="1"/>
  <c r="R11" i="11"/>
  <c r="S10" i="11"/>
  <c r="S18" i="11" s="1"/>
  <c r="T15" i="11"/>
  <c r="T23" i="11" s="1"/>
  <c r="U15" i="11"/>
  <c r="U23" i="11" s="1"/>
  <c r="S15" i="11"/>
  <c r="S23" i="11" s="1"/>
  <c r="V15" i="11"/>
  <c r="V23" i="11" s="1"/>
  <c r="R16" i="11"/>
  <c r="AG90" i="26"/>
  <c r="N50" i="11" s="1"/>
  <c r="N89" i="11" s="1"/>
  <c r="AF90" i="26"/>
  <c r="M50" i="11" s="1"/>
  <c r="M89" i="11" s="1"/>
  <c r="AD90" i="26"/>
  <c r="K50" i="11" s="1"/>
  <c r="K89" i="11" s="1"/>
  <c r="K90" i="11" s="1"/>
  <c r="AE90" i="26"/>
  <c r="L50" i="11" s="1"/>
  <c r="L89" i="11" s="1"/>
  <c r="L90" i="11" s="1"/>
  <c r="R20" i="15"/>
  <c r="AW9" i="15"/>
  <c r="Q19" i="15"/>
  <c r="AW8" i="15" s="1"/>
  <c r="J89" i="11"/>
  <c r="J90" i="11" s="1"/>
  <c r="T11" i="11" l="1"/>
  <c r="T19" i="11" s="1"/>
  <c r="S11" i="11"/>
  <c r="S19" i="11" s="1"/>
  <c r="R12" i="11"/>
  <c r="U11" i="11"/>
  <c r="U19" i="11" s="1"/>
  <c r="V11" i="11"/>
  <c r="V19" i="11" s="1"/>
  <c r="U16" i="11"/>
  <c r="U24" i="11" s="1"/>
  <c r="T16" i="11"/>
  <c r="T24" i="11" s="1"/>
  <c r="S16" i="11"/>
  <c r="S24" i="11" s="1"/>
  <c r="R17" i="11"/>
  <c r="V16" i="11"/>
  <c r="V24" i="11" s="1"/>
  <c r="Q20" i="15"/>
  <c r="Q21" i="15"/>
  <c r="V12" i="11" l="1"/>
  <c r="V20" i="11" s="1"/>
  <c r="U12" i="11"/>
  <c r="U20" i="11" s="1"/>
  <c r="T12" i="11"/>
  <c r="T20" i="11" s="1"/>
  <c r="S12" i="11"/>
  <c r="S20" i="11" s="1"/>
  <c r="R13" i="11"/>
  <c r="T17" i="11"/>
  <c r="T25" i="11" s="1"/>
  <c r="S17" i="11"/>
  <c r="S25" i="11" s="1"/>
  <c r="V17" i="11"/>
  <c r="V25" i="11" s="1"/>
  <c r="U17" i="11"/>
  <c r="U25" i="11" s="1"/>
  <c r="S13" i="11" l="1"/>
  <c r="S21" i="11" s="1"/>
  <c r="T13" i="11"/>
  <c r="T21" i="11" s="1"/>
  <c r="V13" i="11"/>
  <c r="V21" i="11" s="1"/>
  <c r="U13" i="11"/>
  <c r="U21" i="11" s="1"/>
</calcChain>
</file>

<file path=xl/sharedStrings.xml><?xml version="1.0" encoding="utf-8"?>
<sst xmlns="http://schemas.openxmlformats.org/spreadsheetml/2006/main" count="2638" uniqueCount="600">
  <si>
    <t>yearID</t>
  </si>
  <si>
    <t>regCalssID</t>
  </si>
  <si>
    <t>NOx</t>
  </si>
  <si>
    <t>CO2</t>
  </si>
  <si>
    <t>Unadjusted output from MOVES3</t>
  </si>
  <si>
    <t>Statewide totals, units of grams/year (energy units mmBtu/year)</t>
  </si>
  <si>
    <t xml:space="preserve">     VOC</t>
  </si>
  <si>
    <t xml:space="preserve">     CO</t>
  </si>
  <si>
    <t xml:space="preserve">     NOx</t>
  </si>
  <si>
    <t xml:space="preserve">     PM10</t>
  </si>
  <si>
    <t xml:space="preserve">     PM2.5</t>
  </si>
  <si>
    <t xml:space="preserve">     SOx</t>
  </si>
  <si>
    <t xml:space="preserve">     BC</t>
  </si>
  <si>
    <t xml:space="preserve">     OC</t>
  </si>
  <si>
    <t xml:space="preserve">     CH4</t>
  </si>
  <si>
    <t xml:space="preserve">     N2O</t>
  </si>
  <si>
    <t xml:space="preserve">     CO2 </t>
  </si>
  <si>
    <t>GREET Emissions</t>
  </si>
  <si>
    <t>Unadjusted MOVES output</t>
  </si>
  <si>
    <t>Year</t>
  </si>
  <si>
    <t>RegClass</t>
  </si>
  <si>
    <t>N2O</t>
  </si>
  <si>
    <t>Energy</t>
  </si>
  <si>
    <t>Statewide totals, units of tons/year (energy units mmBtu/year)</t>
  </si>
  <si>
    <t>Total PM2.5</t>
  </si>
  <si>
    <t>grams/mmBTU</t>
  </si>
  <si>
    <t>CH4</t>
  </si>
  <si>
    <t>Introduction</t>
  </si>
  <si>
    <t>Scenarios</t>
  </si>
  <si>
    <t>Description</t>
  </si>
  <si>
    <t>Vehicle Types</t>
  </si>
  <si>
    <t>regClassID</t>
  </si>
  <si>
    <t>regClassName</t>
  </si>
  <si>
    <t>LDV</t>
  </si>
  <si>
    <t>Light Duty Vehicles</t>
  </si>
  <si>
    <t>LDT</t>
  </si>
  <si>
    <t>Light Duty Trucks</t>
  </si>
  <si>
    <t>LHD2b3</t>
  </si>
  <si>
    <t>The following table shows the relationships between MOVES regulatory classes and sourcetypes:</t>
  </si>
  <si>
    <t>GREET "well-to-pump" CO2 emissions factor</t>
  </si>
  <si>
    <t>National average of gasoline and diesel</t>
  </si>
  <si>
    <t>This is a multiplier for CO2 exhaust emissions:  e.g., 1 gram of tailpipe CO2 is accompanied by 0.265 grams of WTP CO2</t>
  </si>
  <si>
    <t>Nox</t>
  </si>
  <si>
    <t>PM25 Exh</t>
  </si>
  <si>
    <t>PM25 BW</t>
  </si>
  <si>
    <t>PM25 TW</t>
  </si>
  <si>
    <t>MOVES3 GWP</t>
  </si>
  <si>
    <t>CO2e</t>
  </si>
  <si>
    <t>BAU</t>
  </si>
  <si>
    <t>Total</t>
  </si>
  <si>
    <t>Reg Class</t>
  </si>
  <si>
    <t>Class 2b-3</t>
  </si>
  <si>
    <t>WTW CO2e</t>
  </si>
  <si>
    <t>WTW CO2e (million metric tonnes)</t>
  </si>
  <si>
    <t>Metric Tonnes</t>
  </si>
  <si>
    <t>grams</t>
  </si>
  <si>
    <t>NOx (short tons)</t>
  </si>
  <si>
    <t>PM2.5 (short tons)</t>
  </si>
  <si>
    <t>NPCC mix: CT, MA, ME, VT, RI</t>
  </si>
  <si>
    <t>Emissions rates in grams/mmBtu from "Electric" worksheet, row 134, based on region selection on Inputs worksheet</t>
  </si>
  <si>
    <t>Transportation Use: NPCC Mix</t>
  </si>
  <si>
    <t>Emissions: grams</t>
  </si>
  <si>
    <t>Transportation Use: RFC Mix</t>
  </si>
  <si>
    <t>Transportation Use: SERC Mix</t>
  </si>
  <si>
    <t>Transportation Use: WECC Mix</t>
  </si>
  <si>
    <t>Reflects "Total" values for each region, not "Urban" values</t>
  </si>
  <si>
    <t>Power Plant Energy Use and Emissions: per mmBtu of Electricity Available at User Sites (wall outlets)</t>
  </si>
  <si>
    <t xml:space="preserve">Year-specific NPCC electrical generation rates </t>
  </si>
  <si>
    <t xml:space="preserve">Year-specific RFC electrical generation rates </t>
  </si>
  <si>
    <t xml:space="preserve">Year-specific SERC electrical generation rates </t>
  </si>
  <si>
    <t>MOVES default age 0 (new) vehicle fractions by calendar year and regulatory class</t>
  </si>
  <si>
    <t>Extracted from MOVES3 default run for the entire US, to produce population by model year and regulatory class</t>
  </si>
  <si>
    <t>MY</t>
  </si>
  <si>
    <t>Default output</t>
  </si>
  <si>
    <t>POP</t>
  </si>
  <si>
    <t>VMT</t>
  </si>
  <si>
    <t>County Output</t>
  </si>
  <si>
    <t>units:  grams, mmBtu</t>
  </si>
  <si>
    <t>Years to interpolate from County results:</t>
  </si>
  <si>
    <t>Interpolation factors</t>
  </si>
  <si>
    <t>straight line</t>
  </si>
  <si>
    <t>gm/mile</t>
  </si>
  <si>
    <t>default trend</t>
  </si>
  <si>
    <t>The original output values are located in the "Combined MOVES output" worksheet.</t>
  </si>
  <si>
    <t>Worksheet</t>
  </si>
  <si>
    <t>Description of Contents</t>
  </si>
  <si>
    <t>Key</t>
  </si>
  <si>
    <t>Overview of scenarios, programs evaluated and information on vehicle types</t>
  </si>
  <si>
    <t>Business as usual scenario</t>
  </si>
  <si>
    <t>Combined MOVES output</t>
  </si>
  <si>
    <t>Imported MOVES County-scale output</t>
  </si>
  <si>
    <t>Imported MOVES Default-scale output</t>
  </si>
  <si>
    <t>Output interpolation</t>
  </si>
  <si>
    <t>GREET factors</t>
  </si>
  <si>
    <t>Coal</t>
  </si>
  <si>
    <t>Biomass</t>
  </si>
  <si>
    <t>WECC Regional Power Sources</t>
  </si>
  <si>
    <t>10.2.b) Electric Generation Mixes: Data Table for Use in GREET (From Annual Energy Outlook 2019)</t>
  </si>
  <si>
    <t>WECC Mix</t>
  </si>
  <si>
    <t>Transportation</t>
  </si>
  <si>
    <t>Stationary</t>
  </si>
  <si>
    <t>Residual oil</t>
  </si>
  <si>
    <t>Natural gas</t>
  </si>
  <si>
    <t>Nuclear power</t>
  </si>
  <si>
    <t>Others</t>
  </si>
  <si>
    <t>Map from "Inputs" worksheet, row 716; selections for applicable region in rows 714 and 733</t>
  </si>
  <si>
    <t>Fossil mix from GREET:</t>
  </si>
  <si>
    <t>WECC overall emissions rates</t>
  </si>
  <si>
    <t>WECC Trans. Mix g/mmBtu if all fossil</t>
  </si>
  <si>
    <t>All</t>
  </si>
  <si>
    <t>Business as Usual (BAU)</t>
  </si>
  <si>
    <t>Summary results for scenarios</t>
  </si>
  <si>
    <t>ACC II benefits (relative to BAU)--MY2026 Implementation</t>
  </si>
  <si>
    <t>County-scale runs (results within borders):  2017, 2030, 2040</t>
  </si>
  <si>
    <t>Interpolated using MOVES default trend:  2020, 2025, 2035</t>
  </si>
  <si>
    <t>VOC</t>
  </si>
  <si>
    <t>SO2</t>
  </si>
  <si>
    <t>NH3</t>
  </si>
  <si>
    <t>ZEV sales fractions</t>
  </si>
  <si>
    <t>ACC II reg req't</t>
  </si>
  <si>
    <t>ACC II lower bound</t>
  </si>
  <si>
    <t>BEV</t>
  </si>
  <si>
    <t>PHEV</t>
  </si>
  <si>
    <t>CARB Baseline</t>
  </si>
  <si>
    <t>BEV+FCEV</t>
  </si>
  <si>
    <t>Source:  CARB SRIA, Table 4</t>
  </si>
  <si>
    <t>Map and data from DOE's GREET model, GREET1_2021.xlsm</t>
  </si>
  <si>
    <t>NH3 rates not available from GREET or eGRID</t>
  </si>
  <si>
    <t>Interim years</t>
  </si>
  <si>
    <t>ICE</t>
  </si>
  <si>
    <t>ACCII Regulatory Requirement</t>
  </si>
  <si>
    <t>ACCII Lower Bound</t>
  </si>
  <si>
    <t>Total ZEV</t>
  </si>
  <si>
    <t>All veh</t>
  </si>
  <si>
    <t>Total Sales</t>
  </si>
  <si>
    <t>fraction of population that are new MY vehicles</t>
  </si>
  <si>
    <t>regClass</t>
  </si>
  <si>
    <t>Total Pop</t>
  </si>
  <si>
    <t xml:space="preserve">note that in this scenario as defined, </t>
  </si>
  <si>
    <t>ZEV in-use fractions</t>
  </si>
  <si>
    <t>Total ZEVs</t>
  </si>
  <si>
    <t>fraction</t>
  </si>
  <si>
    <t>ZEV Electricity Demand</t>
  </si>
  <si>
    <t>2025 value = BAU</t>
  </si>
  <si>
    <t>ACC II - MY2026 Implementation</t>
  </si>
  <si>
    <t>(no change from BAU)</t>
  </si>
  <si>
    <t>Emissions Reductions from ACC II</t>
  </si>
  <si>
    <t>ACC II - MY2027 Implementation</t>
  </si>
  <si>
    <t>ACC II benefits (relative to BAU)--MY2027 Implementation</t>
  </si>
  <si>
    <t>MY2026 Implementation</t>
  </si>
  <si>
    <t>MY2027 Implementation</t>
  </si>
  <si>
    <t>ACC II lower bound:  MY2026</t>
  </si>
  <si>
    <t>ACC II lower bound:  MY2027</t>
  </si>
  <si>
    <t>2025 &amp; 2026 value = BAU</t>
  </si>
  <si>
    <t>ZEV sales fractions and in-use fractions</t>
  </si>
  <si>
    <t>ACC II: 2026</t>
  </si>
  <si>
    <t>ACC II: 2027</t>
  </si>
  <si>
    <t>Tank-to Wheel NOx Emissions by Scenario (short tons per year), 2025-2040</t>
  </si>
  <si>
    <t>Tank-to Wheel PM2.5 Emissions by Scenario (short tons per year), 2025-2040</t>
  </si>
  <si>
    <t>Change 2025-2040</t>
  </si>
  <si>
    <t>Annual Light-Duty Vehicle VMT by Regulatory Class, 2025-2040</t>
  </si>
  <si>
    <t>Cars</t>
  </si>
  <si>
    <t>Light Trucks</t>
  </si>
  <si>
    <t>Annual Light-Duty Vehicle Population by Regulatory Class, 2025-2040</t>
  </si>
  <si>
    <t>ACC II:  2026</t>
  </si>
  <si>
    <t>ACC II:  2027</t>
  </si>
  <si>
    <t>GWP</t>
  </si>
  <si>
    <t>In-use ZEV fraction</t>
  </si>
  <si>
    <t>Electric Generation</t>
  </si>
  <si>
    <t>Petroleum</t>
  </si>
  <si>
    <t>(US ton to MMT)</t>
  </si>
  <si>
    <t>Well-to Wheel CO2e Emissions by Scenario (million metric tonnes per year), 2025-2040</t>
  </si>
  <si>
    <t xml:space="preserve"> Light-Duty Zero Emission Vehicle Population, 2025-2040</t>
  </si>
  <si>
    <t>Input data for the County input databases were sourced from 2017 NEI inputs and/or 2020 NEI inputs (projected to future years when necessary) and MOVES3 defaults</t>
  </si>
  <si>
    <t>STI ran the MOVES3 model at the County scale for 2017, 2030, and 2040, using the 2017 National Emissions Inventory (2017 NEI) representative counties</t>
  </si>
  <si>
    <t>STI also modeled 2017, 2020, 2025, 2030, 2035, and 2040 at the MOVES Default scale, and used the trend in default emissions to generate interpolated County estimates for 2020, 2025, and 2035.</t>
  </si>
  <si>
    <t>ACC II - MY2026</t>
  </si>
  <si>
    <t>ACC II - MY2027</t>
  </si>
  <si>
    <t>Federal GHG Rule</t>
  </si>
  <si>
    <t>All scenarios also include projections of the potential increase in grid emissions associated with increasing numbers of electric vehicles in the fleet.</t>
  </si>
  <si>
    <t>The "GREET factors" worksheet includes the emissions factors used, which are sourced from the Department of Energy's GREET2021 model, adjusted for future years using state projections of future power generation sources.</t>
  </si>
  <si>
    <t>In this scenario, MOVES output is post-processed to reflect implementation of the California ACC Ii program beginning with model year 2026.</t>
  </si>
  <si>
    <t>The post-processing factors are located on the "ACC emissions benefits" and "Fleet ZEV fractions" worksheets.</t>
  </si>
  <si>
    <t>Fleet ZEV fractions are applied to energy, SO2 and NH3 emissions.</t>
  </si>
  <si>
    <t>Same as the previous scenario, but benefits are calculated starting with model year 2027 vehicles.</t>
  </si>
  <si>
    <t>COBRA Summary</t>
  </si>
  <si>
    <t>Tables</t>
  </si>
  <si>
    <t>Emissions Summary</t>
  </si>
  <si>
    <t>BAU Scenario</t>
  </si>
  <si>
    <t>ACC emissions benefits</t>
  </si>
  <si>
    <t>Fleet ZEV fractions</t>
  </si>
  <si>
    <t>ZEV Sales</t>
  </si>
  <si>
    <t>County Scale Output 2017-2040</t>
  </si>
  <si>
    <t>Default Output 2017-2040</t>
  </si>
  <si>
    <t xml:space="preserve">Tables of emissions, VMT, and population by year reflecting EVs sold under the ACC II program.  </t>
  </si>
  <si>
    <t>Emissions summary for all scenarios</t>
  </si>
  <si>
    <t>ACC II program starting in model year 2026</t>
  </si>
  <si>
    <t>ACC II program starting in model year 2027</t>
  </si>
  <si>
    <t>CARB estimates of emissions benefits for the ACC II program</t>
  </si>
  <si>
    <t>Calculated fractions of ZEVs under the different scenarios</t>
  </si>
  <si>
    <t>interim table for calculation of ZEV fractions</t>
  </si>
  <si>
    <t>Estimates of ZEV sales, based on MOVES new vehicle sales rates</t>
  </si>
  <si>
    <t>County-scale MOVES3 output for 2017, 2030, and 2040; interpolated MOVES output for 2020, 2025, 2035 (source data for Scenario worksheets)</t>
  </si>
  <si>
    <t>Factors derived for using MOVES default output to interpolate County values for 2020, 2025, 2035</t>
  </si>
  <si>
    <t>GREET electricity and petroleum production emissions rates used in the scenarios</t>
  </si>
  <si>
    <t>Mathematical interpolation all other years</t>
  </si>
  <si>
    <t>BAU reduction factors for PM (Exhaust only, not brake or tire wear)</t>
  </si>
  <si>
    <t>Exhaust PM2.5</t>
  </si>
  <si>
    <t>Exhaust fraction</t>
  </si>
  <si>
    <t>Total All Vehicle Types</t>
  </si>
  <si>
    <t>Baseline Emissions, tpd</t>
  </si>
  <si>
    <t>CY</t>
  </si>
  <si>
    <t>PM2.5</t>
  </si>
  <si>
    <t>ROG</t>
  </si>
  <si>
    <t>LDV only</t>
  </si>
  <si>
    <t>Total LDV Sales</t>
  </si>
  <si>
    <t>ACC fleet in-use fractions include baseline plus new ACC II vehicles; see below for net change</t>
  </si>
  <si>
    <t>energy is not adjusted: represents total energy from any fuel</t>
  </si>
  <si>
    <t>These are CO2 values, not CO2e (CARB 042122)</t>
  </si>
  <si>
    <t>Total Pop includes MDV, sales do not</t>
  </si>
  <si>
    <t>Proposal Emissions, tpd</t>
  </si>
  <si>
    <t>total</t>
  </si>
  <si>
    <t>from BEV worksheet, CARB ZEV Cost Modeling Workbook:</t>
  </si>
  <si>
    <t>DC Energy - CD AER Efficiency (Wh/mi)</t>
  </si>
  <si>
    <t>Vehicle Class</t>
  </si>
  <si>
    <t>Tech Type</t>
  </si>
  <si>
    <t>2025</t>
  </si>
  <si>
    <t>2026</t>
  </si>
  <si>
    <t>2027</t>
  </si>
  <si>
    <t>2028</t>
  </si>
  <si>
    <t>2029</t>
  </si>
  <si>
    <t>2030</t>
  </si>
  <si>
    <t>2031</t>
  </si>
  <si>
    <t>2032</t>
  </si>
  <si>
    <t>2033</t>
  </si>
  <si>
    <t>2034</t>
  </si>
  <si>
    <t>2035</t>
  </si>
  <si>
    <t>SmallCar</t>
  </si>
  <si>
    <t>BEV300</t>
  </si>
  <si>
    <t>BEV400</t>
  </si>
  <si>
    <t>MedCar</t>
  </si>
  <si>
    <t>SmallSUV</t>
  </si>
  <si>
    <t>MedSUV</t>
  </si>
  <si>
    <t>Pickup</t>
  </si>
  <si>
    <t>average, add 7% for charging inefficiency:</t>
  </si>
  <si>
    <t>avg</t>
  </si>
  <si>
    <t>w/charging</t>
  </si>
  <si>
    <t>Convert to Kwh, Btu/mi:</t>
  </si>
  <si>
    <t>any</t>
  </si>
  <si>
    <t>ratio</t>
  </si>
  <si>
    <t>MOVES Btu/mi</t>
  </si>
  <si>
    <t>Btu/mi</t>
  </si>
  <si>
    <t>sum</t>
  </si>
  <si>
    <t>Calculation of ZEV energy efficiency relative to ICE vehicles</t>
  </si>
  <si>
    <t>(MOVES default-scale output)</t>
  </si>
  <si>
    <t>ZEV fractions (population)</t>
  </si>
  <si>
    <t>LDA</t>
  </si>
  <si>
    <t>LDT1</t>
  </si>
  <si>
    <t>LDT2</t>
  </si>
  <si>
    <t>LDT3</t>
  </si>
  <si>
    <t>Gasoline</t>
  </si>
  <si>
    <t>Diesel</t>
  </si>
  <si>
    <t>FCV</t>
  </si>
  <si>
    <t>Total PC PHEV</t>
  </si>
  <si>
    <t>Total LDT PHEV</t>
  </si>
  <si>
    <t>eVMT fractions for PHEVs</t>
  </si>
  <si>
    <t>(weighted average)</t>
  </si>
  <si>
    <t>From Appendix D:</t>
  </si>
  <si>
    <t>ZEV fractions (VMT)</t>
  </si>
  <si>
    <t xml:space="preserve">PC </t>
  </si>
  <si>
    <t>Increase in ZEV fractions relative to Baseline (VMT)</t>
  </si>
  <si>
    <t>BEV eff</t>
  </si>
  <si>
    <t>PHEV fraction</t>
  </si>
  <si>
    <t>PHEV adjustment</t>
  </si>
  <si>
    <t>Proposal</t>
  </si>
  <si>
    <t>ZEV efficiency factor</t>
  </si>
  <si>
    <t>These factors used to calculate grid energy consumption from ZEVs</t>
  </si>
  <si>
    <t>PHEVs assumed to be 50% less efficient than BEVs</t>
  </si>
  <si>
    <t>ACC ZEV increase</t>
  </si>
  <si>
    <t>ratio of emissions reduction/ZEV increase</t>
  </si>
  <si>
    <t xml:space="preserve"> Light-Duty Zero Emission Vehicle Miles Traveled, 2025-2040</t>
  </si>
  <si>
    <t>NPCC overall emissions rates</t>
  </si>
  <si>
    <t>NPCC Regional Power Sources</t>
  </si>
  <si>
    <t>NPCC Trans. Mix g/mmBtu if all fossil</t>
  </si>
  <si>
    <t>RFC overall emissions rates</t>
  </si>
  <si>
    <t>RFC Regional Power Sources</t>
  </si>
  <si>
    <t>RFC Trans. Mix g/mmBtu if all fossil</t>
  </si>
  <si>
    <t>SERC overall emissions rates</t>
  </si>
  <si>
    <t>SERC Regional Power Sources</t>
  </si>
  <si>
    <t>SERC Trans. Mix g/mmBtu if all fossil</t>
  </si>
  <si>
    <t>NPCC Mix</t>
  </si>
  <si>
    <t>SERC Mix</t>
  </si>
  <si>
    <t>RFC Mix</t>
  </si>
  <si>
    <t>State Fossil Fraction by Year</t>
  </si>
  <si>
    <t>CARB ZEV counts</t>
  </si>
  <si>
    <t>CARB projections of convention/ZEV population</t>
  </si>
  <si>
    <t>ZEV efficiency</t>
  </si>
  <si>
    <t>Calculation of relative energy efficiency of ZEVs</t>
  </si>
  <si>
    <t>Regional GREET factors</t>
  </si>
  <si>
    <t>State grid data</t>
  </si>
  <si>
    <t>State-specific renewable energy projections used to calculate state GREET factors</t>
  </si>
  <si>
    <t>This spreadsheet documents the results of STI's work to model ACC II emissions scenarios defined by ICCT</t>
  </si>
  <si>
    <t>emissions in units of US tons/year (including CO2e)</t>
  </si>
  <si>
    <t>energy consumption in units of mmBtu/year</t>
  </si>
  <si>
    <t>requirement to reflect use of</t>
  </si>
  <si>
    <t>Generated in GREET by John Davies, FHWA, April 2022</t>
  </si>
  <si>
    <t>SO2 and NH3 reductions are assumed to be proportional to ZEV fraction (CARB fleet penetration estimates)</t>
  </si>
  <si>
    <t>These data used to estimate ZEV sales and population using MOVES growth/survival rates, and BAU emissions; CARB ZEV fractions and emissions reductions from BAU used to estimate ACC emissions.</t>
  </si>
  <si>
    <t>Source: https://www.autosinnovate.org/resources/electric-vehicle-sales-dashboard</t>
  </si>
  <si>
    <t>Listed in order of most 2021 BEV sales</t>
  </si>
  <si>
    <t>Sales</t>
  </si>
  <si>
    <t>ZEV market share</t>
  </si>
  <si>
    <t>Derived LDV sales</t>
  </si>
  <si>
    <t>ID</t>
  </si>
  <si>
    <t>State</t>
  </si>
  <si>
    <t>FCEV</t>
  </si>
  <si>
    <t>(BEV, PHEV, FCEV)</t>
  </si>
  <si>
    <t>California</t>
  </si>
  <si>
    <t>Florida</t>
  </si>
  <si>
    <t>Texas</t>
  </si>
  <si>
    <t>New York</t>
  </si>
  <si>
    <t>New Jersey</t>
  </si>
  <si>
    <t>Washington</t>
  </si>
  <si>
    <t>Arizona</t>
  </si>
  <si>
    <t>Illinois</t>
  </si>
  <si>
    <t>Colorado</t>
  </si>
  <si>
    <t>Virginia</t>
  </si>
  <si>
    <t>Massachusetts</t>
  </si>
  <si>
    <t>Georgia</t>
  </si>
  <si>
    <t>Pennsylvania</t>
  </si>
  <si>
    <t>Maryland</t>
  </si>
  <si>
    <t>North Carolina</t>
  </si>
  <si>
    <t>Oregon</t>
  </si>
  <si>
    <t>Ohio</t>
  </si>
  <si>
    <t>Michigan</t>
  </si>
  <si>
    <t>Nevada</t>
  </si>
  <si>
    <t>Connecticut</t>
  </si>
  <si>
    <t>Minnesota</t>
  </si>
  <si>
    <t>Utah</t>
  </si>
  <si>
    <t>Hawaii</t>
  </si>
  <si>
    <t>Tennessee</t>
  </si>
  <si>
    <t>Oklahoma</t>
  </si>
  <si>
    <t>Missouri</t>
  </si>
  <si>
    <t>Indiana</t>
  </si>
  <si>
    <t>Wisconsin</t>
  </si>
  <si>
    <t>South Carolina</t>
  </si>
  <si>
    <t>Alabama</t>
  </si>
  <si>
    <t>Kentucky</t>
  </si>
  <si>
    <t>Iowa</t>
  </si>
  <si>
    <t>District of Columbia</t>
  </si>
  <si>
    <t>New Hampshire</t>
  </si>
  <si>
    <t>Kansas</t>
  </si>
  <si>
    <t>New Mexico</t>
  </si>
  <si>
    <t>Vermont</t>
  </si>
  <si>
    <t>Delaware</t>
  </si>
  <si>
    <t>Louisiana</t>
  </si>
  <si>
    <t>Maine</t>
  </si>
  <si>
    <t>Idaho</t>
  </si>
  <si>
    <t>Rhode Island</t>
  </si>
  <si>
    <t>Arkansas</t>
  </si>
  <si>
    <t>Nebraska</t>
  </si>
  <si>
    <t>Montana</t>
  </si>
  <si>
    <t>Mississippi</t>
  </si>
  <si>
    <t>West Virginia</t>
  </si>
  <si>
    <t>Alaska</t>
  </si>
  <si>
    <t>South Dakota</t>
  </si>
  <si>
    <t>Wyoming</t>
  </si>
  <si>
    <t>North Dakota</t>
  </si>
  <si>
    <t>ZEV Population</t>
  </si>
  <si>
    <t>Cases</t>
  </si>
  <si>
    <t>Minor Restricted Activity Days</t>
  </si>
  <si>
    <t>Work Loss Days</t>
  </si>
  <si>
    <t>Upper Respiratory Symptoms</t>
  </si>
  <si>
    <t>Lower Respiratory Symptoms</t>
  </si>
  <si>
    <t>Asthma Exacerbation, Wheeze</t>
  </si>
  <si>
    <t>Asthma Exacerbation, Shortness of Breath</t>
  </si>
  <si>
    <t>Asthma Exacerbation, Cough</t>
  </si>
  <si>
    <t>Mortality, All Cause (high)</t>
  </si>
  <si>
    <t>Acute Bronchitis</t>
  </si>
  <si>
    <t>Mortality, All Cause (low)</t>
  </si>
  <si>
    <t>Acute Myocardial Infarction, Nonfatal (high)</t>
  </si>
  <si>
    <t>Emergency Room Visits, Asthma</t>
  </si>
  <si>
    <t>HA, All Cardiovascular (less Myocardial Infarctions)</t>
  </si>
  <si>
    <t>HA, All Respiratory</t>
  </si>
  <si>
    <t>Acute Myocardial Infarction, Nonfatal (low)</t>
  </si>
  <si>
    <t>HA, Chronic Lung Disease</t>
  </si>
  <si>
    <t>HA, Asthma</t>
  </si>
  <si>
    <t>Infant Mortality</t>
  </si>
  <si>
    <t>Values</t>
  </si>
  <si>
    <t>high_end_cost</t>
  </si>
  <si>
    <t>$ Mortality, All Cause (high)</t>
  </si>
  <si>
    <t>avg_cost</t>
  </si>
  <si>
    <t>low_end_cost</t>
  </si>
  <si>
    <t>$ Mortality, All Cause (low)</t>
  </si>
  <si>
    <t>$ Acute Myocardial Infarction, Nonfatal (high)</t>
  </si>
  <si>
    <t>$ Minor Restricted Activity Days</t>
  </si>
  <si>
    <t>$ Infant Mortality</t>
  </si>
  <si>
    <t>$ Work Loss Days</t>
  </si>
  <si>
    <t>$ Acute Myocardial Infarction, Nonfatal (low)</t>
  </si>
  <si>
    <t>$ CVD Hosp. Adm.</t>
  </si>
  <si>
    <t>$ Resp. Hosp. Adm.</t>
  </si>
  <si>
    <t>$ Asthma Exacerbation</t>
  </si>
  <si>
    <t>$ Upper Respiratory Symptoms</t>
  </si>
  <si>
    <t>$ Acute Bronchitis</t>
  </si>
  <si>
    <t>$ Lower Respiratory Symptoms</t>
  </si>
  <si>
    <t>$ Emergency Room Visits, Asthma</t>
  </si>
  <si>
    <t>CARB's estimated benefits are applied to NOx, PM, CO2e and VOC emissions.</t>
  </si>
  <si>
    <t>"Federal" scenario a placeholder pending emissions reduction estimates from EPA</t>
  </si>
  <si>
    <t>Avoided Emissions relative to BAU, 2025-2040</t>
  </si>
  <si>
    <t>Avoided Emissions relative to BAU, 2025-2030</t>
  </si>
  <si>
    <t>Avoided Emissions relative to BAU, 2025-2035</t>
  </si>
  <si>
    <t>from Jeremy, 091422:</t>
  </si>
  <si>
    <t>Total updated 092122</t>
  </si>
  <si>
    <t>TTW emissions totals provided by CARB, 09/14/22</t>
  </si>
  <si>
    <t>PM</t>
  </si>
  <si>
    <t>From the spreadsheet "annual_societal_effects_summary_report_FRM_PrimaryRuns.xlsx" provided by Todd Sherwood, OTAQ, 05/26/22</t>
  </si>
  <si>
    <t>Tailpipe emissions only (not upstream)</t>
  </si>
  <si>
    <t>Federal GHG Rule Benefits</t>
  </si>
  <si>
    <t>Business as usual in-use ZEV counts (provided by CARB 09/14/22)</t>
  </si>
  <si>
    <t>CARB PHEV sales ratios from proposal:</t>
  </si>
  <si>
    <t>need to update BEV/PHEV-</t>
  </si>
  <si>
    <t>these values from proposal</t>
  </si>
  <si>
    <t>Technology penetration, "technology_utilization_report_FRM_PrimaryRuns.xlsx"</t>
  </si>
  <si>
    <t>provided by Todd Sherwood, OTAQ, 05/26/22</t>
  </si>
  <si>
    <t>Source: modeling for EPA RIA</t>
  </si>
  <si>
    <t>MY2027+ values capped at MY2026 level</t>
  </si>
  <si>
    <t>Emissions reductions and fleet technology penetration from EPA's 12/30/21 LDV GHG rule, used to define BAU</t>
  </si>
  <si>
    <t>BAU (based on Federal rule)</t>
  </si>
  <si>
    <t>Federal rule</t>
  </si>
  <si>
    <r>
      <t>BAU starts with state data for 2021 (</t>
    </r>
    <r>
      <rPr>
        <sz val="11"/>
        <color rgb="FFFFC000"/>
        <rFont val="Calibri"/>
        <family val="2"/>
        <scheme val="minor"/>
      </rPr>
      <t>below</t>
    </r>
    <r>
      <rPr>
        <sz val="11"/>
        <color theme="4" tint="-0.249977111117893"/>
        <rFont val="Calibri"/>
        <family val="2"/>
        <scheme val="minor"/>
      </rPr>
      <t>), normalized to projected values in Federal rule</t>
    </r>
  </si>
  <si>
    <t>2025 baselines for BEV and PHEV based on CARB in-use fractions for 2025</t>
  </si>
  <si>
    <t>Estimated emissions changes from EPA rule "Revised 2023 and Later Model Year Light-Duty Vehicle Greenhouse Gas Emissions Standards," published 12/30/21</t>
  </si>
  <si>
    <t>Positive numbers represent an emissions increase</t>
  </si>
  <si>
    <t>2026+</t>
  </si>
  <si>
    <t>values differ from those in RIA/NFRM due to rounding</t>
  </si>
  <si>
    <t>Business as Usual scenario, based on Federal rule reductions</t>
  </si>
  <si>
    <t>Final Rule</t>
  </si>
  <si>
    <t>No Action (EPA's BAU)</t>
  </si>
  <si>
    <t>CO2e (STI calculated)</t>
  </si>
  <si>
    <t>modelYearID</t>
  </si>
  <si>
    <t>activityTypeID</t>
  </si>
  <si>
    <t>activity</t>
  </si>
  <si>
    <t>MOVES default VMT for LDVs by CY, MY</t>
  </si>
  <si>
    <t>MY2026</t>
  </si>
  <si>
    <t>MY2026 fraction</t>
  </si>
  <si>
    <t>MY2026 fraction of total VMT</t>
  </si>
  <si>
    <t>Reductions from EPA's No Action Scenario</t>
  </si>
  <si>
    <t>Rule ZEV impact</t>
  </si>
  <si>
    <t>Reductions to apply to MOVES output (reductions from MOVES baseline, not EPA rule No Action scenario)</t>
  </si>
  <si>
    <t>Total rule ZEVs</t>
  </si>
  <si>
    <t>net</t>
  </si>
  <si>
    <t>state MOVES ZEVs</t>
  </si>
  <si>
    <t>Net WTT</t>
  </si>
  <si>
    <t xml:space="preserve">Net WTT </t>
  </si>
  <si>
    <t>This ZEV % results</t>
  </si>
  <si>
    <t>in the emissions</t>
  </si>
  <si>
    <t>reduction to the left</t>
  </si>
  <si>
    <t>stateID</t>
  </si>
  <si>
    <t>fuelTypeID</t>
  </si>
  <si>
    <t>State County-scale VMT by fueltype:</t>
  </si>
  <si>
    <t>Total VMT</t>
  </si>
  <si>
    <t>ZEV VMT</t>
  </si>
  <si>
    <t>ZEV fraction</t>
  </si>
  <si>
    <t>Yes</t>
  </si>
  <si>
    <t>MOVES AVFT ZEV inputs?</t>
  </si>
  <si>
    <t>State MOVES output ZEV VMT fraction by year (interpolated):</t>
  </si>
  <si>
    <t>Adjustments to apply credit to RC41 for medium-duty passenger vehicles (MDPV)</t>
  </si>
  <si>
    <t>yearid</t>
  </si>
  <si>
    <t>sourcetypeid</t>
  </si>
  <si>
    <t>regclassid</t>
  </si>
  <si>
    <t>activitytypeid</t>
  </si>
  <si>
    <t>population</t>
  </si>
  <si>
    <t>non-MDPV share of RC20/30/41</t>
  </si>
  <si>
    <t>non-MDPV adjustment</t>
  </si>
  <si>
    <t>These factors are developed so that emissions reduction percentages can be applied to the entire MOVES RC41 output, including MDPVs and non-MDPV vehicles.</t>
  </si>
  <si>
    <t>emissions in units of US tons/year (including CO2e); energy consumption in units of mmBtu/year</t>
  </si>
  <si>
    <t>estimates may include some ZEVs from state MOVES inputs (see Fleet ZEV factions worksheet)</t>
  </si>
  <si>
    <t>The Emissions Summary worksheet provides fleetwide results for the emissions scenarios (described below), plus the unadjusted MOVES baseline output</t>
  </si>
  <si>
    <t>These values represent the output from the MOVES3 model before any post-processing adjustments were applied.</t>
  </si>
  <si>
    <t>In this scenario, MOVES output is post-processed to account for the effects of EPA's December 2021 Light-Duty GHG rule.</t>
  </si>
  <si>
    <t>ZEV fractions associated with this rule are on the "Fleet ZEV fractions" worksheet.</t>
  </si>
  <si>
    <t>This MOVES output can include the effects of ZEVs if there are ZEV fractions in the state MOVES inputs; see "Fleet ZEV fractions" worksheet for details.</t>
  </si>
  <si>
    <t>Class 2b and 3 Trucks (8,500 lbs &lt; GVWR &lt;= 14,000 lbs) (including medium-duty passenger vehicles)</t>
  </si>
  <si>
    <t>GREET electricity factors for all areas analyzed as part of this project</t>
  </si>
  <si>
    <t>Source: CARB proposed and final rules</t>
  </si>
  <si>
    <t>Assumes all 2025+ ZEVs are still in fleet in 2040</t>
  </si>
  <si>
    <t>2021 ZEV population estimate calculated from MOVES input ZEV fractions:</t>
  </si>
  <si>
    <t>RFC mix: MD, PA, DC, DE</t>
  </si>
  <si>
    <t>SERC mix: NC, IL</t>
  </si>
  <si>
    <t>WECC mix: CO, WA, OR, NV</t>
  </si>
  <si>
    <t>Renewable energy projections</t>
  </si>
  <si>
    <t>Detailed Results</t>
  </si>
  <si>
    <t>Phase-in assumptions (% renewables)</t>
  </si>
  <si>
    <t>Year-specific electrical generation rates for this analysis:</t>
  </si>
  <si>
    <t xml:space="preserve">Year-specific WECC electrical generation rates </t>
  </si>
  <si>
    <t>State-specific electrical generation rates based on renewable energy inputs</t>
  </si>
  <si>
    <t>Rates in grams/million Btu</t>
  </si>
  <si>
    <t>Regional tables below; rates used in this analysis in the bottom table</t>
  </si>
  <si>
    <t>Emissions reductions calculated from BAU/final rule emissions totals provided by CARB (tables at right)</t>
  </si>
  <si>
    <t>CARB baseline includes ACT and Omnibus for reg class 41</t>
  </si>
  <si>
    <t>BAU (EPA Rule)</t>
  </si>
  <si>
    <t>Projections of LDV EV population by year</t>
  </si>
  <si>
    <t>there are still some ICE sales after 2035</t>
  </si>
  <si>
    <t>Projections of annual LDV EV sales</t>
  </si>
  <si>
    <t>Final rule in-use ZEV counts (provided by CARB 9/14/22)</t>
  </si>
  <si>
    <t>eVMT fractions for PHEVs (from CARB)</t>
  </si>
  <si>
    <t>Average</t>
  </si>
  <si>
    <t>NH3 (STI calculated)</t>
  </si>
  <si>
    <t>ZEV VMT fraction</t>
  </si>
  <si>
    <t>(used for NH3 emissions reduction calculations)</t>
  </si>
  <si>
    <t>2020 ZEV population estimate calculated from MOVES input ZEV fractions:</t>
  </si>
  <si>
    <t>CARB BAU</t>
  </si>
  <si>
    <t>EPA BAU</t>
  </si>
  <si>
    <t>% Reduction From CARB Baseline</t>
  </si>
  <si>
    <t>reductions from EPA Rule baseline (reductions from BAU scenario):</t>
  </si>
  <si>
    <t>GREET gasoline refining emission factors</t>
  </si>
  <si>
    <t>WTW NOx</t>
  </si>
  <si>
    <t>WTW PM2.5</t>
  </si>
  <si>
    <t>NY grid fossil fractions, from 2021 HDV analysis:</t>
  </si>
  <si>
    <t>Oregon Fossil Fraction by Year</t>
  </si>
  <si>
    <t>New York renewable energy projections</t>
  </si>
  <si>
    <t>Data source:  2021 ICCT HDV analysis</t>
  </si>
  <si>
    <t>from "Output formatting NY.xlsx"</t>
  </si>
  <si>
    <t>from "Output formatting NY revised.xlsx"</t>
  </si>
  <si>
    <t>2021 BAU count from https://www.nyserda.ny.gov/All-Programs/chargeny/support-electric/map-of-ev-registrations; assumed to be all LDV/LDT.  2020 count estimated at half of 2021 count consistent with national trend.</t>
  </si>
  <si>
    <t>Set at 20% below regulatory</t>
  </si>
  <si>
    <t>New York_EGU_3_instate</t>
  </si>
  <si>
    <t>New York_EGU_3_outstate</t>
  </si>
  <si>
    <t>New York_EGU_7_instate</t>
  </si>
  <si>
    <t>New York_EGU_7_outstate</t>
  </si>
  <si>
    <t>New York_Vehicles_3_instate</t>
  </si>
  <si>
    <t>New York_Vehicles_3_outstate</t>
  </si>
  <si>
    <t>New York_Vehicles_7_instate</t>
  </si>
  <si>
    <t>New York_Vehicles_7_outstate</t>
  </si>
  <si>
    <t>2026 Implementation</t>
  </si>
  <si>
    <t>Total LDV Population</t>
  </si>
  <si>
    <t>BAU ZEVs</t>
  </si>
  <si>
    <t>ACC II ZEVs</t>
  </si>
  <si>
    <t>BAU ZEV Sales</t>
  </si>
  <si>
    <t>ACC II ZEV Sales</t>
  </si>
  <si>
    <t>N/A</t>
  </si>
  <si>
    <t>compliance flexibilities, 2026-2030</t>
  </si>
  <si>
    <t>refining</t>
  </si>
  <si>
    <t>refining fugitives</t>
  </si>
  <si>
    <t>storage and transport</t>
  </si>
  <si>
    <t>petroleum product storage</t>
  </si>
  <si>
    <t>values from GREET2021, Petroleum worksheet, cells AN131-AS143</t>
  </si>
  <si>
    <t>Total emissions: grams/mmBtu of fuel throughput</t>
  </si>
  <si>
    <t>Gasoline Blendstock Refining: Feed Inputs</t>
  </si>
  <si>
    <t>Gasoline Blendstock Refininig: Intermediate Product Combustion</t>
  </si>
  <si>
    <t>Refining Subtotal</t>
  </si>
  <si>
    <t>Fugitives: Gasoline Blendstock Refining: Non-Combustion Emissions</t>
  </si>
  <si>
    <t>Gasoline Blendstock Transportation</t>
  </si>
  <si>
    <t>Gasoline Blendstock Distribution</t>
  </si>
  <si>
    <t>Gasoline Distribution</t>
  </si>
  <si>
    <t>Storage and Transport Total</t>
  </si>
  <si>
    <t>Petroleum Product Storage</t>
  </si>
  <si>
    <t xml:space="preserve">     CH4: combustion</t>
  </si>
  <si>
    <t xml:space="preserve">     CO2</t>
  </si>
  <si>
    <t xml:space="preserve">     VOC from bulk terminal</t>
  </si>
  <si>
    <t xml:space="preserve">     VOC from ref. Station</t>
  </si>
  <si>
    <t>CO2 total</t>
  </si>
  <si>
    <t>(see 2040)</t>
  </si>
  <si>
    <t>Detailed Petroleum sector estimates, 2040</t>
  </si>
  <si>
    <t>mmBtu</t>
  </si>
  <si>
    <t>tons/year</t>
  </si>
  <si>
    <t>displaced gasoline energy</t>
  </si>
  <si>
    <t>WTW VOC</t>
  </si>
  <si>
    <t>WTW SO2</t>
  </si>
  <si>
    <t>MY2027</t>
  </si>
  <si>
    <t>MY2026 benefit</t>
  </si>
  <si>
    <t>MY2027 benefit</t>
  </si>
  <si>
    <t>New York_REF_3_instate</t>
  </si>
  <si>
    <t>New York_REF_7_instate</t>
  </si>
  <si>
    <t>New York_STR_3_instate</t>
  </si>
  <si>
    <t>New York_STR_7_instate</t>
  </si>
  <si>
    <t>New York_TRN_3_instate</t>
  </si>
  <si>
    <t>New York_TRN_7_instate</t>
  </si>
  <si>
    <t>New York_REF_3_outstate</t>
  </si>
  <si>
    <t>New York_REF_7_outstate</t>
  </si>
  <si>
    <t>New York_STR_3_outstate</t>
  </si>
  <si>
    <t>New York_STR_7_outstate</t>
  </si>
  <si>
    <t>New York_TRN_3_outstate</t>
  </si>
  <si>
    <t>New York_TRN_7_outstate</t>
  </si>
  <si>
    <t>Detailed COBRA modeling results (Vehicles = light duty vehicles, EGU = electric generation, REF = petroleum refining, STR = petroleum storage, TRN = petroleum transport)</t>
  </si>
  <si>
    <t>Net cost summary</t>
  </si>
  <si>
    <t>In-state benefit</t>
  </si>
  <si>
    <t>Out-of-state benefit</t>
  </si>
  <si>
    <t>In-state burden</t>
  </si>
  <si>
    <t>Out-of-state burden</t>
  </si>
  <si>
    <t>Net benefit/burden</t>
  </si>
  <si>
    <t>(units:  Million $)</t>
  </si>
  <si>
    <t>(3% discount rate)</t>
  </si>
  <si>
    <t>For final report:</t>
  </si>
  <si>
    <t>In-state vehicle</t>
  </si>
  <si>
    <t>Out-of-state vehicle</t>
  </si>
  <si>
    <t>In-state upstream</t>
  </si>
  <si>
    <t>Out-of-state upstream</t>
  </si>
  <si>
    <t>Net</t>
  </si>
  <si>
    <t>LDV Energy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</si>
</sst>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_(* #,##0_);_(* \(#,##0\);_(* &quot;-&quot;??_);_(@_)"/>
    <numFmt numFmtId="165" formatCode="#,##0.000"/>
    <numFmt numFmtId="166" formatCode="0.000"/>
    <numFmt numFmtId="167" formatCode="0.0000"/>
    <numFmt numFmtId="168" formatCode="0.0%"/>
    <numFmt numFmtId="169" formatCode="0.0"/>
    <numFmt numFmtId="170" formatCode="0.00000"/>
    <numFmt numFmtId="171" formatCode="0.000%"/>
    <numFmt numFmtId="172" formatCode="_(* #,##0.000_);_(* \(#,##0.000\);_(* &quot;-&quot;??_);_(@_)"/>
  </numFmts>
  <fonts count="53">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rgb="FF00B050"/>
      <name val="Calibri"/>
      <family val="2"/>
      <scheme val="minor"/>
    </font>
    <font>
      <b/>
      <i/>
      <sz val="11"/>
      <color theme="1"/>
      <name val="Calibri"/>
      <family val="2"/>
      <scheme val="minor"/>
    </font>
    <font>
      <sz val="11"/>
      <color theme="0" tint="-0.249977111117893"/>
      <name val="Calibri"/>
      <family val="2"/>
      <scheme val="minor"/>
    </font>
    <font>
      <sz val="11"/>
      <name val="Calibri"/>
      <family val="2"/>
      <scheme val="minor"/>
    </font>
    <font>
      <b/>
      <sz val="11"/>
      <name val="Arial"/>
      <family val="2"/>
    </font>
    <font>
      <b/>
      <sz val="10"/>
      <name val="Arial"/>
      <family val="2"/>
    </font>
    <font>
      <sz val="11"/>
      <color theme="4" tint="-0.249977111117893"/>
      <name val="Calibri"/>
      <family val="2"/>
      <scheme val="minor"/>
    </font>
    <font>
      <sz val="11"/>
      <color rgb="FF0070C0"/>
      <name val="Calibri"/>
      <family val="2"/>
      <scheme val="minor"/>
    </font>
    <font>
      <sz val="10"/>
      <name val="Arial"/>
      <family val="2"/>
    </font>
    <font>
      <sz val="11"/>
      <color theme="0" tint="-4.9989318521683403E-2"/>
      <name val="Calibri"/>
      <family val="2"/>
      <scheme val="minor"/>
    </font>
    <font>
      <sz val="11"/>
      <color rgb="FF00B050"/>
      <name val="Calibri"/>
      <family val="2"/>
      <scheme val="minor"/>
    </font>
    <font>
      <u/>
      <sz val="11"/>
      <color theme="10"/>
      <name val="Calibri"/>
      <family val="2"/>
      <scheme val="minor"/>
    </font>
    <font>
      <b/>
      <sz val="11"/>
      <color rgb="FFFF0000"/>
      <name val="Calibri"/>
      <family val="2"/>
      <scheme val="minor"/>
    </font>
    <font>
      <i/>
      <sz val="11"/>
      <color theme="1"/>
      <name val="Calibri"/>
      <family val="2"/>
      <scheme val="minor"/>
    </font>
    <font>
      <b/>
      <sz val="11"/>
      <name val="Calibri"/>
      <family val="2"/>
      <scheme val="minor"/>
    </font>
    <font>
      <i/>
      <sz val="11"/>
      <color rgb="FFFF0000"/>
      <name val="Calibri"/>
      <family val="2"/>
      <scheme val="minor"/>
    </font>
    <font>
      <sz val="8"/>
      <name val="Calibri"/>
      <family val="2"/>
      <scheme val="minor"/>
    </font>
    <font>
      <sz val="11"/>
      <color theme="0" tint="-0.14999847407452621"/>
      <name val="Calibri"/>
      <family val="2"/>
      <scheme val="minor"/>
    </font>
    <font>
      <i/>
      <sz val="11"/>
      <name val="Calibri"/>
      <family val="2"/>
      <scheme val="minor"/>
    </font>
    <font>
      <i/>
      <sz val="11"/>
      <color rgb="FF0070C0"/>
      <name val="Calibri"/>
      <family val="2"/>
      <scheme val="minor"/>
    </font>
    <font>
      <b/>
      <i/>
      <sz val="11"/>
      <name val="Calibri"/>
      <family val="2"/>
      <scheme val="minor"/>
    </font>
    <font>
      <sz val="9"/>
      <color theme="1"/>
      <name val="Helvetica"/>
      <family val="2"/>
    </font>
    <font>
      <i/>
      <sz val="9"/>
      <color theme="1"/>
      <name val="Helvetica"/>
      <family val="2"/>
    </font>
    <font>
      <i/>
      <sz val="9"/>
      <color theme="0" tint="-0.34998626667073579"/>
      <name val="Helvetica"/>
      <family val="2"/>
    </font>
    <font>
      <b/>
      <sz val="9"/>
      <color theme="1"/>
      <name val="Helvetica"/>
      <family val="2"/>
    </font>
    <font>
      <b/>
      <sz val="11"/>
      <color theme="0" tint="-0.14999847407452621"/>
      <name val="Calibri"/>
      <family val="2"/>
      <scheme val="minor"/>
    </font>
    <font>
      <sz val="11"/>
      <color theme="0" tint="-0.34998626667073579"/>
      <name val="Calibri"/>
      <family val="2"/>
      <scheme val="minor"/>
    </font>
    <font>
      <sz val="11"/>
      <color rgb="FFFFC000"/>
      <name val="Calibri"/>
      <family val="2"/>
      <scheme val="minor"/>
    </font>
    <font>
      <sz val="11"/>
      <color theme="0" tint="-0.499984740745262"/>
      <name val="Calibri"/>
      <family val="2"/>
      <scheme val="minor"/>
    </font>
    <font>
      <i/>
      <sz val="11"/>
      <color theme="4" tint="-0.249977111117893"/>
      <name val="Calibri"/>
      <family val="2"/>
      <scheme val="minor"/>
    </font>
    <font>
      <i/>
      <sz val="11"/>
      <color theme="0" tint="-0.499984740745262"/>
      <name val="Calibri"/>
      <family val="2"/>
      <scheme val="minor"/>
    </font>
    <font>
      <b/>
      <sz val="10"/>
      <name val="Calibri"/>
      <family val="2"/>
      <scheme val="minor"/>
    </font>
    <font>
      <i/>
      <sz val="11"/>
      <color theme="0" tint="-0.34998626667073579"/>
      <name val="Calibri"/>
      <family val="2"/>
      <scheme val="minor"/>
    </font>
    <font>
      <sz val="10"/>
      <color rgb="FF000000"/>
      <name val="Segoe UI"/>
      <family val="2"/>
    </font>
    <font>
      <sz val="11"/>
      <color rgb="FF000000"/>
      <name val="Calibri"/>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14999847407452621"/>
        <bgColor indexed="64"/>
      </patternFill>
    </fill>
    <fill>
      <patternFill patternType="solid">
        <fgColor theme="2"/>
        <bgColor indexed="64"/>
      </patternFill>
    </fill>
    <fill>
      <patternFill patternType="solid">
        <fgColor theme="4" tint="0.79998168889431442"/>
        <bgColor theme="4" tint="0.79998168889431442"/>
      </patternFill>
    </fill>
    <fill>
      <patternFill patternType="solid">
        <fgColor theme="0" tint="-4.9989318521683403E-2"/>
        <bgColor indexed="64"/>
      </patternFill>
    </fill>
    <fill>
      <patternFill patternType="solid">
        <fgColor rgb="FF92D050"/>
        <bgColor indexed="64"/>
      </patternFill>
    </fill>
    <fill>
      <patternFill patternType="solid">
        <fgColor rgb="FFFFC000"/>
        <bgColor indexed="64"/>
      </patternFill>
    </fill>
    <fill>
      <patternFill patternType="solid">
        <fgColor theme="5" tint="-0.249977111117893"/>
        <bgColor indexed="64"/>
      </patternFill>
    </fill>
    <fill>
      <patternFill patternType="solid">
        <fgColor theme="8"/>
        <bgColor indexed="64"/>
      </patternFill>
    </fill>
    <fill>
      <patternFill patternType="solid">
        <fgColor rgb="FFF2F2F2"/>
        <bgColor indexed="64"/>
      </patternFill>
    </fill>
    <fill>
      <patternFill patternType="solid">
        <fgColor rgb="FFE6E6E6"/>
        <bgColor indexed="64"/>
      </patternFill>
    </fill>
  </fills>
  <borders count="4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indexed="64"/>
      </left>
      <right style="thin">
        <color indexed="64"/>
      </right>
      <top/>
      <bottom style="thin">
        <color indexed="64"/>
      </bottom>
      <diagonal/>
    </border>
    <border>
      <left style="thin">
        <color auto="1"/>
      </left>
      <right/>
      <top/>
      <bottom/>
      <diagonal/>
    </border>
    <border>
      <left style="thin">
        <color indexed="64"/>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right style="medium">
        <color auto="1"/>
      </right>
      <top style="medium">
        <color auto="1"/>
      </top>
      <bottom/>
      <diagonal/>
    </border>
    <border>
      <left/>
      <right/>
      <top/>
      <bottom style="medium">
        <color auto="1"/>
      </bottom>
      <diagonal/>
    </border>
    <border>
      <left style="medium">
        <color auto="1"/>
      </left>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top/>
      <bottom style="thin">
        <color theme="4" tint="0.39997558519241921"/>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ck">
        <color rgb="FFFFFFFF"/>
      </left>
      <right style="thick">
        <color rgb="FFFFFFFF"/>
      </right>
      <top/>
      <bottom style="thick">
        <color rgb="FFFFFFFF"/>
      </bottom>
      <diagonal/>
    </border>
    <border>
      <left/>
      <right style="thick">
        <color rgb="FFFFFFFF"/>
      </right>
      <top/>
      <bottom style="thick">
        <color rgb="FFFFFFFF"/>
      </bottom>
      <diagonal/>
    </border>
    <border>
      <left style="thick">
        <color rgb="FFFFFFFF"/>
      </left>
      <right style="thick">
        <color rgb="FFFFFFFF"/>
      </right>
      <top style="thick">
        <color rgb="FFFFFFFF"/>
      </top>
      <bottom style="thick">
        <color rgb="FFFFFFFF"/>
      </bottom>
      <diagonal/>
    </border>
    <border>
      <left/>
      <right/>
      <top style="thick">
        <color rgb="FFFFFFFF"/>
      </top>
      <bottom style="thick">
        <color rgb="FFFFFFFF"/>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29" fillId="0" borderId="0" applyNumberFormat="0" applyFill="0" applyBorder="0" applyAlignment="0" applyProtection="0"/>
  </cellStyleXfs>
  <cellXfs count="305">
    <xf numFmtId="0" fontId="0" fillId="0" borderId="0" xfId="0"/>
    <xf numFmtId="0" fontId="0" fillId="33" borderId="0" xfId="0" applyFill="1"/>
    <xf numFmtId="0" fontId="16" fillId="0" borderId="0" xfId="0" applyFont="1"/>
    <xf numFmtId="1" fontId="0" fillId="0" borderId="0" xfId="0" applyNumberFormat="1"/>
    <xf numFmtId="0" fontId="18" fillId="0" borderId="0" xfId="0" applyFont="1"/>
    <xf numFmtId="0" fontId="19" fillId="0" borderId="0" xfId="0" applyFont="1"/>
    <xf numFmtId="0" fontId="14" fillId="0" borderId="0" xfId="0" applyFont="1"/>
    <xf numFmtId="0" fontId="16" fillId="0" borderId="0" xfId="0" applyFont="1" applyAlignment="1">
      <alignment horizontal="center"/>
    </xf>
    <xf numFmtId="0" fontId="0" fillId="0" borderId="0" xfId="0" applyAlignment="1">
      <alignment horizontal="right"/>
    </xf>
    <xf numFmtId="9" fontId="0" fillId="0" borderId="0" xfId="42" applyFont="1"/>
    <xf numFmtId="164" fontId="0" fillId="0" borderId="0" xfId="43" applyNumberFormat="1" applyFont="1"/>
    <xf numFmtId="164" fontId="0" fillId="34" borderId="0" xfId="43" applyNumberFormat="1" applyFont="1" applyFill="1"/>
    <xf numFmtId="164" fontId="0" fillId="0" borderId="0" xfId="0" applyNumberFormat="1"/>
    <xf numFmtId="164" fontId="0" fillId="34" borderId="0" xfId="0" applyNumberFormat="1" applyFill="1"/>
    <xf numFmtId="43" fontId="0" fillId="0" borderId="0" xfId="43" applyFont="1"/>
    <xf numFmtId="43" fontId="0" fillId="34" borderId="0" xfId="43" applyFont="1" applyFill="1"/>
    <xf numFmtId="43" fontId="0" fillId="0" borderId="0" xfId="0" applyNumberFormat="1"/>
    <xf numFmtId="0" fontId="22" fillId="0" borderId="0" xfId="0" applyFont="1"/>
    <xf numFmtId="0" fontId="0" fillId="0" borderId="11" xfId="0" applyBorder="1"/>
    <xf numFmtId="0" fontId="0" fillId="0" borderId="13" xfId="0" applyBorder="1"/>
    <xf numFmtId="0" fontId="0" fillId="0" borderId="14" xfId="0" applyBorder="1"/>
    <xf numFmtId="0" fontId="23" fillId="0" borderId="13" xfId="0" applyFont="1" applyBorder="1"/>
    <xf numFmtId="0" fontId="23" fillId="0" borderId="10" xfId="0" applyFont="1" applyBorder="1" applyAlignment="1">
      <alignment horizontal="center" wrapText="1"/>
    </xf>
    <xf numFmtId="0" fontId="16" fillId="0" borderId="10" xfId="0" applyFont="1" applyBorder="1" applyAlignment="1">
      <alignment horizontal="center" wrapText="1"/>
    </xf>
    <xf numFmtId="3" fontId="0" fillId="0" borderId="15" xfId="0" applyNumberFormat="1" applyBorder="1"/>
    <xf numFmtId="0" fontId="0" fillId="0" borderId="15" xfId="0" applyBorder="1"/>
    <xf numFmtId="165" fontId="0" fillId="0" borderId="16" xfId="0" applyNumberFormat="1" applyBorder="1"/>
    <xf numFmtId="166" fontId="0" fillId="0" borderId="16" xfId="0" applyNumberFormat="1" applyBorder="1"/>
    <xf numFmtId="1" fontId="0" fillId="0" borderId="12" xfId="0" applyNumberFormat="1" applyBorder="1"/>
    <xf numFmtId="0" fontId="21" fillId="0" borderId="0" xfId="0" applyFont="1"/>
    <xf numFmtId="0" fontId="24" fillId="0" borderId="0" xfId="0" applyFont="1"/>
    <xf numFmtId="1" fontId="0" fillId="0" borderId="0" xfId="43" applyNumberFormat="1" applyFont="1"/>
    <xf numFmtId="1" fontId="0" fillId="0" borderId="20" xfId="0" applyNumberFormat="1" applyBorder="1"/>
    <xf numFmtId="0" fontId="0" fillId="0" borderId="0" xfId="0" applyAlignment="1">
      <alignment horizontal="center"/>
    </xf>
    <xf numFmtId="0" fontId="16" fillId="0" borderId="11" xfId="0" applyFont="1" applyBorder="1"/>
    <xf numFmtId="1" fontId="0" fillId="0" borderId="19" xfId="0" applyNumberFormat="1" applyBorder="1"/>
    <xf numFmtId="1" fontId="0" fillId="0" borderId="21" xfId="0" applyNumberFormat="1" applyBorder="1"/>
    <xf numFmtId="11" fontId="0" fillId="0" borderId="0" xfId="0" applyNumberFormat="1"/>
    <xf numFmtId="0" fontId="0" fillId="0" borderId="17" xfId="0" applyBorder="1"/>
    <xf numFmtId="0" fontId="0" fillId="0" borderId="18" xfId="0" applyBorder="1"/>
    <xf numFmtId="1" fontId="0" fillId="0" borderId="17" xfId="0" applyNumberFormat="1" applyBorder="1"/>
    <xf numFmtId="1" fontId="0" fillId="0" borderId="18" xfId="0" applyNumberFormat="1" applyBorder="1"/>
    <xf numFmtId="167" fontId="0" fillId="0" borderId="0" xfId="0" applyNumberFormat="1"/>
    <xf numFmtId="1" fontId="0" fillId="0" borderId="0" xfId="43" applyNumberFormat="1" applyFont="1" applyFill="1"/>
    <xf numFmtId="164" fontId="0" fillId="0" borderId="0" xfId="43" applyNumberFormat="1" applyFont="1" applyFill="1"/>
    <xf numFmtId="1" fontId="0" fillId="34" borderId="0" xfId="0" applyNumberFormat="1" applyFill="1"/>
    <xf numFmtId="0" fontId="25" fillId="0" borderId="0" xfId="0" applyFont="1"/>
    <xf numFmtId="0" fontId="16" fillId="0" borderId="22" xfId="0" applyFont="1" applyBorder="1"/>
    <xf numFmtId="0" fontId="16" fillId="0" borderId="23" xfId="0" applyFont="1" applyBorder="1" applyAlignment="1">
      <alignment wrapText="1"/>
    </xf>
    <xf numFmtId="0" fontId="0" fillId="0" borderId="25" xfId="0" applyBorder="1" applyAlignment="1">
      <alignment wrapText="1"/>
    </xf>
    <xf numFmtId="0" fontId="0" fillId="0" borderId="27" xfId="0" applyBorder="1" applyAlignment="1">
      <alignment wrapText="1"/>
    </xf>
    <xf numFmtId="0" fontId="0" fillId="0" borderId="0" xfId="0" applyAlignment="1">
      <alignment vertical="top"/>
    </xf>
    <xf numFmtId="0" fontId="26" fillId="0" borderId="0" xfId="0" applyFont="1"/>
    <xf numFmtId="0" fontId="26" fillId="0" borderId="11" xfId="0" applyFont="1" applyBorder="1"/>
    <xf numFmtId="0" fontId="26" fillId="0" borderId="14" xfId="0" applyFont="1" applyBorder="1"/>
    <xf numFmtId="0" fontId="26" fillId="0" borderId="14" xfId="0" applyFont="1" applyBorder="1" applyAlignment="1">
      <alignment horizontal="right"/>
    </xf>
    <xf numFmtId="0" fontId="26" fillId="0" borderId="21" xfId="0" applyFont="1" applyBorder="1" applyAlignment="1">
      <alignment horizontal="right"/>
    </xf>
    <xf numFmtId="0" fontId="26" fillId="0" borderId="13" xfId="0" applyFont="1" applyBorder="1" applyAlignment="1">
      <alignment horizontal="right"/>
    </xf>
    <xf numFmtId="168" fontId="26" fillId="0" borderId="13" xfId="42" applyNumberFormat="1" applyFont="1" applyBorder="1" applyAlignment="1"/>
    <xf numFmtId="168" fontId="26" fillId="0" borderId="19" xfId="42" applyNumberFormat="1" applyFont="1" applyBorder="1" applyAlignment="1"/>
    <xf numFmtId="166" fontId="0" fillId="0" borderId="0" xfId="0" applyNumberFormat="1"/>
    <xf numFmtId="168" fontId="16" fillId="0" borderId="0" xfId="0" applyNumberFormat="1" applyFont="1"/>
    <xf numFmtId="0" fontId="27" fillId="0" borderId="0" xfId="0" applyFont="1"/>
    <xf numFmtId="0" fontId="28" fillId="0" borderId="0" xfId="0" applyFont="1"/>
    <xf numFmtId="0" fontId="29" fillId="0" borderId="24" xfId="44" applyBorder="1"/>
    <xf numFmtId="0" fontId="29" fillId="0" borderId="26" xfId="44" applyBorder="1"/>
    <xf numFmtId="0" fontId="0" fillId="0" borderId="20" xfId="0" applyBorder="1"/>
    <xf numFmtId="0" fontId="0" fillId="0" borderId="20" xfId="0" applyBorder="1" applyAlignment="1">
      <alignment horizontal="right"/>
    </xf>
    <xf numFmtId="0" fontId="30" fillId="0" borderId="0" xfId="0" applyFont="1"/>
    <xf numFmtId="0" fontId="31" fillId="0" borderId="0" xfId="0" applyFont="1"/>
    <xf numFmtId="0" fontId="32" fillId="0" borderId="0" xfId="0" applyFont="1"/>
    <xf numFmtId="0" fontId="32" fillId="0" borderId="0" xfId="0" applyFont="1" applyAlignment="1">
      <alignment horizontal="center"/>
    </xf>
    <xf numFmtId="0" fontId="32" fillId="0" borderId="25" xfId="0" applyFont="1" applyBorder="1"/>
    <xf numFmtId="0" fontId="0" fillId="0" borderId="25" xfId="0" applyBorder="1"/>
    <xf numFmtId="0" fontId="0" fillId="0" borderId="30" xfId="0" applyBorder="1"/>
    <xf numFmtId="0" fontId="0" fillId="0" borderId="27" xfId="0" applyBorder="1"/>
    <xf numFmtId="0" fontId="32" fillId="0" borderId="24" xfId="0" applyFont="1" applyBorder="1" applyAlignment="1">
      <alignment horizontal="center"/>
    </xf>
    <xf numFmtId="0" fontId="0" fillId="0" borderId="24" xfId="0" applyBorder="1"/>
    <xf numFmtId="0" fontId="0" fillId="0" borderId="26" xfId="0" applyBorder="1"/>
    <xf numFmtId="0" fontId="33" fillId="0" borderId="0" xfId="0" applyFont="1"/>
    <xf numFmtId="0" fontId="21" fillId="0" borderId="30" xfId="0" applyFont="1" applyBorder="1"/>
    <xf numFmtId="0" fontId="21" fillId="0" borderId="17" xfId="0" applyFont="1" applyBorder="1"/>
    <xf numFmtId="0" fontId="0" fillId="0" borderId="19" xfId="0" applyBorder="1"/>
    <xf numFmtId="0" fontId="14" fillId="0" borderId="19" xfId="0" applyFont="1" applyBorder="1"/>
    <xf numFmtId="0" fontId="0" fillId="0" borderId="21" xfId="0" applyBorder="1"/>
    <xf numFmtId="1" fontId="0" fillId="0" borderId="24" xfId="0" applyNumberFormat="1" applyBorder="1"/>
    <xf numFmtId="1" fontId="0" fillId="0" borderId="25" xfId="0" applyNumberFormat="1" applyBorder="1"/>
    <xf numFmtId="0" fontId="0" fillId="0" borderId="33" xfId="0" applyBorder="1"/>
    <xf numFmtId="0" fontId="0" fillId="0" borderId="33" xfId="0" applyBorder="1" applyAlignment="1">
      <alignment horizontal="center"/>
    </xf>
    <xf numFmtId="1" fontId="0" fillId="0" borderId="0" xfId="42" applyNumberFormat="1" applyFont="1" applyBorder="1"/>
    <xf numFmtId="1" fontId="0" fillId="0" borderId="25" xfId="42" applyNumberFormat="1" applyFont="1" applyBorder="1"/>
    <xf numFmtId="0" fontId="0" fillId="35" borderId="0" xfId="0" applyFill="1"/>
    <xf numFmtId="1" fontId="0" fillId="35" borderId="0" xfId="0" applyNumberFormat="1" applyFill="1"/>
    <xf numFmtId="1" fontId="0" fillId="35" borderId="24" xfId="0" applyNumberFormat="1" applyFill="1" applyBorder="1"/>
    <xf numFmtId="1" fontId="0" fillId="35" borderId="0" xfId="42" applyNumberFormat="1" applyFont="1" applyFill="1" applyBorder="1"/>
    <xf numFmtId="1" fontId="0" fillId="35" borderId="25" xfId="0" applyNumberFormat="1" applyFill="1" applyBorder="1"/>
    <xf numFmtId="1" fontId="0" fillId="35" borderId="26" xfId="0" applyNumberFormat="1" applyFill="1" applyBorder="1"/>
    <xf numFmtId="1" fontId="0" fillId="35" borderId="30" xfId="0" applyNumberFormat="1" applyFill="1" applyBorder="1"/>
    <xf numFmtId="1" fontId="0" fillId="35" borderId="30" xfId="42" applyNumberFormat="1" applyFont="1" applyFill="1" applyBorder="1"/>
    <xf numFmtId="1" fontId="0" fillId="0" borderId="31" xfId="0" applyNumberFormat="1" applyBorder="1"/>
    <xf numFmtId="1" fontId="0" fillId="0" borderId="29" xfId="42" applyNumberFormat="1" applyFont="1" applyBorder="1"/>
    <xf numFmtId="1" fontId="0" fillId="35" borderId="27" xfId="0" applyNumberFormat="1" applyFill="1" applyBorder="1"/>
    <xf numFmtId="1" fontId="21" fillId="0" borderId="0" xfId="0" applyNumberFormat="1" applyFont="1"/>
    <xf numFmtId="1" fontId="21" fillId="0" borderId="30" xfId="0" applyNumberFormat="1" applyFont="1" applyBorder="1"/>
    <xf numFmtId="166" fontId="0" fillId="0" borderId="25" xfId="0" applyNumberFormat="1" applyBorder="1"/>
    <xf numFmtId="166" fontId="0" fillId="0" borderId="27" xfId="0" applyNumberFormat="1" applyBorder="1"/>
    <xf numFmtId="1" fontId="0" fillId="0" borderId="30" xfId="0" applyNumberFormat="1" applyBorder="1"/>
    <xf numFmtId="0" fontId="20" fillId="0" borderId="13" xfId="0" applyFont="1" applyBorder="1"/>
    <xf numFmtId="0" fontId="20" fillId="0" borderId="0" xfId="0" applyFont="1"/>
    <xf numFmtId="1" fontId="20" fillId="0" borderId="0" xfId="0" applyNumberFormat="1" applyFont="1"/>
    <xf numFmtId="1" fontId="20" fillId="0" borderId="19" xfId="0" applyNumberFormat="1" applyFont="1" applyBorder="1"/>
    <xf numFmtId="0" fontId="20" fillId="0" borderId="14" xfId="0" applyFont="1" applyBorder="1"/>
    <xf numFmtId="0" fontId="20" fillId="0" borderId="20" xfId="0" applyFont="1" applyBorder="1" applyAlignment="1">
      <alignment horizontal="right"/>
    </xf>
    <xf numFmtId="1" fontId="20" fillId="0" borderId="20" xfId="43" applyNumberFormat="1" applyFont="1" applyBorder="1"/>
    <xf numFmtId="1" fontId="20" fillId="0" borderId="20" xfId="0" applyNumberFormat="1" applyFont="1" applyBorder="1"/>
    <xf numFmtId="1" fontId="20" fillId="0" borderId="21" xfId="43" applyNumberFormat="1" applyFont="1" applyBorder="1"/>
    <xf numFmtId="0" fontId="21" fillId="0" borderId="11" xfId="0" applyFont="1" applyBorder="1"/>
    <xf numFmtId="0" fontId="21" fillId="0" borderId="18" xfId="0" applyFont="1" applyBorder="1"/>
    <xf numFmtId="1" fontId="16" fillId="0" borderId="0" xfId="0" applyNumberFormat="1" applyFont="1"/>
    <xf numFmtId="166" fontId="14" fillId="0" borderId="0" xfId="0" applyNumberFormat="1" applyFont="1"/>
    <xf numFmtId="0" fontId="0" fillId="0" borderId="25" xfId="0" applyBorder="1" applyAlignment="1">
      <alignment horizontal="right"/>
    </xf>
    <xf numFmtId="0" fontId="25" fillId="0" borderId="0" xfId="0" applyFont="1" applyAlignment="1">
      <alignment horizontal="center"/>
    </xf>
    <xf numFmtId="1" fontId="14" fillId="0" borderId="0" xfId="0" applyNumberFormat="1" applyFont="1"/>
    <xf numFmtId="166" fontId="21" fillId="0" borderId="25" xfId="0" applyNumberFormat="1" applyFont="1" applyBorder="1"/>
    <xf numFmtId="167" fontId="0" fillId="0" borderId="24" xfId="0" applyNumberFormat="1" applyBorder="1"/>
    <xf numFmtId="167" fontId="21" fillId="0" borderId="0" xfId="0" applyNumberFormat="1" applyFont="1"/>
    <xf numFmtId="167" fontId="0" fillId="0" borderId="25" xfId="0" applyNumberFormat="1" applyBorder="1"/>
    <xf numFmtId="164" fontId="0" fillId="34" borderId="0" xfId="43" applyNumberFormat="1" applyFont="1" applyFill="1" applyAlignment="1">
      <alignment horizontal="center"/>
    </xf>
    <xf numFmtId="164" fontId="0" fillId="0" borderId="0" xfId="43" applyNumberFormat="1" applyFont="1" applyAlignment="1">
      <alignment horizontal="center"/>
    </xf>
    <xf numFmtId="164" fontId="0" fillId="0" borderId="0" xfId="42" applyNumberFormat="1" applyFont="1" applyAlignment="1">
      <alignment horizontal="center"/>
    </xf>
    <xf numFmtId="164" fontId="0" fillId="0" borderId="0" xfId="43" applyNumberFormat="1" applyFont="1" applyAlignment="1"/>
    <xf numFmtId="0" fontId="0" fillId="0" borderId="14" xfId="0" applyBorder="1" applyAlignment="1">
      <alignment horizontal="center"/>
    </xf>
    <xf numFmtId="1" fontId="0" fillId="0" borderId="21" xfId="0" applyNumberFormat="1" applyBorder="1" applyAlignment="1">
      <alignment horizontal="center"/>
    </xf>
    <xf numFmtId="1" fontId="0" fillId="0" borderId="0" xfId="0" applyNumberFormat="1" applyAlignment="1">
      <alignment horizontal="center"/>
    </xf>
    <xf numFmtId="0" fontId="30" fillId="0" borderId="0" xfId="0" applyFont="1" applyAlignment="1">
      <alignment horizontal="center"/>
    </xf>
    <xf numFmtId="0" fontId="35" fillId="0" borderId="0" xfId="0" applyFont="1" applyAlignment="1">
      <alignment horizontal="center"/>
    </xf>
    <xf numFmtId="0" fontId="0" fillId="0" borderId="20" xfId="0" applyBorder="1" applyAlignment="1">
      <alignment horizontal="center"/>
    </xf>
    <xf numFmtId="1" fontId="20" fillId="0" borderId="20" xfId="43" applyNumberFormat="1" applyFont="1" applyFill="1" applyBorder="1"/>
    <xf numFmtId="0" fontId="16" fillId="36" borderId="0" xfId="0" applyFont="1" applyFill="1"/>
    <xf numFmtId="0" fontId="16" fillId="36" borderId="34" xfId="0" applyFont="1" applyFill="1" applyBorder="1"/>
    <xf numFmtId="0" fontId="0" fillId="0" borderId="0" xfId="0" applyAlignment="1">
      <alignment horizontal="left"/>
    </xf>
    <xf numFmtId="169" fontId="0" fillId="0" borderId="0" xfId="0" applyNumberFormat="1" applyAlignment="1">
      <alignment horizontal="left"/>
    </xf>
    <xf numFmtId="169" fontId="0" fillId="0" borderId="0" xfId="0" applyNumberFormat="1"/>
    <xf numFmtId="166" fontId="16" fillId="0" borderId="0" xfId="0" applyNumberFormat="1" applyFont="1"/>
    <xf numFmtId="0" fontId="36" fillId="0" borderId="0" xfId="0" applyFont="1"/>
    <xf numFmtId="0" fontId="21" fillId="0" borderId="24" xfId="0" applyFont="1" applyBorder="1"/>
    <xf numFmtId="1" fontId="21" fillId="0" borderId="24" xfId="0" applyNumberFormat="1" applyFont="1" applyBorder="1"/>
    <xf numFmtId="0" fontId="17" fillId="0" borderId="19" xfId="0" applyFont="1" applyBorder="1" applyAlignment="1">
      <alignment horizontal="right"/>
    </xf>
    <xf numFmtId="0" fontId="17" fillId="0" borderId="19" xfId="0" applyFont="1" applyBorder="1" applyAlignment="1">
      <alignment horizontal="left"/>
    </xf>
    <xf numFmtId="0" fontId="17" fillId="0" borderId="16" xfId="0" applyFont="1" applyBorder="1" applyAlignment="1">
      <alignment horizontal="right"/>
    </xf>
    <xf numFmtId="0" fontId="17" fillId="0" borderId="0" xfId="0" applyFont="1" applyAlignment="1">
      <alignment horizontal="right"/>
    </xf>
    <xf numFmtId="0" fontId="0" fillId="0" borderId="35" xfId="0" applyBorder="1" applyAlignment="1">
      <alignment horizontal="right"/>
    </xf>
    <xf numFmtId="0" fontId="0" fillId="0" borderId="35" xfId="0" applyBorder="1" applyAlignment="1">
      <alignment horizontal="left"/>
    </xf>
    <xf numFmtId="1" fontId="0" fillId="0" borderId="36" xfId="0" applyNumberFormat="1" applyBorder="1" applyAlignment="1">
      <alignment horizontal="right"/>
    </xf>
    <xf numFmtId="1" fontId="0" fillId="0" borderId="29" xfId="0" applyNumberFormat="1" applyBorder="1" applyAlignment="1">
      <alignment horizontal="right"/>
    </xf>
    <xf numFmtId="0" fontId="0" fillId="0" borderId="19" xfId="0" applyBorder="1" applyAlignment="1">
      <alignment horizontal="right"/>
    </xf>
    <xf numFmtId="0" fontId="0" fillId="0" borderId="19" xfId="0" applyBorder="1" applyAlignment="1">
      <alignment horizontal="left"/>
    </xf>
    <xf numFmtId="1" fontId="0" fillId="0" borderId="16" xfId="0" applyNumberFormat="1" applyBorder="1" applyAlignment="1">
      <alignment horizontal="right"/>
    </xf>
    <xf numFmtId="1" fontId="0" fillId="0" borderId="25" xfId="0" applyNumberFormat="1" applyBorder="1" applyAlignment="1">
      <alignment horizontal="right"/>
    </xf>
    <xf numFmtId="169" fontId="0" fillId="33" borderId="16" xfId="0" applyNumberFormat="1" applyFill="1" applyBorder="1" applyAlignment="1">
      <alignment horizontal="right"/>
    </xf>
    <xf numFmtId="169" fontId="0" fillId="33" borderId="25" xfId="0" applyNumberFormat="1" applyFill="1" applyBorder="1" applyAlignment="1">
      <alignment horizontal="right"/>
    </xf>
    <xf numFmtId="169" fontId="0" fillId="0" borderId="0" xfId="0" applyNumberFormat="1" applyAlignment="1">
      <alignment horizontal="right"/>
    </xf>
    <xf numFmtId="1" fontId="0" fillId="0" borderId="0" xfId="0" applyNumberFormat="1" applyAlignment="1">
      <alignment horizontal="right"/>
    </xf>
    <xf numFmtId="0" fontId="37" fillId="0" borderId="0" xfId="0" applyFont="1"/>
    <xf numFmtId="0" fontId="16" fillId="0" borderId="0" xfId="0" applyFont="1" applyAlignment="1">
      <alignment horizontal="left"/>
    </xf>
    <xf numFmtId="0" fontId="16" fillId="36" borderId="34" xfId="0" applyFont="1" applyFill="1" applyBorder="1" applyAlignment="1">
      <alignment horizontal="center"/>
    </xf>
    <xf numFmtId="164" fontId="0" fillId="0" borderId="0" xfId="0" applyNumberFormat="1" applyAlignment="1">
      <alignment horizontal="center"/>
    </xf>
    <xf numFmtId="2" fontId="0" fillId="0" borderId="0" xfId="0" applyNumberFormat="1" applyAlignment="1">
      <alignment horizontal="center"/>
    </xf>
    <xf numFmtId="43" fontId="0" fillId="0" borderId="0" xfId="0" applyNumberFormat="1" applyAlignment="1">
      <alignment horizontal="center"/>
    </xf>
    <xf numFmtId="0" fontId="16" fillId="36" borderId="0" xfId="0" applyFont="1" applyFill="1" applyAlignment="1">
      <alignment horizontal="center"/>
    </xf>
    <xf numFmtId="0" fontId="31" fillId="0" borderId="0" xfId="0" applyFont="1" applyAlignment="1">
      <alignment horizontal="left"/>
    </xf>
    <xf numFmtId="43" fontId="0" fillId="0" borderId="0" xfId="0" applyNumberFormat="1" applyAlignment="1">
      <alignment horizontal="left"/>
    </xf>
    <xf numFmtId="0" fontId="26" fillId="0" borderId="0" xfId="0" applyFont="1" applyAlignment="1">
      <alignment vertical="top"/>
    </xf>
    <xf numFmtId="168" fontId="26" fillId="0" borderId="0" xfId="42" applyNumberFormat="1" applyFont="1" applyBorder="1" applyAlignment="1"/>
    <xf numFmtId="0" fontId="38" fillId="0" borderId="0" xfId="0" applyFont="1"/>
    <xf numFmtId="0" fontId="21" fillId="0" borderId="25" xfId="0" applyFont="1" applyBorder="1"/>
    <xf numFmtId="0" fontId="21" fillId="0" borderId="26" xfId="0" applyFont="1" applyBorder="1"/>
    <xf numFmtId="0" fontId="21" fillId="0" borderId="27" xfId="0" applyFont="1" applyBorder="1"/>
    <xf numFmtId="1" fontId="0" fillId="0" borderId="26" xfId="0" applyNumberFormat="1" applyBorder="1"/>
    <xf numFmtId="166" fontId="0" fillId="0" borderId="30" xfId="0" applyNumberFormat="1" applyBorder="1"/>
    <xf numFmtId="1" fontId="21" fillId="0" borderId="26" xfId="0" applyNumberFormat="1" applyFont="1" applyBorder="1"/>
    <xf numFmtId="166" fontId="21" fillId="0" borderId="27" xfId="0" applyNumberFormat="1" applyFont="1" applyBorder="1"/>
    <xf numFmtId="0" fontId="39" fillId="0" borderId="0" xfId="0" applyFont="1"/>
    <xf numFmtId="0" fontId="40" fillId="0" borderId="0" xfId="0" applyFont="1"/>
    <xf numFmtId="0" fontId="41" fillId="0" borderId="0" xfId="0" applyFont="1"/>
    <xf numFmtId="0" fontId="42" fillId="34" borderId="10" xfId="0" applyFont="1" applyFill="1" applyBorder="1" applyAlignment="1">
      <alignment horizontal="center"/>
    </xf>
    <xf numFmtId="0" fontId="42" fillId="0" borderId="0" xfId="0" applyFont="1"/>
    <xf numFmtId="0" fontId="39" fillId="0" borderId="0" xfId="0" applyFont="1" applyAlignment="1">
      <alignment horizontal="right"/>
    </xf>
    <xf numFmtId="0" fontId="42" fillId="37" borderId="10" xfId="0" applyFont="1" applyFill="1" applyBorder="1"/>
    <xf numFmtId="0" fontId="39" fillId="37" borderId="10" xfId="0" applyFont="1" applyFill="1" applyBorder="1"/>
    <xf numFmtId="0" fontId="39" fillId="37" borderId="10" xfId="0" applyFont="1" applyFill="1" applyBorder="1" applyAlignment="1">
      <alignment horizontal="center"/>
    </xf>
    <xf numFmtId="0" fontId="39" fillId="0" borderId="10" xfId="0" applyFont="1" applyBorder="1"/>
    <xf numFmtId="10" fontId="39" fillId="0" borderId="10" xfId="0" applyNumberFormat="1" applyFont="1" applyBorder="1"/>
    <xf numFmtId="164" fontId="39" fillId="0" borderId="10" xfId="43" applyNumberFormat="1" applyFont="1" applyBorder="1"/>
    <xf numFmtId="168" fontId="39" fillId="0" borderId="10" xfId="42" applyNumberFormat="1" applyFont="1" applyBorder="1"/>
    <xf numFmtId="164" fontId="39" fillId="0" borderId="10" xfId="0" applyNumberFormat="1" applyFont="1" applyBorder="1"/>
    <xf numFmtId="164" fontId="39" fillId="0" borderId="0" xfId="0" applyNumberFormat="1" applyFont="1"/>
    <xf numFmtId="0" fontId="43" fillId="0" borderId="0" xfId="0" applyFont="1"/>
    <xf numFmtId="0" fontId="35" fillId="0" borderId="0" xfId="0" applyFont="1"/>
    <xf numFmtId="1" fontId="35" fillId="0" borderId="0" xfId="0" applyNumberFormat="1" applyFont="1"/>
    <xf numFmtId="9" fontId="35" fillId="0" borderId="0" xfId="42" applyFont="1"/>
    <xf numFmtId="0" fontId="35" fillId="0" borderId="13" xfId="0" applyFont="1" applyBorder="1"/>
    <xf numFmtId="0" fontId="35" fillId="0" borderId="19" xfId="0" applyFont="1" applyBorder="1"/>
    <xf numFmtId="0" fontId="35" fillId="0" borderId="14" xfId="0" applyFont="1" applyBorder="1" applyAlignment="1">
      <alignment horizontal="center"/>
    </xf>
    <xf numFmtId="1" fontId="35" fillId="0" borderId="21" xfId="0" applyNumberFormat="1" applyFont="1" applyBorder="1" applyAlignment="1">
      <alignment horizontal="center"/>
    </xf>
    <xf numFmtId="1" fontId="44" fillId="0" borderId="0" xfId="0" applyNumberFormat="1" applyFont="1"/>
    <xf numFmtId="0" fontId="44" fillId="0" borderId="0" xfId="0" applyFont="1"/>
    <xf numFmtId="0" fontId="0" fillId="35" borderId="0" xfId="0" applyFill="1" applyAlignment="1">
      <alignment horizontal="right"/>
    </xf>
    <xf numFmtId="0" fontId="14" fillId="0" borderId="24" xfId="0" applyFont="1" applyBorder="1"/>
    <xf numFmtId="0" fontId="21" fillId="38" borderId="0" xfId="0" applyFont="1" applyFill="1"/>
    <xf numFmtId="167" fontId="21" fillId="0" borderId="24" xfId="0" applyNumberFormat="1" applyFont="1" applyBorder="1"/>
    <xf numFmtId="10" fontId="0" fillId="0" borderId="0" xfId="0" applyNumberFormat="1"/>
    <xf numFmtId="10" fontId="0" fillId="0" borderId="24" xfId="0" applyNumberFormat="1" applyBorder="1"/>
    <xf numFmtId="10" fontId="0" fillId="0" borderId="25" xfId="0" applyNumberFormat="1" applyBorder="1"/>
    <xf numFmtId="10" fontId="0" fillId="0" borderId="26" xfId="0" applyNumberFormat="1" applyBorder="1"/>
    <xf numFmtId="10" fontId="0" fillId="0" borderId="30" xfId="0" applyNumberFormat="1" applyBorder="1"/>
    <xf numFmtId="10" fontId="0" fillId="0" borderId="27" xfId="0" applyNumberFormat="1" applyBorder="1"/>
    <xf numFmtId="167" fontId="0" fillId="0" borderId="26" xfId="0" applyNumberFormat="1" applyBorder="1"/>
    <xf numFmtId="167" fontId="0" fillId="0" borderId="30" xfId="0" applyNumberFormat="1" applyBorder="1"/>
    <xf numFmtId="167" fontId="0" fillId="0" borderId="27" xfId="0" applyNumberFormat="1" applyBorder="1"/>
    <xf numFmtId="167" fontId="0" fillId="39" borderId="25" xfId="0" applyNumberFormat="1" applyFill="1" applyBorder="1"/>
    <xf numFmtId="166" fontId="21" fillId="0" borderId="0" xfId="0" applyNumberFormat="1" applyFont="1"/>
    <xf numFmtId="166" fontId="21" fillId="0" borderId="30" xfId="0" applyNumberFormat="1" applyFont="1" applyBorder="1"/>
    <xf numFmtId="10" fontId="0" fillId="0" borderId="0" xfId="42" applyNumberFormat="1" applyFont="1" applyFill="1"/>
    <xf numFmtId="1" fontId="44" fillId="0" borderId="13" xfId="0" applyNumberFormat="1" applyFont="1" applyBorder="1"/>
    <xf numFmtId="167" fontId="14" fillId="0" borderId="0" xfId="0" applyNumberFormat="1" applyFont="1"/>
    <xf numFmtId="0" fontId="46" fillId="0" borderId="0" xfId="0" applyFont="1"/>
    <xf numFmtId="10" fontId="46" fillId="0" borderId="0" xfId="42" applyNumberFormat="1" applyFont="1" applyFill="1"/>
    <xf numFmtId="10" fontId="21" fillId="0" borderId="0" xfId="42" applyNumberFormat="1" applyFont="1" applyFill="1"/>
    <xf numFmtId="9" fontId="0" fillId="0" borderId="26" xfId="42" applyFont="1" applyFill="1" applyBorder="1" applyAlignment="1">
      <alignment horizontal="right"/>
    </xf>
    <xf numFmtId="2" fontId="0" fillId="0" borderId="0" xfId="42" applyNumberFormat="1" applyFont="1"/>
    <xf numFmtId="171" fontId="0" fillId="0" borderId="0" xfId="42" applyNumberFormat="1" applyFont="1"/>
    <xf numFmtId="9" fontId="36" fillId="0" borderId="0" xfId="42" applyFont="1" applyFill="1"/>
    <xf numFmtId="10" fontId="36" fillId="0" borderId="0" xfId="42" applyNumberFormat="1" applyFont="1" applyFill="1"/>
    <xf numFmtId="170" fontId="0" fillId="0" borderId="0" xfId="0" applyNumberFormat="1"/>
    <xf numFmtId="0" fontId="47" fillId="0" borderId="0" xfId="0" applyFont="1"/>
    <xf numFmtId="0" fontId="21" fillId="0" borderId="0" xfId="0" applyFont="1" applyAlignment="1">
      <alignment horizontal="right"/>
    </xf>
    <xf numFmtId="170" fontId="21" fillId="0" borderId="0" xfId="0" applyNumberFormat="1" applyFont="1" applyAlignment="1">
      <alignment horizontal="right"/>
    </xf>
    <xf numFmtId="168" fontId="0" fillId="0" borderId="0" xfId="42" applyNumberFormat="1" applyFont="1"/>
    <xf numFmtId="170" fontId="21" fillId="0" borderId="0" xfId="0" applyNumberFormat="1" applyFont="1"/>
    <xf numFmtId="1" fontId="46" fillId="0" borderId="24" xfId="0" applyNumberFormat="1" applyFont="1" applyBorder="1"/>
    <xf numFmtId="166" fontId="46" fillId="0" borderId="0" xfId="0" applyNumberFormat="1" applyFont="1"/>
    <xf numFmtId="1" fontId="46" fillId="0" borderId="0" xfId="0" applyNumberFormat="1" applyFont="1"/>
    <xf numFmtId="0" fontId="48" fillId="0" borderId="0" xfId="0" applyFont="1"/>
    <xf numFmtId="0" fontId="17" fillId="40" borderId="0" xfId="0" applyFont="1" applyFill="1"/>
    <xf numFmtId="0" fontId="0" fillId="40" borderId="0" xfId="0" applyFill="1"/>
    <xf numFmtId="3" fontId="49" fillId="41" borderId="10" xfId="0" applyNumberFormat="1" applyFont="1" applyFill="1" applyBorder="1" applyAlignment="1">
      <alignment horizontal="left" wrapText="1"/>
    </xf>
    <xf numFmtId="0" fontId="0" fillId="41" borderId="10" xfId="0" applyFill="1" applyBorder="1"/>
    <xf numFmtId="9" fontId="26" fillId="0" borderId="10" xfId="42" applyFont="1" applyFill="1" applyBorder="1"/>
    <xf numFmtId="0" fontId="50" fillId="0" borderId="24" xfId="0" applyFont="1" applyBorder="1"/>
    <xf numFmtId="0" fontId="50" fillId="0" borderId="0" xfId="0" applyFont="1"/>
    <xf numFmtId="166" fontId="44" fillId="0" borderId="24" xfId="0" applyNumberFormat="1" applyFont="1" applyBorder="1"/>
    <xf numFmtId="166" fontId="44" fillId="0" borderId="0" xfId="0" applyNumberFormat="1" applyFont="1"/>
    <xf numFmtId="1" fontId="0" fillId="35" borderId="24" xfId="0" applyNumberFormat="1" applyFill="1" applyBorder="1" applyAlignment="1">
      <alignment horizontal="right"/>
    </xf>
    <xf numFmtId="1" fontId="0" fillId="35" borderId="0" xfId="0" applyNumberFormat="1" applyFill="1" applyAlignment="1">
      <alignment horizontal="right"/>
    </xf>
    <xf numFmtId="1" fontId="0" fillId="35" borderId="25" xfId="0" applyNumberFormat="1" applyFill="1" applyBorder="1" applyAlignment="1">
      <alignment horizontal="right"/>
    </xf>
    <xf numFmtId="10" fontId="21" fillId="0" borderId="0" xfId="0" applyNumberFormat="1" applyFont="1"/>
    <xf numFmtId="10" fontId="21" fillId="0" borderId="25" xfId="0" applyNumberFormat="1" applyFont="1" applyBorder="1"/>
    <xf numFmtId="9" fontId="21" fillId="0" borderId="26" xfId="42" applyFont="1" applyFill="1" applyBorder="1" applyAlignment="1">
      <alignment horizontal="right"/>
    </xf>
    <xf numFmtId="10" fontId="21" fillId="0" borderId="30" xfId="0" applyNumberFormat="1" applyFont="1" applyBorder="1"/>
    <xf numFmtId="10" fontId="21" fillId="0" borderId="27" xfId="0" applyNumberFormat="1" applyFont="1" applyBorder="1"/>
    <xf numFmtId="1" fontId="21" fillId="33" borderId="0" xfId="0" applyNumberFormat="1" applyFont="1" applyFill="1"/>
    <xf numFmtId="0" fontId="21" fillId="33" borderId="0" xfId="0" applyFont="1" applyFill="1"/>
    <xf numFmtId="172" fontId="0" fillId="0" borderId="0" xfId="0" applyNumberFormat="1" applyAlignment="1">
      <alignment horizontal="center"/>
    </xf>
    <xf numFmtId="166" fontId="0" fillId="0" borderId="0" xfId="42" applyNumberFormat="1" applyFont="1"/>
    <xf numFmtId="166" fontId="0" fillId="0" borderId="0" xfId="0" applyNumberFormat="1" applyAlignment="1">
      <alignment horizontal="left"/>
    </xf>
    <xf numFmtId="2" fontId="0" fillId="0" borderId="0" xfId="0" applyNumberFormat="1"/>
    <xf numFmtId="0" fontId="51" fillId="42" borderId="37" xfId="0" applyFont="1" applyFill="1" applyBorder="1" applyAlignment="1">
      <alignment vertical="center" wrapText="1"/>
    </xf>
    <xf numFmtId="0" fontId="51" fillId="42" borderId="38" xfId="0" applyFont="1" applyFill="1" applyBorder="1" applyAlignment="1">
      <alignment vertical="center" wrapText="1"/>
    </xf>
    <xf numFmtId="0" fontId="51" fillId="43" borderId="37" xfId="0" applyFont="1" applyFill="1" applyBorder="1" applyAlignment="1">
      <alignment vertical="center" wrapText="1"/>
    </xf>
    <xf numFmtId="164" fontId="0" fillId="0" borderId="0" xfId="43" applyNumberFormat="1" applyFont="1" applyAlignment="1">
      <alignment horizontal="right" vertical="center"/>
    </xf>
    <xf numFmtId="0" fontId="52" fillId="43" borderId="39" xfId="0" applyFont="1" applyFill="1" applyBorder="1" applyAlignment="1">
      <alignment horizontal="center" vertical="center"/>
    </xf>
    <xf numFmtId="0" fontId="52" fillId="43" borderId="40" xfId="0" applyFont="1" applyFill="1" applyBorder="1" applyAlignment="1">
      <alignment horizontal="center" vertical="center"/>
    </xf>
    <xf numFmtId="164" fontId="0" fillId="0" borderId="0" xfId="43" applyNumberFormat="1" applyFont="1" applyFill="1" applyAlignment="1">
      <alignment horizontal="right" vertical="center"/>
    </xf>
    <xf numFmtId="164" fontId="0" fillId="0" borderId="0" xfId="0" applyNumberFormat="1" applyAlignment="1">
      <alignment horizontal="right" vertical="center"/>
    </xf>
    <xf numFmtId="0" fontId="0" fillId="0" borderId="0" xfId="0" applyAlignment="1">
      <alignment wrapText="1"/>
    </xf>
    <xf numFmtId="1" fontId="21" fillId="0" borderId="0" xfId="0" applyNumberFormat="1" applyFont="1" applyAlignment="1">
      <alignment horizontal="right"/>
    </xf>
    <xf numFmtId="0" fontId="0" fillId="0" borderId="0" xfId="0" applyAlignment="1">
      <alignment horizontal="center"/>
    </xf>
    <xf numFmtId="2" fontId="0" fillId="0" borderId="0" xfId="0" applyNumberFormat="1" applyAlignment="1">
      <alignment horizontal="center"/>
    </xf>
    <xf numFmtId="0" fontId="21" fillId="0" borderId="0" xfId="0" applyFont="1" applyAlignment="1">
      <alignment horizontal="center"/>
    </xf>
    <xf numFmtId="0" fontId="0" fillId="0" borderId="0" xfId="0" applyAlignment="1">
      <alignment horizontal="center" wrapText="1"/>
    </xf>
    <xf numFmtId="1" fontId="0" fillId="0" borderId="0" xfId="0" applyNumberFormat="1" applyAlignment="1">
      <alignment horizontal="center" vertical="center"/>
    </xf>
    <xf numFmtId="0" fontId="0" fillId="0" borderId="31" xfId="0"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0" fontId="21" fillId="0" borderId="31" xfId="0" applyFont="1" applyBorder="1" applyAlignment="1">
      <alignment horizontal="center"/>
    </xf>
    <xf numFmtId="0" fontId="21" fillId="0" borderId="28" xfId="0" applyFont="1" applyBorder="1" applyAlignment="1">
      <alignment horizontal="center"/>
    </xf>
    <xf numFmtId="0" fontId="21" fillId="0" borderId="29" xfId="0" applyFont="1" applyBorder="1" applyAlignment="1">
      <alignment horizontal="center"/>
    </xf>
    <xf numFmtId="0" fontId="16" fillId="36" borderId="0" xfId="0" applyFont="1" applyFill="1" applyAlignment="1">
      <alignment horizontal="center"/>
    </xf>
    <xf numFmtId="0" fontId="42" fillId="34" borderId="10" xfId="0" applyFont="1" applyFill="1" applyBorder="1" applyAlignment="1">
      <alignment horizontal="center"/>
    </xf>
    <xf numFmtId="0" fontId="32" fillId="0" borderId="31" xfId="0" applyFont="1" applyBorder="1" applyAlignment="1">
      <alignment horizontal="center"/>
    </xf>
    <xf numFmtId="0" fontId="32" fillId="0" borderId="28" xfId="0" applyFont="1" applyBorder="1" applyAlignment="1">
      <alignment horizontal="center"/>
    </xf>
    <xf numFmtId="0" fontId="32" fillId="0" borderId="29" xfId="0" applyFont="1" applyBorder="1" applyAlignment="1">
      <alignment horizontal="center"/>
    </xf>
    <xf numFmtId="0" fontId="32" fillId="0" borderId="0" xfId="0" applyFont="1" applyAlignment="1">
      <alignment horizontal="center"/>
    </xf>
    <xf numFmtId="0" fontId="16" fillId="0" borderId="31" xfId="0" applyFont="1" applyBorder="1" applyAlignment="1">
      <alignment horizontal="center"/>
    </xf>
    <xf numFmtId="0" fontId="16" fillId="0" borderId="28" xfId="0" applyFont="1" applyBorder="1" applyAlignment="1">
      <alignment horizontal="center"/>
    </xf>
    <xf numFmtId="0" fontId="16" fillId="0" borderId="29" xfId="0" applyFont="1" applyBorder="1" applyAlignment="1">
      <alignment horizontal="center"/>
    </xf>
    <xf numFmtId="0" fontId="16" fillId="0" borderId="32" xfId="0" applyFont="1" applyBorder="1" applyAlignment="1">
      <alignment horizontal="center"/>
    </xf>
    <xf numFmtId="0" fontId="31" fillId="0" borderId="0" xfId="0" applyFont="1" applyAlignment="1">
      <alignment horizontal="center" wrapText="1"/>
    </xf>
    <xf numFmtId="0" fontId="35" fillId="0" borderId="11" xfId="0" applyFont="1" applyBorder="1" applyAlignment="1">
      <alignment horizontal="center"/>
    </xf>
    <xf numFmtId="0" fontId="35" fillId="0" borderId="18" xfId="0" applyFont="1" applyBorder="1" applyAlignment="1">
      <alignment horizontal="center"/>
    </xf>
    <xf numFmtId="0" fontId="0" fillId="0" borderId="11" xfId="0" applyBorder="1" applyAlignment="1">
      <alignment horizontal="center"/>
    </xf>
    <xf numFmtId="0" fontId="0" fillId="0" borderId="18" xfId="0" applyBorder="1" applyAlignment="1">
      <alignment horizontal="center"/>
    </xf>
    <xf numFmtId="0" fontId="0" fillId="0" borderId="11" xfId="0" applyBorder="1" applyAlignment="1">
      <alignment horizontal="center" vertical="center"/>
    </xf>
    <xf numFmtId="0" fontId="0" fillId="0" borderId="18" xfId="0" applyBorder="1" applyAlignment="1">
      <alignment horizontal="center" vertical="center"/>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3"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4"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2" builtinId="5"/>
    <cellStyle name="Title" xfId="1" builtinId="15" customBuiltin="1"/>
    <cellStyle name="Total" xfId="17" builtinId="25" customBuiltin="1"/>
    <cellStyle name="Warning Text" xfId="14" builtinId="11" customBuiltin="1"/>
  </cellStyles>
  <dxfs count="64">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right" vertical="bottom" textRotation="0" wrapText="0"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right" vertical="bottom" textRotation="0" wrapText="0" indent="0" justifyLastLine="0" shrinkToFit="0" readingOrder="0"/>
      <border diagonalUp="0" diagonalDown="0">
        <left/>
        <right style="thin">
          <color indexed="64"/>
        </right>
        <top/>
        <bottom/>
        <vertical/>
        <horizontal/>
      </border>
    </dxf>
    <dxf>
      <border outline="0">
        <left style="medium">
          <color indexed="64"/>
        </left>
        <top style="medium">
          <color indexed="64"/>
        </top>
        <bottom style="medium">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theme="0"/>
        <name val="Calibri"/>
        <family val="2"/>
        <scheme val="minor"/>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right" vertical="bottom" textRotation="0" wrapText="0"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right" vertical="bottom" textRotation="0" wrapText="0" indent="0" justifyLastLine="0" shrinkToFit="0" readingOrder="0"/>
      <border diagonalUp="0" diagonalDown="0">
        <left/>
        <right style="thin">
          <color indexed="64"/>
        </right>
        <top/>
        <bottom/>
        <vertical/>
        <horizontal/>
      </border>
    </dxf>
    <dxf>
      <border outline="0">
        <left style="medium">
          <color indexed="64"/>
        </left>
        <top style="medium">
          <color indexed="64"/>
        </top>
        <bottom style="medium">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theme="0"/>
        <name val="Calibri"/>
        <family val="2"/>
        <scheme val="minor"/>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right" vertical="bottom" textRotation="0" wrapText="0"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right" vertical="bottom" textRotation="0" wrapText="0" indent="0" justifyLastLine="0" shrinkToFit="0" readingOrder="0"/>
      <border diagonalUp="0" diagonalDown="0">
        <left/>
        <right style="thin">
          <color indexed="64"/>
        </right>
        <top/>
        <bottom/>
        <vertical/>
        <horizontal/>
      </border>
    </dxf>
    <dxf>
      <border outline="0">
        <left style="medium">
          <color indexed="64"/>
        </left>
        <top style="medium">
          <color indexed="64"/>
        </top>
        <bottom style="medium">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theme="0"/>
        <name val="Calibri"/>
        <family val="2"/>
        <scheme val="minor"/>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1" i="0" u="none" strike="noStrike" baseline="0">
                <a:effectLst/>
              </a:rPr>
              <a:t>Light-Duty Vehicle Tank-to Wheel NOx Emissions by Scenario (short tons per year), 2025-2040</a:t>
            </a:r>
            <a:endParaRPr lang="en-US"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Tables!$C$3</c:f>
              <c:strCache>
                <c:ptCount val="1"/>
                <c:pt idx="0">
                  <c:v>BAU</c:v>
                </c:pt>
              </c:strCache>
            </c:strRef>
          </c:tx>
          <c:spPr>
            <a:ln w="28575" cap="rnd">
              <a:solidFill>
                <a:schemeClr val="accent1"/>
              </a:solidFill>
              <a:round/>
            </a:ln>
            <a:effectLst/>
          </c:spPr>
          <c:marker>
            <c:symbol val="none"/>
          </c:marker>
          <c:cat>
            <c:numRef>
              <c:f>Tables!$B$4:$B$19</c:f>
              <c:numCache>
                <c:formatCode>General</c:formatCode>
                <c:ptCount val="16"/>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numCache>
            </c:numRef>
          </c:cat>
          <c:val>
            <c:numRef>
              <c:f>Tables!$C$4:$C$19</c:f>
              <c:numCache>
                <c:formatCode>_(* #,##0_);_(* \(#,##0\);_(* "-"??_);_(@_)</c:formatCode>
                <c:ptCount val="16"/>
                <c:pt idx="0">
                  <c:v>17050.080408492788</c:v>
                </c:pt>
                <c:pt idx="1">
                  <c:v>15236.856156572934</c:v>
                </c:pt>
                <c:pt idx="2">
                  <c:v>13428.33120624762</c:v>
                </c:pt>
                <c:pt idx="3">
                  <c:v>11616.495021340574</c:v>
                </c:pt>
                <c:pt idx="4">
                  <c:v>9799.4731172034317</c:v>
                </c:pt>
                <c:pt idx="5">
                  <c:v>7975.6235355903336</c:v>
                </c:pt>
                <c:pt idx="6">
                  <c:v>7390.7566596578654</c:v>
                </c:pt>
                <c:pt idx="7">
                  <c:v>6803.3197060015809</c:v>
                </c:pt>
                <c:pt idx="8">
                  <c:v>6214.3412249675202</c:v>
                </c:pt>
                <c:pt idx="9">
                  <c:v>5623.8884398485698</c:v>
                </c:pt>
                <c:pt idx="10">
                  <c:v>5014.1107577826187</c:v>
                </c:pt>
                <c:pt idx="11">
                  <c:v>4932.1874632852741</c:v>
                </c:pt>
                <c:pt idx="12">
                  <c:v>4846.8312207142981</c:v>
                </c:pt>
                <c:pt idx="13">
                  <c:v>4757.561543985812</c:v>
                </c:pt>
                <c:pt idx="14">
                  <c:v>4665.3140282939758</c:v>
                </c:pt>
                <c:pt idx="15">
                  <c:v>4568.1069077065658</c:v>
                </c:pt>
              </c:numCache>
            </c:numRef>
          </c:val>
          <c:smooth val="0"/>
          <c:extLst>
            <c:ext xmlns:c16="http://schemas.microsoft.com/office/drawing/2014/chart" uri="{C3380CC4-5D6E-409C-BE32-E72D297353CC}">
              <c16:uniqueId val="{00000000-5178-AE4C-AF24-CADB5EDCD6E6}"/>
            </c:ext>
          </c:extLst>
        </c:ser>
        <c:ser>
          <c:idx val="1"/>
          <c:order val="1"/>
          <c:tx>
            <c:strRef>
              <c:f>Tables!$D$3</c:f>
              <c:strCache>
                <c:ptCount val="1"/>
                <c:pt idx="0">
                  <c:v>ACC II: 2026</c:v>
                </c:pt>
              </c:strCache>
            </c:strRef>
          </c:tx>
          <c:spPr>
            <a:ln w="28575" cap="rnd">
              <a:solidFill>
                <a:schemeClr val="accent2"/>
              </a:solidFill>
              <a:round/>
            </a:ln>
            <a:effectLst/>
          </c:spPr>
          <c:marker>
            <c:symbol val="none"/>
          </c:marker>
          <c:cat>
            <c:numRef>
              <c:f>Tables!$B$4:$B$19</c:f>
              <c:numCache>
                <c:formatCode>General</c:formatCode>
                <c:ptCount val="16"/>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numCache>
            </c:numRef>
          </c:cat>
          <c:val>
            <c:numRef>
              <c:f>Tables!$D$4:$D$19</c:f>
              <c:numCache>
                <c:formatCode>_(* #,##0_);_(* \(#,##0\);_(* "-"??_);_(@_)</c:formatCode>
                <c:ptCount val="16"/>
                <c:pt idx="0">
                  <c:v>17050.080408492788</c:v>
                </c:pt>
                <c:pt idx="1">
                  <c:v>15141.780922344893</c:v>
                </c:pt>
                <c:pt idx="2">
                  <c:v>13208.558476102042</c:v>
                </c:pt>
                <c:pt idx="3">
                  <c:v>11274.106034906958</c:v>
                </c:pt>
                <c:pt idx="4">
                  <c:v>9335.3579897470408</c:v>
                </c:pt>
                <c:pt idx="5">
                  <c:v>7422.1715043810727</c:v>
                </c:pt>
                <c:pt idx="6">
                  <c:v>6681.1837586430229</c:v>
                </c:pt>
                <c:pt idx="7">
                  <c:v>5941.0745752251669</c:v>
                </c:pt>
                <c:pt idx="8">
                  <c:v>5214.6714681827334</c:v>
                </c:pt>
                <c:pt idx="9">
                  <c:v>4507.2266287348175</c:v>
                </c:pt>
                <c:pt idx="10">
                  <c:v>3812.9845257940269</c:v>
                </c:pt>
                <c:pt idx="11">
                  <c:v>3538.9812018059879</c:v>
                </c:pt>
                <c:pt idx="12">
                  <c:v>3271.426035983905</c:v>
                </c:pt>
                <c:pt idx="13">
                  <c:v>3010.9376097718336</c:v>
                </c:pt>
                <c:pt idx="14">
                  <c:v>2759.0990810468647</c:v>
                </c:pt>
                <c:pt idx="15">
                  <c:v>2522.5043262131326</c:v>
                </c:pt>
              </c:numCache>
            </c:numRef>
          </c:val>
          <c:smooth val="0"/>
          <c:extLst>
            <c:ext xmlns:c16="http://schemas.microsoft.com/office/drawing/2014/chart" uri="{C3380CC4-5D6E-409C-BE32-E72D297353CC}">
              <c16:uniqueId val="{00000001-5178-AE4C-AF24-CADB5EDCD6E6}"/>
            </c:ext>
          </c:extLst>
        </c:ser>
        <c:ser>
          <c:idx val="2"/>
          <c:order val="2"/>
          <c:tx>
            <c:strRef>
              <c:f>Tables!$E$3</c:f>
              <c:strCache>
                <c:ptCount val="1"/>
                <c:pt idx="0">
                  <c:v>ACC II: 2027</c:v>
                </c:pt>
              </c:strCache>
            </c:strRef>
          </c:tx>
          <c:spPr>
            <a:ln w="28575" cap="rnd">
              <a:solidFill>
                <a:schemeClr val="accent3"/>
              </a:solidFill>
              <a:round/>
            </a:ln>
            <a:effectLst/>
          </c:spPr>
          <c:marker>
            <c:symbol val="none"/>
          </c:marker>
          <c:cat>
            <c:numRef>
              <c:f>Tables!$B$4:$B$19</c:f>
              <c:numCache>
                <c:formatCode>General</c:formatCode>
                <c:ptCount val="16"/>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numCache>
            </c:numRef>
          </c:cat>
          <c:val>
            <c:numRef>
              <c:f>Tables!$E$4:$E$19</c:f>
              <c:numCache>
                <c:formatCode>_(* #,##0_);_(* \(#,##0\);_(* "-"??_);_(@_)</c:formatCode>
                <c:ptCount val="16"/>
                <c:pt idx="0">
                  <c:v>17050.080408492788</c:v>
                </c:pt>
                <c:pt idx="1">
                  <c:v>15236.856156572934</c:v>
                </c:pt>
                <c:pt idx="2">
                  <c:v>13224.483584438422</c:v>
                </c:pt>
                <c:pt idx="3">
                  <c:v>11298.185425722761</c:v>
                </c:pt>
                <c:pt idx="4">
                  <c:v>9366.9925507304797</c:v>
                </c:pt>
                <c:pt idx="5">
                  <c:v>7458.5301830756216</c:v>
                </c:pt>
                <c:pt idx="6">
                  <c:v>6725.8078383669872</c:v>
                </c:pt>
                <c:pt idx="7">
                  <c:v>5992.7042026868694</c:v>
                </c:pt>
                <c:pt idx="8">
                  <c:v>5271.2803051138708</c:v>
                </c:pt>
                <c:pt idx="9">
                  <c:v>4566.6095315096363</c:v>
                </c:pt>
                <c:pt idx="10">
                  <c:v>3872.5484933192324</c:v>
                </c:pt>
                <c:pt idx="11">
                  <c:v>3602.9504293648679</c:v>
                </c:pt>
                <c:pt idx="12">
                  <c:v>3337.9350229700885</c:v>
                </c:pt>
                <c:pt idx="13">
                  <c:v>3078.270577804321</c:v>
                </c:pt>
                <c:pt idx="14">
                  <c:v>2824.8661491769462</c:v>
                </c:pt>
                <c:pt idx="15">
                  <c:v>2584.1269167605305</c:v>
                </c:pt>
              </c:numCache>
            </c:numRef>
          </c:val>
          <c:smooth val="0"/>
          <c:extLst>
            <c:ext xmlns:c16="http://schemas.microsoft.com/office/drawing/2014/chart" uri="{C3380CC4-5D6E-409C-BE32-E72D297353CC}">
              <c16:uniqueId val="{00000002-5178-AE4C-AF24-CADB5EDCD6E6}"/>
            </c:ext>
          </c:extLst>
        </c:ser>
        <c:dLbls>
          <c:showLegendKey val="0"/>
          <c:showVal val="0"/>
          <c:showCatName val="0"/>
          <c:showSerName val="0"/>
          <c:showPercent val="0"/>
          <c:showBubbleSize val="0"/>
        </c:dLbls>
        <c:smooth val="0"/>
        <c:axId val="678342720"/>
        <c:axId val="677867920"/>
        <c:extLst>
          <c:ext xmlns:c15="http://schemas.microsoft.com/office/drawing/2012/chart" uri="{02D57815-91ED-43cb-92C2-25804820EDAC}">
            <c15:filteredLineSeries>
              <c15:ser>
                <c:idx val="3"/>
                <c:order val="3"/>
                <c:tx>
                  <c:strRef>
                    <c:extLst>
                      <c:ext uri="{02D57815-91ED-43cb-92C2-25804820EDAC}">
                        <c15:formulaRef>
                          <c15:sqref>Tables!$F$3</c15:sqref>
                        </c15:formulaRef>
                      </c:ext>
                    </c:extLst>
                    <c:strCache>
                      <c:ptCount val="1"/>
                    </c:strCache>
                  </c:strRef>
                </c:tx>
                <c:spPr>
                  <a:ln w="28575" cap="rnd">
                    <a:solidFill>
                      <a:schemeClr val="accent4"/>
                    </a:solidFill>
                    <a:round/>
                  </a:ln>
                  <a:effectLst/>
                </c:spPr>
                <c:marker>
                  <c:symbol val="none"/>
                </c:marker>
                <c:cat>
                  <c:numRef>
                    <c:extLst>
                      <c:ext uri="{02D57815-91ED-43cb-92C2-25804820EDAC}">
                        <c15:formulaRef>
                          <c15:sqref>Tables!$B$4:$B$19</c15:sqref>
                        </c15:formulaRef>
                      </c:ext>
                    </c:extLst>
                    <c:numCache>
                      <c:formatCode>General</c:formatCode>
                      <c:ptCount val="16"/>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numCache>
                  </c:numRef>
                </c:cat>
                <c:val>
                  <c:numRef>
                    <c:extLst>
                      <c:ext uri="{02D57815-91ED-43cb-92C2-25804820EDAC}">
                        <c15:formulaRef>
                          <c15:sqref>Tables!$F$4:$F$19</c15:sqref>
                        </c15:formulaRef>
                      </c:ext>
                    </c:extLst>
                    <c:numCache>
                      <c:formatCode>_(* #,##0_);_(* \(#,##0\);_(* "-"??_);_(@_)</c:formatCode>
                      <c:ptCount val="16"/>
                    </c:numCache>
                  </c:numRef>
                </c:val>
                <c:smooth val="0"/>
                <c:extLst>
                  <c:ext xmlns:c16="http://schemas.microsoft.com/office/drawing/2014/chart" uri="{C3380CC4-5D6E-409C-BE32-E72D297353CC}">
                    <c16:uniqueId val="{00000003-5178-AE4C-AF24-CADB5EDCD6E6}"/>
                  </c:ext>
                </c:extLst>
              </c15:ser>
            </c15:filteredLineSeries>
          </c:ext>
        </c:extLst>
      </c:lineChart>
      <c:catAx>
        <c:axId val="678342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7867920"/>
        <c:crosses val="autoZero"/>
        <c:auto val="1"/>
        <c:lblAlgn val="ctr"/>
        <c:lblOffset val="100"/>
        <c:noMultiLvlLbl val="0"/>
      </c:catAx>
      <c:valAx>
        <c:axId val="67786792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83427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1" i="0" u="none" strike="noStrike" baseline="0">
                <a:effectLst/>
              </a:rPr>
              <a:t>Light-Duty Vehicle Tank-to Wheel PM2.5 Emissions by Scenario (short tons per year), 2025-2040</a:t>
            </a:r>
            <a:r>
              <a:rPr lang="en-US" sz="1400" b="0" i="0" u="none" strike="noStrike" baseline="0"/>
              <a:t> </a:t>
            </a:r>
            <a:endParaRPr lang="en-US"/>
          </a:p>
        </c:rich>
      </c:tx>
      <c:layout>
        <c:manualLayout>
          <c:xMode val="edge"/>
          <c:yMode val="edge"/>
          <c:x val="0.14367965367965366"/>
          <c:y val="1.980198019801980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Tables!$I$3</c:f>
              <c:strCache>
                <c:ptCount val="1"/>
                <c:pt idx="0">
                  <c:v>BAU</c:v>
                </c:pt>
              </c:strCache>
            </c:strRef>
          </c:tx>
          <c:spPr>
            <a:ln w="28575" cap="rnd">
              <a:solidFill>
                <a:schemeClr val="accent1"/>
              </a:solidFill>
              <a:round/>
            </a:ln>
            <a:effectLst/>
          </c:spPr>
          <c:marker>
            <c:symbol val="none"/>
          </c:marker>
          <c:cat>
            <c:numRef>
              <c:f>Tables!$H$4:$H$19</c:f>
              <c:numCache>
                <c:formatCode>General</c:formatCode>
                <c:ptCount val="16"/>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numCache>
            </c:numRef>
          </c:cat>
          <c:val>
            <c:numRef>
              <c:f>Tables!$I$4:$I$19</c:f>
              <c:numCache>
                <c:formatCode>_(* #,##0_);_(* \(#,##0\);_(* "-"??_);_(@_)</c:formatCode>
                <c:ptCount val="16"/>
                <c:pt idx="0">
                  <c:v>1384.5282955022653</c:v>
                </c:pt>
                <c:pt idx="1">
                  <c:v>1339.4651125326534</c:v>
                </c:pt>
                <c:pt idx="2">
                  <c:v>1294.3422258296348</c:v>
                </c:pt>
                <c:pt idx="3">
                  <c:v>1248.0797807042441</c:v>
                </c:pt>
                <c:pt idx="4">
                  <c:v>1200.7481268039967</c:v>
                </c:pt>
                <c:pt idx="5">
                  <c:v>1147.5200251087256</c:v>
                </c:pt>
                <c:pt idx="6">
                  <c:v>1131.8609150569873</c:v>
                </c:pt>
                <c:pt idx="7">
                  <c:v>1110.6481979128073</c:v>
                </c:pt>
                <c:pt idx="8">
                  <c:v>1088.704273664488</c:v>
                </c:pt>
                <c:pt idx="9">
                  <c:v>1066.1985651788978</c:v>
                </c:pt>
                <c:pt idx="10">
                  <c:v>1036.126675195484</c:v>
                </c:pt>
                <c:pt idx="11">
                  <c:v>1019.0629902309099</c:v>
                </c:pt>
                <c:pt idx="12">
                  <c:v>1002.0127003509464</c:v>
                </c:pt>
                <c:pt idx="13">
                  <c:v>984.44488299603131</c:v>
                </c:pt>
                <c:pt idx="14">
                  <c:v>967.19652605639362</c:v>
                </c:pt>
                <c:pt idx="15">
                  <c:v>949.50100748347836</c:v>
                </c:pt>
              </c:numCache>
            </c:numRef>
          </c:val>
          <c:smooth val="0"/>
          <c:extLst>
            <c:ext xmlns:c16="http://schemas.microsoft.com/office/drawing/2014/chart" uri="{C3380CC4-5D6E-409C-BE32-E72D297353CC}">
              <c16:uniqueId val="{00000000-D568-DD49-828B-538C3CF90F6A}"/>
            </c:ext>
          </c:extLst>
        </c:ser>
        <c:ser>
          <c:idx val="1"/>
          <c:order val="1"/>
          <c:tx>
            <c:strRef>
              <c:f>Tables!$J$3</c:f>
              <c:strCache>
                <c:ptCount val="1"/>
                <c:pt idx="0">
                  <c:v>ACC II: 2026</c:v>
                </c:pt>
              </c:strCache>
            </c:strRef>
          </c:tx>
          <c:spPr>
            <a:ln w="28575" cap="rnd">
              <a:solidFill>
                <a:schemeClr val="accent2"/>
              </a:solidFill>
              <a:round/>
            </a:ln>
            <a:effectLst/>
          </c:spPr>
          <c:marker>
            <c:symbol val="none"/>
          </c:marker>
          <c:cat>
            <c:numRef>
              <c:f>Tables!$H$4:$H$19</c:f>
              <c:numCache>
                <c:formatCode>General</c:formatCode>
                <c:ptCount val="16"/>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numCache>
            </c:numRef>
          </c:cat>
          <c:val>
            <c:numRef>
              <c:f>Tables!$J$4:$J$19</c:f>
              <c:numCache>
                <c:formatCode>_(* #,##0_);_(* \(#,##0\);_(* "-"??_);_(@_)</c:formatCode>
                <c:ptCount val="16"/>
                <c:pt idx="0">
                  <c:v>1384.5282955022653</c:v>
                </c:pt>
                <c:pt idx="1">
                  <c:v>1333.4569874459453</c:v>
                </c:pt>
                <c:pt idx="2">
                  <c:v>1279.5188552202592</c:v>
                </c:pt>
                <c:pt idx="3">
                  <c:v>1222.9622622302327</c:v>
                </c:pt>
                <c:pt idx="4">
                  <c:v>1163.9647847895676</c:v>
                </c:pt>
                <c:pt idx="5">
                  <c:v>1098.373940085384</c:v>
                </c:pt>
                <c:pt idx="6">
                  <c:v>1067.8651632659269</c:v>
                </c:pt>
                <c:pt idx="7">
                  <c:v>1031.5417425261983</c:v>
                </c:pt>
                <c:pt idx="8">
                  <c:v>994.49290008926766</c:v>
                </c:pt>
                <c:pt idx="9">
                  <c:v>957.16681964537372</c:v>
                </c:pt>
                <c:pt idx="10">
                  <c:v>913.48600400393934</c:v>
                </c:pt>
                <c:pt idx="11">
                  <c:v>882.91662200620794</c:v>
                </c:pt>
                <c:pt idx="12">
                  <c:v>854.89209894638702</c:v>
                </c:pt>
                <c:pt idx="13">
                  <c:v>827.93352914969614</c:v>
                </c:pt>
                <c:pt idx="14">
                  <c:v>803.63305399810929</c:v>
                </c:pt>
                <c:pt idx="15">
                  <c:v>780.78072703355849</c:v>
                </c:pt>
              </c:numCache>
            </c:numRef>
          </c:val>
          <c:smooth val="0"/>
          <c:extLst>
            <c:ext xmlns:c16="http://schemas.microsoft.com/office/drawing/2014/chart" uri="{C3380CC4-5D6E-409C-BE32-E72D297353CC}">
              <c16:uniqueId val="{00000001-D568-DD49-828B-538C3CF90F6A}"/>
            </c:ext>
          </c:extLst>
        </c:ser>
        <c:ser>
          <c:idx val="2"/>
          <c:order val="2"/>
          <c:tx>
            <c:strRef>
              <c:f>Tables!$K$3</c:f>
              <c:strCache>
                <c:ptCount val="1"/>
                <c:pt idx="0">
                  <c:v>ACC II: 2027</c:v>
                </c:pt>
              </c:strCache>
            </c:strRef>
          </c:tx>
          <c:spPr>
            <a:ln w="28575" cap="rnd">
              <a:solidFill>
                <a:schemeClr val="accent3"/>
              </a:solidFill>
              <a:round/>
            </a:ln>
            <a:effectLst/>
          </c:spPr>
          <c:marker>
            <c:symbol val="none"/>
          </c:marker>
          <c:cat>
            <c:numRef>
              <c:f>Tables!$H$4:$H$19</c:f>
              <c:numCache>
                <c:formatCode>General</c:formatCode>
                <c:ptCount val="16"/>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numCache>
            </c:numRef>
          </c:cat>
          <c:val>
            <c:numRef>
              <c:f>Tables!$K$4:$K$19</c:f>
              <c:numCache>
                <c:formatCode>_(* #,##0_);_(* \(#,##0\);_(* "-"??_);_(@_)</c:formatCode>
                <c:ptCount val="16"/>
                <c:pt idx="0">
                  <c:v>1384.5282955022653</c:v>
                </c:pt>
                <c:pt idx="1">
                  <c:v>1339.4651125326534</c:v>
                </c:pt>
                <c:pt idx="2">
                  <c:v>1280.5929820362123</c:v>
                </c:pt>
                <c:pt idx="3">
                  <c:v>1224.7287166654608</c:v>
                </c:pt>
                <c:pt idx="4">
                  <c:v>1166.4719749397948</c:v>
                </c:pt>
                <c:pt idx="5">
                  <c:v>1101.6025608396606</c:v>
                </c:pt>
                <c:pt idx="6">
                  <c:v>1071.8897695126352</c:v>
                </c:pt>
                <c:pt idx="7">
                  <c:v>1036.2784892767986</c:v>
                </c:pt>
                <c:pt idx="8">
                  <c:v>999.82785820676759</c:v>
                </c:pt>
                <c:pt idx="9">
                  <c:v>962.96501340461782</c:v>
                </c:pt>
                <c:pt idx="10">
                  <c:v>919.56776690410379</c:v>
                </c:pt>
                <c:pt idx="11">
                  <c:v>889.16779834030922</c:v>
                </c:pt>
                <c:pt idx="12">
                  <c:v>861.10309930302833</c:v>
                </c:pt>
                <c:pt idx="13">
                  <c:v>833.96709698237271</c:v>
                </c:pt>
                <c:pt idx="14">
                  <c:v>809.27622137856918</c:v>
                </c:pt>
                <c:pt idx="15">
                  <c:v>785.86332756079128</c:v>
                </c:pt>
              </c:numCache>
            </c:numRef>
          </c:val>
          <c:smooth val="0"/>
          <c:extLst>
            <c:ext xmlns:c16="http://schemas.microsoft.com/office/drawing/2014/chart" uri="{C3380CC4-5D6E-409C-BE32-E72D297353CC}">
              <c16:uniqueId val="{00000001-9805-47DD-A52E-DD4E3792DF85}"/>
            </c:ext>
          </c:extLst>
        </c:ser>
        <c:dLbls>
          <c:showLegendKey val="0"/>
          <c:showVal val="0"/>
          <c:showCatName val="0"/>
          <c:showSerName val="0"/>
          <c:showPercent val="0"/>
          <c:showBubbleSize val="0"/>
        </c:dLbls>
        <c:smooth val="0"/>
        <c:axId val="678342720"/>
        <c:axId val="677867920"/>
      </c:lineChart>
      <c:catAx>
        <c:axId val="678342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7867920"/>
        <c:crosses val="autoZero"/>
        <c:auto val="1"/>
        <c:lblAlgn val="ctr"/>
        <c:lblOffset val="100"/>
        <c:noMultiLvlLbl val="0"/>
      </c:catAx>
      <c:valAx>
        <c:axId val="67786792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83427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1" i="0" u="none" strike="noStrike" baseline="0">
                <a:effectLst/>
              </a:rPr>
              <a:t>Light-Duty Vehicle Well-to Wheel CO2e Emissions by Scenario (million metric tonnes per year), 2025-2040</a:t>
            </a:r>
            <a:r>
              <a:rPr lang="en-US" sz="1400" b="0" i="0" u="none" strike="noStrike" baseline="0"/>
              <a:t> </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Tables!$P$3</c:f>
              <c:strCache>
                <c:ptCount val="1"/>
                <c:pt idx="0">
                  <c:v>BAU</c:v>
                </c:pt>
              </c:strCache>
            </c:strRef>
          </c:tx>
          <c:spPr>
            <a:ln w="28575" cap="rnd">
              <a:solidFill>
                <a:schemeClr val="accent1"/>
              </a:solidFill>
              <a:round/>
            </a:ln>
            <a:effectLst/>
          </c:spPr>
          <c:marker>
            <c:symbol val="none"/>
          </c:marker>
          <c:cat>
            <c:numRef>
              <c:f>Tables!$O$4:$O$19</c:f>
              <c:numCache>
                <c:formatCode>General</c:formatCode>
                <c:ptCount val="16"/>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numCache>
            </c:numRef>
          </c:cat>
          <c:val>
            <c:numRef>
              <c:f>Tables!$P$4:$P$19</c:f>
              <c:numCache>
                <c:formatCode>_(* #,##0.00_);_(* \(#,##0.00\);_(* "-"??_);_(@_)</c:formatCode>
                <c:ptCount val="16"/>
                <c:pt idx="0">
                  <c:v>43.093705481338965</c:v>
                </c:pt>
                <c:pt idx="1">
                  <c:v>42.029335752789493</c:v>
                </c:pt>
                <c:pt idx="2">
                  <c:v>40.698803960715317</c:v>
                </c:pt>
                <c:pt idx="3">
                  <c:v>39.121075172674253</c:v>
                </c:pt>
                <c:pt idx="4">
                  <c:v>37.445434463064949</c:v>
                </c:pt>
                <c:pt idx="5">
                  <c:v>35.807061897154874</c:v>
                </c:pt>
                <c:pt idx="6">
                  <c:v>34.746327914717789</c:v>
                </c:pt>
                <c:pt idx="7">
                  <c:v>33.696009769990155</c:v>
                </c:pt>
                <c:pt idx="8">
                  <c:v>32.68807255721449</c:v>
                </c:pt>
                <c:pt idx="9">
                  <c:v>31.725747378518044</c:v>
                </c:pt>
                <c:pt idx="10">
                  <c:v>30.829767795810003</c:v>
                </c:pt>
                <c:pt idx="11">
                  <c:v>30.178153261033881</c:v>
                </c:pt>
                <c:pt idx="12">
                  <c:v>29.586065910995863</c:v>
                </c:pt>
                <c:pt idx="13">
                  <c:v>29.048977828864317</c:v>
                </c:pt>
                <c:pt idx="14">
                  <c:v>28.562306104520005</c:v>
                </c:pt>
                <c:pt idx="15">
                  <c:v>28.131412256942557</c:v>
                </c:pt>
              </c:numCache>
            </c:numRef>
          </c:val>
          <c:smooth val="0"/>
          <c:extLst>
            <c:ext xmlns:c16="http://schemas.microsoft.com/office/drawing/2014/chart" uri="{C3380CC4-5D6E-409C-BE32-E72D297353CC}">
              <c16:uniqueId val="{00000000-3B28-B245-9833-BFD16B1C4670}"/>
            </c:ext>
          </c:extLst>
        </c:ser>
        <c:ser>
          <c:idx val="4"/>
          <c:order val="1"/>
          <c:tx>
            <c:strRef>
              <c:f>Tables!$Q$3</c:f>
              <c:strCache>
                <c:ptCount val="1"/>
                <c:pt idx="0">
                  <c:v>ACC II: 2026</c:v>
                </c:pt>
              </c:strCache>
            </c:strRef>
          </c:tx>
          <c:spPr>
            <a:ln w="28575" cap="rnd">
              <a:solidFill>
                <a:schemeClr val="accent5"/>
              </a:solidFill>
              <a:round/>
            </a:ln>
            <a:effectLst/>
          </c:spPr>
          <c:marker>
            <c:symbol val="none"/>
          </c:marker>
          <c:cat>
            <c:numRef>
              <c:f>Tables!$O$4:$O$19</c:f>
              <c:numCache>
                <c:formatCode>General</c:formatCode>
                <c:ptCount val="16"/>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numCache>
            </c:numRef>
          </c:cat>
          <c:val>
            <c:numRef>
              <c:f>Tables!$Q$4:$Q$19</c:f>
              <c:numCache>
                <c:formatCode>_(* #,##0.00_);_(* \(#,##0.00\);_(* "-"??_);_(@_)</c:formatCode>
                <c:ptCount val="16"/>
                <c:pt idx="0">
                  <c:v>43.093705481338965</c:v>
                </c:pt>
                <c:pt idx="1">
                  <c:v>41.318989622784358</c:v>
                </c:pt>
                <c:pt idx="2">
                  <c:v>38.868693805200941</c:v>
                </c:pt>
                <c:pt idx="3">
                  <c:v>35.933562481748922</c:v>
                </c:pt>
                <c:pt idx="4">
                  <c:v>32.718496041276119</c:v>
                </c:pt>
                <c:pt idx="5">
                  <c:v>29.366959591316064</c:v>
                </c:pt>
                <c:pt idx="6">
                  <c:v>26.353699157559593</c:v>
                </c:pt>
                <c:pt idx="7">
                  <c:v>23.27436285492135</c:v>
                </c:pt>
                <c:pt idx="8">
                  <c:v>20.252736276065409</c:v>
                </c:pt>
                <c:pt idx="9">
                  <c:v>17.179065640020575</c:v>
                </c:pt>
                <c:pt idx="10">
                  <c:v>14.198267635727648</c:v>
                </c:pt>
                <c:pt idx="11">
                  <c:v>11.417842542231813</c:v>
                </c:pt>
                <c:pt idx="12">
                  <c:v>8.9786713998566299</c:v>
                </c:pt>
                <c:pt idx="13">
                  <c:v>6.8125975839580075</c:v>
                </c:pt>
                <c:pt idx="14">
                  <c:v>4.898544674734838</c:v>
                </c:pt>
                <c:pt idx="15">
                  <c:v>3.2187645054118232</c:v>
                </c:pt>
              </c:numCache>
            </c:numRef>
          </c:val>
          <c:smooth val="0"/>
          <c:extLst>
            <c:ext xmlns:c16="http://schemas.microsoft.com/office/drawing/2014/chart" uri="{C3380CC4-5D6E-409C-BE32-E72D297353CC}">
              <c16:uniqueId val="{00000005-3B28-B245-9833-BFD16B1C4670}"/>
            </c:ext>
          </c:extLst>
        </c:ser>
        <c:ser>
          <c:idx val="2"/>
          <c:order val="2"/>
          <c:tx>
            <c:strRef>
              <c:f>Tables!$R$3</c:f>
              <c:strCache>
                <c:ptCount val="1"/>
                <c:pt idx="0">
                  <c:v>ACC II: 2027</c:v>
                </c:pt>
              </c:strCache>
            </c:strRef>
          </c:tx>
          <c:spPr>
            <a:ln w="28575" cap="rnd">
              <a:solidFill>
                <a:schemeClr val="accent3"/>
              </a:solidFill>
              <a:round/>
            </a:ln>
            <a:effectLst/>
          </c:spPr>
          <c:marker>
            <c:symbol val="none"/>
          </c:marker>
          <c:cat>
            <c:numRef>
              <c:f>Tables!$O$4:$O$19</c:f>
              <c:numCache>
                <c:formatCode>General</c:formatCode>
                <c:ptCount val="16"/>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numCache>
            </c:numRef>
          </c:cat>
          <c:val>
            <c:numRef>
              <c:f>Tables!$R$4:$R$19</c:f>
              <c:numCache>
                <c:formatCode>_(* #,##0.00_);_(* \(#,##0.00\);_(* "-"??_);_(@_)</c:formatCode>
                <c:ptCount val="16"/>
                <c:pt idx="0">
                  <c:v>43.093705481338965</c:v>
                </c:pt>
                <c:pt idx="1">
                  <c:v>42.029335752789493</c:v>
                </c:pt>
                <c:pt idx="2">
                  <c:v>38.974888409583507</c:v>
                </c:pt>
                <c:pt idx="3">
                  <c:v>36.139066558108475</c:v>
                </c:pt>
                <c:pt idx="4">
                  <c:v>33.02923902083937</c:v>
                </c:pt>
                <c:pt idx="5">
                  <c:v>29.784832527742072</c:v>
                </c:pt>
                <c:pt idx="6">
                  <c:v>26.882629154224595</c:v>
                </c:pt>
                <c:pt idx="7">
                  <c:v>23.905353515491484</c:v>
                </c:pt>
                <c:pt idx="8">
                  <c:v>20.969039104448996</c:v>
                </c:pt>
                <c:pt idx="9">
                  <c:v>17.969131574514631</c:v>
                </c:pt>
                <c:pt idx="10">
                  <c:v>15.043060393656589</c:v>
                </c:pt>
                <c:pt idx="11">
                  <c:v>12.297922715600528</c:v>
                </c:pt>
                <c:pt idx="12">
                  <c:v>9.8641093188168476</c:v>
                </c:pt>
                <c:pt idx="13">
                  <c:v>7.6807105057924847</c:v>
                </c:pt>
                <c:pt idx="14">
                  <c:v>5.720435476912308</c:v>
                </c:pt>
                <c:pt idx="15">
                  <c:v>3.9692435602062068</c:v>
                </c:pt>
              </c:numCache>
            </c:numRef>
          </c:val>
          <c:smooth val="0"/>
          <c:extLst>
            <c:ext xmlns:c16="http://schemas.microsoft.com/office/drawing/2014/chart" uri="{C3380CC4-5D6E-409C-BE32-E72D297353CC}">
              <c16:uniqueId val="{00000006-3B28-B245-9833-BFD16B1C4670}"/>
            </c:ext>
          </c:extLst>
        </c:ser>
        <c:dLbls>
          <c:showLegendKey val="0"/>
          <c:showVal val="0"/>
          <c:showCatName val="0"/>
          <c:showSerName val="0"/>
          <c:showPercent val="0"/>
          <c:showBubbleSize val="0"/>
        </c:dLbls>
        <c:smooth val="0"/>
        <c:axId val="678342720"/>
        <c:axId val="677867920"/>
        <c:extLst>
          <c:ext xmlns:c15="http://schemas.microsoft.com/office/drawing/2012/chart" uri="{02D57815-91ED-43cb-92C2-25804820EDAC}">
            <c15:filteredLineSeries>
              <c15:ser>
                <c:idx val="1"/>
                <c:order val="3"/>
                <c:tx>
                  <c:strRef>
                    <c:extLst>
                      <c:ext uri="{02D57815-91ED-43cb-92C2-25804820EDAC}">
                        <c15:formulaRef>
                          <c15:sqref>Tables!$S$3</c15:sqref>
                        </c15:formulaRef>
                      </c:ext>
                    </c:extLst>
                    <c:strCache>
                      <c:ptCount val="1"/>
                    </c:strCache>
                  </c:strRef>
                </c:tx>
                <c:spPr>
                  <a:ln w="28575" cap="rnd">
                    <a:solidFill>
                      <a:schemeClr val="accent2"/>
                    </a:solidFill>
                    <a:round/>
                  </a:ln>
                  <a:effectLst/>
                </c:spPr>
                <c:marker>
                  <c:symbol val="none"/>
                </c:marker>
                <c:cat>
                  <c:numRef>
                    <c:extLst>
                      <c:ext uri="{02D57815-91ED-43cb-92C2-25804820EDAC}">
                        <c15:formulaRef>
                          <c15:sqref>Tables!$O$4:$O$19</c15:sqref>
                        </c15:formulaRef>
                      </c:ext>
                    </c:extLst>
                    <c:numCache>
                      <c:formatCode>General</c:formatCode>
                      <c:ptCount val="16"/>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numCache>
                  </c:numRef>
                </c:cat>
                <c:val>
                  <c:numRef>
                    <c:extLst>
                      <c:ext uri="{02D57815-91ED-43cb-92C2-25804820EDAC}">
                        <c15:formulaRef>
                          <c15:sqref>Tables!$S$4:$S$19</c15:sqref>
                        </c15:formulaRef>
                      </c:ext>
                    </c:extLst>
                    <c:numCache>
                      <c:formatCode>_(* #,##0_);_(* \(#,##0\);_(* "-"??_);_(@_)</c:formatCode>
                      <c:ptCount val="16"/>
                    </c:numCache>
                  </c:numRef>
                </c:val>
                <c:smooth val="0"/>
                <c:extLst>
                  <c:ext xmlns:c16="http://schemas.microsoft.com/office/drawing/2014/chart" uri="{C3380CC4-5D6E-409C-BE32-E72D297353CC}">
                    <c16:uniqueId val="{00000001-2581-4CC3-8F8B-B48FC30BEC92}"/>
                  </c:ext>
                </c:extLst>
              </c15:ser>
            </c15:filteredLineSeries>
          </c:ext>
        </c:extLst>
      </c:lineChart>
      <c:catAx>
        <c:axId val="678342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7867920"/>
        <c:crosses val="autoZero"/>
        <c:auto val="1"/>
        <c:lblAlgn val="ctr"/>
        <c:lblOffset val="100"/>
        <c:noMultiLvlLbl val="0"/>
      </c:catAx>
      <c:valAx>
        <c:axId val="677867920"/>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83427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1" i="0" u="none" strike="noStrike" baseline="0">
                <a:effectLst/>
              </a:rPr>
              <a:t>Light-Duty Vehicle Population by Regulatory Class, 2025-2040</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Tables!$AC$3</c:f>
              <c:strCache>
                <c:ptCount val="1"/>
                <c:pt idx="0">
                  <c:v>Cars</c:v>
                </c:pt>
              </c:strCache>
            </c:strRef>
          </c:tx>
          <c:spPr>
            <a:solidFill>
              <a:schemeClr val="accent1"/>
            </a:solidFill>
            <a:ln>
              <a:noFill/>
            </a:ln>
            <a:effectLst/>
          </c:spPr>
          <c:cat>
            <c:numRef>
              <c:f>Tables!$AB$4:$AB$19</c:f>
              <c:numCache>
                <c:formatCode>General</c:formatCode>
                <c:ptCount val="16"/>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numCache>
            </c:numRef>
          </c:cat>
          <c:val>
            <c:numRef>
              <c:f>Tables!$AC$4:$AC$19</c:f>
              <c:numCache>
                <c:formatCode>_(* #,##0_);_(* \(#,##0\);_(* "-"??_);_(@_)</c:formatCode>
                <c:ptCount val="16"/>
                <c:pt idx="0">
                  <c:v>4841470.1504458673</c:v>
                </c:pt>
                <c:pt idx="1">
                  <c:v>4877750</c:v>
                </c:pt>
                <c:pt idx="2">
                  <c:v>4914030</c:v>
                </c:pt>
                <c:pt idx="3">
                  <c:v>4950310</c:v>
                </c:pt>
                <c:pt idx="4">
                  <c:v>4986590</c:v>
                </c:pt>
                <c:pt idx="5">
                  <c:v>5022869.9172290489</c:v>
                </c:pt>
                <c:pt idx="6">
                  <c:v>5052750</c:v>
                </c:pt>
                <c:pt idx="7">
                  <c:v>5082640</c:v>
                </c:pt>
                <c:pt idx="8">
                  <c:v>5112520</c:v>
                </c:pt>
                <c:pt idx="9">
                  <c:v>5142410</c:v>
                </c:pt>
                <c:pt idx="10">
                  <c:v>5172293.2085521072</c:v>
                </c:pt>
                <c:pt idx="11">
                  <c:v>5214970</c:v>
                </c:pt>
                <c:pt idx="12">
                  <c:v>5257650</c:v>
                </c:pt>
                <c:pt idx="13">
                  <c:v>5300320</c:v>
                </c:pt>
                <c:pt idx="14">
                  <c:v>5343000</c:v>
                </c:pt>
                <c:pt idx="15">
                  <c:v>5385673.4237676412</c:v>
                </c:pt>
              </c:numCache>
            </c:numRef>
          </c:val>
          <c:extLst>
            <c:ext xmlns:c16="http://schemas.microsoft.com/office/drawing/2014/chart" uri="{C3380CC4-5D6E-409C-BE32-E72D297353CC}">
              <c16:uniqueId val="{00000000-44D3-2346-B5D1-753A784F00A2}"/>
            </c:ext>
          </c:extLst>
        </c:ser>
        <c:ser>
          <c:idx val="4"/>
          <c:order val="1"/>
          <c:tx>
            <c:strRef>
              <c:f>Tables!$AD$3</c:f>
              <c:strCache>
                <c:ptCount val="1"/>
                <c:pt idx="0">
                  <c:v>Light Trucks</c:v>
                </c:pt>
              </c:strCache>
            </c:strRef>
          </c:tx>
          <c:spPr>
            <a:solidFill>
              <a:schemeClr val="accent5"/>
            </a:solidFill>
            <a:ln>
              <a:noFill/>
            </a:ln>
            <a:effectLst/>
          </c:spPr>
          <c:cat>
            <c:numRef>
              <c:f>Tables!$AB$4:$AB$19</c:f>
              <c:numCache>
                <c:formatCode>General</c:formatCode>
                <c:ptCount val="16"/>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numCache>
            </c:numRef>
          </c:cat>
          <c:val>
            <c:numRef>
              <c:f>Tables!$AD$4:$AD$19</c:f>
              <c:numCache>
                <c:formatCode>_(* #,##0_);_(* \(#,##0\);_(* "-"??_);_(@_)</c:formatCode>
                <c:ptCount val="16"/>
                <c:pt idx="0">
                  <c:v>5775661.363618657</c:v>
                </c:pt>
                <c:pt idx="1">
                  <c:v>5844090</c:v>
                </c:pt>
                <c:pt idx="2">
                  <c:v>5912520</c:v>
                </c:pt>
                <c:pt idx="3">
                  <c:v>5980950</c:v>
                </c:pt>
                <c:pt idx="4">
                  <c:v>6049380</c:v>
                </c:pt>
                <c:pt idx="5">
                  <c:v>6117809.5693950355</c:v>
                </c:pt>
                <c:pt idx="6">
                  <c:v>6171250</c:v>
                </c:pt>
                <c:pt idx="7">
                  <c:v>6224690</c:v>
                </c:pt>
                <c:pt idx="8">
                  <c:v>6278130</c:v>
                </c:pt>
                <c:pt idx="9">
                  <c:v>6331570</c:v>
                </c:pt>
                <c:pt idx="10">
                  <c:v>6385004.0294794003</c:v>
                </c:pt>
                <c:pt idx="11">
                  <c:v>6424510</c:v>
                </c:pt>
                <c:pt idx="12">
                  <c:v>6464020</c:v>
                </c:pt>
                <c:pt idx="13">
                  <c:v>6503530</c:v>
                </c:pt>
                <c:pt idx="14">
                  <c:v>6543030</c:v>
                </c:pt>
                <c:pt idx="15">
                  <c:v>6582542.1248250157</c:v>
                </c:pt>
              </c:numCache>
            </c:numRef>
          </c:val>
          <c:extLst>
            <c:ext xmlns:c16="http://schemas.microsoft.com/office/drawing/2014/chart" uri="{C3380CC4-5D6E-409C-BE32-E72D297353CC}">
              <c16:uniqueId val="{00000001-44D3-2346-B5D1-753A784F00A2}"/>
            </c:ext>
          </c:extLst>
        </c:ser>
        <c:ser>
          <c:idx val="2"/>
          <c:order val="2"/>
          <c:tx>
            <c:strRef>
              <c:f>Tables!$AE$3</c:f>
              <c:strCache>
                <c:ptCount val="1"/>
                <c:pt idx="0">
                  <c:v>Class 2b-3</c:v>
                </c:pt>
              </c:strCache>
            </c:strRef>
          </c:tx>
          <c:spPr>
            <a:solidFill>
              <a:schemeClr val="accent3"/>
            </a:solidFill>
            <a:ln>
              <a:noFill/>
            </a:ln>
            <a:effectLst/>
          </c:spPr>
          <c:cat>
            <c:numRef>
              <c:f>Tables!$AB$4:$AB$19</c:f>
              <c:numCache>
                <c:formatCode>General</c:formatCode>
                <c:ptCount val="16"/>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numCache>
            </c:numRef>
          </c:cat>
          <c:val>
            <c:numRef>
              <c:f>Tables!$AE$4:$AE$19</c:f>
              <c:numCache>
                <c:formatCode>_(* #,##0_);_(* \(#,##0\);_(* "-"??_);_(@_)</c:formatCode>
                <c:ptCount val="16"/>
                <c:pt idx="0">
                  <c:v>378862.46733210597</c:v>
                </c:pt>
                <c:pt idx="1">
                  <c:v>355650</c:v>
                </c:pt>
                <c:pt idx="2">
                  <c:v>332430</c:v>
                </c:pt>
                <c:pt idx="3">
                  <c:v>309220</c:v>
                </c:pt>
                <c:pt idx="4">
                  <c:v>286000</c:v>
                </c:pt>
                <c:pt idx="5">
                  <c:v>262784.86505126901</c:v>
                </c:pt>
                <c:pt idx="6">
                  <c:v>261220</c:v>
                </c:pt>
                <c:pt idx="7">
                  <c:v>259660</c:v>
                </c:pt>
                <c:pt idx="8">
                  <c:v>258090</c:v>
                </c:pt>
                <c:pt idx="9">
                  <c:v>256530</c:v>
                </c:pt>
                <c:pt idx="10">
                  <c:v>254964.01420610404</c:v>
                </c:pt>
                <c:pt idx="11">
                  <c:v>253340</c:v>
                </c:pt>
                <c:pt idx="12">
                  <c:v>251710</c:v>
                </c:pt>
                <c:pt idx="13">
                  <c:v>250080</c:v>
                </c:pt>
                <c:pt idx="14">
                  <c:v>248460</c:v>
                </c:pt>
                <c:pt idx="15">
                  <c:v>246829.64578247099</c:v>
                </c:pt>
              </c:numCache>
            </c:numRef>
          </c:val>
          <c:extLst>
            <c:ext xmlns:c16="http://schemas.microsoft.com/office/drawing/2014/chart" uri="{C3380CC4-5D6E-409C-BE32-E72D297353CC}">
              <c16:uniqueId val="{00000002-44D3-2346-B5D1-753A784F00A2}"/>
            </c:ext>
          </c:extLst>
        </c:ser>
        <c:dLbls>
          <c:showLegendKey val="0"/>
          <c:showVal val="0"/>
          <c:showCatName val="0"/>
          <c:showSerName val="0"/>
          <c:showPercent val="0"/>
          <c:showBubbleSize val="0"/>
        </c:dLbls>
        <c:axId val="678342720"/>
        <c:axId val="677867920"/>
        <c:extLst>
          <c:ext xmlns:c15="http://schemas.microsoft.com/office/drawing/2012/chart" uri="{02D57815-91ED-43cb-92C2-25804820EDAC}">
            <c15:filteredAreaSeries>
              <c15:ser>
                <c:idx val="1"/>
                <c:order val="3"/>
                <c:tx>
                  <c:strRef>
                    <c:extLst>
                      <c:ext uri="{02D57815-91ED-43cb-92C2-25804820EDAC}">
                        <c15:formulaRef>
                          <c15:sqref>Tables!#REF!</c15:sqref>
                        </c15:formulaRef>
                      </c:ext>
                    </c:extLst>
                    <c:strCache>
                      <c:ptCount val="1"/>
                      <c:pt idx="0">
                        <c:v>#REF!</c:v>
                      </c:pt>
                    </c:strCache>
                  </c:strRef>
                </c:tx>
                <c:spPr>
                  <a:solidFill>
                    <a:schemeClr val="accent2"/>
                  </a:solidFill>
                  <a:ln>
                    <a:noFill/>
                  </a:ln>
                  <a:effectLst/>
                </c:spPr>
                <c:cat>
                  <c:numRef>
                    <c:extLst>
                      <c:ext uri="{02D57815-91ED-43cb-92C2-25804820EDAC}">
                        <c15:formulaRef>
                          <c15:sqref>Tables!$AB$4:$AB$19</c15:sqref>
                        </c15:formulaRef>
                      </c:ext>
                    </c:extLst>
                    <c:numCache>
                      <c:formatCode>General</c:formatCode>
                      <c:ptCount val="16"/>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numCache>
                  </c:numRef>
                </c:cat>
                <c:val>
                  <c:numRef>
                    <c:extLst>
                      <c:ext uri="{02D57815-91ED-43cb-92C2-25804820EDAC}">
                        <c15:formulaRef>
                          <c15:sqref>Tables!#REF!</c15:sqref>
                        </c15:formulaRef>
                      </c:ext>
                    </c:extLst>
                    <c:numCache>
                      <c:formatCode>General</c:formatCode>
                      <c:ptCount val="1"/>
                      <c:pt idx="0">
                        <c:v>1</c:v>
                      </c:pt>
                    </c:numCache>
                  </c:numRef>
                </c:val>
                <c:extLst>
                  <c:ext xmlns:c16="http://schemas.microsoft.com/office/drawing/2014/chart" uri="{C3380CC4-5D6E-409C-BE32-E72D297353CC}">
                    <c16:uniqueId val="{00000003-44D3-2346-B5D1-753A784F00A2}"/>
                  </c:ext>
                </c:extLst>
              </c15:ser>
            </c15:filteredAreaSeries>
            <c15:filteredAreaSeries>
              <c15:ser>
                <c:idx val="3"/>
                <c:order val="4"/>
                <c:tx>
                  <c:strRef>
                    <c:extLst xmlns:c15="http://schemas.microsoft.com/office/drawing/2012/chart">
                      <c:ext xmlns:c15="http://schemas.microsoft.com/office/drawing/2012/chart" uri="{02D57815-91ED-43cb-92C2-25804820EDAC}">
                        <c15:formulaRef>
                          <c15:sqref>Tables!#REF!</c15:sqref>
                        </c15:formulaRef>
                      </c:ext>
                    </c:extLst>
                    <c:strCache>
                      <c:ptCount val="1"/>
                      <c:pt idx="0">
                        <c:v>#REF!</c:v>
                      </c:pt>
                    </c:strCache>
                  </c:strRef>
                </c:tx>
                <c:spPr>
                  <a:solidFill>
                    <a:schemeClr val="accent4"/>
                  </a:solidFill>
                  <a:ln>
                    <a:noFill/>
                  </a:ln>
                  <a:effectLst/>
                </c:spPr>
                <c:cat>
                  <c:numRef>
                    <c:extLst xmlns:c15="http://schemas.microsoft.com/office/drawing/2012/chart">
                      <c:ext xmlns:c15="http://schemas.microsoft.com/office/drawing/2012/chart" uri="{02D57815-91ED-43cb-92C2-25804820EDAC}">
                        <c15:formulaRef>
                          <c15:sqref>Tables!$AB$4:$AB$19</c15:sqref>
                        </c15:formulaRef>
                      </c:ext>
                    </c:extLst>
                    <c:numCache>
                      <c:formatCode>General</c:formatCode>
                      <c:ptCount val="16"/>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numCache>
                  </c:numRef>
                </c:cat>
                <c:val>
                  <c:numRef>
                    <c:extLst xmlns:c15="http://schemas.microsoft.com/office/drawing/2012/chart">
                      <c:ext xmlns:c15="http://schemas.microsoft.com/office/drawing/2012/chart" uri="{02D57815-91ED-43cb-92C2-25804820EDAC}">
                        <c15:formulaRef>
                          <c15:sqref>Tables!#REF!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05-44D3-2346-B5D1-753A784F00A2}"/>
                  </c:ext>
                </c:extLst>
              </c15:ser>
            </c15:filteredAreaSeries>
            <c15:filteredAreaSeries>
              <c15:ser>
                <c:idx val="5"/>
                <c:order val="5"/>
                <c:tx>
                  <c:strRef>
                    <c:extLst xmlns:c15="http://schemas.microsoft.com/office/drawing/2012/chart">
                      <c:ext xmlns:c15="http://schemas.microsoft.com/office/drawing/2012/chart" uri="{02D57815-91ED-43cb-92C2-25804820EDAC}">
                        <c15:formulaRef>
                          <c15:sqref>Tables!#REF!</c15:sqref>
                        </c15:formulaRef>
                      </c:ext>
                    </c:extLst>
                    <c:strCache>
                      <c:ptCount val="1"/>
                      <c:pt idx="0">
                        <c:v>#REF!</c:v>
                      </c:pt>
                    </c:strCache>
                  </c:strRef>
                </c:tx>
                <c:spPr>
                  <a:solidFill>
                    <a:schemeClr val="accent6"/>
                  </a:solidFill>
                  <a:ln>
                    <a:noFill/>
                  </a:ln>
                  <a:effectLst/>
                </c:spPr>
                <c:cat>
                  <c:numRef>
                    <c:extLst xmlns:c15="http://schemas.microsoft.com/office/drawing/2012/chart">
                      <c:ext xmlns:c15="http://schemas.microsoft.com/office/drawing/2012/chart" uri="{02D57815-91ED-43cb-92C2-25804820EDAC}">
                        <c15:formulaRef>
                          <c15:sqref>Tables!$AB$4:$AB$19</c15:sqref>
                        </c15:formulaRef>
                      </c:ext>
                    </c:extLst>
                    <c:numCache>
                      <c:formatCode>General</c:formatCode>
                      <c:ptCount val="16"/>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numCache>
                  </c:numRef>
                </c:cat>
                <c:val>
                  <c:numRef>
                    <c:extLst xmlns:c15="http://schemas.microsoft.com/office/drawing/2012/chart">
                      <c:ext xmlns:c15="http://schemas.microsoft.com/office/drawing/2012/chart" uri="{02D57815-91ED-43cb-92C2-25804820EDAC}">
                        <c15:formulaRef>
                          <c15:sqref>Tables!#REF!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06-44D3-2346-B5D1-753A784F00A2}"/>
                  </c:ext>
                </c:extLst>
              </c15:ser>
            </c15:filteredAreaSeries>
          </c:ext>
        </c:extLst>
      </c:areaChart>
      <c:catAx>
        <c:axId val="678342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7867920"/>
        <c:crosses val="autoZero"/>
        <c:auto val="1"/>
        <c:lblAlgn val="ctr"/>
        <c:lblOffset val="100"/>
        <c:noMultiLvlLbl val="0"/>
      </c:catAx>
      <c:valAx>
        <c:axId val="67786792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834272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1" i="0" baseline="0">
                <a:effectLst/>
              </a:rPr>
              <a:t>Light-Duty Vehicle VMT by Regulatory Class, 2024-2040</a:t>
            </a:r>
            <a:endParaRPr lang="en-US"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v>Cars</c:v>
          </c:tx>
          <c:spPr>
            <a:solidFill>
              <a:schemeClr val="accent1"/>
            </a:solidFill>
            <a:ln>
              <a:noFill/>
            </a:ln>
            <a:effectLst/>
          </c:spPr>
          <c:cat>
            <c:numRef>
              <c:f>Tables!$V$4:$V$19</c:f>
              <c:numCache>
                <c:formatCode>General</c:formatCode>
                <c:ptCount val="16"/>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formatCode="0">
                  <c:v>2040</c:v>
                </c:pt>
              </c:numCache>
            </c:numRef>
          </c:cat>
          <c:val>
            <c:numRef>
              <c:f>Tables!$W$4:$W$19</c:f>
              <c:numCache>
                <c:formatCode>0</c:formatCode>
                <c:ptCount val="16"/>
                <c:pt idx="0">
                  <c:v>48749028149.154747</c:v>
                </c:pt>
                <c:pt idx="1">
                  <c:v>49070022391.814865</c:v>
                </c:pt>
                <c:pt idx="2">
                  <c:v>49391016634.474991</c:v>
                </c:pt>
                <c:pt idx="3">
                  <c:v>49712010877.135109</c:v>
                </c:pt>
                <c:pt idx="4">
                  <c:v>50033005119.795235</c:v>
                </c:pt>
                <c:pt idx="5">
                  <c:v>50353999362.455353</c:v>
                </c:pt>
                <c:pt idx="6">
                  <c:v>50606567647.022842</c:v>
                </c:pt>
                <c:pt idx="7">
                  <c:v>50859135931.590332</c:v>
                </c:pt>
                <c:pt idx="8">
                  <c:v>51111704216.157814</c:v>
                </c:pt>
                <c:pt idx="9">
                  <c:v>51364272500.725304</c:v>
                </c:pt>
                <c:pt idx="10">
                  <c:v>51616840785.292793</c:v>
                </c:pt>
                <c:pt idx="11">
                  <c:v>52084269378.435272</c:v>
                </c:pt>
                <c:pt idx="12">
                  <c:v>52551697971.577744</c:v>
                </c:pt>
                <c:pt idx="13">
                  <c:v>53019126564.720222</c:v>
                </c:pt>
                <c:pt idx="14">
                  <c:v>53486555157.862694</c:v>
                </c:pt>
                <c:pt idx="15">
                  <c:v>53953983751.005173</c:v>
                </c:pt>
              </c:numCache>
            </c:numRef>
          </c:val>
          <c:extLst>
            <c:ext xmlns:c16="http://schemas.microsoft.com/office/drawing/2014/chart" uri="{C3380CC4-5D6E-409C-BE32-E72D297353CC}">
              <c16:uniqueId val="{00000000-40A3-45B6-97D8-9017D28DBEDB}"/>
            </c:ext>
          </c:extLst>
        </c:ser>
        <c:ser>
          <c:idx val="1"/>
          <c:order val="1"/>
          <c:tx>
            <c:v>Light Trucks</c:v>
          </c:tx>
          <c:spPr>
            <a:solidFill>
              <a:schemeClr val="accent2"/>
            </a:solidFill>
            <a:ln>
              <a:noFill/>
            </a:ln>
            <a:effectLst/>
          </c:spPr>
          <c:cat>
            <c:numRef>
              <c:f>Tables!$V$4:$V$19</c:f>
              <c:numCache>
                <c:formatCode>General</c:formatCode>
                <c:ptCount val="16"/>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formatCode="0">
                  <c:v>2040</c:v>
                </c:pt>
              </c:numCache>
            </c:numRef>
          </c:cat>
          <c:val>
            <c:numRef>
              <c:f>Tables!$X$4:$X$19</c:f>
              <c:numCache>
                <c:formatCode>0</c:formatCode>
                <c:ptCount val="16"/>
                <c:pt idx="0">
                  <c:v>70083594939.78978</c:v>
                </c:pt>
                <c:pt idx="1">
                  <c:v>70908878964.52919</c:v>
                </c:pt>
                <c:pt idx="2">
                  <c:v>71734162989.2686</c:v>
                </c:pt>
                <c:pt idx="3">
                  <c:v>72559447014.007996</c:v>
                </c:pt>
                <c:pt idx="4">
                  <c:v>73384731038.747406</c:v>
                </c:pt>
                <c:pt idx="5">
                  <c:v>74210015063.486816</c:v>
                </c:pt>
                <c:pt idx="6">
                  <c:v>74740041463.495087</c:v>
                </c:pt>
                <c:pt idx="7">
                  <c:v>75270067863.503357</c:v>
                </c:pt>
                <c:pt idx="8">
                  <c:v>75800094263.511627</c:v>
                </c:pt>
                <c:pt idx="9">
                  <c:v>76330120663.519897</c:v>
                </c:pt>
                <c:pt idx="10">
                  <c:v>76860147063.528168</c:v>
                </c:pt>
                <c:pt idx="11">
                  <c:v>77416449722.510864</c:v>
                </c:pt>
                <c:pt idx="12">
                  <c:v>77972752381.493561</c:v>
                </c:pt>
                <c:pt idx="13">
                  <c:v>78529055040.476257</c:v>
                </c:pt>
                <c:pt idx="14">
                  <c:v>79085357699.458954</c:v>
                </c:pt>
                <c:pt idx="15">
                  <c:v>79641660358.44165</c:v>
                </c:pt>
              </c:numCache>
            </c:numRef>
          </c:val>
          <c:extLst>
            <c:ext xmlns:c16="http://schemas.microsoft.com/office/drawing/2014/chart" uri="{C3380CC4-5D6E-409C-BE32-E72D297353CC}">
              <c16:uniqueId val="{00000001-40A3-45B6-97D8-9017D28DBEDB}"/>
            </c:ext>
          </c:extLst>
        </c:ser>
        <c:ser>
          <c:idx val="2"/>
          <c:order val="2"/>
          <c:tx>
            <c:strRef>
              <c:f>Tables!$Y$3</c:f>
              <c:strCache>
                <c:ptCount val="1"/>
                <c:pt idx="0">
                  <c:v>Class 2b-3</c:v>
                </c:pt>
              </c:strCache>
            </c:strRef>
          </c:tx>
          <c:spPr>
            <a:solidFill>
              <a:schemeClr val="accent3"/>
            </a:solidFill>
            <a:ln>
              <a:noFill/>
            </a:ln>
            <a:effectLst/>
          </c:spPr>
          <c:cat>
            <c:numRef>
              <c:f>Tables!$V$4:$V$19</c:f>
              <c:numCache>
                <c:formatCode>General</c:formatCode>
                <c:ptCount val="16"/>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formatCode="0">
                  <c:v>2040</c:v>
                </c:pt>
              </c:numCache>
            </c:numRef>
          </c:cat>
          <c:val>
            <c:numRef>
              <c:f>Tables!$Y$4:$Y$19</c:f>
              <c:numCache>
                <c:formatCode>0</c:formatCode>
                <c:ptCount val="16"/>
                <c:pt idx="0">
                  <c:v>4552244368.3076925</c:v>
                </c:pt>
                <c:pt idx="1">
                  <c:v>4302853379.8461542</c:v>
                </c:pt>
                <c:pt idx="2">
                  <c:v>4053462391.3846154</c:v>
                </c:pt>
                <c:pt idx="3">
                  <c:v>3804071402.9230771</c:v>
                </c:pt>
                <c:pt idx="4">
                  <c:v>3554680414.4615383</c:v>
                </c:pt>
                <c:pt idx="5">
                  <c:v>3305289426</c:v>
                </c:pt>
                <c:pt idx="6">
                  <c:v>3301087051.0738091</c:v>
                </c:pt>
                <c:pt idx="7">
                  <c:v>3296884676.1476183</c:v>
                </c:pt>
                <c:pt idx="8">
                  <c:v>3292682301.221427</c:v>
                </c:pt>
                <c:pt idx="9">
                  <c:v>3288479926.2952361</c:v>
                </c:pt>
                <c:pt idx="10">
                  <c:v>3284277551.3690453</c:v>
                </c:pt>
                <c:pt idx="11">
                  <c:v>3280383203.895236</c:v>
                </c:pt>
                <c:pt idx="12">
                  <c:v>3276488856.4214272</c:v>
                </c:pt>
                <c:pt idx="13">
                  <c:v>3272594508.947618</c:v>
                </c:pt>
                <c:pt idx="14">
                  <c:v>3268700161.4738092</c:v>
                </c:pt>
                <c:pt idx="15">
                  <c:v>3264805814</c:v>
                </c:pt>
              </c:numCache>
            </c:numRef>
          </c:val>
          <c:extLst>
            <c:ext xmlns:c16="http://schemas.microsoft.com/office/drawing/2014/chart" uri="{C3380CC4-5D6E-409C-BE32-E72D297353CC}">
              <c16:uniqueId val="{00000002-40A3-45B6-97D8-9017D28DBEDB}"/>
            </c:ext>
          </c:extLst>
        </c:ser>
        <c:dLbls>
          <c:showLegendKey val="0"/>
          <c:showVal val="0"/>
          <c:showCatName val="0"/>
          <c:showSerName val="0"/>
          <c:showPercent val="0"/>
          <c:showBubbleSize val="0"/>
        </c:dLbls>
        <c:axId val="1140208223"/>
        <c:axId val="1140209055"/>
        <c:extLst>
          <c:ext xmlns:c15="http://schemas.microsoft.com/office/drawing/2012/chart" uri="{02D57815-91ED-43cb-92C2-25804820EDAC}">
            <c15:filteredAreaSeries>
              <c15:ser>
                <c:idx val="3"/>
                <c:order val="3"/>
                <c:tx>
                  <c:strRef>
                    <c:extLst>
                      <c:ext uri="{02D57815-91ED-43cb-92C2-25804820EDAC}">
                        <c15:formulaRef>
                          <c15:sqref>Tables!#REF!</c15:sqref>
                        </c15:formulaRef>
                      </c:ext>
                    </c:extLst>
                    <c:strCache>
                      <c:ptCount val="1"/>
                      <c:pt idx="0">
                        <c:v>#REF!</c:v>
                      </c:pt>
                    </c:strCache>
                  </c:strRef>
                </c:tx>
                <c:spPr>
                  <a:solidFill>
                    <a:schemeClr val="accent4"/>
                  </a:solidFill>
                  <a:ln>
                    <a:noFill/>
                  </a:ln>
                  <a:effectLst/>
                </c:spPr>
                <c:cat>
                  <c:numRef>
                    <c:extLst>
                      <c:ext uri="{02D57815-91ED-43cb-92C2-25804820EDAC}">
                        <c15:formulaRef>
                          <c15:sqref>Tables!$V$4:$V$19</c15:sqref>
                        </c15:formulaRef>
                      </c:ext>
                    </c:extLst>
                    <c:numCache>
                      <c:formatCode>General</c:formatCode>
                      <c:ptCount val="16"/>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formatCode="0">
                        <c:v>2040</c:v>
                      </c:pt>
                    </c:numCache>
                  </c:numRef>
                </c:cat>
                <c:val>
                  <c:numRef>
                    <c:extLst>
                      <c:ext uri="{02D57815-91ED-43cb-92C2-25804820EDAC}">
                        <c15:formulaRef>
                          <c15:sqref>Tables!#REF!</c15:sqref>
                        </c15:formulaRef>
                      </c:ext>
                    </c:extLst>
                    <c:numCache>
                      <c:formatCode>General</c:formatCode>
                      <c:ptCount val="1"/>
                      <c:pt idx="0">
                        <c:v>1</c:v>
                      </c:pt>
                    </c:numCache>
                  </c:numRef>
                </c:val>
                <c:extLst>
                  <c:ext xmlns:c16="http://schemas.microsoft.com/office/drawing/2014/chart" uri="{C3380CC4-5D6E-409C-BE32-E72D297353CC}">
                    <c16:uniqueId val="{00000003-40A3-45B6-97D8-9017D28DBEDB}"/>
                  </c:ext>
                </c:extLst>
              </c15:ser>
            </c15:filteredAreaSeries>
            <c15:filteredAreaSeries>
              <c15:ser>
                <c:idx val="4"/>
                <c:order val="4"/>
                <c:tx>
                  <c:strRef>
                    <c:extLst xmlns:c15="http://schemas.microsoft.com/office/drawing/2012/chart">
                      <c:ext xmlns:c15="http://schemas.microsoft.com/office/drawing/2012/chart" uri="{02D57815-91ED-43cb-92C2-25804820EDAC}">
                        <c15:formulaRef>
                          <c15:sqref>Tables!#REF!</c15:sqref>
                        </c15:formulaRef>
                      </c:ext>
                    </c:extLst>
                    <c:strCache>
                      <c:ptCount val="1"/>
                      <c:pt idx="0">
                        <c:v>#REF!</c:v>
                      </c:pt>
                    </c:strCache>
                  </c:strRef>
                </c:tx>
                <c:spPr>
                  <a:solidFill>
                    <a:schemeClr val="accent5"/>
                  </a:solidFill>
                  <a:ln>
                    <a:noFill/>
                  </a:ln>
                  <a:effectLst/>
                </c:spPr>
                <c:cat>
                  <c:numRef>
                    <c:extLst xmlns:c15="http://schemas.microsoft.com/office/drawing/2012/chart">
                      <c:ext xmlns:c15="http://schemas.microsoft.com/office/drawing/2012/chart" uri="{02D57815-91ED-43cb-92C2-25804820EDAC}">
                        <c15:formulaRef>
                          <c15:sqref>Tables!$V$4:$V$19</c15:sqref>
                        </c15:formulaRef>
                      </c:ext>
                    </c:extLst>
                    <c:numCache>
                      <c:formatCode>General</c:formatCode>
                      <c:ptCount val="16"/>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formatCode="0">
                        <c:v>2040</c:v>
                      </c:pt>
                    </c:numCache>
                  </c:numRef>
                </c:cat>
                <c:val>
                  <c:numRef>
                    <c:extLst xmlns:c15="http://schemas.microsoft.com/office/drawing/2012/chart">
                      <c:ext xmlns:c15="http://schemas.microsoft.com/office/drawing/2012/chart" uri="{02D57815-91ED-43cb-92C2-25804820EDAC}">
                        <c15:formulaRef>
                          <c15:sqref>Tables!#REF!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04-40A3-45B6-97D8-9017D28DBEDB}"/>
                  </c:ext>
                </c:extLst>
              </c15:ser>
            </c15:filteredAreaSeries>
            <c15:filteredAreaSeries>
              <c15:ser>
                <c:idx val="5"/>
                <c:order val="5"/>
                <c:tx>
                  <c:strRef>
                    <c:extLst xmlns:c15="http://schemas.microsoft.com/office/drawing/2012/chart">
                      <c:ext xmlns:c15="http://schemas.microsoft.com/office/drawing/2012/chart" uri="{02D57815-91ED-43cb-92C2-25804820EDAC}">
                        <c15:formulaRef>
                          <c15:sqref>Tables!#REF!</c15:sqref>
                        </c15:formulaRef>
                      </c:ext>
                    </c:extLst>
                    <c:strCache>
                      <c:ptCount val="1"/>
                      <c:pt idx="0">
                        <c:v>#REF!</c:v>
                      </c:pt>
                    </c:strCache>
                  </c:strRef>
                </c:tx>
                <c:spPr>
                  <a:solidFill>
                    <a:schemeClr val="accent6"/>
                  </a:solidFill>
                  <a:ln>
                    <a:noFill/>
                  </a:ln>
                  <a:effectLst/>
                </c:spPr>
                <c:cat>
                  <c:numRef>
                    <c:extLst xmlns:c15="http://schemas.microsoft.com/office/drawing/2012/chart">
                      <c:ext xmlns:c15="http://schemas.microsoft.com/office/drawing/2012/chart" uri="{02D57815-91ED-43cb-92C2-25804820EDAC}">
                        <c15:formulaRef>
                          <c15:sqref>Tables!$V$4:$V$19</c15:sqref>
                        </c15:formulaRef>
                      </c:ext>
                    </c:extLst>
                    <c:numCache>
                      <c:formatCode>General</c:formatCode>
                      <c:ptCount val="16"/>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formatCode="0">
                        <c:v>2040</c:v>
                      </c:pt>
                    </c:numCache>
                  </c:numRef>
                </c:cat>
                <c:val>
                  <c:numRef>
                    <c:extLst xmlns:c15="http://schemas.microsoft.com/office/drawing/2012/chart">
                      <c:ext xmlns:c15="http://schemas.microsoft.com/office/drawing/2012/chart" uri="{02D57815-91ED-43cb-92C2-25804820EDAC}">
                        <c15:formulaRef>
                          <c15:sqref>Tables!#REF!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05-40A3-45B6-97D8-9017D28DBEDB}"/>
                  </c:ext>
                </c:extLst>
              </c15:ser>
            </c15:filteredAreaSeries>
          </c:ext>
        </c:extLst>
      </c:areaChart>
      <c:catAx>
        <c:axId val="1140208223"/>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0209055"/>
        <c:crosses val="autoZero"/>
        <c:auto val="1"/>
        <c:lblAlgn val="ctr"/>
        <c:lblOffset val="100"/>
        <c:noMultiLvlLbl val="0"/>
      </c:catAx>
      <c:valAx>
        <c:axId val="114020905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0208223"/>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 Light-Duty Zero Emission Vehicle Population, 2025-2040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Tables!$AI$3</c:f>
              <c:strCache>
                <c:ptCount val="1"/>
                <c:pt idx="0">
                  <c:v>BAU</c:v>
                </c:pt>
              </c:strCache>
            </c:strRef>
          </c:tx>
          <c:spPr>
            <a:ln w="28575" cap="rnd">
              <a:solidFill>
                <a:schemeClr val="accent1"/>
              </a:solidFill>
              <a:round/>
            </a:ln>
            <a:effectLst/>
          </c:spPr>
          <c:marker>
            <c:symbol val="none"/>
          </c:marker>
          <c:cat>
            <c:numRef>
              <c:f>Tables!$AH$4:$AH$19</c:f>
              <c:numCache>
                <c:formatCode>General</c:formatCode>
                <c:ptCount val="16"/>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numCache>
            </c:numRef>
          </c:cat>
          <c:val>
            <c:numRef>
              <c:f>Tables!$AI$4:$AI$19</c:f>
              <c:numCache>
                <c:formatCode>_(* #,##0_);_(* \(#,##0\);_(* "-"??_);_(@_)</c:formatCode>
                <c:ptCount val="16"/>
                <c:pt idx="0">
                  <c:v>310585.27191092022</c:v>
                </c:pt>
                <c:pt idx="1">
                  <c:v>414864.74741543655</c:v>
                </c:pt>
                <c:pt idx="2">
                  <c:v>519869.83404789888</c:v>
                </c:pt>
                <c:pt idx="3">
                  <c:v>625590.35332352703</c:v>
                </c:pt>
                <c:pt idx="4">
                  <c:v>732016.12675754062</c:v>
                </c:pt>
                <c:pt idx="5">
                  <c:v>839136.97586515953</c:v>
                </c:pt>
                <c:pt idx="6">
                  <c:v>947370.16979795392</c:v>
                </c:pt>
                <c:pt idx="7">
                  <c:v>1056718.9332459392</c:v>
                </c:pt>
                <c:pt idx="8">
                  <c:v>1167186.4908991307</c:v>
                </c:pt>
                <c:pt idx="9">
                  <c:v>1278776.0674475436</c:v>
                </c:pt>
                <c:pt idx="10">
                  <c:v>1391490.8875811936</c:v>
                </c:pt>
                <c:pt idx="11">
                  <c:v>1504944.7980131411</c:v>
                </c:pt>
                <c:pt idx="12">
                  <c:v>1619137.7987433861</c:v>
                </c:pt>
                <c:pt idx="13">
                  <c:v>1734069.8897719285</c:v>
                </c:pt>
                <c:pt idx="14">
                  <c:v>1849741.0710987686</c:v>
                </c:pt>
                <c:pt idx="15">
                  <c:v>1966151.342723906</c:v>
                </c:pt>
              </c:numCache>
            </c:numRef>
          </c:val>
          <c:smooth val="1"/>
          <c:extLst>
            <c:ext xmlns:c16="http://schemas.microsoft.com/office/drawing/2014/chart" uri="{C3380CC4-5D6E-409C-BE32-E72D297353CC}">
              <c16:uniqueId val="{00000000-C0BD-4D74-AA6E-8CDBAEAF3B2B}"/>
            </c:ext>
          </c:extLst>
        </c:ser>
        <c:ser>
          <c:idx val="1"/>
          <c:order val="1"/>
          <c:tx>
            <c:strRef>
              <c:f>Tables!$AJ$3</c:f>
              <c:strCache>
                <c:ptCount val="1"/>
                <c:pt idx="0">
                  <c:v>ACC II: 2026</c:v>
                </c:pt>
              </c:strCache>
            </c:strRef>
          </c:tx>
          <c:spPr>
            <a:ln w="28575" cap="rnd">
              <a:solidFill>
                <a:schemeClr val="accent2"/>
              </a:solidFill>
              <a:round/>
            </a:ln>
            <a:effectLst/>
          </c:spPr>
          <c:marker>
            <c:symbol val="none"/>
          </c:marker>
          <c:cat>
            <c:numRef>
              <c:f>Tables!$AH$4:$AH$19</c:f>
              <c:numCache>
                <c:formatCode>General</c:formatCode>
                <c:ptCount val="16"/>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numCache>
            </c:numRef>
          </c:cat>
          <c:val>
            <c:numRef>
              <c:f>Tables!$AJ$4:$AJ$19</c:f>
              <c:numCache>
                <c:formatCode>_(* #,##0_);_(* \(#,##0\);_(* "-"??_);_(@_)</c:formatCode>
                <c:ptCount val="16"/>
                <c:pt idx="0">
                  <c:v>310585.27191092022</c:v>
                </c:pt>
                <c:pt idx="1">
                  <c:v>480342.55761594675</c:v>
                </c:pt>
                <c:pt idx="2">
                  <c:v>690352.73088087142</c:v>
                </c:pt>
                <c:pt idx="3">
                  <c:v>941131.63706957072</c:v>
                </c:pt>
                <c:pt idx="4">
                  <c:v>1233183.7595163989</c:v>
                </c:pt>
                <c:pt idx="5">
                  <c:v>1571984.5846009611</c:v>
                </c:pt>
                <c:pt idx="6">
                  <c:v>2050224.2787226108</c:v>
                </c:pt>
                <c:pt idx="7">
                  <c:v>2571538.1509746332</c:v>
                </c:pt>
                <c:pt idx="8">
                  <c:v>3136721.0040839845</c:v>
                </c:pt>
                <c:pt idx="9">
                  <c:v>3746571.0154532185</c:v>
                </c:pt>
                <c:pt idx="10">
                  <c:v>4401889.7371604862</c:v>
                </c:pt>
                <c:pt idx="11">
                  <c:v>5061505.4954857621</c:v>
                </c:pt>
                <c:pt idx="12">
                  <c:v>5725418.2904290473</c:v>
                </c:pt>
                <c:pt idx="13">
                  <c:v>6393628.1219903408</c:v>
                </c:pt>
                <c:pt idx="14">
                  <c:v>7066134.9901696425</c:v>
                </c:pt>
                <c:pt idx="15">
                  <c:v>7742938.8949669534</c:v>
                </c:pt>
              </c:numCache>
            </c:numRef>
          </c:val>
          <c:smooth val="1"/>
          <c:extLst>
            <c:ext xmlns:c16="http://schemas.microsoft.com/office/drawing/2014/chart" uri="{C3380CC4-5D6E-409C-BE32-E72D297353CC}">
              <c16:uniqueId val="{00000001-C0BD-4D74-AA6E-8CDBAEAF3B2B}"/>
            </c:ext>
          </c:extLst>
        </c:ser>
        <c:ser>
          <c:idx val="2"/>
          <c:order val="2"/>
          <c:tx>
            <c:strRef>
              <c:f>Tables!$AK$3</c:f>
              <c:strCache>
                <c:ptCount val="1"/>
                <c:pt idx="0">
                  <c:v>ACC II: 2027</c:v>
                </c:pt>
              </c:strCache>
            </c:strRef>
          </c:tx>
          <c:spPr>
            <a:ln w="28575" cap="rnd">
              <a:solidFill>
                <a:schemeClr val="accent3"/>
              </a:solidFill>
              <a:round/>
            </a:ln>
            <a:effectLst/>
          </c:spPr>
          <c:marker>
            <c:symbol val="none"/>
          </c:marker>
          <c:cat>
            <c:numRef>
              <c:f>Tables!$AH$4:$AH$19</c:f>
              <c:numCache>
                <c:formatCode>General</c:formatCode>
                <c:ptCount val="16"/>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numCache>
            </c:numRef>
          </c:cat>
          <c:val>
            <c:numRef>
              <c:f>Tables!$AK$4:$AK$19</c:f>
              <c:numCache>
                <c:formatCode>_(* #,##0_);_(* \(#,##0\);_(* "-"??_);_(@_)</c:formatCode>
                <c:ptCount val="16"/>
                <c:pt idx="0">
                  <c:v>310585.27191092022</c:v>
                </c:pt>
                <c:pt idx="1">
                  <c:v>414864.74741543655</c:v>
                </c:pt>
                <c:pt idx="2">
                  <c:v>624874.92068036122</c:v>
                </c:pt>
                <c:pt idx="3">
                  <c:v>875653.82686906052</c:v>
                </c:pt>
                <c:pt idx="4">
                  <c:v>1167705.9493158886</c:v>
                </c:pt>
                <c:pt idx="5">
                  <c:v>1506506.7744004508</c:v>
                </c:pt>
                <c:pt idx="6">
                  <c:v>1984746.4685221002</c:v>
                </c:pt>
                <c:pt idx="7">
                  <c:v>2506060.3407741226</c:v>
                </c:pt>
                <c:pt idx="8">
                  <c:v>3071243.193883474</c:v>
                </c:pt>
                <c:pt idx="9">
                  <c:v>3681093.2052527079</c:v>
                </c:pt>
                <c:pt idx="10">
                  <c:v>4336411.9269599756</c:v>
                </c:pt>
                <c:pt idx="11">
                  <c:v>4996027.6852852516</c:v>
                </c:pt>
                <c:pt idx="12">
                  <c:v>5659940.4802285368</c:v>
                </c:pt>
                <c:pt idx="13">
                  <c:v>6328150.3117898302</c:v>
                </c:pt>
                <c:pt idx="14">
                  <c:v>7000657.1799691319</c:v>
                </c:pt>
                <c:pt idx="15">
                  <c:v>7677461.0847664429</c:v>
                </c:pt>
              </c:numCache>
            </c:numRef>
          </c:val>
          <c:smooth val="1"/>
          <c:extLst>
            <c:ext xmlns:c16="http://schemas.microsoft.com/office/drawing/2014/chart" uri="{C3380CC4-5D6E-409C-BE32-E72D297353CC}">
              <c16:uniqueId val="{00000002-C0BD-4D74-AA6E-8CDBAEAF3B2B}"/>
            </c:ext>
          </c:extLst>
        </c:ser>
        <c:dLbls>
          <c:showLegendKey val="0"/>
          <c:showVal val="0"/>
          <c:showCatName val="0"/>
          <c:showSerName val="0"/>
          <c:showPercent val="0"/>
          <c:showBubbleSize val="0"/>
        </c:dLbls>
        <c:smooth val="0"/>
        <c:axId val="1330441935"/>
        <c:axId val="1330435695"/>
      </c:lineChart>
      <c:catAx>
        <c:axId val="1330441935"/>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30435695"/>
        <c:crosses val="autoZero"/>
        <c:auto val="1"/>
        <c:lblAlgn val="ctr"/>
        <c:lblOffset val="100"/>
        <c:noMultiLvlLbl val="0"/>
      </c:catAx>
      <c:valAx>
        <c:axId val="1330435695"/>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304419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 Light-Duty Zero Emission Vehicle Miles</a:t>
            </a:r>
            <a:r>
              <a:rPr lang="en-US" b="1" baseline="0"/>
              <a:t> Traveled</a:t>
            </a:r>
            <a:r>
              <a:rPr lang="en-US" b="1"/>
              <a:t>, 2025-2040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1561922157628877"/>
          <c:y val="0.17200004299463642"/>
          <c:w val="0.75631059678090273"/>
          <c:h val="0.65100453718398632"/>
        </c:manualLayout>
      </c:layout>
      <c:lineChart>
        <c:grouping val="standard"/>
        <c:varyColors val="0"/>
        <c:ser>
          <c:idx val="0"/>
          <c:order val="0"/>
          <c:tx>
            <c:strRef>
              <c:f>Tables!$AO$3</c:f>
              <c:strCache>
                <c:ptCount val="1"/>
                <c:pt idx="0">
                  <c:v>BAU</c:v>
                </c:pt>
              </c:strCache>
            </c:strRef>
          </c:tx>
          <c:spPr>
            <a:ln w="28575" cap="rnd">
              <a:solidFill>
                <a:schemeClr val="accent1"/>
              </a:solidFill>
              <a:round/>
            </a:ln>
            <a:effectLst/>
          </c:spPr>
          <c:marker>
            <c:symbol val="none"/>
          </c:marker>
          <c:cat>
            <c:numRef>
              <c:f>Tables!$AN$4:$AN$19</c:f>
              <c:numCache>
                <c:formatCode>General</c:formatCode>
                <c:ptCount val="16"/>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numCache>
            </c:numRef>
          </c:cat>
          <c:val>
            <c:numRef>
              <c:f>Tables!$AO$4:$AO$19</c:f>
              <c:numCache>
                <c:formatCode>_(* #,##0_);_(* \(#,##0\);_(* "-"??_);_(@_)</c:formatCode>
                <c:ptCount val="16"/>
                <c:pt idx="0">
                  <c:v>3485043978.1739688</c:v>
                </c:pt>
                <c:pt idx="1">
                  <c:v>4654494726.4205875</c:v>
                </c:pt>
                <c:pt idx="2">
                  <c:v>5831769556.9618406</c:v>
                </c:pt>
                <c:pt idx="3">
                  <c:v>7016749722.1226807</c:v>
                </c:pt>
                <c:pt idx="4">
                  <c:v>8209336059.4327192</c:v>
                </c:pt>
                <c:pt idx="5">
                  <c:v>9409409073.5275421</c:v>
                </c:pt>
                <c:pt idx="6">
                  <c:v>10611637370.178608</c:v>
                </c:pt>
                <c:pt idx="7">
                  <c:v>11823905626.573954</c:v>
                </c:pt>
                <c:pt idx="8">
                  <c:v>13046296081.978935</c:v>
                </c:pt>
                <c:pt idx="9">
                  <c:v>14278813398.028048</c:v>
                </c:pt>
                <c:pt idx="10">
                  <c:v>15521549703.770767</c:v>
                </c:pt>
                <c:pt idx="11">
                  <c:v>16802426101.473133</c:v>
                </c:pt>
                <c:pt idx="12">
                  <c:v>18093650930.769398</c:v>
                </c:pt>
                <c:pt idx="13">
                  <c:v>19395222004.376972</c:v>
                </c:pt>
                <c:pt idx="14">
                  <c:v>20707088721.82515</c:v>
                </c:pt>
                <c:pt idx="15">
                  <c:v>22029255979.068718</c:v>
                </c:pt>
              </c:numCache>
            </c:numRef>
          </c:val>
          <c:smooth val="1"/>
          <c:extLst>
            <c:ext xmlns:c16="http://schemas.microsoft.com/office/drawing/2014/chart" uri="{C3380CC4-5D6E-409C-BE32-E72D297353CC}">
              <c16:uniqueId val="{00000000-7561-47BD-97C9-557EBE5271A2}"/>
            </c:ext>
          </c:extLst>
        </c:ser>
        <c:ser>
          <c:idx val="1"/>
          <c:order val="1"/>
          <c:tx>
            <c:strRef>
              <c:f>Tables!$AP$3</c:f>
              <c:strCache>
                <c:ptCount val="1"/>
                <c:pt idx="0">
                  <c:v>ACC II: 2026</c:v>
                </c:pt>
              </c:strCache>
            </c:strRef>
          </c:tx>
          <c:spPr>
            <a:ln w="28575" cap="rnd">
              <a:solidFill>
                <a:schemeClr val="accent2"/>
              </a:solidFill>
              <a:round/>
            </a:ln>
            <a:effectLst/>
          </c:spPr>
          <c:marker>
            <c:symbol val="none"/>
          </c:marker>
          <c:cat>
            <c:numRef>
              <c:f>Tables!$AN$4:$AN$19</c:f>
              <c:numCache>
                <c:formatCode>General</c:formatCode>
                <c:ptCount val="16"/>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numCache>
            </c:numRef>
          </c:cat>
          <c:val>
            <c:numRef>
              <c:f>Tables!$AP$4:$AP$19</c:f>
              <c:numCache>
                <c:formatCode>_(* #,##0_);_(* \(#,##0\);_(* "-"??_);_(@_)</c:formatCode>
                <c:ptCount val="16"/>
                <c:pt idx="0">
                  <c:v>3485043978.1739688</c:v>
                </c:pt>
                <c:pt idx="1">
                  <c:v>5389110343.1354408</c:v>
                </c:pt>
                <c:pt idx="2">
                  <c:v>7744203983.0793447</c:v>
                </c:pt>
                <c:pt idx="3">
                  <c:v>10555925483.514683</c:v>
                </c:pt>
                <c:pt idx="4">
                  <c:v>13829777152.242903</c:v>
                </c:pt>
                <c:pt idx="5">
                  <c:v>17626974426.361752</c:v>
                </c:pt>
                <c:pt idx="6">
                  <c:v>22964873992.159054</c:v>
                </c:pt>
                <c:pt idx="7">
                  <c:v>28773615628.198448</c:v>
                </c:pt>
                <c:pt idx="8">
                  <c:v>35060884670.038979</c:v>
                </c:pt>
                <c:pt idx="9">
                  <c:v>41834211457.285843</c:v>
                </c:pt>
                <c:pt idx="10">
                  <c:v>49101399768.863533</c:v>
                </c:pt>
                <c:pt idx="11">
                  <c:v>56510758509.135071</c:v>
                </c:pt>
                <c:pt idx="12">
                  <c:v>63980792777.529381</c:v>
                </c:pt>
                <c:pt idx="13">
                  <c:v>71511441130.980133</c:v>
                </c:pt>
                <c:pt idx="14">
                  <c:v>79102468149.728958</c:v>
                </c:pt>
                <c:pt idx="15">
                  <c:v>86753842006.488266</c:v>
                </c:pt>
              </c:numCache>
            </c:numRef>
          </c:val>
          <c:smooth val="1"/>
          <c:extLst>
            <c:ext xmlns:c16="http://schemas.microsoft.com/office/drawing/2014/chart" uri="{C3380CC4-5D6E-409C-BE32-E72D297353CC}">
              <c16:uniqueId val="{00000001-7561-47BD-97C9-557EBE5271A2}"/>
            </c:ext>
          </c:extLst>
        </c:ser>
        <c:ser>
          <c:idx val="2"/>
          <c:order val="2"/>
          <c:tx>
            <c:strRef>
              <c:f>Tables!$AQ$3</c:f>
              <c:strCache>
                <c:ptCount val="1"/>
                <c:pt idx="0">
                  <c:v>ACC II: 2027</c:v>
                </c:pt>
              </c:strCache>
            </c:strRef>
          </c:tx>
          <c:spPr>
            <a:ln w="28575" cap="rnd">
              <a:solidFill>
                <a:schemeClr val="accent3"/>
              </a:solidFill>
              <a:round/>
            </a:ln>
            <a:effectLst/>
          </c:spPr>
          <c:marker>
            <c:symbol val="none"/>
          </c:marker>
          <c:cat>
            <c:numRef>
              <c:f>Tables!$AN$4:$AN$19</c:f>
              <c:numCache>
                <c:formatCode>General</c:formatCode>
                <c:ptCount val="16"/>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numCache>
            </c:numRef>
          </c:cat>
          <c:val>
            <c:numRef>
              <c:f>Tables!$AQ$4:$AQ$19</c:f>
              <c:numCache>
                <c:formatCode>_(* #,##0_);_(* \(#,##0\);_(* "-"??_);_(@_)</c:formatCode>
                <c:ptCount val="16"/>
                <c:pt idx="0">
                  <c:v>3485043978.1739688</c:v>
                </c:pt>
                <c:pt idx="1">
                  <c:v>4654494726.4205875</c:v>
                </c:pt>
                <c:pt idx="2">
                  <c:v>7009690312.2040339</c:v>
                </c:pt>
                <c:pt idx="3">
                  <c:v>9821512933.6906796</c:v>
                </c:pt>
                <c:pt idx="4">
                  <c:v>13095463619.079744</c:v>
                </c:pt>
                <c:pt idx="5">
                  <c:v>16892758774.882229</c:v>
                </c:pt>
                <c:pt idx="6">
                  <c:v>22231447080.702271</c:v>
                </c:pt>
                <c:pt idx="7">
                  <c:v>28040967216.129753</c:v>
                </c:pt>
                <c:pt idx="8">
                  <c:v>34329002571.217373</c:v>
                </c:pt>
                <c:pt idx="9">
                  <c:v>41103086237.34742</c:v>
                </c:pt>
                <c:pt idx="10">
                  <c:v>48371019789.668739</c:v>
                </c:pt>
                <c:pt idx="11">
                  <c:v>55779711052.356026</c:v>
                </c:pt>
                <c:pt idx="12">
                  <c:v>63249086901.476906</c:v>
                </c:pt>
                <c:pt idx="13">
                  <c:v>70779085028.904922</c:v>
                </c:pt>
                <c:pt idx="14">
                  <c:v>78369471058.234741</c:v>
                </c:pt>
                <c:pt idx="15">
                  <c:v>86020212091.785156</c:v>
                </c:pt>
              </c:numCache>
            </c:numRef>
          </c:val>
          <c:smooth val="1"/>
          <c:extLst>
            <c:ext xmlns:c16="http://schemas.microsoft.com/office/drawing/2014/chart" uri="{C3380CC4-5D6E-409C-BE32-E72D297353CC}">
              <c16:uniqueId val="{00000002-7561-47BD-97C9-557EBE5271A2}"/>
            </c:ext>
          </c:extLst>
        </c:ser>
        <c:dLbls>
          <c:showLegendKey val="0"/>
          <c:showVal val="0"/>
          <c:showCatName val="0"/>
          <c:showSerName val="0"/>
          <c:showPercent val="0"/>
          <c:showBubbleSize val="0"/>
        </c:dLbls>
        <c:smooth val="0"/>
        <c:axId val="1330441935"/>
        <c:axId val="1330435695"/>
        <c:extLst>
          <c:ext xmlns:c15="http://schemas.microsoft.com/office/drawing/2012/chart" uri="{02D57815-91ED-43cb-92C2-25804820EDAC}">
            <c15:filteredLineSeries>
              <c15:ser>
                <c:idx val="3"/>
                <c:order val="3"/>
                <c:tx>
                  <c:strRef>
                    <c:extLst>
                      <c:ext uri="{02D57815-91ED-43cb-92C2-25804820EDAC}">
                        <c15:formulaRef>
                          <c15:sqref>Tables!$AR$3</c15:sqref>
                        </c15:formulaRef>
                      </c:ext>
                    </c:extLst>
                    <c:strCache>
                      <c:ptCount val="1"/>
                    </c:strCache>
                  </c:strRef>
                </c:tx>
                <c:spPr>
                  <a:ln w="28575" cap="rnd">
                    <a:solidFill>
                      <a:schemeClr val="accent4"/>
                    </a:solidFill>
                    <a:round/>
                  </a:ln>
                  <a:effectLst/>
                </c:spPr>
                <c:marker>
                  <c:symbol val="none"/>
                </c:marker>
                <c:cat>
                  <c:numRef>
                    <c:extLst>
                      <c:ext uri="{02D57815-91ED-43cb-92C2-25804820EDAC}">
                        <c15:formulaRef>
                          <c15:sqref>Tables!$AN$4:$AN$19</c15:sqref>
                        </c15:formulaRef>
                      </c:ext>
                    </c:extLst>
                    <c:numCache>
                      <c:formatCode>General</c:formatCode>
                      <c:ptCount val="16"/>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numCache>
                  </c:numRef>
                </c:cat>
                <c:val>
                  <c:numRef>
                    <c:extLst>
                      <c:ext uri="{02D57815-91ED-43cb-92C2-25804820EDAC}">
                        <c15:formulaRef>
                          <c15:sqref>Tables!$AR$4:$AR$19</c15:sqref>
                        </c15:formulaRef>
                      </c:ext>
                    </c:extLst>
                    <c:numCache>
                      <c:formatCode>_(* #,##0_);_(* \(#,##0\);_(* "-"??_);_(@_)</c:formatCode>
                      <c:ptCount val="16"/>
                    </c:numCache>
                  </c:numRef>
                </c:val>
                <c:smooth val="1"/>
                <c:extLst>
                  <c:ext xmlns:c16="http://schemas.microsoft.com/office/drawing/2014/chart" uri="{C3380CC4-5D6E-409C-BE32-E72D297353CC}">
                    <c16:uniqueId val="{00000003-7561-47BD-97C9-557EBE5271A2}"/>
                  </c:ext>
                </c:extLst>
              </c15:ser>
            </c15:filteredLineSeries>
          </c:ext>
        </c:extLst>
      </c:lineChart>
      <c:catAx>
        <c:axId val="1330441935"/>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30435695"/>
        <c:crosses val="autoZero"/>
        <c:auto val="1"/>
        <c:lblAlgn val="ctr"/>
        <c:lblOffset val="100"/>
        <c:noMultiLvlLbl val="0"/>
      </c:catAx>
      <c:valAx>
        <c:axId val="1330435695"/>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304419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35</xdr:row>
      <xdr:rowOff>171450</xdr:rowOff>
    </xdr:from>
    <xdr:to>
      <xdr:col>7</xdr:col>
      <xdr:colOff>218395</xdr:colOff>
      <xdr:row>53</xdr:row>
      <xdr:rowOff>171021</xdr:rowOff>
    </xdr:to>
    <xdr:pic>
      <xdr:nvPicPr>
        <xdr:cNvPr id="4" name="Picture 3">
          <a:extLst>
            <a:ext uri="{FF2B5EF4-FFF2-40B4-BE49-F238E27FC236}">
              <a16:creationId xmlns:a16="http://schemas.microsoft.com/office/drawing/2014/main" id="{B54957F4-D5E8-4533-A1D8-8491BEAEE6D7}"/>
            </a:ext>
          </a:extLst>
        </xdr:cNvPr>
        <xdr:cNvPicPr>
          <a:picLocks noChangeAspect="1"/>
        </xdr:cNvPicPr>
      </xdr:nvPicPr>
      <xdr:blipFill>
        <a:blip xmlns:r="http://schemas.openxmlformats.org/officeDocument/2006/relationships" r:embed="rId1"/>
        <a:stretch>
          <a:fillRect/>
        </a:stretch>
      </xdr:blipFill>
      <xdr:spPr>
        <a:xfrm>
          <a:off x="209550" y="18792825"/>
          <a:ext cx="5361895" cy="34285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406399</xdr:colOff>
      <xdr:row>23</xdr:row>
      <xdr:rowOff>28575</xdr:rowOff>
    </xdr:from>
    <xdr:to>
      <xdr:col>6</xdr:col>
      <xdr:colOff>628650</xdr:colOff>
      <xdr:row>42</xdr:row>
      <xdr:rowOff>73025</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38100</xdr:colOff>
      <xdr:row>22</xdr:row>
      <xdr:rowOff>152400</xdr:rowOff>
    </xdr:from>
    <xdr:to>
      <xdr:col>12</xdr:col>
      <xdr:colOff>571500</xdr:colOff>
      <xdr:row>43</xdr:row>
      <xdr:rowOff>0</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25400</xdr:colOff>
      <xdr:row>23</xdr:row>
      <xdr:rowOff>25400</xdr:rowOff>
    </xdr:from>
    <xdr:to>
      <xdr:col>19</xdr:col>
      <xdr:colOff>609600</xdr:colOff>
      <xdr:row>43</xdr:row>
      <xdr:rowOff>116840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27</xdr:col>
      <xdr:colOff>1019175</xdr:colOff>
      <xdr:row>21</xdr:row>
      <xdr:rowOff>142875</xdr:rowOff>
    </xdr:from>
    <xdr:to>
      <xdr:col>32</xdr:col>
      <xdr:colOff>12700</xdr:colOff>
      <xdr:row>42</xdr:row>
      <xdr:rowOff>43815</xdr:rowOff>
    </xdr:to>
    <xdr:graphicFrame macro="">
      <xdr:nvGraphicFramePr>
        <xdr:cNvPr id="6" name="Chart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190500</xdr:colOff>
      <xdr:row>21</xdr:row>
      <xdr:rowOff>190499</xdr:rowOff>
    </xdr:from>
    <xdr:to>
      <xdr:col>25</xdr:col>
      <xdr:colOff>809625</xdr:colOff>
      <xdr:row>42</xdr:row>
      <xdr:rowOff>85724</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695326</xdr:colOff>
      <xdr:row>21</xdr:row>
      <xdr:rowOff>104775</xdr:rowOff>
    </xdr:from>
    <xdr:to>
      <xdr:col>38</xdr:col>
      <xdr:colOff>219075</xdr:colOff>
      <xdr:row>42</xdr:row>
      <xdr:rowOff>104774</xdr:rowOff>
    </xdr:to>
    <xdr:graphicFrame macro="">
      <xdr:nvGraphicFramePr>
        <xdr:cNvPr id="8" name="Chart 7">
          <a:extLst>
            <a:ext uri="{FF2B5EF4-FFF2-40B4-BE49-F238E27FC236}">
              <a16:creationId xmlns:a16="http://schemas.microsoft.com/office/drawing/2014/main" id="{00000000-0008-0000-02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39</xdr:col>
      <xdr:colOff>142875</xdr:colOff>
      <xdr:row>21</xdr:row>
      <xdr:rowOff>171450</xdr:rowOff>
    </xdr:from>
    <xdr:to>
      <xdr:col>43</xdr:col>
      <xdr:colOff>419099</xdr:colOff>
      <xdr:row>42</xdr:row>
      <xdr:rowOff>171449</xdr:rowOff>
    </xdr:to>
    <xdr:graphicFrame macro="">
      <xdr:nvGraphicFramePr>
        <xdr:cNvPr id="9" name="Chart 8">
          <a:extLst>
            <a:ext uri="{FF2B5EF4-FFF2-40B4-BE49-F238E27FC236}">
              <a16:creationId xmlns:a16="http://schemas.microsoft.com/office/drawing/2014/main" id="{75B11358-2B46-486B-8A68-1A521226C3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695325</xdr:colOff>
      <xdr:row>38</xdr:row>
      <xdr:rowOff>57150</xdr:rowOff>
    </xdr:from>
    <xdr:to>
      <xdr:col>16</xdr:col>
      <xdr:colOff>333691</xdr:colOff>
      <xdr:row>57</xdr:row>
      <xdr:rowOff>152589</xdr:rowOff>
    </xdr:to>
    <xdr:pic>
      <xdr:nvPicPr>
        <xdr:cNvPr id="3" name="Picture 2">
          <a:extLst>
            <a:ext uri="{FF2B5EF4-FFF2-40B4-BE49-F238E27FC236}">
              <a16:creationId xmlns:a16="http://schemas.microsoft.com/office/drawing/2014/main" id="{6C6D288A-8723-3C96-20B6-C504AE70B18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29325" y="7286625"/>
          <a:ext cx="6153466" cy="367683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723900</xdr:colOff>
      <xdr:row>22</xdr:row>
      <xdr:rowOff>152400</xdr:rowOff>
    </xdr:from>
    <xdr:to>
      <xdr:col>10</xdr:col>
      <xdr:colOff>342369</xdr:colOff>
      <xdr:row>31</xdr:row>
      <xdr:rowOff>104567</xdr:rowOff>
    </xdr:to>
    <xdr:pic>
      <xdr:nvPicPr>
        <xdr:cNvPr id="2" name="Picture 1">
          <a:extLst>
            <a:ext uri="{FF2B5EF4-FFF2-40B4-BE49-F238E27FC236}">
              <a16:creationId xmlns:a16="http://schemas.microsoft.com/office/drawing/2014/main" id="{E68CD2D3-D093-487B-9F63-3CDC8D5C5DE1}"/>
            </a:ext>
          </a:extLst>
        </xdr:cNvPr>
        <xdr:cNvPicPr>
          <a:picLocks noChangeAspect="1"/>
        </xdr:cNvPicPr>
      </xdr:nvPicPr>
      <xdr:blipFill>
        <a:blip xmlns:r="http://schemas.openxmlformats.org/officeDocument/2006/relationships" r:embed="rId1"/>
        <a:stretch>
          <a:fillRect/>
        </a:stretch>
      </xdr:blipFill>
      <xdr:spPr>
        <a:xfrm>
          <a:off x="3048000" y="4343400"/>
          <a:ext cx="4066644" cy="1666667"/>
        </a:xfrm>
        <a:prstGeom prst="rect">
          <a:avLst/>
        </a:prstGeom>
      </xdr:spPr>
    </xdr:pic>
    <xdr:clientData/>
  </xdr:twoCellAnchor>
  <xdr:twoCellAnchor editAs="oneCell">
    <xdr:from>
      <xdr:col>4</xdr:col>
      <xdr:colOff>742950</xdr:colOff>
      <xdr:row>32</xdr:row>
      <xdr:rowOff>28575</xdr:rowOff>
    </xdr:from>
    <xdr:to>
      <xdr:col>9</xdr:col>
      <xdr:colOff>752001</xdr:colOff>
      <xdr:row>37</xdr:row>
      <xdr:rowOff>95123</xdr:rowOff>
    </xdr:to>
    <xdr:pic>
      <xdr:nvPicPr>
        <xdr:cNvPr id="3" name="Picture 2">
          <a:extLst>
            <a:ext uri="{FF2B5EF4-FFF2-40B4-BE49-F238E27FC236}">
              <a16:creationId xmlns:a16="http://schemas.microsoft.com/office/drawing/2014/main" id="{85F97088-60D7-4C51-A7DF-C45B95B7821E}"/>
            </a:ext>
          </a:extLst>
        </xdr:cNvPr>
        <xdr:cNvPicPr>
          <a:picLocks noChangeAspect="1"/>
        </xdr:cNvPicPr>
      </xdr:nvPicPr>
      <xdr:blipFill>
        <a:blip xmlns:r="http://schemas.openxmlformats.org/officeDocument/2006/relationships" r:embed="rId2"/>
        <a:stretch>
          <a:fillRect/>
        </a:stretch>
      </xdr:blipFill>
      <xdr:spPr>
        <a:xfrm>
          <a:off x="3067050" y="6124575"/>
          <a:ext cx="3619026" cy="1019048"/>
        </a:xfrm>
        <a:prstGeom prst="rect">
          <a:avLst/>
        </a:prstGeom>
      </xdr:spPr>
    </xdr:pic>
    <xdr:clientData/>
  </xdr:twoCellAnchor>
  <xdr:twoCellAnchor editAs="oneCell">
    <xdr:from>
      <xdr:col>4</xdr:col>
      <xdr:colOff>723900</xdr:colOff>
      <xdr:row>62</xdr:row>
      <xdr:rowOff>152400</xdr:rowOff>
    </xdr:from>
    <xdr:to>
      <xdr:col>10</xdr:col>
      <xdr:colOff>523344</xdr:colOff>
      <xdr:row>71</xdr:row>
      <xdr:rowOff>104567</xdr:rowOff>
    </xdr:to>
    <xdr:pic>
      <xdr:nvPicPr>
        <xdr:cNvPr id="4" name="Picture 3">
          <a:extLst>
            <a:ext uri="{FF2B5EF4-FFF2-40B4-BE49-F238E27FC236}">
              <a16:creationId xmlns:a16="http://schemas.microsoft.com/office/drawing/2014/main" id="{A23EC425-1BAF-4946-9B5B-9FAA1D564189}"/>
            </a:ext>
          </a:extLst>
        </xdr:cNvPr>
        <xdr:cNvPicPr>
          <a:picLocks noChangeAspect="1"/>
        </xdr:cNvPicPr>
      </xdr:nvPicPr>
      <xdr:blipFill>
        <a:blip xmlns:r="http://schemas.openxmlformats.org/officeDocument/2006/relationships" r:embed="rId1"/>
        <a:stretch>
          <a:fillRect/>
        </a:stretch>
      </xdr:blipFill>
      <xdr:spPr>
        <a:xfrm>
          <a:off x="3048000" y="3962400"/>
          <a:ext cx="4247619" cy="1666667"/>
        </a:xfrm>
        <a:prstGeom prst="rect">
          <a:avLst/>
        </a:prstGeom>
      </xdr:spPr>
    </xdr:pic>
    <xdr:clientData/>
  </xdr:twoCellAnchor>
  <xdr:twoCellAnchor editAs="oneCell">
    <xdr:from>
      <xdr:col>4</xdr:col>
      <xdr:colOff>742950</xdr:colOff>
      <xdr:row>72</xdr:row>
      <xdr:rowOff>28575</xdr:rowOff>
    </xdr:from>
    <xdr:to>
      <xdr:col>10</xdr:col>
      <xdr:colOff>85251</xdr:colOff>
      <xdr:row>77</xdr:row>
      <xdr:rowOff>95123</xdr:rowOff>
    </xdr:to>
    <xdr:pic>
      <xdr:nvPicPr>
        <xdr:cNvPr id="5" name="Picture 4">
          <a:extLst>
            <a:ext uri="{FF2B5EF4-FFF2-40B4-BE49-F238E27FC236}">
              <a16:creationId xmlns:a16="http://schemas.microsoft.com/office/drawing/2014/main" id="{E1D5EAAE-5BFD-4CA0-BC93-AAC5C2DBDB35}"/>
            </a:ext>
          </a:extLst>
        </xdr:cNvPr>
        <xdr:cNvPicPr>
          <a:picLocks noChangeAspect="1"/>
        </xdr:cNvPicPr>
      </xdr:nvPicPr>
      <xdr:blipFill>
        <a:blip xmlns:r="http://schemas.openxmlformats.org/officeDocument/2006/relationships" r:embed="rId2"/>
        <a:stretch>
          <a:fillRect/>
        </a:stretch>
      </xdr:blipFill>
      <xdr:spPr>
        <a:xfrm>
          <a:off x="3067050" y="5743575"/>
          <a:ext cx="3790476" cy="101904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14</xdr:col>
      <xdr:colOff>0</xdr:colOff>
      <xdr:row>32</xdr:row>
      <xdr:rowOff>0</xdr:rowOff>
    </xdr:from>
    <xdr:to>
      <xdr:col>19</xdr:col>
      <xdr:colOff>466725</xdr:colOff>
      <xdr:row>38</xdr:row>
      <xdr:rowOff>155805</xdr:rowOff>
    </xdr:to>
    <xdr:pic>
      <xdr:nvPicPr>
        <xdr:cNvPr id="2" name="Picture 1">
          <a:extLst>
            <a:ext uri="{FF2B5EF4-FFF2-40B4-BE49-F238E27FC236}">
              <a16:creationId xmlns:a16="http://schemas.microsoft.com/office/drawing/2014/main" id="{1FC5D9A9-BAFE-411C-B5D0-15B4D64DC74C}"/>
            </a:ext>
          </a:extLst>
        </xdr:cNvPr>
        <xdr:cNvPicPr>
          <a:picLocks noChangeAspect="1"/>
        </xdr:cNvPicPr>
      </xdr:nvPicPr>
      <xdr:blipFill>
        <a:blip xmlns:r="http://schemas.openxmlformats.org/officeDocument/2006/relationships" r:embed="rId1"/>
        <a:stretch>
          <a:fillRect/>
        </a:stretch>
      </xdr:blipFill>
      <xdr:spPr>
        <a:xfrm>
          <a:off x="8801100" y="6181725"/>
          <a:ext cx="3514725" cy="129880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180975</xdr:colOff>
      <xdr:row>4</xdr:row>
      <xdr:rowOff>19051</xdr:rowOff>
    </xdr:from>
    <xdr:to>
      <xdr:col>3</xdr:col>
      <xdr:colOff>857250</xdr:colOff>
      <xdr:row>22</xdr:row>
      <xdr:rowOff>108245</xdr:rowOff>
    </xdr:to>
    <xdr:pic>
      <xdr:nvPicPr>
        <xdr:cNvPr id="3" name="Picture 2">
          <a:extLst>
            <a:ext uri="{FF2B5EF4-FFF2-40B4-BE49-F238E27FC236}">
              <a16:creationId xmlns:a16="http://schemas.microsoft.com/office/drawing/2014/main" id="{00000000-0008-0000-1800-000003000000}"/>
            </a:ext>
          </a:extLst>
        </xdr:cNvPr>
        <xdr:cNvPicPr>
          <a:picLocks noChangeAspect="1"/>
        </xdr:cNvPicPr>
      </xdr:nvPicPr>
      <xdr:blipFill>
        <a:blip xmlns:r="http://schemas.openxmlformats.org/officeDocument/2006/relationships" r:embed="rId1"/>
        <a:stretch>
          <a:fillRect/>
        </a:stretch>
      </xdr:blipFill>
      <xdr:spPr>
        <a:xfrm>
          <a:off x="180975" y="781051"/>
          <a:ext cx="4933950" cy="351819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2/Users/jhouk/Desktop/ICCT%20ACC/CARB%20Proposed%20Rule/CARB%20resources/ZEV_Cost_Modeling_Workbook_Update_March2022_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2/storage/Users/jhouk/Desktop/GREET_2020/GREET1_2020.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2/storage/Users/jhouk/Desktop/GREET%202021/GREET1_202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References"/>
      <sheetName val="Vehicle Attributes Overview"/>
      <sheetName val="BEV"/>
      <sheetName val="PHEV"/>
      <sheetName val="FCEV"/>
      <sheetName val="Vehicle Attributes - Base Year"/>
      <sheetName val="Battery Capacity and Power"/>
      <sheetName val="Battery Costs"/>
      <sheetName val="Motor Power"/>
      <sheetName val="Non-Battery Cost Input"/>
      <sheetName val="Non-Battery Costs"/>
      <sheetName val="Fuel Cell Tank Size"/>
      <sheetName val="Fuel Cell Tank Cost"/>
      <sheetName val="Fuel Cell Stack Power"/>
      <sheetName val="Fuel Cell Stack Cost"/>
      <sheetName val="Rolled Up Non-Incremental Costs"/>
      <sheetName val="ICE Removal Cost"/>
      <sheetName val="Trans Removal Cost"/>
      <sheetName val="LEV3 Criteria Emissions Cost"/>
      <sheetName val="Current GHG Compliance"/>
      <sheetName val="ACCII Criteria Compliance Cost"/>
      <sheetName val="ACCII GHG Compliance"/>
      <sheetName val="ZEV Assembly Reductions"/>
      <sheetName val="Cold Weather Package"/>
      <sheetName val="eAWD Motor2 Power"/>
      <sheetName val="eAWD Package"/>
      <sheetName val="Tow Package - Added Bat and Pwr"/>
      <sheetName val="Towing Package Cost"/>
      <sheetName val="Incremental Cost"/>
      <sheetName val="Incremental Cost Pivot"/>
    </sheetNames>
    <sheetDataSet>
      <sheetData sheetId="0"/>
      <sheetData sheetId="1"/>
      <sheetData sheetId="2">
        <row r="8">
          <cell r="A8">
            <v>5.0000000000000001E-3</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Inputs"/>
      <sheetName val="Results"/>
      <sheetName val="Petroleum"/>
      <sheetName val="NG"/>
      <sheetName val="MeOH_FTD"/>
      <sheetName val="EtOH"/>
      <sheetName val="Electric"/>
      <sheetName val="Hydrogen"/>
      <sheetName val="BioOil"/>
      <sheetName val="Algae"/>
      <sheetName val="RNG"/>
      <sheetName val="Pyrolysis_IDL"/>
      <sheetName val="IBR"/>
      <sheetName val="PTF"/>
      <sheetName val="E_fuel"/>
      <sheetName val="Fuel_Prod_TS"/>
      <sheetName val="EF_TS"/>
      <sheetName val="AgMining_EF_TS"/>
      <sheetName val="EF"/>
      <sheetName val="WCF"/>
      <sheetName val="Fuel_Specs"/>
      <sheetName val="Car_TS"/>
      <sheetName val="LDT1_TS"/>
      <sheetName val="LDT2_TS"/>
      <sheetName val="Vehicles"/>
      <sheetName val="Urban_Shares"/>
      <sheetName val="Compression"/>
      <sheetName val="Coal"/>
      <sheetName val="T&amp;D_Flowcharts"/>
      <sheetName val="T&amp;D"/>
      <sheetName val="Uranium"/>
      <sheetName val="Ag_Inputs"/>
      <sheetName val="Enzymes_Yeast"/>
      <sheetName val="Pretreatment"/>
      <sheetName val="Catalyst"/>
      <sheetName val="Chemicals"/>
      <sheetName val="Bioproducts"/>
      <sheetName val="Animal_Feed"/>
      <sheetName val="E-D Additives"/>
      <sheetName val="OilGasCoalInfra"/>
      <sheetName val="ElecInfra"/>
      <sheetName val="Woody"/>
      <sheetName val="HDV_TS"/>
      <sheetName val="HDV_WTW"/>
      <sheetName val="JetFuel_WTP"/>
      <sheetName val="JetFuel_PTWa"/>
      <sheetName val="JetFuel_WTWa"/>
      <sheetName val="Rail_PTW"/>
      <sheetName val="Rail_WTW"/>
      <sheetName val="Marine_WTH"/>
      <sheetName val="Dist_Spec"/>
      <sheetName val="Forecast_Specs"/>
      <sheetName val="Forecast_Delet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87">
          <cell r="AZ387">
            <v>1.05756129080821E-3</v>
          </cell>
        </row>
      </sheetData>
      <sheetData sheetId="17"/>
      <sheetData sheetId="18"/>
      <sheetData sheetId="19"/>
      <sheetData sheetId="20"/>
      <sheetData sheetId="21">
        <row r="181">
          <cell r="F181">
            <v>3412.141641601248</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Inputs"/>
      <sheetName val="Results"/>
      <sheetName val="Petroleum"/>
      <sheetName val="Co_processing"/>
      <sheetName val="NG"/>
      <sheetName val="MeOH_FTD"/>
      <sheetName val="EtOH"/>
      <sheetName val="Electric"/>
      <sheetName val="Bio_electricity"/>
      <sheetName val="Hydrogen"/>
      <sheetName val="BioOil"/>
      <sheetName val="Algae"/>
      <sheetName val="Waste"/>
      <sheetName val="RNG"/>
      <sheetName val="Pyrolysis_IDL"/>
      <sheetName val="IBR"/>
      <sheetName val="PTF"/>
      <sheetName val="E_fuel"/>
      <sheetName val="Fuel_Prod_TS"/>
      <sheetName val="EF_TS"/>
      <sheetName val="AgMining_EF_TS"/>
      <sheetName val="EF"/>
      <sheetName val="WCF"/>
      <sheetName val="Fuel_Specs"/>
      <sheetName val="Car_TS"/>
      <sheetName val="LDT1_TS"/>
      <sheetName val="LDT2_TS"/>
      <sheetName val="Vehicles"/>
      <sheetName val="Urban_Shares"/>
      <sheetName val="Compression"/>
      <sheetName val="Coal"/>
      <sheetName val="T&amp;D_Flowcharts"/>
      <sheetName val="T&amp;D"/>
      <sheetName val="Uranium"/>
      <sheetName val="Ag_Inputs"/>
      <sheetName val="Enzymes_Yeast"/>
      <sheetName val="Pretreatment"/>
      <sheetName val="Catalyst"/>
      <sheetName val="Steam_Cracking"/>
      <sheetName val="Chemicals"/>
      <sheetName val="Plastics"/>
      <sheetName val="Animal_Feed"/>
      <sheetName val="EtOH-Diesel Additives"/>
      <sheetName val="OilGasCoalInfra"/>
      <sheetName val="ElecInfra"/>
      <sheetName val="Woody"/>
      <sheetName val="HDV_TS"/>
      <sheetName val="HDV_WTW"/>
      <sheetName val="JetFuel_WTP"/>
      <sheetName val="JetFuel_PTWa"/>
      <sheetName val="JetFuel_WTWa"/>
      <sheetName val="Rail_PTW"/>
      <sheetName val="Rail_WTW"/>
      <sheetName val="Marine_WTH"/>
      <sheetName val="Dist_Spec"/>
      <sheetName val="Forecast_Specs"/>
      <sheetName val="Forecast_Delet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875">
          <cell r="CF875">
            <v>1.5976147714583499E-3</v>
          </cell>
          <cell r="CG875">
            <v>0.4568836038497196</v>
          </cell>
          <cell r="CH875">
            <v>7.2640851718008294E-4</v>
          </cell>
          <cell r="CI875">
            <v>0.29721983353590098</v>
          </cell>
          <cell r="CJ875">
            <v>1.2862421489830919E-2</v>
          </cell>
          <cell r="CK875">
            <v>0.23071011783591</v>
          </cell>
          <cell r="CN875">
            <v>1.5976147714583499E-3</v>
          </cell>
          <cell r="CO875">
            <v>0.4568836038497196</v>
          </cell>
          <cell r="CP875">
            <v>7.2640851718008294E-4</v>
          </cell>
          <cell r="CQ875">
            <v>0.29721983353590098</v>
          </cell>
          <cell r="CR875">
            <v>1.2862421489830919E-2</v>
          </cell>
          <cell r="CS875">
            <v>0.23071011783591</v>
          </cell>
          <cell r="CV875">
            <v>1.1525216005103397E-3</v>
          </cell>
          <cell r="CW875">
            <v>0.42338739877550041</v>
          </cell>
          <cell r="CX875">
            <v>0.18220635648586389</v>
          </cell>
          <cell r="CY875">
            <v>0.33250596730454346</v>
          </cell>
          <cell r="CZ875">
            <v>1.5735294807847386E-3</v>
          </cell>
          <cell r="DA875">
            <v>5.9174226352797121E-2</v>
          </cell>
          <cell r="DD875">
            <v>1.1525216005103397E-3</v>
          </cell>
          <cell r="DE875">
            <v>0.42338739877550041</v>
          </cell>
          <cell r="DF875">
            <v>0.18220635648586389</v>
          </cell>
          <cell r="DG875">
            <v>0.33250596730454346</v>
          </cell>
          <cell r="DH875">
            <v>1.5735294807847386E-3</v>
          </cell>
          <cell r="DI875">
            <v>5.9174226352797121E-2</v>
          </cell>
        </row>
        <row r="900">
          <cell r="D900">
            <v>1.94096776665011E-3</v>
          </cell>
          <cell r="E900">
            <v>0.41502767356791553</v>
          </cell>
          <cell r="F900">
            <v>0.16953420629385921</v>
          </cell>
          <cell r="G900">
            <v>0.33917126787407992</v>
          </cell>
          <cell r="H900">
            <v>5.8132981751973381E-3</v>
          </cell>
          <cell r="I900">
            <v>6.8512586322297842E-2</v>
          </cell>
          <cell r="L900">
            <v>1.94096776665011E-3</v>
          </cell>
          <cell r="M900">
            <v>0.41502767356791553</v>
          </cell>
          <cell r="N900">
            <v>0.16953420629385921</v>
          </cell>
          <cell r="O900">
            <v>0.33917126787407992</v>
          </cell>
          <cell r="P900">
            <v>5.8132981751973381E-3</v>
          </cell>
          <cell r="Q900">
            <v>6.8512586322297842E-2</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CFBE214-6CF4-40F4-90EA-034A60ABBE0F}" name="Table466" displayName="Table466" ref="A5:M15" totalsRowShown="0" headerRowDxfId="63" dataDxfId="61" headerRowBorderDxfId="62" tableBorderDxfId="60">
  <tableColumns count="13">
    <tableColumn id="1" xr3:uid="{77A01D85-72DB-4C9F-8FA8-0BBBBD847CCF}" name="Vehicle Class" dataDxfId="59"/>
    <tableColumn id="3" xr3:uid="{CD89F5ED-F568-4DDF-923D-534A6D89CDFB}" name="Tech Type" dataDxfId="58"/>
    <tableColumn id="4" xr3:uid="{A649F4F4-4AE7-4BC8-83C0-9D000AD156AB}" name="2025" dataDxfId="57"/>
    <tableColumn id="5" xr3:uid="{27204AE4-5488-4BE4-8A16-9C810745B083}" name="2026" dataDxfId="56">
      <calculatedColumnFormula>C6*(1-BEV_Annual_Efficiency_Improvement)</calculatedColumnFormula>
    </tableColumn>
    <tableColumn id="6" xr3:uid="{D3DF9952-9C8E-4CF4-B72A-BDC584BB9D25}" name="2027" dataDxfId="55">
      <calculatedColumnFormula>D6*(1-BEV_Annual_Efficiency_Improvement)</calculatedColumnFormula>
    </tableColumn>
    <tableColumn id="7" xr3:uid="{F04E819C-B8B4-4C5D-9D1A-0EB57646675A}" name="2028" dataDxfId="54">
      <calculatedColumnFormula>E6*(1-BEV_Annual_Efficiency_Improvement)</calculatedColumnFormula>
    </tableColumn>
    <tableColumn id="8" xr3:uid="{A789790B-0BE5-45EC-9E1D-FA9E3F6DC200}" name="2029" dataDxfId="53">
      <calculatedColumnFormula>F6*(1-BEV_Annual_Efficiency_Improvement)</calculatedColumnFormula>
    </tableColumn>
    <tableColumn id="9" xr3:uid="{35F041A0-51E4-47EF-921D-3FDEBE5A3C82}" name="2030" dataDxfId="52">
      <calculatedColumnFormula>G6*(1-BEV_Annual_Efficiency_Improvement)</calculatedColumnFormula>
    </tableColumn>
    <tableColumn id="10" xr3:uid="{90F0EF49-C0A5-4662-BF5B-2AEC423FC912}" name="2031" dataDxfId="51">
      <calculatedColumnFormula>H6*(1-BEV_Annual_Efficiency_Improvement)</calculatedColumnFormula>
    </tableColumn>
    <tableColumn id="11" xr3:uid="{977065BB-8AD3-4971-A6DC-558A345D2E0B}" name="2032" dataDxfId="50">
      <calculatedColumnFormula>I6*(1-BEV_Annual_Efficiency_Improvement)</calculatedColumnFormula>
    </tableColumn>
    <tableColumn id="12" xr3:uid="{34ED9AB2-DEE5-470B-965C-64CBBD1F0769}" name="2033" dataDxfId="49">
      <calculatedColumnFormula>J6*(1-BEV_Annual_Efficiency_Improvement)</calculatedColumnFormula>
    </tableColumn>
    <tableColumn id="13" xr3:uid="{0C409B82-545D-4A6B-A8EF-318B0AAA2BFE}" name="2034" dataDxfId="48">
      <calculatedColumnFormula>K6*(1-BEV_Annual_Efficiency_Improvement)</calculatedColumnFormula>
    </tableColumn>
    <tableColumn id="14" xr3:uid="{EFB543BE-DECB-485C-82F7-151585E29E1E}" name="2035" dataDxfId="47">
      <calculatedColumnFormula>L6*(1-BEV_Annual_Efficiency_Improvement)</calculatedColumnFormula>
    </tableColumn>
  </tableColumns>
  <tableStyleInfo name="TableStyleMedium1" showFirstColumn="0" showLastColumn="0" showRowStripes="1" showColumnStripes="0"/>
  <extLst>
    <ext xmlns:x14="http://schemas.microsoft.com/office/spreadsheetml/2009/9/main" uri="{504A1905-F514-4f6f-8877-14C23A59335A}">
      <x14:table altText="DC Energy - CD AER Efficiency (Wh/mi)" altTextSummary="Direct Current (DC) Energy - Charge Depleting (CD) All-Electric Range (AER) Efficiency in WattHours per mile of all the different vehicle types on a year by year basis for BEV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087B2DA-1CFA-48F1-B470-39BA7D85020A}" name="Table4647" displayName="Table4647" ref="A19:M29" totalsRowShown="0" headerRowDxfId="46" dataDxfId="44" headerRowBorderDxfId="45" tableBorderDxfId="43">
  <tableColumns count="13">
    <tableColumn id="1" xr3:uid="{4763D262-0F82-4B20-97F8-A546F40AFDA3}" name="Vehicle Class" dataDxfId="42"/>
    <tableColumn id="3" xr3:uid="{34DA75DC-FBD2-476C-82D5-3D88643F72C5}" name="Tech Type" dataDxfId="41"/>
    <tableColumn id="4" xr3:uid="{419E7BAE-8F29-4F27-845B-9DE5DD3DB515}" name="2025" dataDxfId="40"/>
    <tableColumn id="5" xr3:uid="{ECB0D3A8-3B68-48D4-AB39-CABE98A3D1CB}" name="2026" dataDxfId="39">
      <calculatedColumnFormula>C20*(1-BEV_Annual_Efficiency_Improvement)</calculatedColumnFormula>
    </tableColumn>
    <tableColumn id="6" xr3:uid="{271C58D0-1B8E-4A19-A86F-2D318FDD0633}" name="2027" dataDxfId="38">
      <calculatedColumnFormula>D20*(1-BEV_Annual_Efficiency_Improvement)</calculatedColumnFormula>
    </tableColumn>
    <tableColumn id="7" xr3:uid="{25E644AD-9164-4FCC-BDF5-CB155BD21629}" name="2028" dataDxfId="37">
      <calculatedColumnFormula>E20*(1-BEV_Annual_Efficiency_Improvement)</calculatedColumnFormula>
    </tableColumn>
    <tableColumn id="8" xr3:uid="{A4572E97-FF6D-4462-8D95-51AFFA76EC84}" name="2029" dataDxfId="36">
      <calculatedColumnFormula>F20*(1-BEV_Annual_Efficiency_Improvement)</calculatedColumnFormula>
    </tableColumn>
    <tableColumn id="9" xr3:uid="{D8AE4DD0-9399-423B-B87E-B97BB8300B67}" name="2030" dataDxfId="35">
      <calculatedColumnFormula>G20*(1-BEV_Annual_Efficiency_Improvement)</calculatedColumnFormula>
    </tableColumn>
    <tableColumn id="10" xr3:uid="{EA5FA15C-165A-4D3D-872E-0AEBDCFA55EA}" name="2031" dataDxfId="34">
      <calculatedColumnFormula>H20*(1-BEV_Annual_Efficiency_Improvement)</calculatedColumnFormula>
    </tableColumn>
    <tableColumn id="11" xr3:uid="{2062C4BD-EEFF-4240-935E-EF850F2122F9}" name="2032" dataDxfId="33">
      <calculatedColumnFormula>I20*(1-BEV_Annual_Efficiency_Improvement)</calculatedColumnFormula>
    </tableColumn>
    <tableColumn id="12" xr3:uid="{BFB7CA07-6E46-4AB2-BEAA-FB4D22DACF94}" name="2033" dataDxfId="32">
      <calculatedColumnFormula>J20*(1-BEV_Annual_Efficiency_Improvement)</calculatedColumnFormula>
    </tableColumn>
    <tableColumn id="13" xr3:uid="{47D67ED7-7DBD-4D48-B434-5B50DEAEB21A}" name="2034" dataDxfId="31">
      <calculatedColumnFormula>K20*(1-BEV_Annual_Efficiency_Improvement)</calculatedColumnFormula>
    </tableColumn>
    <tableColumn id="14" xr3:uid="{5A531446-789A-45FB-BEAB-E9A8E3C1137E}" name="2035" dataDxfId="30">
      <calculatedColumnFormula>L20*(1-BEV_Annual_Efficiency_Improvement)</calculatedColumnFormula>
    </tableColumn>
  </tableColumns>
  <tableStyleInfo name="TableStyleMedium1" showFirstColumn="0" showLastColumn="0" showRowStripes="1" showColumnStripes="0"/>
  <extLst>
    <ext xmlns:x14="http://schemas.microsoft.com/office/spreadsheetml/2009/9/main" uri="{504A1905-F514-4f6f-8877-14C23A59335A}">
      <x14:table altText="DC Energy - CD AER Efficiency (Wh/mi)" altTextSummary="Direct Current (DC) Energy - Charge Depleting (CD) All-Electric Range (AER) Efficiency in WattHours per mile of all the different vehicle types on a year by year basis for BEV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69E7E15-334C-4AB0-AFEB-D68133756CE6}" name="Table4658" displayName="Table4658" ref="A33:M40" totalsRowShown="0" headerRowDxfId="29" dataDxfId="27" headerRowBorderDxfId="28" tableBorderDxfId="26">
  <tableColumns count="13">
    <tableColumn id="1" xr3:uid="{71539390-75F2-41A8-A360-6CBB6C979772}" name="Vehicle Class" dataDxfId="25" totalsRowDxfId="24"/>
    <tableColumn id="3" xr3:uid="{1B58B187-2A85-4320-8D18-ECCA315A9073}" name="Tech Type" dataDxfId="23" totalsRowDxfId="22"/>
    <tableColumn id="4" xr3:uid="{1B48F085-BD5F-46A2-8FEC-EA9D4FEDB4C4}" name="2025" dataDxfId="21" totalsRowDxfId="20"/>
    <tableColumn id="5" xr3:uid="{29B4A8A3-3381-40CB-8880-31DC6FE52236}" name="2026" dataDxfId="19" totalsRowDxfId="18">
      <calculatedColumnFormula>C34*(1-BEV_Annual_Efficiency_Improvement)</calculatedColumnFormula>
    </tableColumn>
    <tableColumn id="6" xr3:uid="{C0F43957-249D-47FE-83F4-D8C290C1CFC0}" name="2027" dataDxfId="17" totalsRowDxfId="16">
      <calculatedColumnFormula>D34*(1-BEV_Annual_Efficiency_Improvement)</calculatedColumnFormula>
    </tableColumn>
    <tableColumn id="7" xr3:uid="{0B508083-DE95-428B-B8A6-01ECB6060FC2}" name="2028" dataDxfId="15" totalsRowDxfId="14">
      <calculatedColumnFormula>E34*(1-BEV_Annual_Efficiency_Improvement)</calculatedColumnFormula>
    </tableColumn>
    <tableColumn id="8" xr3:uid="{F9B6A6DA-436D-4215-9A50-4AA1CA0BF719}" name="2029" dataDxfId="13" totalsRowDxfId="12">
      <calculatedColumnFormula>F34*(1-BEV_Annual_Efficiency_Improvement)</calculatedColumnFormula>
    </tableColumn>
    <tableColumn id="9" xr3:uid="{39137007-90CD-4B8F-9B88-DD39E59722F5}" name="2030" dataDxfId="11" totalsRowDxfId="10">
      <calculatedColumnFormula>G34*(1-BEV_Annual_Efficiency_Improvement)</calculatedColumnFormula>
    </tableColumn>
    <tableColumn id="10" xr3:uid="{720E3511-F9E6-482B-B329-6135EFBDD160}" name="2031" dataDxfId="9" totalsRowDxfId="8">
      <calculatedColumnFormula>H34*(1-BEV_Annual_Efficiency_Improvement)</calculatedColumnFormula>
    </tableColumn>
    <tableColumn id="11" xr3:uid="{76B6A3C5-A292-454C-9524-C4890CCB0557}" name="2032" dataDxfId="7" totalsRowDxfId="6">
      <calculatedColumnFormula>I34*(1-BEV_Annual_Efficiency_Improvement)</calculatedColumnFormula>
    </tableColumn>
    <tableColumn id="12" xr3:uid="{516C7E7C-D7BE-492F-A510-24AF883A124F}" name="2033" dataDxfId="5" totalsRowDxfId="4">
      <calculatedColumnFormula>J34*(1-BEV_Annual_Efficiency_Improvement)</calculatedColumnFormula>
    </tableColumn>
    <tableColumn id="13" xr3:uid="{295AFB2F-5938-49FE-BBC2-F217E3B838BC}" name="2034" dataDxfId="3" totalsRowDxfId="2">
      <calculatedColumnFormula>K34*(1-BEV_Annual_Efficiency_Improvement)</calculatedColumnFormula>
    </tableColumn>
    <tableColumn id="14" xr3:uid="{11FD51B2-8A30-4ABA-AB78-637B87D73EC9}" name="2035" dataDxfId="1" totalsRowDxfId="0">
      <calculatedColumnFormula>L34*(1-BEV_Annual_Efficiency_Improvement)</calculatedColumnFormula>
    </tableColumn>
  </tableColumns>
  <tableStyleInfo name="TableStyleMedium1" showFirstColumn="0" showLastColumn="0" showRowStripes="1" showColumnStripes="0"/>
  <extLst>
    <ext xmlns:x14="http://schemas.microsoft.com/office/spreadsheetml/2009/9/main" uri="{504A1905-F514-4f6f-8877-14C23A59335A}">
      <x14:table altText="DC Energy - CD AER Efficiency (Wh/mi)" altTextSummary="Direct Current (DC) Energy - Charge Depleting (CD) All-Electric Range (AER) Efficiency in WattHours per mile of all the different vehicle types on a year by year basis for BEV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drawing" Target="../drawings/drawing5.xml"/><Relationship Id="rId4" Type="http://schemas.openxmlformats.org/officeDocument/2006/relationships/table" Target="../tables/table3.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22"/>
  <sheetViews>
    <sheetView tabSelected="1" workbookViewId="0">
      <selection activeCell="A4" sqref="A4"/>
    </sheetView>
  </sheetViews>
  <sheetFormatPr baseColWidth="10" defaultColWidth="8.83203125" defaultRowHeight="15"/>
  <cols>
    <col min="1" max="1" width="30.1640625" customWidth="1"/>
    <col min="2" max="2" width="52.33203125" customWidth="1"/>
  </cols>
  <sheetData>
    <row r="1" spans="1:2" ht="17" thickBot="1">
      <c r="A1" s="47" t="s">
        <v>84</v>
      </c>
      <c r="B1" s="48" t="s">
        <v>85</v>
      </c>
    </row>
    <row r="2" spans="1:2" ht="32">
      <c r="A2" s="64" t="s">
        <v>86</v>
      </c>
      <c r="B2" s="49" t="s">
        <v>87</v>
      </c>
    </row>
    <row r="3" spans="1:2" ht="32">
      <c r="A3" s="64" t="s">
        <v>186</v>
      </c>
      <c r="B3" s="49" t="s">
        <v>194</v>
      </c>
    </row>
    <row r="4" spans="1:2" ht="48">
      <c r="A4" s="64" t="s">
        <v>185</v>
      </c>
      <c r="B4" s="49" t="s">
        <v>584</v>
      </c>
    </row>
    <row r="5" spans="1:2" ht="16">
      <c r="A5" s="64" t="s">
        <v>187</v>
      </c>
      <c r="B5" s="49" t="s">
        <v>195</v>
      </c>
    </row>
    <row r="6" spans="1:2" ht="16">
      <c r="A6" s="64" t="s">
        <v>188</v>
      </c>
      <c r="B6" s="49" t="s">
        <v>88</v>
      </c>
    </row>
    <row r="7" spans="1:2" ht="16">
      <c r="A7" s="64" t="s">
        <v>176</v>
      </c>
      <c r="B7" s="49" t="s">
        <v>196</v>
      </c>
    </row>
    <row r="8" spans="1:2" ht="16">
      <c r="A8" s="64" t="s">
        <v>177</v>
      </c>
      <c r="B8" s="49" t="s">
        <v>197</v>
      </c>
    </row>
    <row r="9" spans="1:2" ht="32">
      <c r="A9" s="64" t="s">
        <v>178</v>
      </c>
      <c r="B9" s="49" t="s">
        <v>426</v>
      </c>
    </row>
    <row r="10" spans="1:2" ht="16">
      <c r="A10" s="64" t="s">
        <v>189</v>
      </c>
      <c r="B10" s="49" t="s">
        <v>198</v>
      </c>
    </row>
    <row r="11" spans="1:2" ht="16">
      <c r="A11" s="64" t="s">
        <v>190</v>
      </c>
      <c r="B11" s="49" t="s">
        <v>199</v>
      </c>
    </row>
    <row r="12" spans="1:2" ht="16">
      <c r="A12" s="64" t="s">
        <v>294</v>
      </c>
      <c r="B12" s="49" t="s">
        <v>295</v>
      </c>
    </row>
    <row r="13" spans="1:2" ht="16">
      <c r="A13" s="64" t="s">
        <v>296</v>
      </c>
      <c r="B13" s="49" t="s">
        <v>297</v>
      </c>
    </row>
    <row r="14" spans="1:2" ht="16">
      <c r="A14" s="64" t="s">
        <v>368</v>
      </c>
      <c r="B14" s="49" t="s">
        <v>200</v>
      </c>
    </row>
    <row r="15" spans="1:2" ht="16">
      <c r="A15" s="64" t="s">
        <v>191</v>
      </c>
      <c r="B15" s="49" t="s">
        <v>201</v>
      </c>
    </row>
    <row r="16" spans="1:2" ht="48">
      <c r="A16" s="64" t="s">
        <v>89</v>
      </c>
      <c r="B16" s="49" t="s">
        <v>202</v>
      </c>
    </row>
    <row r="17" spans="1:2" ht="16">
      <c r="A17" s="64" t="s">
        <v>192</v>
      </c>
      <c r="B17" s="49" t="s">
        <v>90</v>
      </c>
    </row>
    <row r="18" spans="1:2" ht="16">
      <c r="A18" s="64" t="s">
        <v>193</v>
      </c>
      <c r="B18" s="49" t="s">
        <v>91</v>
      </c>
    </row>
    <row r="19" spans="1:2" ht="32">
      <c r="A19" s="64" t="s">
        <v>92</v>
      </c>
      <c r="B19" s="49" t="s">
        <v>203</v>
      </c>
    </row>
    <row r="20" spans="1:2" ht="32">
      <c r="A20" s="64" t="s">
        <v>93</v>
      </c>
      <c r="B20" s="49" t="s">
        <v>204</v>
      </c>
    </row>
    <row r="21" spans="1:2" ht="32">
      <c r="A21" s="64" t="s">
        <v>299</v>
      </c>
      <c r="B21" s="49" t="s">
        <v>300</v>
      </c>
    </row>
    <row r="22" spans="1:2" ht="17" thickBot="1">
      <c r="A22" s="65" t="s">
        <v>298</v>
      </c>
      <c r="B22" s="50" t="s">
        <v>483</v>
      </c>
    </row>
  </sheetData>
  <sheetProtection algorithmName="SHA-512" hashValue="0J6ffu9EIWTb4oHnOS1tRhHvenkLp3CzBSQYAa2QzPMUzwxGcHkAdp1JBZOWgggz3zRxuPQCMxlNXaY9zEAaDg==" saltValue="EHeDuVBf3D0bZYKJYpBUvg==" spinCount="100000" sheet="1" objects="1" scenarios="1"/>
  <hyperlinks>
    <hyperlink ref="A2" location="Key!A1" display="Key" xr:uid="{D250AEFF-B5B1-4C92-8706-148A340F6A8D}"/>
    <hyperlink ref="A3" location="Tables!A1" display="Tables" xr:uid="{F4400913-3021-4F3D-9212-34DA90D977E8}"/>
    <hyperlink ref="A4" location="'COBRA Summary'!A1" display="COBRA Summary" xr:uid="{4837D70E-C715-4300-AA12-DF24959EA45B}"/>
    <hyperlink ref="A6" location="'BAU Scenario'!A1" display="BAU Scenario" xr:uid="{3B1FB5A3-2D86-44FD-8E82-9BC3D8FA5253}"/>
    <hyperlink ref="A7" location="'ACC II - MY2026'!A1" display="ACC II - MY2026" xr:uid="{A4280297-54C9-4D35-A5DC-CD2AD227767A}"/>
    <hyperlink ref="A8" location="'ACC II - MY2027'!A1" display="ACC II - MY2027" xr:uid="{2E489D8C-A4D5-4276-9AA8-0CCF6DC2A62E}"/>
    <hyperlink ref="A9" location="'Federal GHG Rule'!A1" display="Federal GHG Rule" xr:uid="{BA46EE00-63A4-4F9E-8BA3-7EE849A3E41D}"/>
    <hyperlink ref="A11" location="'Fleet ZEV fractions'!A1" display="Fleet ZEV fractions" xr:uid="{CE2F0B63-F02C-48DF-9FA3-11E06A91741B}"/>
    <hyperlink ref="A14" location="'ZEV Population'!A1" display="ZEV Population" xr:uid="{B874E2A0-0155-4E4D-A6D5-6B34F65D2DF3}"/>
    <hyperlink ref="A15" location="'ZEV Sales'!A1" display="ZEV Sales" xr:uid="{ACB53F60-8EB4-436A-B9C6-DD538E94F46F}"/>
    <hyperlink ref="A16" location="'Combined MOVES output'!A1" display="Combined MOVES output" xr:uid="{9A5962ED-9C57-4B12-B073-9C1332E1D615}"/>
    <hyperlink ref="A17" location="'County Scale Output 2017-2040'!A1" display="County Scale Output 2017-2040" xr:uid="{6CA4E01D-E031-42F9-9B81-DF25998F8801}"/>
    <hyperlink ref="A18" location="'Default Output 2017-2040'!A1" display="Default Output 2017-2040" xr:uid="{F441BCFA-6A73-46FB-8358-00E21E77D5F8}"/>
    <hyperlink ref="A19" location="'Output Interpolation'!A1" display="Output interpolation" xr:uid="{BBFD16E5-1107-4F17-A8A0-77F8249AAACD}"/>
    <hyperlink ref="A20" location="'GREET factors'!A1" display="GREET factors" xr:uid="{16B5BF23-9B0B-429E-A968-90AE96F29672}"/>
    <hyperlink ref="A22" location="'Regional GREET factors'!A1" display="Regional GREET factors" xr:uid="{792A8141-797D-45D4-8E77-D84B58EA0F06}"/>
    <hyperlink ref="A21" location="'State grid data'!A1" display="State grid data" xr:uid="{F5A31515-D943-41E2-BB99-57C4C1B3AF48}"/>
    <hyperlink ref="A10" location="'ACC emissions benefits'!A1" display="ACC emissions benefits" xr:uid="{818294EC-0446-B043-9687-03900920082E}"/>
    <hyperlink ref="A5" location="'Emissions Summary'!A1" display="Emissions Summary" xr:uid="{46E9E050-613D-4AD7-9EE6-AAD4F2DF8178}"/>
    <hyperlink ref="A12" location="'CARB ZEV counts'!A1" display="CARB ZEV counts" xr:uid="{489B1E50-E993-4FA0-90DE-89E639EF8D82}"/>
    <hyperlink ref="A13" location="'ZEV efficiency'!A1" display="ZEV efficiency" xr:uid="{371785B5-4625-409B-835E-2CCC2A84C7B7}"/>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C13E6-3134-470E-B296-70B98398E383}">
  <sheetPr codeName="Sheet10"/>
  <dimension ref="A1:AB493"/>
  <sheetViews>
    <sheetView workbookViewId="0"/>
  </sheetViews>
  <sheetFormatPr baseColWidth="10" defaultColWidth="8.83203125" defaultRowHeight="15"/>
  <cols>
    <col min="3" max="3" width="11" customWidth="1"/>
    <col min="6" max="6" width="11" customWidth="1"/>
    <col min="11" max="11" width="10" customWidth="1"/>
    <col min="18" max="18" width="11.1640625" customWidth="1"/>
    <col min="19" max="20" width="12" bestFit="1" customWidth="1"/>
  </cols>
  <sheetData>
    <row r="1" spans="1:28">
      <c r="A1" s="2" t="s">
        <v>146</v>
      </c>
      <c r="P1" s="6"/>
    </row>
    <row r="2" spans="1:28">
      <c r="A2" s="29" t="s">
        <v>498</v>
      </c>
      <c r="F2" s="6"/>
      <c r="R2" s="6"/>
    </row>
    <row r="3" spans="1:28">
      <c r="A3" t="s">
        <v>499</v>
      </c>
      <c r="F3" s="6"/>
      <c r="R3" s="6"/>
    </row>
    <row r="4" spans="1:28">
      <c r="A4" s="29" t="s">
        <v>306</v>
      </c>
    </row>
    <row r="5" spans="1:28">
      <c r="A5" s="29"/>
    </row>
    <row r="6" spans="1:28">
      <c r="A6" s="70" t="s">
        <v>514</v>
      </c>
      <c r="D6" s="6"/>
      <c r="E6" s="6"/>
      <c r="K6" s="33" t="s">
        <v>511</v>
      </c>
      <c r="L6" s="33" t="s">
        <v>512</v>
      </c>
      <c r="O6" s="70" t="s">
        <v>413</v>
      </c>
      <c r="T6" s="6"/>
      <c r="X6" s="144" t="s">
        <v>218</v>
      </c>
    </row>
    <row r="7" spans="1:28">
      <c r="A7" s="70" t="s">
        <v>149</v>
      </c>
      <c r="D7" s="6"/>
      <c r="K7" s="33" t="s">
        <v>461</v>
      </c>
      <c r="L7" s="33" t="s">
        <v>461</v>
      </c>
      <c r="O7" s="138"/>
      <c r="P7" s="288" t="s">
        <v>209</v>
      </c>
      <c r="Q7" s="288"/>
      <c r="R7" s="288"/>
      <c r="S7" s="288"/>
      <c r="T7" s="288" t="s">
        <v>209</v>
      </c>
      <c r="U7" s="288"/>
      <c r="V7" s="288"/>
      <c r="W7" s="288"/>
      <c r="X7" s="288" t="s">
        <v>209</v>
      </c>
      <c r="Y7" s="288"/>
      <c r="Z7" s="288"/>
      <c r="AA7" s="288"/>
    </row>
    <row r="8" spans="1:28">
      <c r="A8" s="19" t="s">
        <v>0</v>
      </c>
      <c r="B8" t="s">
        <v>1</v>
      </c>
      <c r="C8" t="s">
        <v>2</v>
      </c>
      <c r="D8" s="29" t="s">
        <v>3</v>
      </c>
      <c r="E8" t="s">
        <v>22</v>
      </c>
      <c r="F8" t="s">
        <v>24</v>
      </c>
      <c r="G8" t="s">
        <v>115</v>
      </c>
      <c r="H8" t="s">
        <v>116</v>
      </c>
      <c r="I8" t="s">
        <v>117</v>
      </c>
      <c r="K8" s="33" t="s">
        <v>141</v>
      </c>
      <c r="L8" s="33" t="s">
        <v>141</v>
      </c>
      <c r="M8" s="33" t="s">
        <v>249</v>
      </c>
      <c r="O8" s="138"/>
      <c r="P8" s="288" t="s">
        <v>513</v>
      </c>
      <c r="Q8" s="288"/>
      <c r="R8" s="288"/>
      <c r="S8" s="288"/>
      <c r="T8" s="288" t="s">
        <v>210</v>
      </c>
      <c r="U8" s="288"/>
      <c r="V8" s="288"/>
      <c r="W8" s="288"/>
      <c r="X8" s="288" t="s">
        <v>220</v>
      </c>
      <c r="Y8" s="288"/>
      <c r="Z8" s="288"/>
      <c r="AA8" s="288"/>
    </row>
    <row r="9" spans="1:28">
      <c r="A9">
        <v>2025</v>
      </c>
      <c r="B9" s="33" t="s">
        <v>109</v>
      </c>
      <c r="C9">
        <v>0</v>
      </c>
      <c r="D9">
        <v>0</v>
      </c>
      <c r="E9" s="3">
        <v>0</v>
      </c>
      <c r="F9">
        <v>0</v>
      </c>
      <c r="G9">
        <v>0</v>
      </c>
      <c r="H9">
        <v>0</v>
      </c>
      <c r="I9">
        <v>0</v>
      </c>
      <c r="K9" s="60">
        <f>'CARB ZEV counts'!N24</f>
        <v>5.2787319162739099E-2</v>
      </c>
      <c r="L9" s="264">
        <f>'Fleet ZEV fractions'!AA17</f>
        <v>2.9253218866083331E-2</v>
      </c>
      <c r="M9" s="60">
        <f>K9/L9</f>
        <v>1.8044960933834737</v>
      </c>
      <c r="O9" s="139" t="s">
        <v>211</v>
      </c>
      <c r="P9" s="139" t="s">
        <v>42</v>
      </c>
      <c r="Q9" s="139" t="s">
        <v>212</v>
      </c>
      <c r="R9" s="139" t="s">
        <v>213</v>
      </c>
      <c r="S9" s="139" t="s">
        <v>3</v>
      </c>
      <c r="T9" s="139" t="s">
        <v>42</v>
      </c>
      <c r="U9" s="139" t="s">
        <v>212</v>
      </c>
      <c r="V9" s="139" t="s">
        <v>213</v>
      </c>
      <c r="W9" s="139" t="s">
        <v>3</v>
      </c>
      <c r="X9" s="139" t="s">
        <v>42</v>
      </c>
      <c r="Y9" s="139" t="s">
        <v>212</v>
      </c>
      <c r="Z9" s="139" t="s">
        <v>213</v>
      </c>
      <c r="AA9" s="139" t="s">
        <v>3</v>
      </c>
      <c r="AB9" s="6"/>
    </row>
    <row r="10" spans="1:28">
      <c r="A10">
        <v>2026</v>
      </c>
      <c r="B10" s="33" t="s">
        <v>109</v>
      </c>
      <c r="C10" s="143">
        <f>P10*M10</f>
        <v>6.2398196354323237E-3</v>
      </c>
      <c r="D10" s="143">
        <f>S10*M10</f>
        <v>1.3683475287035805E-2</v>
      </c>
      <c r="E10" s="3">
        <v>0</v>
      </c>
      <c r="F10" s="143">
        <f>Q10*M10</f>
        <v>4.4854659001515983E-3</v>
      </c>
      <c r="G10" s="143">
        <f>R10*M10</f>
        <v>3.3800269830022815E-3</v>
      </c>
      <c r="H10" s="60">
        <f>'CARB ZEV counts'!Q65*M10</f>
        <v>1.6216393317816616E-2</v>
      </c>
      <c r="I10" s="60">
        <f>H10</f>
        <v>1.6216393317816616E-2</v>
      </c>
      <c r="K10" s="60">
        <f>'CARB ZEV counts'!N25</f>
        <v>6.4089332068279783E-2</v>
      </c>
      <c r="L10" s="264">
        <f>'Fleet ZEV fractions'!AA18</f>
        <v>3.8693424311575082E-2</v>
      </c>
      <c r="M10" s="60">
        <f t="shared" ref="M10:M24" si="0">K10/L10</f>
        <v>1.6563365276799127</v>
      </c>
      <c r="O10" s="140">
        <v>2026</v>
      </c>
      <c r="P10" s="265">
        <v>3.7672414579739133E-3</v>
      </c>
      <c r="Q10" s="265">
        <v>2.70806434875559E-3</v>
      </c>
      <c r="R10" s="265">
        <v>2.0406643979148376E-3</v>
      </c>
      <c r="S10" s="265">
        <v>8.2612893324297554E-3</v>
      </c>
      <c r="T10" s="141">
        <v>138.58699611663516</v>
      </c>
      <c r="U10" s="141">
        <v>9.3266082916718709</v>
      </c>
      <c r="V10" s="141">
        <v>155.29487333222642</v>
      </c>
      <c r="W10" s="142">
        <v>375933.00810797774</v>
      </c>
      <c r="X10" s="141">
        <v>138.0649054393285</v>
      </c>
      <c r="Y10" s="141">
        <v>9.301351236262386</v>
      </c>
      <c r="Z10" s="141">
        <v>154.97796861303866</v>
      </c>
      <c r="AA10" s="142">
        <v>372827.31675838708</v>
      </c>
    </row>
    <row r="11" spans="1:28">
      <c r="A11">
        <v>2027</v>
      </c>
      <c r="B11" s="33" t="s">
        <v>109</v>
      </c>
      <c r="C11" s="143">
        <f t="shared" ref="C11:C24" si="1">P11*M11</f>
        <v>1.6366347148432547E-2</v>
      </c>
      <c r="D11" s="143">
        <f t="shared" ref="D11:D24" si="2">S11*M11</f>
        <v>3.6106659438353637E-2</v>
      </c>
      <c r="E11" s="3">
        <v>0</v>
      </c>
      <c r="F11" s="143">
        <f t="shared" ref="F11:F24" si="3">Q11*M11</f>
        <v>1.1452435309274091E-2</v>
      </c>
      <c r="G11" s="143">
        <f t="shared" ref="G11:G24" si="4">R11*M11</f>
        <v>9.4183045299774532E-3</v>
      </c>
      <c r="H11" s="60">
        <f>'CARB ZEV counts'!Q66*M11</f>
        <v>3.7934326715072075E-2</v>
      </c>
      <c r="I11" s="60">
        <f t="shared" ref="I11:I24" si="5">H11</f>
        <v>3.7934326715072075E-2</v>
      </c>
      <c r="K11" s="60">
        <f>'CARB ZEV counts'!N26</f>
        <v>7.5580722040675494E-2</v>
      </c>
      <c r="L11" s="264">
        <f>'Fleet ZEV fractions'!AA19</f>
        <v>4.8018048250547833E-2</v>
      </c>
      <c r="M11" s="60">
        <f t="shared" si="0"/>
        <v>1.5740065411720103</v>
      </c>
      <c r="O11" s="140">
        <v>2027</v>
      </c>
      <c r="P11" s="265">
        <v>1.0397890174106972E-2</v>
      </c>
      <c r="Q11" s="265">
        <v>7.27597694781279E-3</v>
      </c>
      <c r="R11" s="265">
        <v>5.9836501841755707E-3</v>
      </c>
      <c r="S11" s="265">
        <v>2.2939332521114242E-2</v>
      </c>
      <c r="T11" s="141">
        <v>127.2310138997864</v>
      </c>
      <c r="U11" s="141">
        <v>9.1921289818706047</v>
      </c>
      <c r="V11" s="141">
        <v>148.68337936527007</v>
      </c>
      <c r="W11" s="142">
        <v>366639.39819194184</v>
      </c>
      <c r="X11" s="141">
        <v>125.90807979051615</v>
      </c>
      <c r="Y11" s="141">
        <v>9.1252472632971919</v>
      </c>
      <c r="Z11" s="141">
        <v>147.79371003494722</v>
      </c>
      <c r="AA11" s="142">
        <v>358228.93512147566</v>
      </c>
    </row>
    <row r="12" spans="1:28">
      <c r="A12">
        <v>2028</v>
      </c>
      <c r="B12" s="33" t="s">
        <v>109</v>
      </c>
      <c r="C12" s="143">
        <f t="shared" si="1"/>
        <v>2.947437981978351E-2</v>
      </c>
      <c r="D12" s="143">
        <f t="shared" si="2"/>
        <v>6.488548211666148E-2</v>
      </c>
      <c r="E12" s="3">
        <v>0</v>
      </c>
      <c r="F12" s="143">
        <f t="shared" si="3"/>
        <v>2.0124930202649841E-2</v>
      </c>
      <c r="G12" s="143">
        <f t="shared" si="4"/>
        <v>1.7559405593058471E-2</v>
      </c>
      <c r="H12" s="60">
        <f>'CARB ZEV counts'!Q67*M12</f>
        <v>6.489796860809123E-2</v>
      </c>
      <c r="I12" s="60">
        <f t="shared" si="5"/>
        <v>6.489796860809123E-2</v>
      </c>
      <c r="K12" s="60">
        <f>'CARB ZEV counts'!N27</f>
        <v>8.6179522162499828E-2</v>
      </c>
      <c r="L12" s="264">
        <f>'Fleet ZEV fractions'!AA20</f>
        <v>5.7229480983163751E-2</v>
      </c>
      <c r="M12" s="60">
        <f t="shared" si="0"/>
        <v>1.505858880458008</v>
      </c>
      <c r="O12" s="140">
        <v>2028</v>
      </c>
      <c r="P12" s="265">
        <v>1.9573135439370559E-2</v>
      </c>
      <c r="Q12" s="265">
        <v>1.3364419776525693E-2</v>
      </c>
      <c r="R12" s="265">
        <v>1.1660724534637512E-2</v>
      </c>
      <c r="S12" s="265">
        <v>4.3088687099900436E-2</v>
      </c>
      <c r="T12" s="141">
        <v>117.29796929239372</v>
      </c>
      <c r="U12" s="141">
        <v>9.0508622063165092</v>
      </c>
      <c r="V12" s="141">
        <v>142.11047615146714</v>
      </c>
      <c r="W12" s="142">
        <v>357800.83030336339</v>
      </c>
      <c r="X12" s="141">
        <v>115.00208025267057</v>
      </c>
      <c r="Y12" s="141">
        <v>8.9299026844518039</v>
      </c>
      <c r="Z12" s="141">
        <v>140.45336503557871</v>
      </c>
      <c r="AA12" s="142">
        <v>342383.6622823372</v>
      </c>
    </row>
    <row r="13" spans="1:28">
      <c r="A13">
        <v>2029</v>
      </c>
      <c r="B13" s="33" t="s">
        <v>109</v>
      </c>
      <c r="C13" s="143">
        <f t="shared" si="1"/>
        <v>4.7361232783180399E-2</v>
      </c>
      <c r="D13" s="143">
        <f t="shared" si="2"/>
        <v>9.9545179224683158E-2</v>
      </c>
      <c r="E13" s="3">
        <v>0</v>
      </c>
      <c r="F13" s="143">
        <f t="shared" si="3"/>
        <v>3.0633686776871748E-2</v>
      </c>
      <c r="G13" s="143">
        <f t="shared" si="4"/>
        <v>2.91398877097356E-2</v>
      </c>
      <c r="H13" s="60">
        <f>'CARB ZEV counts'!Q68*M13</f>
        <v>9.8370135948195367E-2</v>
      </c>
      <c r="I13" s="60">
        <f t="shared" si="5"/>
        <v>9.8370135948195367E-2</v>
      </c>
      <c r="K13" s="60">
        <f>'CARB ZEV counts'!N28</f>
        <v>9.7753266410346082E-2</v>
      </c>
      <c r="L13" s="264">
        <f>'Fleet ZEV fractions'!AA21</f>
        <v>6.6330022092642743E-2</v>
      </c>
      <c r="M13" s="60">
        <f t="shared" si="0"/>
        <v>1.4737408993142604</v>
      </c>
      <c r="O13" s="140">
        <v>2029</v>
      </c>
      <c r="P13" s="265">
        <v>3.2136743171895299E-2</v>
      </c>
      <c r="Q13" s="265">
        <v>2.0786345002113849E-2</v>
      </c>
      <c r="R13" s="265">
        <v>1.9772734626076094E-2</v>
      </c>
      <c r="S13" s="265">
        <v>6.754591615866945E-2</v>
      </c>
      <c r="T13" s="141">
        <v>108.59988762342687</v>
      </c>
      <c r="U13" s="141">
        <v>8.9075889628798972</v>
      </c>
      <c r="V13" s="141">
        <v>134.88655988598353</v>
      </c>
      <c r="W13" s="142">
        <v>349626.35703916679</v>
      </c>
      <c r="X13" s="141">
        <v>105.10984092637611</v>
      </c>
      <c r="Y13" s="141">
        <v>8.7224327455604538</v>
      </c>
      <c r="Z13" s="141">
        <v>132.21948373273366</v>
      </c>
      <c r="AA13" s="142">
        <v>326010.52443973819</v>
      </c>
    </row>
    <row r="14" spans="1:28">
      <c r="A14">
        <v>2030</v>
      </c>
      <c r="B14" s="33" t="s">
        <v>109</v>
      </c>
      <c r="C14" s="143">
        <f t="shared" si="1"/>
        <v>6.9392948242798E-2</v>
      </c>
      <c r="D14" s="143">
        <f t="shared" si="2"/>
        <v>0.14027429004947553</v>
      </c>
      <c r="E14" s="3">
        <v>0</v>
      </c>
      <c r="F14" s="143">
        <f t="shared" si="3"/>
        <v>4.2828084868222642E-2</v>
      </c>
      <c r="G14" s="143">
        <f t="shared" si="4"/>
        <v>4.3049423493929068E-2</v>
      </c>
      <c r="H14" s="60">
        <f>'CARB ZEV counts'!Q69*M14</f>
        <v>0.13666713355962531</v>
      </c>
      <c r="I14" s="60">
        <f t="shared" si="5"/>
        <v>0.13666713355962531</v>
      </c>
      <c r="K14" s="60">
        <f>'CARB ZEV counts'!N29</f>
        <v>0.10770155714763756</v>
      </c>
      <c r="L14" s="264">
        <f>'Fleet ZEV fractions'!AA22</f>
        <v>7.5321884708437994E-2</v>
      </c>
      <c r="M14" s="60">
        <f t="shared" si="0"/>
        <v>1.4298839914128199</v>
      </c>
      <c r="O14" s="140">
        <v>2030</v>
      </c>
      <c r="P14" s="265">
        <v>4.8530474261924694E-2</v>
      </c>
      <c r="Q14" s="265">
        <v>2.9952139561969404E-2</v>
      </c>
      <c r="R14" s="265">
        <v>3.010693437541978E-2</v>
      </c>
      <c r="S14" s="265">
        <v>9.8101867628348827E-2</v>
      </c>
      <c r="T14" s="141">
        <v>100.91098466269662</v>
      </c>
      <c r="U14" s="141">
        <v>8.76716694609512</v>
      </c>
      <c r="V14" s="141">
        <v>128.84832001074483</v>
      </c>
      <c r="W14" s="142">
        <v>342056.57430707337</v>
      </c>
      <c r="X14" s="141">
        <v>96.013726718778145</v>
      </c>
      <c r="Y14" s="141">
        <v>8.5045715381625939</v>
      </c>
      <c r="Z14" s="141">
        <v>124.96909209579825</v>
      </c>
      <c r="AA14" s="142">
        <v>308500.18553299439</v>
      </c>
    </row>
    <row r="15" spans="1:28">
      <c r="A15">
        <v>2031</v>
      </c>
      <c r="B15" s="33" t="s">
        <v>109</v>
      </c>
      <c r="C15" s="143">
        <f t="shared" si="1"/>
        <v>9.6008153656041179E-2</v>
      </c>
      <c r="D15" s="143">
        <f t="shared" si="2"/>
        <v>0.18793275600105683</v>
      </c>
      <c r="E15" s="3">
        <v>0</v>
      </c>
      <c r="F15" s="143">
        <f t="shared" si="3"/>
        <v>5.6540296550339326E-2</v>
      </c>
      <c r="G15" s="143">
        <f t="shared" si="4"/>
        <v>5.9272368506088149E-2</v>
      </c>
      <c r="H15" s="60">
        <f>'CARB ZEV counts'!Q70*M15</f>
        <v>0.17881109780598595</v>
      </c>
      <c r="I15" s="60">
        <f t="shared" si="5"/>
        <v>0.17881109780598595</v>
      </c>
      <c r="K15" s="60">
        <f>'CARB ZEV counts'!N30</f>
        <v>0.11722582033992886</v>
      </c>
      <c r="L15" s="264">
        <f>'Fleet ZEV fractions'!AA23</f>
        <v>8.4405729995164158E-2</v>
      </c>
      <c r="M15" s="60">
        <f t="shared" si="0"/>
        <v>1.3888372311529686</v>
      </c>
      <c r="O15" s="140">
        <v>2031</v>
      </c>
      <c r="P15" s="265">
        <v>6.9128441765877957E-2</v>
      </c>
      <c r="Q15" s="265">
        <v>4.0710527686099951E-2</v>
      </c>
      <c r="R15" s="265">
        <v>4.2677692660126998E-2</v>
      </c>
      <c r="S15" s="265">
        <v>0.13531661722881738</v>
      </c>
      <c r="T15" s="141">
        <v>94.063543289881423</v>
      </c>
      <c r="U15" s="141">
        <v>8.6360770195287326</v>
      </c>
      <c r="V15" s="141">
        <v>123.47073682804725</v>
      </c>
      <c r="W15" s="142">
        <v>335060.89929365198</v>
      </c>
      <c r="X15" s="141">
        <v>87.561077115274713</v>
      </c>
      <c r="Y15" s="141">
        <v>8.2844977669259166</v>
      </c>
      <c r="Z15" s="141">
        <v>118.20129066918042</v>
      </c>
      <c r="AA15" s="142">
        <v>289721.59183558956</v>
      </c>
    </row>
    <row r="16" spans="1:28">
      <c r="A16">
        <v>2032</v>
      </c>
      <c r="B16" s="33" t="s">
        <v>109</v>
      </c>
      <c r="C16" s="143">
        <f t="shared" si="1"/>
        <v>0.12673888161036742</v>
      </c>
      <c r="D16" s="143">
        <f t="shared" si="2"/>
        <v>0.2396557452324212</v>
      </c>
      <c r="E16" s="3">
        <v>0</v>
      </c>
      <c r="F16" s="143">
        <f t="shared" si="3"/>
        <v>7.122548394286371E-2</v>
      </c>
      <c r="G16" s="143">
        <f t="shared" si="4"/>
        <v>7.6976099892241412E-2</v>
      </c>
      <c r="H16" s="60">
        <f>'CARB ZEV counts'!Q71*M16</f>
        <v>0.22251932568746982</v>
      </c>
      <c r="I16" s="60">
        <f t="shared" si="5"/>
        <v>0.22251932568746982</v>
      </c>
      <c r="K16" s="60">
        <f>'CARB ZEV counts'!N31</f>
        <v>0.12629478463698698</v>
      </c>
      <c r="L16" s="264">
        <f>'Fleet ZEV fractions'!AA24</f>
        <v>9.3454356792291193E-2</v>
      </c>
      <c r="M16" s="60">
        <f t="shared" si="0"/>
        <v>1.3514060657191822</v>
      </c>
      <c r="O16" s="140">
        <v>2032</v>
      </c>
      <c r="P16" s="265">
        <v>9.3782975247280964E-2</v>
      </c>
      <c r="Q16" s="265">
        <v>5.2704724175527073E-2</v>
      </c>
      <c r="R16" s="265">
        <v>5.696000768745757E-2</v>
      </c>
      <c r="S16" s="265">
        <v>0.17733807129604884</v>
      </c>
      <c r="T16" s="141">
        <v>88.062560663912663</v>
      </c>
      <c r="U16" s="141">
        <v>8.5101922523093041</v>
      </c>
      <c r="V16" s="141">
        <v>119.26235962096919</v>
      </c>
      <c r="W16" s="142">
        <v>328668.19127430569</v>
      </c>
      <c r="X16" s="141">
        <v>79.803791716956766</v>
      </c>
      <c r="Y16" s="141">
        <v>8.0616649169706349</v>
      </c>
      <c r="Z16" s="141">
        <v>112.46917470013446</v>
      </c>
      <c r="AA16" s="142">
        <v>270382.80813735945</v>
      </c>
    </row>
    <row r="17" spans="1:27">
      <c r="A17">
        <v>2033</v>
      </c>
      <c r="B17" s="33" t="s">
        <v>109</v>
      </c>
      <c r="C17" s="143">
        <f t="shared" si="1"/>
        <v>0.16086496067650546</v>
      </c>
      <c r="D17" s="143">
        <f t="shared" si="2"/>
        <v>0.29338491615730738</v>
      </c>
      <c r="E17" s="3">
        <v>0</v>
      </c>
      <c r="F17" s="143">
        <f t="shared" si="3"/>
        <v>8.6535320797550247E-2</v>
      </c>
      <c r="G17" s="143">
        <f t="shared" si="4"/>
        <v>9.5788791124678446E-2</v>
      </c>
      <c r="H17" s="60">
        <f>'CARB ZEV counts'!Q72*M17</f>
        <v>0.26650250278644194</v>
      </c>
      <c r="I17" s="60">
        <f t="shared" si="5"/>
        <v>0.26650250278644194</v>
      </c>
      <c r="K17" s="60">
        <f>'CARB ZEV counts'!N32</f>
        <v>0.13432326202068065</v>
      </c>
      <c r="L17" s="264">
        <f>'Fleet ZEV fractions'!AA25</f>
        <v>0.10246882107806769</v>
      </c>
      <c r="M17" s="60">
        <f t="shared" si="0"/>
        <v>1.310869595331287</v>
      </c>
      <c r="O17" s="140">
        <v>2033</v>
      </c>
      <c r="P17" s="265">
        <v>0.12271621925585297</v>
      </c>
      <c r="Q17" s="265">
        <v>6.6013676040507119E-2</v>
      </c>
      <c r="R17" s="265">
        <v>7.3072707968690365E-2</v>
      </c>
      <c r="S17" s="265">
        <v>0.22380938363526715</v>
      </c>
      <c r="T17" s="141">
        <v>82.775819125419829</v>
      </c>
      <c r="U17" s="141">
        <v>8.3889579432495651</v>
      </c>
      <c r="V17" s="141">
        <v>115.50678783402272</v>
      </c>
      <c r="W17" s="142">
        <v>322835.29823803843</v>
      </c>
      <c r="X17" s="141">
        <v>72.617883556541983</v>
      </c>
      <c r="Y17" s="141">
        <v>7.8351719912664493</v>
      </c>
      <c r="Z17" s="141">
        <v>107.0663940582257</v>
      </c>
      <c r="AA17" s="142">
        <v>250581.72912367541</v>
      </c>
    </row>
    <row r="18" spans="1:27">
      <c r="A18">
        <v>2034</v>
      </c>
      <c r="B18" s="33" t="s">
        <v>109</v>
      </c>
      <c r="C18" s="143">
        <f t="shared" si="1"/>
        <v>0.19855689227431045</v>
      </c>
      <c r="D18" s="143">
        <f t="shared" si="2"/>
        <v>0.35167291467330752</v>
      </c>
      <c r="E18" s="3">
        <v>0</v>
      </c>
      <c r="F18" s="143">
        <f t="shared" si="3"/>
        <v>0.10226213868073401</v>
      </c>
      <c r="G18" s="143">
        <f t="shared" si="4"/>
        <v>0.11639684244516676</v>
      </c>
      <c r="H18" s="60">
        <f>'CARB ZEV counts'!Q73*M18</f>
        <v>0.31120070346404638</v>
      </c>
      <c r="I18" s="60">
        <f t="shared" si="5"/>
        <v>0.31120070346404638</v>
      </c>
      <c r="K18" s="60">
        <f>'CARB ZEV counts'!N33</f>
        <v>0.1418395665517862</v>
      </c>
      <c r="L18" s="264">
        <f>'Fleet ZEV fractions'!AA26</f>
        <v>0.11145014815685043</v>
      </c>
      <c r="M18" s="60">
        <f t="shared" si="0"/>
        <v>1.2726727500816502</v>
      </c>
      <c r="O18" s="140">
        <v>2034</v>
      </c>
      <c r="P18" s="265">
        <v>0.1560156703768284</v>
      </c>
      <c r="Q18" s="265">
        <v>8.0352265477651841E-2</v>
      </c>
      <c r="R18" s="265">
        <v>9.1458579935571938E-2</v>
      </c>
      <c r="S18" s="265">
        <v>0.27632627055992631</v>
      </c>
      <c r="T18" s="141">
        <v>78.098066082154574</v>
      </c>
      <c r="U18" s="141">
        <v>8.2652907062989662</v>
      </c>
      <c r="V18" s="141">
        <v>111.49052960513755</v>
      </c>
      <c r="W18" s="142">
        <v>317456.57391545404</v>
      </c>
      <c r="X18" s="141">
        <v>65.913543947213384</v>
      </c>
      <c r="Y18" s="141">
        <v>7.601155873216463</v>
      </c>
      <c r="Z18" s="141">
        <v>101.29376409118683</v>
      </c>
      <c r="AA18" s="142">
        <v>229734.98278066504</v>
      </c>
    </row>
    <row r="19" spans="1:27">
      <c r="A19">
        <v>2035</v>
      </c>
      <c r="B19" s="33" t="s">
        <v>109</v>
      </c>
      <c r="C19" s="143">
        <f t="shared" si="1"/>
        <v>0.23954920224374215</v>
      </c>
      <c r="D19" s="143">
        <f t="shared" si="2"/>
        <v>0.41150696715435309</v>
      </c>
      <c r="E19" s="3">
        <v>0</v>
      </c>
      <c r="F19" s="143">
        <f t="shared" si="3"/>
        <v>0.11836455341563934</v>
      </c>
      <c r="G19" s="143">
        <f t="shared" si="4"/>
        <v>0.13761487931069946</v>
      </c>
      <c r="H19" s="60">
        <f>'CARB ZEV counts'!Q74*M19</f>
        <v>0.35520081298033457</v>
      </c>
      <c r="I19" s="60">
        <f t="shared" si="5"/>
        <v>0.35520081298033457</v>
      </c>
      <c r="K19" s="60">
        <f>'CARB ZEV counts'!N34</f>
        <v>0.14881949851245854</v>
      </c>
      <c r="L19" s="264">
        <f>'Fleet ZEV fractions'!AA27</f>
        <v>0.12039933376483782</v>
      </c>
      <c r="M19" s="60">
        <f t="shared" si="0"/>
        <v>1.2360491861452536</v>
      </c>
      <c r="O19" s="140">
        <v>2035</v>
      </c>
      <c r="P19" s="265">
        <v>0.19380232188882462</v>
      </c>
      <c r="Q19" s="265">
        <v>9.5760391044608317E-2</v>
      </c>
      <c r="R19" s="265">
        <v>0.11133446860627416</v>
      </c>
      <c r="S19" s="265">
        <v>0.33292119097434936</v>
      </c>
      <c r="T19" s="141">
        <v>73.905374443095312</v>
      </c>
      <c r="U19" s="141">
        <v>8.1412756679400111</v>
      </c>
      <c r="V19" s="141">
        <v>107.91461244327141</v>
      </c>
      <c r="W19" s="142">
        <v>312566.38375459169</v>
      </c>
      <c r="X19" s="141">
        <v>59.582341275960445</v>
      </c>
      <c r="Y19" s="141">
        <v>7.3616639263761208</v>
      </c>
      <c r="Z19" s="141">
        <v>95.89999641204777</v>
      </c>
      <c r="AA19" s="142">
        <v>208506.41101646749</v>
      </c>
    </row>
    <row r="20" spans="1:27">
      <c r="A20">
        <v>2036</v>
      </c>
      <c r="B20" s="33" t="s">
        <v>109</v>
      </c>
      <c r="C20" s="143">
        <f t="shared" si="1"/>
        <v>0.28247228473170954</v>
      </c>
      <c r="D20" s="143">
        <f t="shared" si="2"/>
        <v>0.46737498250095666</v>
      </c>
      <c r="E20" s="3">
        <v>0</v>
      </c>
      <c r="F20" s="143">
        <f t="shared" si="3"/>
        <v>0.13359956109666246</v>
      </c>
      <c r="G20" s="143">
        <f t="shared" si="4"/>
        <v>0.16014511873551504</v>
      </c>
      <c r="H20" s="60">
        <f>'CARB ZEV counts'!Q75*M20</f>
        <v>0.3955031145066451</v>
      </c>
      <c r="I20" s="60">
        <f t="shared" si="5"/>
        <v>0.3955031145066451</v>
      </c>
      <c r="K20" s="60">
        <f>'CARB ZEV counts'!N35</f>
        <v>0.15564313994187848</v>
      </c>
      <c r="L20" s="264">
        <f>'Fleet ZEV fractions'!AA28</f>
        <v>0.12929655634338094</v>
      </c>
      <c r="M20" s="60">
        <f t="shared" si="0"/>
        <v>1.2037686412043895</v>
      </c>
      <c r="O20" s="140">
        <v>2036</v>
      </c>
      <c r="P20" s="265">
        <v>0.23465662342648463</v>
      </c>
      <c r="Q20" s="265">
        <v>0.11098441720744112</v>
      </c>
      <c r="R20" s="265">
        <v>0.13303646004209524</v>
      </c>
      <c r="S20" s="265">
        <v>0.38825980882284872</v>
      </c>
      <c r="T20" s="141">
        <v>70.20411193179271</v>
      </c>
      <c r="U20" s="141">
        <v>8.0340673204013182</v>
      </c>
      <c r="V20" s="141">
        <v>104.72146075683742</v>
      </c>
      <c r="W20" s="142">
        <v>308274.68971425877</v>
      </c>
      <c r="X20" s="141">
        <v>53.730252075223248</v>
      </c>
      <c r="Y20" s="141">
        <v>7.14241104104123</v>
      </c>
      <c r="Z20" s="141">
        <v>90.789688327310571</v>
      </c>
      <c r="AA20" s="142">
        <v>188584.01762087765</v>
      </c>
    </row>
    <row r="21" spans="1:27">
      <c r="A21">
        <v>2037</v>
      </c>
      <c r="B21" s="33" t="s">
        <v>109</v>
      </c>
      <c r="C21" s="143">
        <f t="shared" si="1"/>
        <v>0.32503817710785043</v>
      </c>
      <c r="D21" s="143">
        <f t="shared" si="2"/>
        <v>0.51579380301462374</v>
      </c>
      <c r="E21" s="3">
        <v>0</v>
      </c>
      <c r="F21" s="143">
        <f t="shared" si="3"/>
        <v>0.14682508650143028</v>
      </c>
      <c r="G21" s="143">
        <f t="shared" si="4"/>
        <v>0.18149845487237423</v>
      </c>
      <c r="H21" s="60">
        <f>'CARB ZEV counts'!Q76*M21</f>
        <v>0.43017451678437496</v>
      </c>
      <c r="I21" s="60">
        <f t="shared" si="5"/>
        <v>0.43017451678437496</v>
      </c>
      <c r="K21" s="60">
        <f>'CARB ZEV counts'!N36</f>
        <v>0.16148796043984739</v>
      </c>
      <c r="L21" s="264">
        <f>'Fleet ZEV fractions'!AA29</f>
        <v>0.13813207076041464</v>
      </c>
      <c r="M21" s="60">
        <f t="shared" si="0"/>
        <v>1.1690837583977347</v>
      </c>
      <c r="O21" s="140">
        <v>2037</v>
      </c>
      <c r="P21" s="265">
        <v>0.2780281350870234</v>
      </c>
      <c r="Q21" s="265">
        <v>0.12558987792513565</v>
      </c>
      <c r="R21" s="265">
        <v>0.15524846151410354</v>
      </c>
      <c r="S21" s="265">
        <v>0.44119490952601637</v>
      </c>
      <c r="T21" s="141">
        <v>66.924428734333446</v>
      </c>
      <c r="U21" s="141">
        <v>7.9324012340853294</v>
      </c>
      <c r="V21" s="141">
        <v>102.25130817074364</v>
      </c>
      <c r="W21" s="142">
        <v>304516.57151557988</v>
      </c>
      <c r="X21" s="141">
        <v>48.317554621562316</v>
      </c>
      <c r="Y21" s="141">
        <v>6.9361719314433579</v>
      </c>
      <c r="Z21" s="141">
        <v>86.376949889431202</v>
      </c>
      <c r="AA21" s="142">
        <v>170165.41029659094</v>
      </c>
    </row>
    <row r="22" spans="1:27">
      <c r="A22">
        <v>2038</v>
      </c>
      <c r="B22" s="33" t="s">
        <v>109</v>
      </c>
      <c r="C22" s="143">
        <f t="shared" si="1"/>
        <v>0.36712587279547498</v>
      </c>
      <c r="D22" s="143">
        <f t="shared" si="2"/>
        <v>0.55785780648014838</v>
      </c>
      <c r="E22" s="3">
        <v>0</v>
      </c>
      <c r="F22" s="143">
        <f t="shared" si="3"/>
        <v>0.15898437439180252</v>
      </c>
      <c r="G22" s="143">
        <f t="shared" si="4"/>
        <v>0.20390290442625586</v>
      </c>
      <c r="H22" s="60">
        <f>'CARB ZEV counts'!Q77*M22</f>
        <v>0.46037734452609652</v>
      </c>
      <c r="I22" s="60">
        <f t="shared" si="5"/>
        <v>0.46037734452609652</v>
      </c>
      <c r="K22" s="60">
        <f>'CARB ZEV counts'!N37</f>
        <v>0.16676140134679324</v>
      </c>
      <c r="L22" s="264">
        <f>'Fleet ZEV fractions'!AA30</f>
        <v>0.14690716593526387</v>
      </c>
      <c r="M22" s="60">
        <f t="shared" si="0"/>
        <v>1.1351481752787902</v>
      </c>
      <c r="O22" s="140">
        <v>2038</v>
      </c>
      <c r="P22" s="265">
        <v>0.32341669641966309</v>
      </c>
      <c r="Q22" s="265">
        <v>0.14005605422636236</v>
      </c>
      <c r="R22" s="265">
        <v>0.17962668563174822</v>
      </c>
      <c r="S22" s="265">
        <v>0.49144051730791849</v>
      </c>
      <c r="T22" s="141">
        <v>63.996308907900726</v>
      </c>
      <c r="U22" s="141">
        <v>7.8480716468633585</v>
      </c>
      <c r="V22" s="141">
        <v>99.239791765198476</v>
      </c>
      <c r="W22" s="142">
        <v>301209.32241688453</v>
      </c>
      <c r="X22" s="141">
        <v>43.298834097855213</v>
      </c>
      <c r="Y22" s="141">
        <v>6.7489016987178871</v>
      </c>
      <c r="Z22" s="141">
        <v>81.413676887631013</v>
      </c>
      <c r="AA22" s="142">
        <v>153182.8571903632</v>
      </c>
    </row>
    <row r="23" spans="1:27">
      <c r="A23">
        <v>2039</v>
      </c>
      <c r="B23" s="33" t="s">
        <v>109</v>
      </c>
      <c r="C23" s="143">
        <f t="shared" si="1"/>
        <v>0.40859306269339835</v>
      </c>
      <c r="D23" s="143">
        <f t="shared" si="2"/>
        <v>0.59362612194296072</v>
      </c>
      <c r="E23" s="3">
        <v>0</v>
      </c>
      <c r="F23" s="143">
        <f t="shared" si="3"/>
        <v>0.16911089696030143</v>
      </c>
      <c r="G23" s="143">
        <f t="shared" si="4"/>
        <v>0.22735655892747528</v>
      </c>
      <c r="H23" s="60">
        <f>'CARB ZEV counts'!Q78*M23</f>
        <v>0.4863357779929619</v>
      </c>
      <c r="I23" s="60">
        <f t="shared" si="5"/>
        <v>0.4863357779929619</v>
      </c>
      <c r="K23" s="60">
        <f>'CARB ZEV counts'!N38</f>
        <v>0.17149228521211091</v>
      </c>
      <c r="L23" s="264">
        <f>'Fleet ZEV fractions'!AA31</f>
        <v>0.15562309513932288</v>
      </c>
      <c r="M23" s="60">
        <f t="shared" si="0"/>
        <v>1.1019719474065273</v>
      </c>
      <c r="O23" s="140">
        <v>2039</v>
      </c>
      <c r="P23" s="265">
        <v>0.37078354277077141</v>
      </c>
      <c r="Q23" s="265">
        <v>0.15346207075261864</v>
      </c>
      <c r="R23" s="265">
        <v>0.20631791894753326</v>
      </c>
      <c r="S23" s="265">
        <v>0.5386944044628813</v>
      </c>
      <c r="T23" s="141">
        <v>61.306533545291607</v>
      </c>
      <c r="U23" s="141">
        <v>7.7650888204016635</v>
      </c>
      <c r="V23" s="141">
        <v>95.839327942750785</v>
      </c>
      <c r="W23" s="142">
        <v>298422.51952566614</v>
      </c>
      <c r="X23" s="141">
        <v>38.575079842373242</v>
      </c>
      <c r="Y23" s="141">
        <v>6.5734422104448154</v>
      </c>
      <c r="Z23" s="141">
        <v>76.065957248272269</v>
      </c>
      <c r="AA23" s="142">
        <v>137663.97809147486</v>
      </c>
    </row>
    <row r="24" spans="1:27">
      <c r="A24">
        <v>2040</v>
      </c>
      <c r="B24" s="33" t="s">
        <v>109</v>
      </c>
      <c r="C24" s="143">
        <f t="shared" si="1"/>
        <v>0.44780094310893337</v>
      </c>
      <c r="D24" s="143">
        <f t="shared" si="2"/>
        <v>0.62324594726879179</v>
      </c>
      <c r="E24" s="3">
        <v>0</v>
      </c>
      <c r="F24" s="143">
        <f t="shared" si="3"/>
        <v>0.17769362972777653</v>
      </c>
      <c r="G24" s="143">
        <f t="shared" si="4"/>
        <v>0.25246296255107975</v>
      </c>
      <c r="H24" s="60">
        <f>'CARB ZEV counts'!Q79*M24</f>
        <v>0.50811008985972472</v>
      </c>
      <c r="I24" s="60">
        <f t="shared" si="5"/>
        <v>0.50811008985972472</v>
      </c>
      <c r="K24" s="60">
        <f>'CARB ZEV counts'!N39</f>
        <v>0.17568933934234149</v>
      </c>
      <c r="L24" s="264">
        <f>'Fleet ZEV fractions'!AA32</f>
        <v>0.16428107721999591</v>
      </c>
      <c r="M24" s="60">
        <f t="shared" si="0"/>
        <v>1.0694435556145536</v>
      </c>
      <c r="O24" s="140">
        <v>2040</v>
      </c>
      <c r="P24" s="265">
        <v>0.41872330779683409</v>
      </c>
      <c r="Q24" s="265">
        <v>0.16615522043673003</v>
      </c>
      <c r="R24" s="265">
        <v>0.23606945988468031</v>
      </c>
      <c r="S24" s="265">
        <v>0.58277591556540331</v>
      </c>
      <c r="T24" s="141">
        <v>58.961173387528028</v>
      </c>
      <c r="U24" s="141">
        <v>7.6908781700882267</v>
      </c>
      <c r="V24" s="141">
        <v>91.9687426155308</v>
      </c>
      <c r="W24" s="142">
        <v>296042.90847056225</v>
      </c>
      <c r="X24" s="141">
        <v>34.272755835119625</v>
      </c>
      <c r="Y24" s="141">
        <v>6.4129986123851825</v>
      </c>
      <c r="Z24" s="141">
        <v>70.257731220009262</v>
      </c>
      <c r="AA24" s="142">
        <v>123516.23143998545</v>
      </c>
    </row>
    <row r="26" spans="1:27">
      <c r="A26" s="2" t="s">
        <v>150</v>
      </c>
      <c r="O26" s="163"/>
    </row>
    <row r="27" spans="1:27">
      <c r="A27" t="s">
        <v>0</v>
      </c>
      <c r="B27" t="s">
        <v>1</v>
      </c>
      <c r="C27" t="s">
        <v>2</v>
      </c>
      <c r="D27" t="s">
        <v>3</v>
      </c>
      <c r="E27" t="s">
        <v>22</v>
      </c>
      <c r="F27" t="s">
        <v>24</v>
      </c>
      <c r="G27" t="s">
        <v>115</v>
      </c>
      <c r="H27" t="s">
        <v>116</v>
      </c>
      <c r="I27" t="s">
        <v>117</v>
      </c>
      <c r="O27" t="s">
        <v>442</v>
      </c>
    </row>
    <row r="28" spans="1:27">
      <c r="A28">
        <v>2025</v>
      </c>
      <c r="B28" t="s">
        <v>109</v>
      </c>
      <c r="C28">
        <v>0</v>
      </c>
      <c r="D28">
        <v>0</v>
      </c>
      <c r="E28" s="3">
        <v>0</v>
      </c>
      <c r="F28">
        <v>0</v>
      </c>
      <c r="G28">
        <v>0</v>
      </c>
      <c r="H28">
        <v>0</v>
      </c>
      <c r="I28">
        <v>0</v>
      </c>
      <c r="O28" t="s">
        <v>0</v>
      </c>
      <c r="P28" t="s">
        <v>439</v>
      </c>
      <c r="Q28" t="s">
        <v>440</v>
      </c>
      <c r="R28" t="s">
        <v>441</v>
      </c>
      <c r="S28" t="s">
        <v>49</v>
      </c>
      <c r="T28" t="s">
        <v>443</v>
      </c>
      <c r="U28" t="s">
        <v>444</v>
      </c>
      <c r="X28" t="s">
        <v>445</v>
      </c>
    </row>
    <row r="29" spans="1:27">
      <c r="A29">
        <v>2026</v>
      </c>
      <c r="B29" t="s">
        <v>109</v>
      </c>
      <c r="C29">
        <v>0</v>
      </c>
      <c r="D29">
        <v>0</v>
      </c>
      <c r="E29" s="3">
        <v>0</v>
      </c>
      <c r="F29">
        <v>0</v>
      </c>
      <c r="G29">
        <v>0</v>
      </c>
      <c r="H29">
        <v>0</v>
      </c>
      <c r="I29">
        <v>0</v>
      </c>
      <c r="O29">
        <v>2026</v>
      </c>
      <c r="P29">
        <v>1996</v>
      </c>
      <c r="Q29">
        <v>1</v>
      </c>
      <c r="R29">
        <v>39202800000</v>
      </c>
      <c r="X29">
        <v>2025</v>
      </c>
      <c r="Y29">
        <v>0</v>
      </c>
    </row>
    <row r="30" spans="1:27">
      <c r="A30">
        <v>2027</v>
      </c>
      <c r="B30" t="s">
        <v>109</v>
      </c>
      <c r="C30" s="60">
        <f t="shared" ref="C30:I30" si="6">C11*(1-$Y31)</f>
        <v>1.5180413610468277E-2</v>
      </c>
      <c r="D30" s="60">
        <f t="shared" si="6"/>
        <v>3.3490309071136926E-2</v>
      </c>
      <c r="E30" s="3">
        <f t="shared" si="6"/>
        <v>0</v>
      </c>
      <c r="F30" s="60">
        <f t="shared" si="6"/>
        <v>1.0622572237114148E-2</v>
      </c>
      <c r="G30" s="60">
        <f t="shared" si="6"/>
        <v>8.7358380570644184E-3</v>
      </c>
      <c r="H30" s="60">
        <f t="shared" si="6"/>
        <v>3.5185540447526323E-2</v>
      </c>
      <c r="I30" s="60">
        <f t="shared" si="6"/>
        <v>3.5185540447526323E-2</v>
      </c>
      <c r="O30">
        <v>2026</v>
      </c>
      <c r="P30">
        <v>1997</v>
      </c>
      <c r="Q30">
        <v>1</v>
      </c>
      <c r="R30">
        <v>7270920000</v>
      </c>
      <c r="X30">
        <v>2026</v>
      </c>
      <c r="Y30">
        <f>U59</f>
        <v>7.453940728279905E-2</v>
      </c>
    </row>
    <row r="31" spans="1:27">
      <c r="A31">
        <v>2028</v>
      </c>
      <c r="B31" t="s">
        <v>109</v>
      </c>
      <c r="C31" s="60">
        <f t="shared" ref="C31:C43" si="7">C12*(1-$Y32)</f>
        <v>2.7401517844500331E-2</v>
      </c>
      <c r="D31" s="60">
        <f t="shared" ref="D31:D43" si="8">D12*(1-$Y32)</f>
        <v>6.032224280679592E-2</v>
      </c>
      <c r="E31" s="3">
        <f t="shared" ref="E31:E43" si="9">E12*(1-$Y32)</f>
        <v>0</v>
      </c>
      <c r="F31" s="60">
        <f t="shared" ref="F31:F43" si="10">F12*(1-$Y32)</f>
        <v>1.8709592447373292E-2</v>
      </c>
      <c r="G31" s="60">
        <f t="shared" ref="G31:G43" si="11">G12*(1-$Y32)</f>
        <v>1.6324494989850637E-2</v>
      </c>
      <c r="H31" s="60">
        <f t="shared" ref="H31:H43" si="12">H12*(1-$Y32)</f>
        <v>6.0333851153428472E-2</v>
      </c>
      <c r="I31" s="60">
        <f t="shared" ref="I31:I43" si="13">I12*(1-$Y32)</f>
        <v>6.0333851153428472E-2</v>
      </c>
      <c r="O31">
        <v>2026</v>
      </c>
      <c r="P31">
        <v>1998</v>
      </c>
      <c r="Q31">
        <v>1</v>
      </c>
      <c r="R31">
        <v>8408160000</v>
      </c>
      <c r="X31">
        <v>2027</v>
      </c>
      <c r="Y31">
        <f>U90</f>
        <v>7.2461712268998862E-2</v>
      </c>
    </row>
    <row r="32" spans="1:27">
      <c r="A32">
        <v>2029</v>
      </c>
      <c r="B32" t="s">
        <v>109</v>
      </c>
      <c r="C32" s="60">
        <f t="shared" si="7"/>
        <v>4.4133042797343112E-2</v>
      </c>
      <c r="D32" s="60">
        <f t="shared" si="8"/>
        <v>9.2760078165708554E-2</v>
      </c>
      <c r="E32" s="3">
        <f t="shared" si="9"/>
        <v>0</v>
      </c>
      <c r="F32" s="60">
        <f t="shared" si="10"/>
        <v>2.8545663406891117E-2</v>
      </c>
      <c r="G32" s="60">
        <f t="shared" si="11"/>
        <v>2.7153683209450746E-2</v>
      </c>
      <c r="H32" s="60">
        <f t="shared" si="12"/>
        <v>9.1665127038752625E-2</v>
      </c>
      <c r="I32" s="60">
        <f t="shared" si="13"/>
        <v>9.1665127038752625E-2</v>
      </c>
      <c r="O32">
        <v>2026</v>
      </c>
      <c r="P32">
        <v>1999</v>
      </c>
      <c r="Q32">
        <v>1</v>
      </c>
      <c r="R32">
        <v>10960200000</v>
      </c>
      <c r="X32">
        <v>2028</v>
      </c>
      <c r="Y32">
        <f>U121</f>
        <v>7.03275857866177E-2</v>
      </c>
    </row>
    <row r="33" spans="1:25">
      <c r="A33">
        <v>2030</v>
      </c>
      <c r="B33" t="s">
        <v>109</v>
      </c>
      <c r="C33" s="60">
        <f t="shared" si="7"/>
        <v>6.4834222704624925E-2</v>
      </c>
      <c r="D33" s="60">
        <f t="shared" si="8"/>
        <v>0.13105905990591393</v>
      </c>
      <c r="E33" s="3">
        <f t="shared" si="9"/>
        <v>0</v>
      </c>
      <c r="F33" s="60">
        <f t="shared" si="10"/>
        <v>4.0014521110177906E-2</v>
      </c>
      <c r="G33" s="60">
        <f t="shared" si="11"/>
        <v>4.0221319035839975E-2</v>
      </c>
      <c r="H33" s="60">
        <f t="shared" si="12"/>
        <v>0.12768887326425249</v>
      </c>
      <c r="I33" s="60">
        <f t="shared" si="13"/>
        <v>0.12768887326425249</v>
      </c>
      <c r="O33">
        <v>2026</v>
      </c>
      <c r="P33">
        <v>2000</v>
      </c>
      <c r="Q33">
        <v>1</v>
      </c>
      <c r="R33">
        <v>13445900000</v>
      </c>
      <c r="X33">
        <v>2029</v>
      </c>
      <c r="Y33">
        <f>U152</f>
        <v>6.8161021074259795E-2</v>
      </c>
    </row>
    <row r="34" spans="1:25">
      <c r="A34">
        <v>2031</v>
      </c>
      <c r="B34" t="s">
        <v>109</v>
      </c>
      <c r="C34" s="60">
        <f t="shared" si="7"/>
        <v>8.9970330767412912E-2</v>
      </c>
      <c r="D34" s="60">
        <f t="shared" si="8"/>
        <v>0.17611391924088576</v>
      </c>
      <c r="E34" s="3">
        <f t="shared" si="9"/>
        <v>0</v>
      </c>
      <c r="F34" s="60">
        <f t="shared" si="10"/>
        <v>5.2984553796817602E-2</v>
      </c>
      <c r="G34" s="60">
        <f t="shared" si="11"/>
        <v>5.5544809443642318E-2</v>
      </c>
      <c r="H34" s="60">
        <f t="shared" si="12"/>
        <v>0.16756590978850139</v>
      </c>
      <c r="I34" s="60">
        <f t="shared" si="13"/>
        <v>0.16756590978850139</v>
      </c>
      <c r="O34">
        <v>2026</v>
      </c>
      <c r="P34">
        <v>2001</v>
      </c>
      <c r="Q34">
        <v>1</v>
      </c>
      <c r="R34">
        <v>14970300000</v>
      </c>
      <c r="X34">
        <v>2030</v>
      </c>
      <c r="Y34">
        <f>U183</f>
        <v>6.5694363096126474E-2</v>
      </c>
    </row>
    <row r="35" spans="1:25">
      <c r="A35">
        <v>2032</v>
      </c>
      <c r="B35" t="s">
        <v>109</v>
      </c>
      <c r="C35" s="60">
        <f t="shared" si="7"/>
        <v>0.11914999417117257</v>
      </c>
      <c r="D35" s="60">
        <f t="shared" si="8"/>
        <v>0.2253056069669086</v>
      </c>
      <c r="E35" s="3">
        <f t="shared" si="9"/>
        <v>0</v>
      </c>
      <c r="F35" s="60">
        <f t="shared" si="10"/>
        <v>6.6960635037960972E-2</v>
      </c>
      <c r="G35" s="60">
        <f t="shared" si="11"/>
        <v>7.2366914848409888E-2</v>
      </c>
      <c r="H35" s="60">
        <f t="shared" si="12"/>
        <v>0.20919528420760866</v>
      </c>
      <c r="I35" s="60">
        <f t="shared" si="13"/>
        <v>0.20919528420760866</v>
      </c>
      <c r="O35">
        <v>2026</v>
      </c>
      <c r="P35">
        <v>2002</v>
      </c>
      <c r="Q35">
        <v>1</v>
      </c>
      <c r="R35">
        <v>18529700000</v>
      </c>
      <c r="X35">
        <v>2031</v>
      </c>
      <c r="Y35">
        <f>U214</f>
        <v>6.2888647044076776E-2</v>
      </c>
    </row>
    <row r="36" spans="1:25">
      <c r="A36">
        <v>2033</v>
      </c>
      <c r="B36" t="s">
        <v>109</v>
      </c>
      <c r="C36" s="60">
        <f t="shared" si="7"/>
        <v>0.15175557403650261</v>
      </c>
      <c r="D36" s="60">
        <f t="shared" si="8"/>
        <v>0.27677125073021563</v>
      </c>
      <c r="E36" s="3">
        <f t="shared" si="9"/>
        <v>0</v>
      </c>
      <c r="F36" s="60">
        <f t="shared" si="10"/>
        <v>8.1635038648805752E-2</v>
      </c>
      <c r="G36" s="60">
        <f t="shared" si="11"/>
        <v>9.0364507735283928E-2</v>
      </c>
      <c r="H36" s="60">
        <f t="shared" si="12"/>
        <v>0.25141112223842987</v>
      </c>
      <c r="I36" s="60">
        <f t="shared" si="13"/>
        <v>0.25141112223842987</v>
      </c>
      <c r="O36">
        <v>2026</v>
      </c>
      <c r="P36">
        <v>2003</v>
      </c>
      <c r="Q36">
        <v>1</v>
      </c>
      <c r="R36">
        <v>21602800000</v>
      </c>
      <c r="X36">
        <v>2032</v>
      </c>
      <c r="Y36">
        <f>U245</f>
        <v>5.9878131657539198E-2</v>
      </c>
    </row>
    <row r="37" spans="1:25">
      <c r="A37">
        <v>2034</v>
      </c>
      <c r="B37" t="s">
        <v>109</v>
      </c>
      <c r="C37" s="60">
        <f t="shared" si="7"/>
        <v>0.18799784520039342</v>
      </c>
      <c r="D37" s="60">
        <f t="shared" si="8"/>
        <v>0.3329713182788242</v>
      </c>
      <c r="E37" s="3">
        <f t="shared" si="9"/>
        <v>0</v>
      </c>
      <c r="F37" s="60">
        <f t="shared" si="10"/>
        <v>9.6823945506771814E-2</v>
      </c>
      <c r="G37" s="60">
        <f t="shared" si="11"/>
        <v>0.11020698056449291</v>
      </c>
      <c r="H37" s="60">
        <f t="shared" si="12"/>
        <v>0.29465137677145636</v>
      </c>
      <c r="I37" s="60">
        <f t="shared" si="13"/>
        <v>0.29465137677145636</v>
      </c>
      <c r="O37">
        <v>2026</v>
      </c>
      <c r="P37">
        <v>2004</v>
      </c>
      <c r="Q37">
        <v>1</v>
      </c>
      <c r="R37">
        <v>25842500000</v>
      </c>
      <c r="X37">
        <v>2033</v>
      </c>
      <c r="Y37">
        <f>U276</f>
        <v>5.662753779128795E-2</v>
      </c>
    </row>
    <row r="38" spans="1:25">
      <c r="A38">
        <v>2035</v>
      </c>
      <c r="B38" t="s">
        <v>109</v>
      </c>
      <c r="C38" s="60">
        <f t="shared" si="7"/>
        <v>0.22766993383453255</v>
      </c>
      <c r="D38" s="60">
        <f t="shared" si="8"/>
        <v>0.3911002963355858</v>
      </c>
      <c r="E38" s="3">
        <f t="shared" si="9"/>
        <v>0</v>
      </c>
      <c r="F38" s="60">
        <f t="shared" si="10"/>
        <v>0.11249484361493664</v>
      </c>
      <c r="G38" s="60">
        <f t="shared" si="11"/>
        <v>0.13079054396280126</v>
      </c>
      <c r="H38" s="60">
        <f t="shared" si="12"/>
        <v>0.33758636986367802</v>
      </c>
      <c r="I38" s="60">
        <f t="shared" si="13"/>
        <v>0.33758636986367802</v>
      </c>
      <c r="O38">
        <v>2026</v>
      </c>
      <c r="P38">
        <v>2005</v>
      </c>
      <c r="Q38">
        <v>1</v>
      </c>
      <c r="R38">
        <v>29935400000</v>
      </c>
      <c r="X38">
        <v>2034</v>
      </c>
      <c r="Y38">
        <f>U307</f>
        <v>5.3178950138530023E-2</v>
      </c>
    </row>
    <row r="39" spans="1:25">
      <c r="A39">
        <v>2036</v>
      </c>
      <c r="B39" t="s">
        <v>109</v>
      </c>
      <c r="C39" s="60">
        <f t="shared" si="7"/>
        <v>0.26950253692000115</v>
      </c>
      <c r="D39" s="60">
        <f t="shared" si="8"/>
        <v>0.44591540581258726</v>
      </c>
      <c r="E39" s="3">
        <f t="shared" si="9"/>
        <v>0</v>
      </c>
      <c r="F39" s="60">
        <f t="shared" si="10"/>
        <v>0.12746532170809943</v>
      </c>
      <c r="G39" s="60">
        <f t="shared" si="11"/>
        <v>0.15279203698008373</v>
      </c>
      <c r="H39" s="60">
        <f t="shared" si="12"/>
        <v>0.37734354299764394</v>
      </c>
      <c r="I39" s="60">
        <f t="shared" si="13"/>
        <v>0.37734354299764394</v>
      </c>
      <c r="O39">
        <v>2026</v>
      </c>
      <c r="P39">
        <v>2006</v>
      </c>
      <c r="Q39">
        <v>1</v>
      </c>
      <c r="R39">
        <v>33294400000</v>
      </c>
      <c r="X39">
        <v>2035</v>
      </c>
      <c r="Y39">
        <f>U338</f>
        <v>4.9590097975456431E-2</v>
      </c>
    </row>
    <row r="40" spans="1:25">
      <c r="A40">
        <v>2037</v>
      </c>
      <c r="B40" t="s">
        <v>109</v>
      </c>
      <c r="C40" s="60">
        <f t="shared" si="7"/>
        <v>0.31131601845253393</v>
      </c>
      <c r="D40" s="60">
        <f t="shared" si="8"/>
        <v>0.49401850122892843</v>
      </c>
      <c r="E40" s="3">
        <f t="shared" si="9"/>
        <v>0</v>
      </c>
      <c r="F40" s="60">
        <f t="shared" si="10"/>
        <v>0.14062656191739448</v>
      </c>
      <c r="G40" s="60">
        <f t="shared" si="11"/>
        <v>0.17383612235619372</v>
      </c>
      <c r="H40" s="60">
        <f t="shared" si="12"/>
        <v>0.41201381018272965</v>
      </c>
      <c r="I40" s="60">
        <f t="shared" si="13"/>
        <v>0.41201381018272965</v>
      </c>
      <c r="O40">
        <v>2026</v>
      </c>
      <c r="P40">
        <v>2007</v>
      </c>
      <c r="Q40">
        <v>1</v>
      </c>
      <c r="R40">
        <v>39019700000</v>
      </c>
      <c r="X40">
        <v>2036</v>
      </c>
      <c r="Y40">
        <f>U369</f>
        <v>4.5915116323808527E-2</v>
      </c>
    </row>
    <row r="41" spans="1:25">
      <c r="A41">
        <v>2038</v>
      </c>
      <c r="B41" t="s">
        <v>109</v>
      </c>
      <c r="C41" s="60">
        <f t="shared" si="7"/>
        <v>0.35297304105384353</v>
      </c>
      <c r="D41" s="60">
        <f t="shared" si="8"/>
        <v>0.53635219149651692</v>
      </c>
      <c r="E41" s="3">
        <f t="shared" si="9"/>
        <v>0</v>
      </c>
      <c r="F41" s="60">
        <f t="shared" si="10"/>
        <v>0.15285547074580633</v>
      </c>
      <c r="G41" s="60">
        <f t="shared" si="11"/>
        <v>0.19604237562178656</v>
      </c>
      <c r="H41" s="60">
        <f t="shared" si="12"/>
        <v>0.44262963569499819</v>
      </c>
      <c r="I41" s="60">
        <f t="shared" si="13"/>
        <v>0.44262963569499819</v>
      </c>
      <c r="O41">
        <v>2026</v>
      </c>
      <c r="P41">
        <v>2008</v>
      </c>
      <c r="Q41">
        <v>1</v>
      </c>
      <c r="R41">
        <v>41678900000</v>
      </c>
      <c r="X41">
        <v>2037</v>
      </c>
      <c r="Y41">
        <f>U400</f>
        <v>4.2217067476241044E-2</v>
      </c>
    </row>
    <row r="42" spans="1:25">
      <c r="A42">
        <v>2039</v>
      </c>
      <c r="B42" t="s">
        <v>109</v>
      </c>
      <c r="C42" s="60">
        <f t="shared" si="7"/>
        <v>0.39449603348352724</v>
      </c>
      <c r="D42" s="60">
        <f t="shared" si="8"/>
        <v>0.57314519472014125</v>
      </c>
      <c r="E42" s="3">
        <f t="shared" si="9"/>
        <v>0</v>
      </c>
      <c r="F42" s="60">
        <f t="shared" si="10"/>
        <v>0.16327633570162006</v>
      </c>
      <c r="G42" s="60">
        <f t="shared" si="11"/>
        <v>0.21951244128355576</v>
      </c>
      <c r="H42" s="60">
        <f t="shared" si="12"/>
        <v>0.46955651692822692</v>
      </c>
      <c r="I42" s="60">
        <f t="shared" si="13"/>
        <v>0.46955651692822692</v>
      </c>
      <c r="O42">
        <v>2026</v>
      </c>
      <c r="P42">
        <v>2009</v>
      </c>
      <c r="Q42">
        <v>1</v>
      </c>
      <c r="R42">
        <v>32694800000</v>
      </c>
      <c r="X42">
        <v>2038</v>
      </c>
      <c r="Y42">
        <f>U431</f>
        <v>3.8550352318851601E-2</v>
      </c>
    </row>
    <row r="43" spans="1:25">
      <c r="A43">
        <v>2040</v>
      </c>
      <c r="B43" t="s">
        <v>109</v>
      </c>
      <c r="C43" s="60">
        <f t="shared" si="7"/>
        <v>0.43431119959101377</v>
      </c>
      <c r="D43" s="60">
        <f t="shared" si="8"/>
        <v>0.60447102482475035</v>
      </c>
      <c r="E43" s="3">
        <f t="shared" si="9"/>
        <v>0</v>
      </c>
      <c r="F43" s="60">
        <f t="shared" si="10"/>
        <v>0.17234071226147105</v>
      </c>
      <c r="G43" s="60">
        <f t="shared" si="11"/>
        <v>0.24485766232785147</v>
      </c>
      <c r="H43" s="60">
        <f t="shared" si="12"/>
        <v>0.49280356829796157</v>
      </c>
      <c r="I43" s="60">
        <f t="shared" si="13"/>
        <v>0.49280356829796157</v>
      </c>
      <c r="O43">
        <v>2026</v>
      </c>
      <c r="P43">
        <v>2010</v>
      </c>
      <c r="Q43">
        <v>1</v>
      </c>
      <c r="R43">
        <v>45413900000</v>
      </c>
      <c r="X43">
        <v>2039</v>
      </c>
      <c r="Y43">
        <f>U462</f>
        <v>3.4501391474796743E-2</v>
      </c>
    </row>
    <row r="44" spans="1:25">
      <c r="O44">
        <v>2026</v>
      </c>
      <c r="P44">
        <v>2011</v>
      </c>
      <c r="Q44">
        <v>1</v>
      </c>
      <c r="R44">
        <v>56994300000</v>
      </c>
      <c r="X44">
        <v>2040</v>
      </c>
      <c r="Y44">
        <f>U493</f>
        <v>3.0124419623292407E-2</v>
      </c>
    </row>
    <row r="45" spans="1:25">
      <c r="A45" s="2"/>
      <c r="D45" t="s">
        <v>279</v>
      </c>
      <c r="O45">
        <v>2026</v>
      </c>
      <c r="P45">
        <v>2012</v>
      </c>
      <c r="Q45">
        <v>1</v>
      </c>
      <c r="R45">
        <v>73285900000</v>
      </c>
    </row>
    <row r="46" spans="1:25">
      <c r="A46" t="s">
        <v>0</v>
      </c>
      <c r="B46" t="s">
        <v>278</v>
      </c>
      <c r="D46" t="s">
        <v>2</v>
      </c>
      <c r="E46" t="s">
        <v>3</v>
      </c>
      <c r="F46" t="s">
        <v>24</v>
      </c>
      <c r="G46" t="s">
        <v>115</v>
      </c>
      <c r="O46">
        <v>2026</v>
      </c>
      <c r="P46">
        <v>2013</v>
      </c>
      <c r="Q46">
        <v>1</v>
      </c>
      <c r="R46">
        <v>91025400000</v>
      </c>
    </row>
    <row r="47" spans="1:25">
      <c r="A47">
        <v>2026</v>
      </c>
      <c r="B47" s="16"/>
      <c r="C47" s="16">
        <f>'CARB ZEV counts'!Q65</f>
        <v>9.7905184404352141E-3</v>
      </c>
      <c r="D47" s="16">
        <f t="shared" ref="D47:E61" si="14">C10/$C47</f>
        <v>0.63733291279669424</v>
      </c>
      <c r="E47" s="16">
        <f t="shared" si="14"/>
        <v>1.3976251993482318</v>
      </c>
      <c r="F47" s="16">
        <f t="shared" ref="F47:G61" si="15">F10/$C47</f>
        <v>0.45814385902450816</v>
      </c>
      <c r="G47" s="16">
        <f t="shared" si="15"/>
        <v>0.34523472925015303</v>
      </c>
      <c r="H47" s="16"/>
      <c r="I47" s="16"/>
      <c r="O47">
        <v>2026</v>
      </c>
      <c r="P47">
        <v>2014</v>
      </c>
      <c r="Q47">
        <v>1</v>
      </c>
      <c r="R47">
        <v>122686000000</v>
      </c>
    </row>
    <row r="48" spans="1:25">
      <c r="A48">
        <v>2027</v>
      </c>
      <c r="B48" s="16"/>
      <c r="C48" s="16">
        <f>'CARB ZEV counts'!Q66</f>
        <v>2.410048860840569E-2</v>
      </c>
      <c r="D48" s="16">
        <f t="shared" si="14"/>
        <v>0.67908777346216731</v>
      </c>
      <c r="E48" s="16">
        <f t="shared" si="14"/>
        <v>1.4981712622108614</v>
      </c>
      <c r="F48" s="16">
        <f t="shared" si="15"/>
        <v>0.47519515041200233</v>
      </c>
      <c r="G48" s="16">
        <f t="shared" si="15"/>
        <v>0.39079309482101404</v>
      </c>
      <c r="H48" s="16"/>
      <c r="I48" s="16"/>
      <c r="O48">
        <v>2026</v>
      </c>
      <c r="P48">
        <v>2015</v>
      </c>
      <c r="Q48">
        <v>1</v>
      </c>
      <c r="R48">
        <v>140891000000</v>
      </c>
    </row>
    <row r="49" spans="1:21">
      <c r="A49">
        <v>2028</v>
      </c>
      <c r="B49" s="16"/>
      <c r="C49" s="16">
        <f>'CARB ZEV counts'!Q67</f>
        <v>4.3096979039863592E-2</v>
      </c>
      <c r="D49" s="16">
        <f t="shared" si="14"/>
        <v>0.68390825706183422</v>
      </c>
      <c r="E49" s="16">
        <f t="shared" si="14"/>
        <v>1.5055691503723285</v>
      </c>
      <c r="F49" s="16">
        <f t="shared" si="15"/>
        <v>0.46696846625919652</v>
      </c>
      <c r="G49" s="16">
        <f t="shared" si="15"/>
        <v>0.40743936081497673</v>
      </c>
      <c r="H49" s="16"/>
      <c r="I49" s="16"/>
      <c r="O49">
        <v>2026</v>
      </c>
      <c r="P49">
        <v>2016</v>
      </c>
      <c r="Q49">
        <v>1</v>
      </c>
      <c r="R49">
        <v>152958000000</v>
      </c>
    </row>
    <row r="50" spans="1:21">
      <c r="A50">
        <v>2029</v>
      </c>
      <c r="B50" s="16"/>
      <c r="C50" s="16">
        <f>'CARB ZEV counts'!Q68</f>
        <v>6.67485960347355E-2</v>
      </c>
      <c r="D50" s="16">
        <f t="shared" si="14"/>
        <v>0.70954650130070074</v>
      </c>
      <c r="E50" s="16">
        <f t="shared" si="14"/>
        <v>1.4913449141743829</v>
      </c>
      <c r="F50" s="16">
        <f t="shared" si="15"/>
        <v>0.45894129010489138</v>
      </c>
      <c r="G50" s="16">
        <f t="shared" si="15"/>
        <v>0.43656180715129062</v>
      </c>
      <c r="H50" s="16"/>
      <c r="I50" s="16"/>
      <c r="O50">
        <v>2026</v>
      </c>
      <c r="P50">
        <v>2017</v>
      </c>
      <c r="Q50">
        <v>1</v>
      </c>
      <c r="R50">
        <v>161362000000</v>
      </c>
    </row>
    <row r="51" spans="1:21">
      <c r="A51">
        <v>2030</v>
      </c>
      <c r="B51" s="16"/>
      <c r="C51" s="16">
        <f>'CARB ZEV counts'!Q69</f>
        <v>9.5579175919431866E-2</v>
      </c>
      <c r="D51" s="16">
        <f t="shared" si="14"/>
        <v>0.72602580609496514</v>
      </c>
      <c r="E51" s="16">
        <f t="shared" si="14"/>
        <v>1.4676239745749562</v>
      </c>
      <c r="F51" s="16">
        <f t="shared" si="15"/>
        <v>0.44809012482305172</v>
      </c>
      <c r="G51" s="16">
        <f t="shared" si="15"/>
        <v>0.45040588684524158</v>
      </c>
      <c r="H51" s="16"/>
      <c r="I51" s="16"/>
      <c r="O51">
        <v>2026</v>
      </c>
      <c r="P51">
        <v>2018</v>
      </c>
      <c r="Q51">
        <v>1</v>
      </c>
      <c r="R51">
        <v>160430000000</v>
      </c>
    </row>
    <row r="52" spans="1:21">
      <c r="A52">
        <v>2031</v>
      </c>
      <c r="B52" s="16"/>
      <c r="C52" s="16">
        <f>'CARB ZEV counts'!Q70</f>
        <v>0.12874877904701809</v>
      </c>
      <c r="D52" s="16">
        <f t="shared" si="14"/>
        <v>0.74570146891241362</v>
      </c>
      <c r="E52" s="16">
        <f t="shared" si="14"/>
        <v>1.4596857336598523</v>
      </c>
      <c r="F52" s="16">
        <f t="shared" si="15"/>
        <v>0.43915209890799223</v>
      </c>
      <c r="G52" s="16">
        <f t="shared" si="15"/>
        <v>0.46037227649702467</v>
      </c>
      <c r="H52" s="16"/>
      <c r="I52" s="16"/>
      <c r="O52">
        <v>2026</v>
      </c>
      <c r="P52">
        <v>2019</v>
      </c>
      <c r="Q52">
        <v>1</v>
      </c>
      <c r="R52">
        <v>170830000000</v>
      </c>
    </row>
    <row r="53" spans="1:21">
      <c r="A53">
        <v>2032</v>
      </c>
      <c r="B53" s="16"/>
      <c r="C53" s="16">
        <f>'CARB ZEV counts'!Q71</f>
        <v>0.16465763424633659</v>
      </c>
      <c r="D53" s="16">
        <f t="shared" si="14"/>
        <v>0.76971154231913297</v>
      </c>
      <c r="E53" s="16">
        <f t="shared" si="14"/>
        <v>1.4554790995835847</v>
      </c>
      <c r="F53" s="16">
        <f t="shared" si="15"/>
        <v>0.43256715225427445</v>
      </c>
      <c r="G53" s="16">
        <f t="shared" si="15"/>
        <v>0.46749183689279217</v>
      </c>
      <c r="H53" s="16"/>
      <c r="I53" s="16"/>
      <c r="O53">
        <v>2026</v>
      </c>
      <c r="P53">
        <v>2020</v>
      </c>
      <c r="Q53">
        <v>1</v>
      </c>
      <c r="R53">
        <v>179506000000</v>
      </c>
    </row>
    <row r="54" spans="1:21">
      <c r="A54">
        <v>2033</v>
      </c>
      <c r="B54" s="16"/>
      <c r="C54" s="16">
        <f>'CARB ZEV counts'!Q72</f>
        <v>0.20330207042378659</v>
      </c>
      <c r="D54" s="16">
        <f t="shared" si="14"/>
        <v>0.79126080881114369</v>
      </c>
      <c r="E54" s="16">
        <f t="shared" si="14"/>
        <v>1.443098516142711</v>
      </c>
      <c r="F54" s="16">
        <f t="shared" si="15"/>
        <v>0.425648989295416</v>
      </c>
      <c r="G54" s="16">
        <f t="shared" si="15"/>
        <v>0.47116485791317864</v>
      </c>
      <c r="H54" s="16"/>
      <c r="I54" s="16"/>
      <c r="O54">
        <v>2026</v>
      </c>
      <c r="P54">
        <v>2021</v>
      </c>
      <c r="Q54">
        <v>1</v>
      </c>
      <c r="R54">
        <v>187633000000</v>
      </c>
    </row>
    <row r="55" spans="1:21">
      <c r="A55">
        <v>2034</v>
      </c>
      <c r="B55" s="16"/>
      <c r="C55" s="16">
        <f>'CARB ZEV counts'!Q73</f>
        <v>0.24452531371012765</v>
      </c>
      <c r="D55" s="16">
        <f t="shared" si="14"/>
        <v>0.81200955950797626</v>
      </c>
      <c r="E55" s="16">
        <f t="shared" si="14"/>
        <v>1.4381861302515204</v>
      </c>
      <c r="F55" s="16">
        <f t="shared" si="15"/>
        <v>0.4182067579390189</v>
      </c>
      <c r="G55" s="16">
        <f t="shared" si="15"/>
        <v>0.47601142261757534</v>
      </c>
      <c r="H55" s="16"/>
      <c r="I55" s="16"/>
      <c r="O55">
        <v>2026</v>
      </c>
      <c r="P55">
        <v>2022</v>
      </c>
      <c r="Q55">
        <v>1</v>
      </c>
      <c r="R55">
        <v>191348000000</v>
      </c>
    </row>
    <row r="56" spans="1:21">
      <c r="A56">
        <v>2035</v>
      </c>
      <c r="B56" s="16"/>
      <c r="C56" s="16">
        <f>'CARB ZEV counts'!Q74</f>
        <v>0.28736786283405502</v>
      </c>
      <c r="D56" s="16">
        <f t="shared" si="14"/>
        <v>0.83359774430334788</v>
      </c>
      <c r="E56" s="16">
        <f t="shared" si="14"/>
        <v>1.4319867332972585</v>
      </c>
      <c r="F56" s="16">
        <f t="shared" si="15"/>
        <v>0.41189210320289282</v>
      </c>
      <c r="G56" s="16">
        <f t="shared" si="15"/>
        <v>0.47888054688344633</v>
      </c>
      <c r="H56" s="16"/>
      <c r="I56" s="16"/>
      <c r="O56">
        <v>2026</v>
      </c>
      <c r="P56">
        <v>2023</v>
      </c>
      <c r="Q56">
        <v>1</v>
      </c>
      <c r="R56">
        <v>199005000000</v>
      </c>
    </row>
    <row r="57" spans="1:21">
      <c r="A57">
        <v>2036</v>
      </c>
      <c r="B57" s="16"/>
      <c r="C57" s="16">
        <f>'CARB ZEV counts'!Q75</f>
        <v>0.32855409334383223</v>
      </c>
      <c r="D57" s="16">
        <f t="shared" si="14"/>
        <v>0.85974361742649774</v>
      </c>
      <c r="E57" s="16">
        <f t="shared" si="14"/>
        <v>1.4225206502353578</v>
      </c>
      <c r="F57" s="16">
        <f t="shared" si="15"/>
        <v>0.40662881334687973</v>
      </c>
      <c r="G57" s="16">
        <f t="shared" si="15"/>
        <v>0.4874239036429322</v>
      </c>
      <c r="H57" s="16"/>
      <c r="I57" s="16"/>
      <c r="O57">
        <v>2026</v>
      </c>
      <c r="P57">
        <v>2024</v>
      </c>
      <c r="Q57">
        <v>1</v>
      </c>
      <c r="R57">
        <v>205203000000</v>
      </c>
    </row>
    <row r="58" spans="1:21">
      <c r="A58">
        <v>2037</v>
      </c>
      <c r="B58" s="16"/>
      <c r="C58" s="16">
        <f>'CARB ZEV counts'!Q76</f>
        <v>0.36795868020093137</v>
      </c>
      <c r="D58" s="16">
        <f t="shared" si="14"/>
        <v>0.88335510098676484</v>
      </c>
      <c r="E58" s="16">
        <f t="shared" si="14"/>
        <v>1.4017709888864804</v>
      </c>
      <c r="F58" s="16">
        <f t="shared" si="15"/>
        <v>0.39902601678333405</v>
      </c>
      <c r="G58" s="16">
        <f t="shared" si="15"/>
        <v>0.49325770701553578</v>
      </c>
      <c r="H58" s="16"/>
      <c r="I58" s="16"/>
      <c r="O58">
        <v>2026</v>
      </c>
      <c r="P58">
        <v>2025</v>
      </c>
      <c r="Q58">
        <v>1</v>
      </c>
      <c r="R58">
        <v>210577000000</v>
      </c>
    </row>
    <row r="59" spans="1:21">
      <c r="A59">
        <v>2038</v>
      </c>
      <c r="B59" s="16"/>
      <c r="C59" s="16">
        <f>'CARB ZEV counts'!Q77</f>
        <v>0.4055658587593895</v>
      </c>
      <c r="D59" s="16">
        <f t="shared" si="14"/>
        <v>0.9052188808951992</v>
      </c>
      <c r="E59" s="16">
        <f t="shared" si="14"/>
        <v>1.3755048518793327</v>
      </c>
      <c r="F59" s="16">
        <f t="shared" si="15"/>
        <v>0.39200630664062713</v>
      </c>
      <c r="G59" s="16">
        <f t="shared" si="15"/>
        <v>0.5027615121499307</v>
      </c>
      <c r="H59" s="16"/>
      <c r="I59" s="16"/>
      <c r="O59">
        <v>2026</v>
      </c>
      <c r="P59">
        <v>2026</v>
      </c>
      <c r="Q59">
        <v>1</v>
      </c>
      <c r="R59">
        <v>216339000000</v>
      </c>
      <c r="S59">
        <f>SUM(R29:R59)</f>
        <v>2902343980000</v>
      </c>
      <c r="T59">
        <f>R59</f>
        <v>216339000000</v>
      </c>
      <c r="U59">
        <f>T59/S59</f>
        <v>7.453940728279905E-2</v>
      </c>
    </row>
    <row r="60" spans="1:21">
      <c r="A60">
        <v>2039</v>
      </c>
      <c r="B60" s="16"/>
      <c r="C60" s="16">
        <f>'CARB ZEV counts'!Q78</f>
        <v>0.44133226724831343</v>
      </c>
      <c r="D60" s="16">
        <f t="shared" si="14"/>
        <v>0.92581733314211867</v>
      </c>
      <c r="E60" s="16">
        <f t="shared" si="14"/>
        <v>1.345077543602675</v>
      </c>
      <c r="F60" s="16">
        <f t="shared" si="15"/>
        <v>0.38318271631190753</v>
      </c>
      <c r="G60" s="16">
        <f t="shared" si="15"/>
        <v>0.5151596105696804</v>
      </c>
      <c r="H60" s="16"/>
      <c r="I60" s="16"/>
      <c r="O60">
        <v>2027</v>
      </c>
      <c r="P60">
        <v>1997</v>
      </c>
      <c r="Q60">
        <v>1</v>
      </c>
      <c r="R60">
        <v>39543600000</v>
      </c>
    </row>
    <row r="61" spans="1:21">
      <c r="A61">
        <v>2040</v>
      </c>
      <c r="B61" s="16"/>
      <c r="C61" s="16">
        <f>'CARB ZEV counts'!Q79</f>
        <v>0.47511632305618995</v>
      </c>
      <c r="D61" s="16">
        <f t="shared" si="14"/>
        <v>0.94250801620211622</v>
      </c>
      <c r="E61" s="16">
        <f t="shared" si="14"/>
        <v>1.311775489546974</v>
      </c>
      <c r="F61" s="16">
        <f t="shared" si="15"/>
        <v>0.37400026289301258</v>
      </c>
      <c r="G61" s="16">
        <f t="shared" si="15"/>
        <v>0.53137084604273221</v>
      </c>
      <c r="H61" s="16"/>
      <c r="I61" s="16"/>
      <c r="O61">
        <v>2027</v>
      </c>
      <c r="P61">
        <v>1998</v>
      </c>
      <c r="Q61">
        <v>1</v>
      </c>
      <c r="R61">
        <v>7335800000</v>
      </c>
    </row>
    <row r="62" spans="1:21">
      <c r="O62">
        <v>2027</v>
      </c>
      <c r="P62">
        <v>1999</v>
      </c>
      <c r="Q62">
        <v>1</v>
      </c>
      <c r="R62">
        <v>9563350000</v>
      </c>
    </row>
    <row r="63" spans="1:21">
      <c r="O63">
        <v>2027</v>
      </c>
      <c r="P63">
        <v>2000</v>
      </c>
      <c r="Q63">
        <v>1</v>
      </c>
      <c r="R63">
        <v>11698200000</v>
      </c>
    </row>
    <row r="64" spans="1:21">
      <c r="O64">
        <v>2027</v>
      </c>
      <c r="P64">
        <v>2001</v>
      </c>
      <c r="Q64">
        <v>1</v>
      </c>
      <c r="R64">
        <v>13000700000</v>
      </c>
    </row>
    <row r="65" spans="15:18">
      <c r="O65">
        <v>2027</v>
      </c>
      <c r="P65">
        <v>2002</v>
      </c>
      <c r="Q65">
        <v>1</v>
      </c>
      <c r="R65">
        <v>15976000000</v>
      </c>
    </row>
    <row r="66" spans="15:18">
      <c r="O66">
        <v>2027</v>
      </c>
      <c r="P66">
        <v>2003</v>
      </c>
      <c r="Q66">
        <v>1</v>
      </c>
      <c r="R66">
        <v>18486000000</v>
      </c>
    </row>
    <row r="67" spans="15:18">
      <c r="O67">
        <v>2027</v>
      </c>
      <c r="P67">
        <v>2004</v>
      </c>
      <c r="Q67">
        <v>1</v>
      </c>
      <c r="R67">
        <v>22044200000</v>
      </c>
    </row>
    <row r="68" spans="15:18">
      <c r="O68">
        <v>2027</v>
      </c>
      <c r="P68">
        <v>2005</v>
      </c>
      <c r="Q68">
        <v>1</v>
      </c>
      <c r="R68">
        <v>25388900000</v>
      </c>
    </row>
    <row r="69" spans="15:18">
      <c r="O69">
        <v>2027</v>
      </c>
      <c r="P69">
        <v>2006</v>
      </c>
      <c r="Q69">
        <v>1</v>
      </c>
      <c r="R69">
        <v>28149400000</v>
      </c>
    </row>
    <row r="70" spans="15:18">
      <c r="O70">
        <v>2027</v>
      </c>
      <c r="P70">
        <v>2007</v>
      </c>
      <c r="Q70">
        <v>1</v>
      </c>
      <c r="R70">
        <v>32926300000</v>
      </c>
    </row>
    <row r="71" spans="15:18">
      <c r="O71">
        <v>2027</v>
      </c>
      <c r="P71">
        <v>2008</v>
      </c>
      <c r="Q71">
        <v>1</v>
      </c>
      <c r="R71">
        <v>35240100000</v>
      </c>
    </row>
    <row r="72" spans="15:18">
      <c r="O72">
        <v>2027</v>
      </c>
      <c r="P72">
        <v>2009</v>
      </c>
      <c r="Q72">
        <v>1</v>
      </c>
      <c r="R72">
        <v>27613300000</v>
      </c>
    </row>
    <row r="73" spans="15:18">
      <c r="O73">
        <v>2027</v>
      </c>
      <c r="P73">
        <v>2010</v>
      </c>
      <c r="Q73">
        <v>1</v>
      </c>
      <c r="R73">
        <v>38654800000</v>
      </c>
    </row>
    <row r="74" spans="15:18">
      <c r="O74">
        <v>2027</v>
      </c>
      <c r="P74">
        <v>2011</v>
      </c>
      <c r="Q74">
        <v>1</v>
      </c>
      <c r="R74">
        <v>49010300000</v>
      </c>
    </row>
    <row r="75" spans="15:18">
      <c r="O75">
        <v>2027</v>
      </c>
      <c r="P75">
        <v>2012</v>
      </c>
      <c r="Q75">
        <v>1</v>
      </c>
      <c r="R75">
        <v>63449400000</v>
      </c>
    </row>
    <row r="76" spans="15:18">
      <c r="O76">
        <v>2027</v>
      </c>
      <c r="P76">
        <v>2013</v>
      </c>
      <c r="Q76">
        <v>1</v>
      </c>
      <c r="R76">
        <v>80125000000</v>
      </c>
    </row>
    <row r="77" spans="15:18">
      <c r="O77">
        <v>2027</v>
      </c>
      <c r="P77">
        <v>2014</v>
      </c>
      <c r="Q77">
        <v>1</v>
      </c>
      <c r="R77">
        <v>110948000000</v>
      </c>
    </row>
    <row r="78" spans="15:18">
      <c r="O78">
        <v>2027</v>
      </c>
      <c r="P78">
        <v>2015</v>
      </c>
      <c r="Q78">
        <v>1</v>
      </c>
      <c r="R78">
        <v>129672000000</v>
      </c>
    </row>
    <row r="79" spans="15:18">
      <c r="O79">
        <v>2027</v>
      </c>
      <c r="P79">
        <v>2016</v>
      </c>
      <c r="Q79">
        <v>1</v>
      </c>
      <c r="R79">
        <v>141515000000</v>
      </c>
    </row>
    <row r="80" spans="15:18">
      <c r="O80">
        <v>2027</v>
      </c>
      <c r="P80">
        <v>2017</v>
      </c>
      <c r="Q80">
        <v>1</v>
      </c>
      <c r="R80">
        <v>150124000000</v>
      </c>
    </row>
    <row r="81" spans="15:21">
      <c r="O81">
        <v>2027</v>
      </c>
      <c r="P81">
        <v>2018</v>
      </c>
      <c r="Q81">
        <v>1</v>
      </c>
      <c r="R81">
        <v>150558000000</v>
      </c>
    </row>
    <row r="82" spans="15:21">
      <c r="O82">
        <v>2027</v>
      </c>
      <c r="P82">
        <v>2019</v>
      </c>
      <c r="Q82">
        <v>1</v>
      </c>
      <c r="R82">
        <v>161384000000</v>
      </c>
    </row>
    <row r="83" spans="15:21">
      <c r="O83">
        <v>2027</v>
      </c>
      <c r="P83">
        <v>2020</v>
      </c>
      <c r="Q83">
        <v>1</v>
      </c>
      <c r="R83">
        <v>170719000000</v>
      </c>
    </row>
    <row r="84" spans="15:21">
      <c r="O84">
        <v>2027</v>
      </c>
      <c r="P84">
        <v>2021</v>
      </c>
      <c r="Q84">
        <v>1</v>
      </c>
      <c r="R84">
        <v>179595000000</v>
      </c>
    </row>
    <row r="85" spans="15:21">
      <c r="O85">
        <v>2027</v>
      </c>
      <c r="P85">
        <v>2022</v>
      </c>
      <c r="Q85">
        <v>1</v>
      </c>
      <c r="R85">
        <v>184270000000</v>
      </c>
    </row>
    <row r="86" spans="15:21">
      <c r="O86">
        <v>2027</v>
      </c>
      <c r="P86">
        <v>2023</v>
      </c>
      <c r="Q86">
        <v>1</v>
      </c>
      <c r="R86">
        <v>192753000000</v>
      </c>
    </row>
    <row r="87" spans="15:21">
      <c r="O87">
        <v>2027</v>
      </c>
      <c r="P87">
        <v>2024</v>
      </c>
      <c r="Q87">
        <v>1</v>
      </c>
      <c r="R87">
        <v>199974000000</v>
      </c>
    </row>
    <row r="88" spans="15:21">
      <c r="O88">
        <v>2027</v>
      </c>
      <c r="P88">
        <v>2025</v>
      </c>
      <c r="Q88">
        <v>1</v>
      </c>
      <c r="R88">
        <v>205704000000</v>
      </c>
    </row>
    <row r="89" spans="15:21">
      <c r="O89">
        <v>2027</v>
      </c>
      <c r="P89">
        <v>2026</v>
      </c>
      <c r="Q89">
        <v>1</v>
      </c>
      <c r="R89">
        <v>211863000000</v>
      </c>
    </row>
    <row r="90" spans="15:21">
      <c r="O90">
        <v>2027</v>
      </c>
      <c r="P90">
        <v>2027</v>
      </c>
      <c r="Q90">
        <v>1</v>
      </c>
      <c r="R90">
        <v>216508000000</v>
      </c>
      <c r="S90">
        <f>SUM(R60:R90)</f>
        <v>2923792350000</v>
      </c>
      <c r="T90">
        <f>R89</f>
        <v>211863000000</v>
      </c>
      <c r="U90">
        <f>T90/S90</f>
        <v>7.2461712268998862E-2</v>
      </c>
    </row>
    <row r="91" spans="15:21">
      <c r="O91">
        <v>2028</v>
      </c>
      <c r="P91">
        <v>1998</v>
      </c>
      <c r="Q91">
        <v>1</v>
      </c>
      <c r="R91">
        <v>39886000000</v>
      </c>
    </row>
    <row r="92" spans="15:21">
      <c r="O92">
        <v>2028</v>
      </c>
      <c r="P92">
        <v>1999</v>
      </c>
      <c r="Q92">
        <v>1</v>
      </c>
      <c r="R92">
        <v>8349210000</v>
      </c>
    </row>
    <row r="93" spans="15:21">
      <c r="O93">
        <v>2028</v>
      </c>
      <c r="P93">
        <v>2000</v>
      </c>
      <c r="Q93">
        <v>1</v>
      </c>
      <c r="R93">
        <v>10194200000</v>
      </c>
    </row>
    <row r="94" spans="15:21">
      <c r="O94">
        <v>2028</v>
      </c>
      <c r="P94">
        <v>2001</v>
      </c>
      <c r="Q94">
        <v>1</v>
      </c>
      <c r="R94">
        <v>11316200000</v>
      </c>
    </row>
    <row r="95" spans="15:21">
      <c r="O95">
        <v>2028</v>
      </c>
      <c r="P95">
        <v>2002</v>
      </c>
      <c r="Q95">
        <v>1</v>
      </c>
      <c r="R95">
        <v>13875100000</v>
      </c>
    </row>
    <row r="96" spans="15:21">
      <c r="O96">
        <v>2028</v>
      </c>
      <c r="P96">
        <v>2003</v>
      </c>
      <c r="Q96">
        <v>1</v>
      </c>
      <c r="R96">
        <v>15917700000</v>
      </c>
    </row>
    <row r="97" spans="15:18">
      <c r="O97">
        <v>2028</v>
      </c>
      <c r="P97">
        <v>2004</v>
      </c>
      <c r="Q97">
        <v>1</v>
      </c>
      <c r="R97">
        <v>18877600000</v>
      </c>
    </row>
    <row r="98" spans="15:18">
      <c r="O98">
        <v>2028</v>
      </c>
      <c r="P98">
        <v>2005</v>
      </c>
      <c r="Q98">
        <v>1</v>
      </c>
      <c r="R98">
        <v>21601700000</v>
      </c>
    </row>
    <row r="99" spans="15:18">
      <c r="O99">
        <v>2028</v>
      </c>
      <c r="P99">
        <v>2006</v>
      </c>
      <c r="Q99">
        <v>1</v>
      </c>
      <c r="R99">
        <v>23826500000</v>
      </c>
    </row>
    <row r="100" spans="15:18">
      <c r="O100">
        <v>2028</v>
      </c>
      <c r="P100">
        <v>2007</v>
      </c>
      <c r="Q100">
        <v>1</v>
      </c>
      <c r="R100">
        <v>27782300000</v>
      </c>
    </row>
    <row r="101" spans="15:18">
      <c r="O101">
        <v>2028</v>
      </c>
      <c r="P101">
        <v>2008</v>
      </c>
      <c r="Q101">
        <v>1</v>
      </c>
      <c r="R101">
        <v>29728200000</v>
      </c>
    </row>
    <row r="102" spans="15:18">
      <c r="O102">
        <v>2028</v>
      </c>
      <c r="P102">
        <v>2009</v>
      </c>
      <c r="Q102">
        <v>1</v>
      </c>
      <c r="R102">
        <v>23228900000</v>
      </c>
    </row>
    <row r="103" spans="15:18">
      <c r="O103">
        <v>2028</v>
      </c>
      <c r="P103">
        <v>2010</v>
      </c>
      <c r="Q103">
        <v>1</v>
      </c>
      <c r="R103">
        <v>32708800000</v>
      </c>
    </row>
    <row r="104" spans="15:18">
      <c r="O104">
        <v>2028</v>
      </c>
      <c r="P104">
        <v>2011</v>
      </c>
      <c r="Q104">
        <v>1</v>
      </c>
      <c r="R104">
        <v>41821600000</v>
      </c>
    </row>
    <row r="105" spans="15:18">
      <c r="O105">
        <v>2028</v>
      </c>
      <c r="P105">
        <v>2012</v>
      </c>
      <c r="Q105">
        <v>1</v>
      </c>
      <c r="R105">
        <v>54360300000</v>
      </c>
    </row>
    <row r="106" spans="15:18">
      <c r="O106">
        <v>2028</v>
      </c>
      <c r="P106">
        <v>2013</v>
      </c>
      <c r="Q106">
        <v>1</v>
      </c>
      <c r="R106">
        <v>69343300000</v>
      </c>
    </row>
    <row r="107" spans="15:18">
      <c r="O107">
        <v>2028</v>
      </c>
      <c r="P107">
        <v>2014</v>
      </c>
      <c r="Q107">
        <v>1</v>
      </c>
      <c r="R107">
        <v>97900400000</v>
      </c>
    </row>
    <row r="108" spans="15:18">
      <c r="O108">
        <v>2028</v>
      </c>
      <c r="P108">
        <v>2015</v>
      </c>
      <c r="Q108">
        <v>1</v>
      </c>
      <c r="R108">
        <v>117287000000</v>
      </c>
    </row>
    <row r="109" spans="15:18">
      <c r="O109">
        <v>2028</v>
      </c>
      <c r="P109">
        <v>2016</v>
      </c>
      <c r="Q109">
        <v>1</v>
      </c>
      <c r="R109">
        <v>130162000000</v>
      </c>
    </row>
    <row r="110" spans="15:18">
      <c r="O110">
        <v>2028</v>
      </c>
      <c r="P110">
        <v>2017</v>
      </c>
      <c r="Q110">
        <v>1</v>
      </c>
      <c r="R110">
        <v>138820000000</v>
      </c>
    </row>
    <row r="111" spans="15:18">
      <c r="O111">
        <v>2028</v>
      </c>
      <c r="P111">
        <v>2018</v>
      </c>
      <c r="Q111">
        <v>1</v>
      </c>
      <c r="R111">
        <v>140419000000</v>
      </c>
    </row>
    <row r="112" spans="15:18">
      <c r="O112">
        <v>2028</v>
      </c>
      <c r="P112">
        <v>2019</v>
      </c>
      <c r="Q112">
        <v>1</v>
      </c>
      <c r="R112">
        <v>151522000000</v>
      </c>
    </row>
    <row r="113" spans="15:21">
      <c r="O113">
        <v>2028</v>
      </c>
      <c r="P113">
        <v>2020</v>
      </c>
      <c r="Q113">
        <v>1</v>
      </c>
      <c r="R113">
        <v>161378000000</v>
      </c>
    </row>
    <row r="114" spans="15:21">
      <c r="O114">
        <v>2028</v>
      </c>
      <c r="P114">
        <v>2021</v>
      </c>
      <c r="Q114">
        <v>1</v>
      </c>
      <c r="R114">
        <v>170909000000</v>
      </c>
    </row>
    <row r="115" spans="15:21">
      <c r="O115">
        <v>2028</v>
      </c>
      <c r="P115">
        <v>2022</v>
      </c>
      <c r="Q115">
        <v>1</v>
      </c>
      <c r="R115">
        <v>176498000000</v>
      </c>
    </row>
    <row r="116" spans="15:21">
      <c r="O116">
        <v>2028</v>
      </c>
      <c r="P116">
        <v>2023</v>
      </c>
      <c r="Q116">
        <v>1</v>
      </c>
      <c r="R116">
        <v>185762000000</v>
      </c>
    </row>
    <row r="117" spans="15:21">
      <c r="O117">
        <v>2028</v>
      </c>
      <c r="P117">
        <v>2024</v>
      </c>
      <c r="Q117">
        <v>1</v>
      </c>
      <c r="R117">
        <v>193840000000</v>
      </c>
    </row>
    <row r="118" spans="15:21">
      <c r="O118">
        <v>2028</v>
      </c>
      <c r="P118">
        <v>2025</v>
      </c>
      <c r="Q118">
        <v>1</v>
      </c>
      <c r="R118">
        <v>200619000000</v>
      </c>
    </row>
    <row r="119" spans="15:21">
      <c r="O119">
        <v>2028</v>
      </c>
      <c r="P119">
        <v>2026</v>
      </c>
      <c r="Q119">
        <v>1</v>
      </c>
      <c r="R119">
        <v>207121000000</v>
      </c>
    </row>
    <row r="120" spans="15:21">
      <c r="O120">
        <v>2028</v>
      </c>
      <c r="P120">
        <v>2027</v>
      </c>
      <c r="Q120">
        <v>1</v>
      </c>
      <c r="R120">
        <v>212191000000</v>
      </c>
    </row>
    <row r="121" spans="15:21">
      <c r="O121">
        <v>2028</v>
      </c>
      <c r="P121">
        <v>2028</v>
      </c>
      <c r="Q121">
        <v>1</v>
      </c>
      <c r="R121">
        <v>217843000000</v>
      </c>
      <c r="S121">
        <f>SUM(R91:R121)</f>
        <v>2945089010000</v>
      </c>
      <c r="T121">
        <f>R119</f>
        <v>207121000000</v>
      </c>
      <c r="U121">
        <f>T121/S121</f>
        <v>7.03275857866177E-2</v>
      </c>
    </row>
    <row r="122" spans="15:21">
      <c r="O122">
        <v>2029</v>
      </c>
      <c r="P122">
        <v>1999</v>
      </c>
      <c r="Q122">
        <v>1</v>
      </c>
      <c r="R122">
        <v>40158800000</v>
      </c>
    </row>
    <row r="123" spans="15:21">
      <c r="O123">
        <v>2029</v>
      </c>
      <c r="P123">
        <v>2000</v>
      </c>
      <c r="Q123">
        <v>1</v>
      </c>
      <c r="R123">
        <v>8892150000</v>
      </c>
    </row>
    <row r="124" spans="15:21">
      <c r="O124">
        <v>2029</v>
      </c>
      <c r="P124">
        <v>2001</v>
      </c>
      <c r="Q124">
        <v>1</v>
      </c>
      <c r="R124">
        <v>9867760000</v>
      </c>
    </row>
    <row r="125" spans="15:21">
      <c r="O125">
        <v>2029</v>
      </c>
      <c r="P125">
        <v>2002</v>
      </c>
      <c r="Q125">
        <v>1</v>
      </c>
      <c r="R125">
        <v>12080500000</v>
      </c>
    </row>
    <row r="126" spans="15:21">
      <c r="O126">
        <v>2029</v>
      </c>
      <c r="P126">
        <v>2003</v>
      </c>
      <c r="Q126">
        <v>1</v>
      </c>
      <c r="R126">
        <v>13808100000</v>
      </c>
    </row>
    <row r="127" spans="15:21">
      <c r="O127">
        <v>2029</v>
      </c>
      <c r="P127">
        <v>2004</v>
      </c>
      <c r="Q127">
        <v>1</v>
      </c>
      <c r="R127">
        <v>16268800000</v>
      </c>
    </row>
    <row r="128" spans="15:21">
      <c r="O128">
        <v>2029</v>
      </c>
      <c r="P128">
        <v>2005</v>
      </c>
      <c r="Q128">
        <v>1</v>
      </c>
      <c r="R128">
        <v>18448900000</v>
      </c>
    </row>
    <row r="129" spans="15:18">
      <c r="O129">
        <v>2029</v>
      </c>
      <c r="P129">
        <v>2006</v>
      </c>
      <c r="Q129">
        <v>1</v>
      </c>
      <c r="R129">
        <v>20225300000</v>
      </c>
    </row>
    <row r="130" spans="15:18">
      <c r="O130">
        <v>2029</v>
      </c>
      <c r="P130">
        <v>2007</v>
      </c>
      <c r="Q130">
        <v>1</v>
      </c>
      <c r="R130">
        <v>23457600000</v>
      </c>
    </row>
    <row r="131" spans="15:18">
      <c r="O131">
        <v>2029</v>
      </c>
      <c r="P131">
        <v>2008</v>
      </c>
      <c r="Q131">
        <v>1</v>
      </c>
      <c r="R131">
        <v>25064100000</v>
      </c>
    </row>
    <row r="132" spans="15:18">
      <c r="O132">
        <v>2029</v>
      </c>
      <c r="P132">
        <v>2009</v>
      </c>
      <c r="Q132">
        <v>1</v>
      </c>
      <c r="R132">
        <v>19473500000</v>
      </c>
    </row>
    <row r="133" spans="15:18">
      <c r="O133">
        <v>2029</v>
      </c>
      <c r="P133">
        <v>2010</v>
      </c>
      <c r="Q133">
        <v>1</v>
      </c>
      <c r="R133">
        <v>27550700000</v>
      </c>
    </row>
    <row r="134" spans="15:18">
      <c r="O134">
        <v>2029</v>
      </c>
      <c r="P134">
        <v>2011</v>
      </c>
      <c r="Q134">
        <v>1</v>
      </c>
      <c r="R134">
        <v>35463900000</v>
      </c>
    </row>
    <row r="135" spans="15:18">
      <c r="O135">
        <v>2029</v>
      </c>
      <c r="P135">
        <v>2012</v>
      </c>
      <c r="Q135">
        <v>1</v>
      </c>
      <c r="R135">
        <v>46140700000</v>
      </c>
    </row>
    <row r="136" spans="15:18">
      <c r="O136">
        <v>2029</v>
      </c>
      <c r="P136">
        <v>2013</v>
      </c>
      <c r="Q136">
        <v>1</v>
      </c>
      <c r="R136">
        <v>59311900000</v>
      </c>
    </row>
    <row r="137" spans="15:18">
      <c r="O137">
        <v>2029</v>
      </c>
      <c r="P137">
        <v>2014</v>
      </c>
      <c r="Q137">
        <v>1</v>
      </c>
      <c r="R137">
        <v>84849300000</v>
      </c>
    </row>
    <row r="138" spans="15:18">
      <c r="O138">
        <v>2029</v>
      </c>
      <c r="P138">
        <v>2015</v>
      </c>
      <c r="Q138">
        <v>1</v>
      </c>
      <c r="R138">
        <v>103525000000</v>
      </c>
    </row>
    <row r="139" spans="15:18">
      <c r="O139">
        <v>2029</v>
      </c>
      <c r="P139">
        <v>2016</v>
      </c>
      <c r="Q139">
        <v>1</v>
      </c>
      <c r="R139">
        <v>117639000000</v>
      </c>
    </row>
    <row r="140" spans="15:18">
      <c r="O140">
        <v>2029</v>
      </c>
      <c r="P140">
        <v>2017</v>
      </c>
      <c r="Q140">
        <v>1</v>
      </c>
      <c r="R140">
        <v>127486000000</v>
      </c>
    </row>
    <row r="141" spans="15:18">
      <c r="O141">
        <v>2029</v>
      </c>
      <c r="P141">
        <v>2018</v>
      </c>
      <c r="Q141">
        <v>1</v>
      </c>
      <c r="R141">
        <v>130047000000</v>
      </c>
    </row>
    <row r="142" spans="15:18">
      <c r="O142">
        <v>2029</v>
      </c>
      <c r="P142">
        <v>2019</v>
      </c>
      <c r="Q142">
        <v>1</v>
      </c>
      <c r="R142">
        <v>141214000000</v>
      </c>
    </row>
    <row r="143" spans="15:18">
      <c r="O143">
        <v>2029</v>
      </c>
      <c r="P143">
        <v>2020</v>
      </c>
      <c r="Q143">
        <v>1</v>
      </c>
      <c r="R143">
        <v>151423000000</v>
      </c>
    </row>
    <row r="144" spans="15:18">
      <c r="O144">
        <v>2029</v>
      </c>
      <c r="P144">
        <v>2021</v>
      </c>
      <c r="Q144">
        <v>1</v>
      </c>
      <c r="R144">
        <v>161451000000</v>
      </c>
    </row>
    <row r="145" spans="15:21">
      <c r="O145">
        <v>2029</v>
      </c>
      <c r="P145">
        <v>2022</v>
      </c>
      <c r="Q145">
        <v>1</v>
      </c>
      <c r="R145">
        <v>167858000000</v>
      </c>
    </row>
    <row r="146" spans="15:21">
      <c r="O146">
        <v>2029</v>
      </c>
      <c r="P146">
        <v>2023</v>
      </c>
      <c r="Q146">
        <v>1</v>
      </c>
      <c r="R146">
        <v>177820000000</v>
      </c>
    </row>
    <row r="147" spans="15:21">
      <c r="O147">
        <v>2029</v>
      </c>
      <c r="P147">
        <v>2024</v>
      </c>
      <c r="Q147">
        <v>1</v>
      </c>
      <c r="R147">
        <v>186694000000</v>
      </c>
    </row>
    <row r="148" spans="15:21">
      <c r="O148">
        <v>2029</v>
      </c>
      <c r="P148">
        <v>2025</v>
      </c>
      <c r="Q148">
        <v>1</v>
      </c>
      <c r="R148">
        <v>194339000000</v>
      </c>
    </row>
    <row r="149" spans="15:21">
      <c r="O149">
        <v>2029</v>
      </c>
      <c r="P149">
        <v>2026</v>
      </c>
      <c r="Q149">
        <v>1</v>
      </c>
      <c r="R149">
        <v>201862000000</v>
      </c>
    </row>
    <row r="150" spans="15:21">
      <c r="O150">
        <v>2029</v>
      </c>
      <c r="P150">
        <v>2027</v>
      </c>
      <c r="Q150">
        <v>1</v>
      </c>
      <c r="R150">
        <v>207298000000</v>
      </c>
    </row>
    <row r="151" spans="15:21">
      <c r="O151">
        <v>2029</v>
      </c>
      <c r="P151">
        <v>2028</v>
      </c>
      <c r="Q151">
        <v>1</v>
      </c>
      <c r="R151">
        <v>213348000000</v>
      </c>
    </row>
    <row r="152" spans="15:21">
      <c r="O152">
        <v>2029</v>
      </c>
      <c r="P152">
        <v>2029</v>
      </c>
      <c r="Q152">
        <v>1</v>
      </c>
      <c r="R152">
        <v>218480000000</v>
      </c>
      <c r="S152">
        <f>SUM(R122:R152)</f>
        <v>2961546010000</v>
      </c>
      <c r="T152">
        <f>R149</f>
        <v>201862000000</v>
      </c>
      <c r="U152">
        <f>T152/S152</f>
        <v>6.8161021074259795E-2</v>
      </c>
    </row>
    <row r="153" spans="15:21">
      <c r="O153">
        <v>2030</v>
      </c>
      <c r="P153">
        <v>2000</v>
      </c>
      <c r="Q153">
        <v>1</v>
      </c>
      <c r="R153">
        <v>40424900000</v>
      </c>
    </row>
    <row r="154" spans="15:21">
      <c r="O154">
        <v>2030</v>
      </c>
      <c r="P154">
        <v>2001</v>
      </c>
      <c r="Q154">
        <v>1</v>
      </c>
      <c r="R154">
        <v>8600540000</v>
      </c>
    </row>
    <row r="155" spans="15:21">
      <c r="O155">
        <v>2030</v>
      </c>
      <c r="P155">
        <v>2002</v>
      </c>
      <c r="Q155">
        <v>1</v>
      </c>
      <c r="R155">
        <v>10522900000</v>
      </c>
    </row>
    <row r="156" spans="15:21">
      <c r="O156">
        <v>2030</v>
      </c>
      <c r="P156">
        <v>2003</v>
      </c>
      <c r="Q156">
        <v>1</v>
      </c>
      <c r="R156">
        <v>11994000000</v>
      </c>
    </row>
    <row r="157" spans="15:21">
      <c r="O157">
        <v>2030</v>
      </c>
      <c r="P157">
        <v>2004</v>
      </c>
      <c r="Q157">
        <v>1</v>
      </c>
      <c r="R157">
        <v>14109600000</v>
      </c>
    </row>
    <row r="158" spans="15:21">
      <c r="O158">
        <v>2030</v>
      </c>
      <c r="P158">
        <v>2005</v>
      </c>
      <c r="Q158">
        <v>1</v>
      </c>
      <c r="R158">
        <v>15839400000</v>
      </c>
    </row>
    <row r="159" spans="15:21">
      <c r="O159">
        <v>2030</v>
      </c>
      <c r="P159">
        <v>2006</v>
      </c>
      <c r="Q159">
        <v>1</v>
      </c>
      <c r="R159">
        <v>17217400000</v>
      </c>
    </row>
    <row r="160" spans="15:21">
      <c r="O160">
        <v>2030</v>
      </c>
      <c r="P160">
        <v>2007</v>
      </c>
      <c r="Q160">
        <v>1</v>
      </c>
      <c r="R160">
        <v>19847000000</v>
      </c>
    </row>
    <row r="161" spans="15:18">
      <c r="O161">
        <v>2030</v>
      </c>
      <c r="P161">
        <v>2008</v>
      </c>
      <c r="Q161">
        <v>1</v>
      </c>
      <c r="R161">
        <v>21134800000</v>
      </c>
    </row>
    <row r="162" spans="15:18">
      <c r="O162">
        <v>2030</v>
      </c>
      <c r="P162">
        <v>2009</v>
      </c>
      <c r="Q162">
        <v>1</v>
      </c>
      <c r="R162">
        <v>16304100000</v>
      </c>
    </row>
    <row r="163" spans="15:18">
      <c r="O163">
        <v>2030</v>
      </c>
      <c r="P163">
        <v>2010</v>
      </c>
      <c r="Q163">
        <v>1</v>
      </c>
      <c r="R163">
        <v>23127900000</v>
      </c>
    </row>
    <row r="164" spans="15:18">
      <c r="O164">
        <v>2030</v>
      </c>
      <c r="P164">
        <v>2011</v>
      </c>
      <c r="Q164">
        <v>1</v>
      </c>
      <c r="R164">
        <v>29938800000</v>
      </c>
    </row>
    <row r="165" spans="15:18">
      <c r="O165">
        <v>2030</v>
      </c>
      <c r="P165">
        <v>2012</v>
      </c>
      <c r="Q165">
        <v>1</v>
      </c>
      <c r="R165">
        <v>38892000000</v>
      </c>
    </row>
    <row r="166" spans="15:18">
      <c r="O166">
        <v>2030</v>
      </c>
      <c r="P166">
        <v>2013</v>
      </c>
      <c r="Q166">
        <v>1</v>
      </c>
      <c r="R166">
        <v>50263400000</v>
      </c>
    </row>
    <row r="167" spans="15:18">
      <c r="O167">
        <v>2030</v>
      </c>
      <c r="P167">
        <v>2014</v>
      </c>
      <c r="Q167">
        <v>1</v>
      </c>
      <c r="R167">
        <v>72747200000</v>
      </c>
    </row>
    <row r="168" spans="15:18">
      <c r="O168">
        <v>2030</v>
      </c>
      <c r="P168">
        <v>2015</v>
      </c>
      <c r="Q168">
        <v>1</v>
      </c>
      <c r="R168">
        <v>89771900000</v>
      </c>
    </row>
    <row r="169" spans="15:18">
      <c r="O169">
        <v>2030</v>
      </c>
      <c r="P169">
        <v>2016</v>
      </c>
      <c r="Q169">
        <v>1</v>
      </c>
      <c r="R169">
        <v>103926000000</v>
      </c>
    </row>
    <row r="170" spans="15:18">
      <c r="O170">
        <v>2030</v>
      </c>
      <c r="P170">
        <v>2017</v>
      </c>
      <c r="Q170">
        <v>1</v>
      </c>
      <c r="R170">
        <v>115185000000</v>
      </c>
    </row>
    <row r="171" spans="15:18">
      <c r="O171">
        <v>2030</v>
      </c>
      <c r="P171">
        <v>2018</v>
      </c>
      <c r="Q171">
        <v>1</v>
      </c>
      <c r="R171">
        <v>119687000000</v>
      </c>
    </row>
    <row r="172" spans="15:18">
      <c r="O172">
        <v>2030</v>
      </c>
      <c r="P172">
        <v>2019</v>
      </c>
      <c r="Q172">
        <v>1</v>
      </c>
      <c r="R172">
        <v>130772000000</v>
      </c>
    </row>
    <row r="173" spans="15:18">
      <c r="O173">
        <v>2030</v>
      </c>
      <c r="P173">
        <v>2020</v>
      </c>
      <c r="Q173">
        <v>1</v>
      </c>
      <c r="R173">
        <v>141138000000</v>
      </c>
    </row>
    <row r="174" spans="15:18">
      <c r="O174">
        <v>2030</v>
      </c>
      <c r="P174">
        <v>2021</v>
      </c>
      <c r="Q174">
        <v>1</v>
      </c>
      <c r="R174">
        <v>151514000000</v>
      </c>
    </row>
    <row r="175" spans="15:18">
      <c r="O175">
        <v>2030</v>
      </c>
      <c r="P175">
        <v>2022</v>
      </c>
      <c r="Q175">
        <v>1</v>
      </c>
      <c r="R175">
        <v>158612000000</v>
      </c>
    </row>
    <row r="176" spans="15:18">
      <c r="O176">
        <v>2030</v>
      </c>
      <c r="P176">
        <v>2023</v>
      </c>
      <c r="Q176">
        <v>1</v>
      </c>
      <c r="R176">
        <v>169182000000</v>
      </c>
    </row>
    <row r="177" spans="15:21">
      <c r="O177">
        <v>2030</v>
      </c>
      <c r="P177">
        <v>2024</v>
      </c>
      <c r="Q177">
        <v>1</v>
      </c>
      <c r="R177">
        <v>178795000000</v>
      </c>
    </row>
    <row r="178" spans="15:21">
      <c r="O178">
        <v>2030</v>
      </c>
      <c r="P178">
        <v>2025</v>
      </c>
      <c r="Q178">
        <v>1</v>
      </c>
      <c r="R178">
        <v>187268000000</v>
      </c>
    </row>
    <row r="179" spans="15:21">
      <c r="O179">
        <v>2030</v>
      </c>
      <c r="P179">
        <v>2026</v>
      </c>
      <c r="Q179">
        <v>1</v>
      </c>
      <c r="R179">
        <v>195647000000</v>
      </c>
    </row>
    <row r="180" spans="15:21">
      <c r="O180">
        <v>2030</v>
      </c>
      <c r="P180">
        <v>2027</v>
      </c>
      <c r="Q180">
        <v>1</v>
      </c>
      <c r="R180">
        <v>202153000000</v>
      </c>
    </row>
    <row r="181" spans="15:21">
      <c r="O181">
        <v>2030</v>
      </c>
      <c r="P181">
        <v>2028</v>
      </c>
      <c r="Q181">
        <v>1</v>
      </c>
      <c r="R181">
        <v>208549000000</v>
      </c>
    </row>
    <row r="182" spans="15:21">
      <c r="O182">
        <v>2030</v>
      </c>
      <c r="P182">
        <v>2029</v>
      </c>
      <c r="Q182">
        <v>1</v>
      </c>
      <c r="R182">
        <v>214095000000</v>
      </c>
    </row>
    <row r="183" spans="15:21">
      <c r="O183">
        <v>2030</v>
      </c>
      <c r="P183">
        <v>2030</v>
      </c>
      <c r="Q183">
        <v>1</v>
      </c>
      <c r="R183">
        <v>220881000000</v>
      </c>
      <c r="S183">
        <f>SUM(R153:R183)</f>
        <v>2978139840000</v>
      </c>
      <c r="T183">
        <f>R179</f>
        <v>195647000000</v>
      </c>
      <c r="U183">
        <f>T183/S183</f>
        <v>6.5694363096126474E-2</v>
      </c>
    </row>
    <row r="184" spans="15:21">
      <c r="O184">
        <v>2031</v>
      </c>
      <c r="P184">
        <v>2001</v>
      </c>
      <c r="Q184">
        <v>1</v>
      </c>
      <c r="R184">
        <v>40681100000</v>
      </c>
    </row>
    <row r="185" spans="15:21">
      <c r="O185">
        <v>2031</v>
      </c>
      <c r="P185">
        <v>2002</v>
      </c>
      <c r="Q185">
        <v>1</v>
      </c>
      <c r="R185">
        <v>9185510000</v>
      </c>
    </row>
    <row r="186" spans="15:21">
      <c r="O186">
        <v>2031</v>
      </c>
      <c r="P186">
        <v>2003</v>
      </c>
      <c r="Q186">
        <v>1</v>
      </c>
      <c r="R186">
        <v>10449800000</v>
      </c>
    </row>
    <row r="187" spans="15:21">
      <c r="O187">
        <v>2031</v>
      </c>
      <c r="P187">
        <v>2004</v>
      </c>
      <c r="Q187">
        <v>1</v>
      </c>
      <c r="R187">
        <v>12281800000</v>
      </c>
    </row>
    <row r="188" spans="15:21">
      <c r="O188">
        <v>2031</v>
      </c>
      <c r="P188">
        <v>2005</v>
      </c>
      <c r="Q188">
        <v>1</v>
      </c>
      <c r="R188">
        <v>13713800000</v>
      </c>
    </row>
    <row r="189" spans="15:21">
      <c r="O189">
        <v>2031</v>
      </c>
      <c r="P189">
        <v>2006</v>
      </c>
      <c r="Q189">
        <v>1</v>
      </c>
      <c r="R189">
        <v>14761800000</v>
      </c>
    </row>
    <row r="190" spans="15:21">
      <c r="O190">
        <v>2031</v>
      </c>
      <c r="P190">
        <v>2007</v>
      </c>
      <c r="Q190">
        <v>1</v>
      </c>
      <c r="R190">
        <v>16866000000</v>
      </c>
    </row>
    <row r="191" spans="15:21">
      <c r="O191">
        <v>2031</v>
      </c>
      <c r="P191">
        <v>2008</v>
      </c>
      <c r="Q191">
        <v>1</v>
      </c>
      <c r="R191">
        <v>17883400000</v>
      </c>
    </row>
    <row r="192" spans="15:21">
      <c r="O192">
        <v>2031</v>
      </c>
      <c r="P192">
        <v>2009</v>
      </c>
      <c r="Q192">
        <v>1</v>
      </c>
      <c r="R192">
        <v>13660500000</v>
      </c>
    </row>
    <row r="193" spans="15:18">
      <c r="O193">
        <v>2031</v>
      </c>
      <c r="P193">
        <v>2010</v>
      </c>
      <c r="Q193">
        <v>1</v>
      </c>
      <c r="R193">
        <v>19409300000</v>
      </c>
    </row>
    <row r="194" spans="15:18">
      <c r="O194">
        <v>2031</v>
      </c>
      <c r="P194">
        <v>2011</v>
      </c>
      <c r="Q194">
        <v>1</v>
      </c>
      <c r="R194">
        <v>25218100000</v>
      </c>
    </row>
    <row r="195" spans="15:18">
      <c r="O195">
        <v>2031</v>
      </c>
      <c r="P195">
        <v>2012</v>
      </c>
      <c r="Q195">
        <v>1</v>
      </c>
      <c r="R195">
        <v>32634000000</v>
      </c>
    </row>
    <row r="196" spans="15:18">
      <c r="O196">
        <v>2031</v>
      </c>
      <c r="P196">
        <v>2013</v>
      </c>
      <c r="Q196">
        <v>1</v>
      </c>
      <c r="R196">
        <v>42300600000</v>
      </c>
    </row>
    <row r="197" spans="15:18">
      <c r="O197">
        <v>2031</v>
      </c>
      <c r="P197">
        <v>2014</v>
      </c>
      <c r="Q197">
        <v>1</v>
      </c>
      <c r="R197">
        <v>61840600000</v>
      </c>
    </row>
    <row r="198" spans="15:18">
      <c r="O198">
        <v>2031</v>
      </c>
      <c r="P198">
        <v>2015</v>
      </c>
      <c r="Q198">
        <v>1</v>
      </c>
      <c r="R198">
        <v>77045900000</v>
      </c>
    </row>
    <row r="199" spans="15:18">
      <c r="O199">
        <v>2031</v>
      </c>
      <c r="P199">
        <v>2016</v>
      </c>
      <c r="Q199">
        <v>1</v>
      </c>
      <c r="R199">
        <v>90200300000</v>
      </c>
    </row>
    <row r="200" spans="15:18">
      <c r="O200">
        <v>2031</v>
      </c>
      <c r="P200">
        <v>2017</v>
      </c>
      <c r="Q200">
        <v>1</v>
      </c>
      <c r="R200">
        <v>101832000000</v>
      </c>
    </row>
    <row r="201" spans="15:18">
      <c r="O201">
        <v>2031</v>
      </c>
      <c r="P201">
        <v>2018</v>
      </c>
      <c r="Q201">
        <v>1</v>
      </c>
      <c r="R201">
        <v>108044000000</v>
      </c>
    </row>
    <row r="202" spans="15:18">
      <c r="O202">
        <v>2031</v>
      </c>
      <c r="P202">
        <v>2019</v>
      </c>
      <c r="Q202">
        <v>1</v>
      </c>
      <c r="R202">
        <v>120238000000</v>
      </c>
    </row>
    <row r="203" spans="15:18">
      <c r="O203">
        <v>2031</v>
      </c>
      <c r="P203">
        <v>2020</v>
      </c>
      <c r="Q203">
        <v>1</v>
      </c>
      <c r="R203">
        <v>130588000000</v>
      </c>
    </row>
    <row r="204" spans="15:18">
      <c r="O204">
        <v>2031</v>
      </c>
      <c r="P204">
        <v>2021</v>
      </c>
      <c r="Q204">
        <v>1</v>
      </c>
      <c r="R204">
        <v>141084000000</v>
      </c>
    </row>
    <row r="205" spans="15:18">
      <c r="O205">
        <v>2031</v>
      </c>
      <c r="P205">
        <v>2022</v>
      </c>
      <c r="Q205">
        <v>1</v>
      </c>
      <c r="R205">
        <v>148703000000</v>
      </c>
    </row>
    <row r="206" spans="15:18">
      <c r="O206">
        <v>2031</v>
      </c>
      <c r="P206">
        <v>2023</v>
      </c>
      <c r="Q206">
        <v>1</v>
      </c>
      <c r="R206">
        <v>159701000000</v>
      </c>
    </row>
    <row r="207" spans="15:18">
      <c r="O207">
        <v>2031</v>
      </c>
      <c r="P207">
        <v>2024</v>
      </c>
      <c r="Q207">
        <v>1</v>
      </c>
      <c r="R207">
        <v>169922000000</v>
      </c>
    </row>
    <row r="208" spans="15:18">
      <c r="O208">
        <v>2031</v>
      </c>
      <c r="P208">
        <v>2025</v>
      </c>
      <c r="Q208">
        <v>1</v>
      </c>
      <c r="R208">
        <v>179132000000</v>
      </c>
    </row>
    <row r="209" spans="15:21">
      <c r="O209">
        <v>2031</v>
      </c>
      <c r="P209">
        <v>2026</v>
      </c>
      <c r="Q209">
        <v>1</v>
      </c>
      <c r="R209">
        <v>188286000000</v>
      </c>
    </row>
    <row r="210" spans="15:21">
      <c r="O210">
        <v>2031</v>
      </c>
      <c r="P210">
        <v>2027</v>
      </c>
      <c r="Q210">
        <v>1</v>
      </c>
      <c r="R210">
        <v>195667000000</v>
      </c>
    </row>
    <row r="211" spans="15:21">
      <c r="O211">
        <v>2031</v>
      </c>
      <c r="P211">
        <v>2028</v>
      </c>
      <c r="Q211">
        <v>1</v>
      </c>
      <c r="R211">
        <v>203081000000</v>
      </c>
    </row>
    <row r="212" spans="15:21">
      <c r="O212">
        <v>2031</v>
      </c>
      <c r="P212">
        <v>2029</v>
      </c>
      <c r="Q212">
        <v>1</v>
      </c>
      <c r="R212">
        <v>208976000000</v>
      </c>
    </row>
    <row r="213" spans="15:21">
      <c r="O213">
        <v>2031</v>
      </c>
      <c r="P213">
        <v>2030</v>
      </c>
      <c r="Q213">
        <v>1</v>
      </c>
      <c r="R213">
        <v>216131000000</v>
      </c>
    </row>
    <row r="214" spans="15:21">
      <c r="O214">
        <v>2031</v>
      </c>
      <c r="P214">
        <v>2031</v>
      </c>
      <c r="Q214">
        <v>1</v>
      </c>
      <c r="R214">
        <v>224441000000</v>
      </c>
      <c r="S214">
        <f>SUM(R184:R214)</f>
        <v>2993958510000</v>
      </c>
      <c r="T214">
        <f>R209</f>
        <v>188286000000</v>
      </c>
      <c r="U214">
        <f>T214/S214</f>
        <v>6.2888647044076776E-2</v>
      </c>
    </row>
    <row r="215" spans="15:21">
      <c r="O215">
        <v>2032</v>
      </c>
      <c r="P215">
        <v>2002</v>
      </c>
      <c r="Q215">
        <v>1</v>
      </c>
      <c r="R215">
        <v>40926400000</v>
      </c>
    </row>
    <row r="216" spans="15:21">
      <c r="O216">
        <v>2032</v>
      </c>
      <c r="P216">
        <v>2003</v>
      </c>
      <c r="Q216">
        <v>1</v>
      </c>
      <c r="R216">
        <v>9108730000</v>
      </c>
    </row>
    <row r="217" spans="15:21">
      <c r="O217">
        <v>2032</v>
      </c>
      <c r="P217">
        <v>2004</v>
      </c>
      <c r="Q217">
        <v>1</v>
      </c>
      <c r="R217">
        <v>10705200000</v>
      </c>
    </row>
    <row r="218" spans="15:21">
      <c r="O218">
        <v>2032</v>
      </c>
      <c r="P218">
        <v>2005</v>
      </c>
      <c r="Q218">
        <v>1</v>
      </c>
      <c r="R218">
        <v>11902100000</v>
      </c>
    </row>
    <row r="219" spans="15:21">
      <c r="O219">
        <v>2032</v>
      </c>
      <c r="P219">
        <v>2006</v>
      </c>
      <c r="Q219">
        <v>1</v>
      </c>
      <c r="R219">
        <v>12748100000</v>
      </c>
    </row>
    <row r="220" spans="15:21">
      <c r="O220">
        <v>2032</v>
      </c>
      <c r="P220">
        <v>2007</v>
      </c>
      <c r="Q220">
        <v>1</v>
      </c>
      <c r="R220">
        <v>14423100000</v>
      </c>
    </row>
    <row r="221" spans="15:21">
      <c r="O221">
        <v>2032</v>
      </c>
      <c r="P221">
        <v>2008</v>
      </c>
      <c r="Q221">
        <v>1</v>
      </c>
      <c r="R221">
        <v>15190700000</v>
      </c>
    </row>
    <row r="222" spans="15:21">
      <c r="O222">
        <v>2032</v>
      </c>
      <c r="P222">
        <v>2009</v>
      </c>
      <c r="Q222">
        <v>1</v>
      </c>
      <c r="R222">
        <v>11477400000</v>
      </c>
    </row>
    <row r="223" spans="15:21">
      <c r="O223">
        <v>2032</v>
      </c>
      <c r="P223">
        <v>2010</v>
      </c>
      <c r="Q223">
        <v>1</v>
      </c>
      <c r="R223">
        <v>16305700000</v>
      </c>
    </row>
    <row r="224" spans="15:21">
      <c r="O224">
        <v>2032</v>
      </c>
      <c r="P224">
        <v>2011</v>
      </c>
      <c r="Q224">
        <v>1</v>
      </c>
      <c r="R224">
        <v>21241700000</v>
      </c>
    </row>
    <row r="225" spans="15:18">
      <c r="O225">
        <v>2032</v>
      </c>
      <c r="P225">
        <v>2012</v>
      </c>
      <c r="Q225">
        <v>1</v>
      </c>
      <c r="R225">
        <v>27313400000</v>
      </c>
    </row>
    <row r="226" spans="15:18">
      <c r="O226">
        <v>2032</v>
      </c>
      <c r="P226">
        <v>2013</v>
      </c>
      <c r="Q226">
        <v>1</v>
      </c>
      <c r="R226">
        <v>35456600000</v>
      </c>
    </row>
    <row r="227" spans="15:18">
      <c r="O227">
        <v>2032</v>
      </c>
      <c r="P227">
        <v>2014</v>
      </c>
      <c r="Q227">
        <v>1</v>
      </c>
      <c r="R227">
        <v>52265600000</v>
      </c>
    </row>
    <row r="228" spans="15:18">
      <c r="O228">
        <v>2032</v>
      </c>
      <c r="P228">
        <v>2015</v>
      </c>
      <c r="Q228">
        <v>1</v>
      </c>
      <c r="R228">
        <v>65610900000</v>
      </c>
    </row>
    <row r="229" spans="15:18">
      <c r="O229">
        <v>2032</v>
      </c>
      <c r="P229">
        <v>2016</v>
      </c>
      <c r="Q229">
        <v>1</v>
      </c>
      <c r="R229">
        <v>77548000000</v>
      </c>
    </row>
    <row r="230" spans="15:18">
      <c r="O230">
        <v>2032</v>
      </c>
      <c r="P230">
        <v>2017</v>
      </c>
      <c r="Q230">
        <v>1</v>
      </c>
      <c r="R230">
        <v>88504900000</v>
      </c>
    </row>
    <row r="231" spans="15:18">
      <c r="O231">
        <v>2032</v>
      </c>
      <c r="P231">
        <v>2018</v>
      </c>
      <c r="Q231">
        <v>1</v>
      </c>
      <c r="R231">
        <v>95168700000</v>
      </c>
    </row>
    <row r="232" spans="15:18">
      <c r="O232">
        <v>2032</v>
      </c>
      <c r="P232">
        <v>2019</v>
      </c>
      <c r="Q232">
        <v>1</v>
      </c>
      <c r="R232">
        <v>108544000000</v>
      </c>
    </row>
    <row r="233" spans="15:18">
      <c r="O233">
        <v>2032</v>
      </c>
      <c r="P233">
        <v>2020</v>
      </c>
      <c r="Q233">
        <v>1</v>
      </c>
      <c r="R233">
        <v>120085000000</v>
      </c>
    </row>
    <row r="234" spans="15:18">
      <c r="O234">
        <v>2032</v>
      </c>
      <c r="P234">
        <v>2021</v>
      </c>
      <c r="Q234">
        <v>1</v>
      </c>
      <c r="R234">
        <v>130555000000</v>
      </c>
    </row>
    <row r="235" spans="15:18">
      <c r="O235">
        <v>2032</v>
      </c>
      <c r="P235">
        <v>2022</v>
      </c>
      <c r="Q235">
        <v>1</v>
      </c>
      <c r="R235">
        <v>138502000000</v>
      </c>
    </row>
    <row r="236" spans="15:18">
      <c r="O236">
        <v>2032</v>
      </c>
      <c r="P236">
        <v>2023</v>
      </c>
      <c r="Q236">
        <v>1</v>
      </c>
      <c r="R236">
        <v>149778000000</v>
      </c>
    </row>
    <row r="237" spans="15:18">
      <c r="O237">
        <v>2032</v>
      </c>
      <c r="P237">
        <v>2024</v>
      </c>
      <c r="Q237">
        <v>1</v>
      </c>
      <c r="R237">
        <v>160467000000</v>
      </c>
    </row>
    <row r="238" spans="15:18">
      <c r="O238">
        <v>2032</v>
      </c>
      <c r="P238">
        <v>2025</v>
      </c>
      <c r="Q238">
        <v>1</v>
      </c>
      <c r="R238">
        <v>170320000000</v>
      </c>
    </row>
    <row r="239" spans="15:18">
      <c r="O239">
        <v>2032</v>
      </c>
      <c r="P239">
        <v>2026</v>
      </c>
      <c r="Q239">
        <v>1</v>
      </c>
      <c r="R239">
        <v>180189000000</v>
      </c>
    </row>
    <row r="240" spans="15:18">
      <c r="O240">
        <v>2032</v>
      </c>
      <c r="P240">
        <v>2027</v>
      </c>
      <c r="Q240">
        <v>1</v>
      </c>
      <c r="R240">
        <v>188407000000</v>
      </c>
    </row>
    <row r="241" spans="15:21">
      <c r="O241">
        <v>2032</v>
      </c>
      <c r="P241">
        <v>2028</v>
      </c>
      <c r="Q241">
        <v>1</v>
      </c>
      <c r="R241">
        <v>196672000000</v>
      </c>
    </row>
    <row r="242" spans="15:21">
      <c r="O242">
        <v>2032</v>
      </c>
      <c r="P242">
        <v>2029</v>
      </c>
      <c r="Q242">
        <v>1</v>
      </c>
      <c r="R242">
        <v>203610000000</v>
      </c>
    </row>
    <row r="243" spans="15:21">
      <c r="O243">
        <v>2032</v>
      </c>
      <c r="P243">
        <v>2030</v>
      </c>
      <c r="Q243">
        <v>1</v>
      </c>
      <c r="R243">
        <v>211080000000</v>
      </c>
    </row>
    <row r="244" spans="15:21">
      <c r="O244">
        <v>2032</v>
      </c>
      <c r="P244">
        <v>2031</v>
      </c>
      <c r="Q244">
        <v>1</v>
      </c>
      <c r="R244">
        <v>219734000000</v>
      </c>
    </row>
    <row r="245" spans="15:21">
      <c r="O245">
        <v>2032</v>
      </c>
      <c r="P245">
        <v>2032</v>
      </c>
      <c r="Q245">
        <v>1</v>
      </c>
      <c r="R245">
        <v>225422000000</v>
      </c>
      <c r="S245">
        <f>SUM(R215:R245)</f>
        <v>3009262230000</v>
      </c>
      <c r="T245">
        <f>R239</f>
        <v>180189000000</v>
      </c>
      <c r="U245">
        <f>T245/S245</f>
        <v>5.9878131657539198E-2</v>
      </c>
    </row>
    <row r="246" spans="15:21">
      <c r="O246">
        <v>2033</v>
      </c>
      <c r="P246">
        <v>2003</v>
      </c>
      <c r="Q246">
        <v>1</v>
      </c>
      <c r="R246">
        <v>41167100000</v>
      </c>
    </row>
    <row r="247" spans="15:21">
      <c r="O247">
        <v>2033</v>
      </c>
      <c r="P247">
        <v>2004</v>
      </c>
      <c r="Q247">
        <v>1</v>
      </c>
      <c r="R247">
        <v>9340440000</v>
      </c>
    </row>
    <row r="248" spans="15:21">
      <c r="O248">
        <v>2033</v>
      </c>
      <c r="P248">
        <v>2005</v>
      </c>
      <c r="Q248">
        <v>1</v>
      </c>
      <c r="R248">
        <v>10352400000</v>
      </c>
    </row>
    <row r="249" spans="15:21">
      <c r="O249">
        <v>2033</v>
      </c>
      <c r="P249">
        <v>2006</v>
      </c>
      <c r="Q249">
        <v>1</v>
      </c>
      <c r="R249">
        <v>11043300000</v>
      </c>
    </row>
    <row r="250" spans="15:21">
      <c r="O250">
        <v>2033</v>
      </c>
      <c r="P250">
        <v>2007</v>
      </c>
      <c r="Q250">
        <v>1</v>
      </c>
      <c r="R250">
        <v>12428100000</v>
      </c>
    </row>
    <row r="251" spans="15:21">
      <c r="O251">
        <v>2033</v>
      </c>
      <c r="P251">
        <v>2008</v>
      </c>
      <c r="Q251">
        <v>1</v>
      </c>
      <c r="R251">
        <v>12989700000</v>
      </c>
    </row>
    <row r="252" spans="15:21">
      <c r="O252">
        <v>2033</v>
      </c>
      <c r="P252">
        <v>2009</v>
      </c>
      <c r="Q252">
        <v>1</v>
      </c>
      <c r="R252">
        <v>9680760000</v>
      </c>
    </row>
    <row r="253" spans="15:21">
      <c r="O253">
        <v>2033</v>
      </c>
      <c r="P253">
        <v>2010</v>
      </c>
      <c r="Q253">
        <v>1</v>
      </c>
      <c r="R253">
        <v>13741600000</v>
      </c>
    </row>
    <row r="254" spans="15:21">
      <c r="O254">
        <v>2033</v>
      </c>
      <c r="P254">
        <v>2011</v>
      </c>
      <c r="Q254">
        <v>1</v>
      </c>
      <c r="R254">
        <v>17917200000</v>
      </c>
    </row>
    <row r="255" spans="15:21">
      <c r="O255">
        <v>2033</v>
      </c>
      <c r="P255">
        <v>2012</v>
      </c>
      <c r="Q255">
        <v>1</v>
      </c>
      <c r="R255">
        <v>22855400000</v>
      </c>
    </row>
    <row r="256" spans="15:21">
      <c r="O256">
        <v>2033</v>
      </c>
      <c r="P256">
        <v>2013</v>
      </c>
      <c r="Q256">
        <v>1</v>
      </c>
      <c r="R256">
        <v>29642000000</v>
      </c>
    </row>
    <row r="257" spans="15:18">
      <c r="O257">
        <v>2033</v>
      </c>
      <c r="P257">
        <v>2014</v>
      </c>
      <c r="Q257">
        <v>1</v>
      </c>
      <c r="R257">
        <v>44010700000</v>
      </c>
    </row>
    <row r="258" spans="15:18">
      <c r="O258">
        <v>2033</v>
      </c>
      <c r="P258">
        <v>2015</v>
      </c>
      <c r="Q258">
        <v>1</v>
      </c>
      <c r="R258">
        <v>55560100000</v>
      </c>
    </row>
    <row r="259" spans="15:18">
      <c r="O259">
        <v>2033</v>
      </c>
      <c r="P259">
        <v>2016</v>
      </c>
      <c r="Q259">
        <v>1</v>
      </c>
      <c r="R259">
        <v>66166400000</v>
      </c>
    </row>
    <row r="260" spans="15:18">
      <c r="O260">
        <v>2033</v>
      </c>
      <c r="P260">
        <v>2017</v>
      </c>
      <c r="Q260">
        <v>1</v>
      </c>
      <c r="R260">
        <v>76215500000</v>
      </c>
    </row>
    <row r="261" spans="15:18">
      <c r="O261">
        <v>2033</v>
      </c>
      <c r="P261">
        <v>2018</v>
      </c>
      <c r="Q261">
        <v>1</v>
      </c>
      <c r="R261">
        <v>82365500000</v>
      </c>
    </row>
    <row r="262" spans="15:18">
      <c r="O262">
        <v>2033</v>
      </c>
      <c r="P262">
        <v>2019</v>
      </c>
      <c r="Q262">
        <v>1</v>
      </c>
      <c r="R262">
        <v>95579100000</v>
      </c>
    </row>
    <row r="263" spans="15:18">
      <c r="O263">
        <v>2033</v>
      </c>
      <c r="P263">
        <v>2020</v>
      </c>
      <c r="Q263">
        <v>1</v>
      </c>
      <c r="R263">
        <v>108358000000</v>
      </c>
    </row>
    <row r="264" spans="15:18">
      <c r="O264">
        <v>2033</v>
      </c>
      <c r="P264">
        <v>2021</v>
      </c>
      <c r="Q264">
        <v>1</v>
      </c>
      <c r="R264">
        <v>120004000000</v>
      </c>
    </row>
    <row r="265" spans="15:18">
      <c r="O265">
        <v>2033</v>
      </c>
      <c r="P265">
        <v>2022</v>
      </c>
      <c r="Q265">
        <v>1</v>
      </c>
      <c r="R265">
        <v>128118000000</v>
      </c>
    </row>
    <row r="266" spans="15:18">
      <c r="O266">
        <v>2033</v>
      </c>
      <c r="P266">
        <v>2023</v>
      </c>
      <c r="Q266">
        <v>1</v>
      </c>
      <c r="R266">
        <v>139460000000</v>
      </c>
    </row>
    <row r="267" spans="15:18">
      <c r="O267">
        <v>2033</v>
      </c>
      <c r="P267">
        <v>2024</v>
      </c>
      <c r="Q267">
        <v>1</v>
      </c>
      <c r="R267">
        <v>150450000000</v>
      </c>
    </row>
    <row r="268" spans="15:18">
      <c r="O268">
        <v>2033</v>
      </c>
      <c r="P268">
        <v>2025</v>
      </c>
      <c r="Q268">
        <v>1</v>
      </c>
      <c r="R268">
        <v>160790000000</v>
      </c>
    </row>
    <row r="269" spans="15:18">
      <c r="O269">
        <v>2033</v>
      </c>
      <c r="P269">
        <v>2026</v>
      </c>
      <c r="Q269">
        <v>1</v>
      </c>
      <c r="R269">
        <v>171258000000</v>
      </c>
    </row>
    <row r="270" spans="15:18">
      <c r="O270">
        <v>2033</v>
      </c>
      <c r="P270">
        <v>2027</v>
      </c>
      <c r="Q270">
        <v>1</v>
      </c>
      <c r="R270">
        <v>180242000000</v>
      </c>
    </row>
    <row r="271" spans="15:18">
      <c r="O271">
        <v>2033</v>
      </c>
      <c r="P271">
        <v>2028</v>
      </c>
      <c r="Q271">
        <v>1</v>
      </c>
      <c r="R271">
        <v>189301000000</v>
      </c>
    </row>
    <row r="272" spans="15:18">
      <c r="O272">
        <v>2033</v>
      </c>
      <c r="P272">
        <v>2029</v>
      </c>
      <c r="Q272">
        <v>1</v>
      </c>
      <c r="R272">
        <v>197104000000</v>
      </c>
    </row>
    <row r="273" spans="15:21">
      <c r="O273">
        <v>2033</v>
      </c>
      <c r="P273">
        <v>2030</v>
      </c>
      <c r="Q273">
        <v>1</v>
      </c>
      <c r="R273">
        <v>205568000000</v>
      </c>
    </row>
    <row r="274" spans="15:21">
      <c r="O274">
        <v>2033</v>
      </c>
      <c r="P274">
        <v>2031</v>
      </c>
      <c r="Q274">
        <v>1</v>
      </c>
      <c r="R274">
        <v>214502000000</v>
      </c>
    </row>
    <row r="275" spans="15:21">
      <c r="O275">
        <v>2033</v>
      </c>
      <c r="P275">
        <v>2032</v>
      </c>
      <c r="Q275">
        <v>1</v>
      </c>
      <c r="R275">
        <v>220593000000</v>
      </c>
    </row>
    <row r="276" spans="15:21">
      <c r="O276">
        <v>2033</v>
      </c>
      <c r="P276">
        <v>2033</v>
      </c>
      <c r="Q276">
        <v>1</v>
      </c>
      <c r="R276">
        <v>227485000000</v>
      </c>
      <c r="S276">
        <f>SUM(R246:R276)</f>
        <v>3024288300000</v>
      </c>
      <c r="T276">
        <f>R269</f>
        <v>171258000000</v>
      </c>
      <c r="U276">
        <f>T276/S276</f>
        <v>5.662753779128795E-2</v>
      </c>
    </row>
    <row r="277" spans="15:21">
      <c r="O277">
        <v>2034</v>
      </c>
      <c r="P277">
        <v>2004</v>
      </c>
      <c r="Q277">
        <v>1</v>
      </c>
      <c r="R277">
        <v>41398200000</v>
      </c>
    </row>
    <row r="278" spans="15:21">
      <c r="O278">
        <v>2034</v>
      </c>
      <c r="P278">
        <v>2005</v>
      </c>
      <c r="Q278">
        <v>1</v>
      </c>
      <c r="R278">
        <v>9006540000</v>
      </c>
    </row>
    <row r="279" spans="15:21">
      <c r="O279">
        <v>2034</v>
      </c>
      <c r="P279">
        <v>2006</v>
      </c>
      <c r="Q279">
        <v>1</v>
      </c>
      <c r="R279">
        <v>9579920000</v>
      </c>
    </row>
    <row r="280" spans="15:21">
      <c r="O280">
        <v>2034</v>
      </c>
      <c r="P280">
        <v>2007</v>
      </c>
      <c r="Q280">
        <v>1</v>
      </c>
      <c r="R280">
        <v>10734600000</v>
      </c>
    </row>
    <row r="281" spans="15:21">
      <c r="O281">
        <v>2034</v>
      </c>
      <c r="P281">
        <v>2008</v>
      </c>
      <c r="Q281">
        <v>1</v>
      </c>
      <c r="R281">
        <v>11183700000</v>
      </c>
    </row>
    <row r="282" spans="15:21">
      <c r="O282">
        <v>2034</v>
      </c>
      <c r="P282">
        <v>2009</v>
      </c>
      <c r="Q282">
        <v>1</v>
      </c>
      <c r="R282">
        <v>8213060000</v>
      </c>
    </row>
    <row r="283" spans="15:21">
      <c r="O283">
        <v>2034</v>
      </c>
      <c r="P283">
        <v>2010</v>
      </c>
      <c r="Q283">
        <v>1</v>
      </c>
      <c r="R283">
        <v>11620000000</v>
      </c>
    </row>
    <row r="284" spans="15:21">
      <c r="O284">
        <v>2034</v>
      </c>
      <c r="P284">
        <v>2011</v>
      </c>
      <c r="Q284">
        <v>1</v>
      </c>
      <c r="R284">
        <v>15154600000</v>
      </c>
    </row>
    <row r="285" spans="15:21">
      <c r="O285">
        <v>2034</v>
      </c>
      <c r="P285">
        <v>2012</v>
      </c>
      <c r="Q285">
        <v>1</v>
      </c>
      <c r="R285">
        <v>19135300000</v>
      </c>
    </row>
    <row r="286" spans="15:21">
      <c r="O286">
        <v>2034</v>
      </c>
      <c r="P286">
        <v>2013</v>
      </c>
      <c r="Q286">
        <v>1</v>
      </c>
      <c r="R286">
        <v>24762100000</v>
      </c>
    </row>
    <row r="287" spans="15:21">
      <c r="O287">
        <v>2034</v>
      </c>
      <c r="P287">
        <v>2014</v>
      </c>
      <c r="Q287">
        <v>1</v>
      </c>
      <c r="R287">
        <v>36956500000</v>
      </c>
    </row>
    <row r="288" spans="15:21">
      <c r="O288">
        <v>2034</v>
      </c>
      <c r="P288">
        <v>2015</v>
      </c>
      <c r="Q288">
        <v>1</v>
      </c>
      <c r="R288">
        <v>46860100000</v>
      </c>
    </row>
    <row r="289" spans="15:18">
      <c r="O289">
        <v>2034</v>
      </c>
      <c r="P289">
        <v>2016</v>
      </c>
      <c r="Q289">
        <v>1</v>
      </c>
      <c r="R289">
        <v>56124100000</v>
      </c>
    </row>
    <row r="290" spans="15:18">
      <c r="O290">
        <v>2034</v>
      </c>
      <c r="P290">
        <v>2017</v>
      </c>
      <c r="Q290">
        <v>1</v>
      </c>
      <c r="R290">
        <v>65122000000</v>
      </c>
    </row>
    <row r="291" spans="15:18">
      <c r="O291">
        <v>2034</v>
      </c>
      <c r="P291">
        <v>2018</v>
      </c>
      <c r="Q291">
        <v>1</v>
      </c>
      <c r="R291">
        <v>70533800000</v>
      </c>
    </row>
    <row r="292" spans="15:18">
      <c r="O292">
        <v>2034</v>
      </c>
      <c r="P292">
        <v>2019</v>
      </c>
      <c r="Q292">
        <v>1</v>
      </c>
      <c r="R292">
        <v>82665700000</v>
      </c>
    </row>
    <row r="293" spans="15:18">
      <c r="O293">
        <v>2034</v>
      </c>
      <c r="P293">
        <v>2020</v>
      </c>
      <c r="Q293">
        <v>1</v>
      </c>
      <c r="R293">
        <v>95339400000</v>
      </c>
    </row>
    <row r="294" spans="15:18">
      <c r="O294">
        <v>2034</v>
      </c>
      <c r="P294">
        <v>2021</v>
      </c>
      <c r="Q294">
        <v>1</v>
      </c>
      <c r="R294">
        <v>108214000000</v>
      </c>
    </row>
    <row r="295" spans="15:18">
      <c r="O295">
        <v>2034</v>
      </c>
      <c r="P295">
        <v>2022</v>
      </c>
      <c r="Q295">
        <v>1</v>
      </c>
      <c r="R295">
        <v>117701000000</v>
      </c>
    </row>
    <row r="296" spans="15:18">
      <c r="O296">
        <v>2034</v>
      </c>
      <c r="P296">
        <v>2023</v>
      </c>
      <c r="Q296">
        <v>1</v>
      </c>
      <c r="R296">
        <v>128949000000</v>
      </c>
    </row>
    <row r="297" spans="15:18">
      <c r="O297">
        <v>2034</v>
      </c>
      <c r="P297">
        <v>2024</v>
      </c>
      <c r="Q297">
        <v>1</v>
      </c>
      <c r="R297">
        <v>140032000000</v>
      </c>
    </row>
    <row r="298" spans="15:18">
      <c r="O298">
        <v>2034</v>
      </c>
      <c r="P298">
        <v>2025</v>
      </c>
      <c r="Q298">
        <v>1</v>
      </c>
      <c r="R298">
        <v>150698000000</v>
      </c>
    </row>
    <row r="299" spans="15:18">
      <c r="O299">
        <v>2034</v>
      </c>
      <c r="P299">
        <v>2026</v>
      </c>
      <c r="Q299">
        <v>1</v>
      </c>
      <c r="R299">
        <v>161614000000</v>
      </c>
    </row>
    <row r="300" spans="15:18">
      <c r="O300">
        <v>2034</v>
      </c>
      <c r="P300">
        <v>2027</v>
      </c>
      <c r="Q300">
        <v>1</v>
      </c>
      <c r="R300">
        <v>171262000000</v>
      </c>
    </row>
    <row r="301" spans="15:18">
      <c r="O301">
        <v>2034</v>
      </c>
      <c r="P301">
        <v>2028</v>
      </c>
      <c r="Q301">
        <v>1</v>
      </c>
      <c r="R301">
        <v>181047000000</v>
      </c>
    </row>
    <row r="302" spans="15:18">
      <c r="O302">
        <v>2034</v>
      </c>
      <c r="P302">
        <v>2029</v>
      </c>
      <c r="Q302">
        <v>1</v>
      </c>
      <c r="R302">
        <v>189666000000</v>
      </c>
    </row>
    <row r="303" spans="15:18">
      <c r="O303">
        <v>2034</v>
      </c>
      <c r="P303">
        <v>2030</v>
      </c>
      <c r="Q303">
        <v>1</v>
      </c>
      <c r="R303">
        <v>198944000000</v>
      </c>
    </row>
    <row r="304" spans="15:18">
      <c r="O304">
        <v>2034</v>
      </c>
      <c r="P304">
        <v>2031</v>
      </c>
      <c r="Q304">
        <v>1</v>
      </c>
      <c r="R304">
        <v>208845000000</v>
      </c>
    </row>
    <row r="305" spans="15:21">
      <c r="O305">
        <v>2034</v>
      </c>
      <c r="P305">
        <v>2032</v>
      </c>
      <c r="Q305">
        <v>1</v>
      </c>
      <c r="R305">
        <v>215281000000</v>
      </c>
    </row>
    <row r="306" spans="15:21">
      <c r="O306">
        <v>2034</v>
      </c>
      <c r="P306">
        <v>2033</v>
      </c>
      <c r="Q306">
        <v>1</v>
      </c>
      <c r="R306">
        <v>222550000000</v>
      </c>
    </row>
    <row r="307" spans="15:21">
      <c r="O307">
        <v>2034</v>
      </c>
      <c r="P307">
        <v>2034</v>
      </c>
      <c r="Q307">
        <v>1</v>
      </c>
      <c r="R307">
        <v>229867000000</v>
      </c>
      <c r="S307">
        <f>SUM(R277:R307)</f>
        <v>3039059620000</v>
      </c>
      <c r="T307">
        <f>R299</f>
        <v>161614000000</v>
      </c>
      <c r="U307">
        <f>T307/S307</f>
        <v>5.3178950138530023E-2</v>
      </c>
    </row>
    <row r="308" spans="15:21">
      <c r="O308">
        <v>2035</v>
      </c>
      <c r="P308">
        <v>2005</v>
      </c>
      <c r="Q308">
        <v>1</v>
      </c>
      <c r="R308">
        <v>41613600000</v>
      </c>
    </row>
    <row r="309" spans="15:21">
      <c r="O309">
        <v>2035</v>
      </c>
      <c r="P309">
        <v>2006</v>
      </c>
      <c r="Q309">
        <v>1</v>
      </c>
      <c r="R309">
        <v>8316550000</v>
      </c>
    </row>
    <row r="310" spans="15:21">
      <c r="O310">
        <v>2035</v>
      </c>
      <c r="P310">
        <v>2007</v>
      </c>
      <c r="Q310">
        <v>1</v>
      </c>
      <c r="R310">
        <v>9289520000</v>
      </c>
    </row>
    <row r="311" spans="15:21">
      <c r="O311">
        <v>2035</v>
      </c>
      <c r="P311">
        <v>2008</v>
      </c>
      <c r="Q311">
        <v>1</v>
      </c>
      <c r="R311">
        <v>9654510000</v>
      </c>
    </row>
    <row r="312" spans="15:21">
      <c r="O312">
        <v>2035</v>
      </c>
      <c r="P312">
        <v>2009</v>
      </c>
      <c r="Q312">
        <v>1</v>
      </c>
      <c r="R312">
        <v>7015880000</v>
      </c>
    </row>
    <row r="313" spans="15:21">
      <c r="O313">
        <v>2035</v>
      </c>
      <c r="P313">
        <v>2010</v>
      </c>
      <c r="Q313">
        <v>1</v>
      </c>
      <c r="R313">
        <v>9887100000</v>
      </c>
    </row>
    <row r="314" spans="15:21">
      <c r="O314">
        <v>2035</v>
      </c>
      <c r="P314">
        <v>2011</v>
      </c>
      <c r="Q314">
        <v>1</v>
      </c>
      <c r="R314">
        <v>12866400000</v>
      </c>
    </row>
    <row r="315" spans="15:21">
      <c r="O315">
        <v>2035</v>
      </c>
      <c r="P315">
        <v>2012</v>
      </c>
      <c r="Q315">
        <v>1</v>
      </c>
      <c r="R315">
        <v>16064400000</v>
      </c>
    </row>
    <row r="316" spans="15:21">
      <c r="O316">
        <v>2035</v>
      </c>
      <c r="P316">
        <v>2013</v>
      </c>
      <c r="Q316">
        <v>1</v>
      </c>
      <c r="R316">
        <v>20702100000</v>
      </c>
    </row>
    <row r="317" spans="15:21">
      <c r="O317">
        <v>2035</v>
      </c>
      <c r="P317">
        <v>2014</v>
      </c>
      <c r="Q317">
        <v>1</v>
      </c>
      <c r="R317">
        <v>31025000000</v>
      </c>
    </row>
    <row r="318" spans="15:21">
      <c r="O318">
        <v>2035</v>
      </c>
      <c r="P318">
        <v>2015</v>
      </c>
      <c r="Q318">
        <v>1</v>
      </c>
      <c r="R318">
        <v>39425900000</v>
      </c>
    </row>
    <row r="319" spans="15:21">
      <c r="O319">
        <v>2035</v>
      </c>
      <c r="P319">
        <v>2016</v>
      </c>
      <c r="Q319">
        <v>1</v>
      </c>
      <c r="R319">
        <v>47430400000</v>
      </c>
    </row>
    <row r="320" spans="15:21">
      <c r="O320">
        <v>2035</v>
      </c>
      <c r="P320">
        <v>2017</v>
      </c>
      <c r="Q320">
        <v>1</v>
      </c>
      <c r="R320">
        <v>55335100000</v>
      </c>
    </row>
    <row r="321" spans="15:18">
      <c r="O321">
        <v>2035</v>
      </c>
      <c r="P321">
        <v>2018</v>
      </c>
      <c r="Q321">
        <v>1</v>
      </c>
      <c r="R321">
        <v>59901000000</v>
      </c>
    </row>
    <row r="322" spans="15:18">
      <c r="O322">
        <v>2035</v>
      </c>
      <c r="P322">
        <v>2019</v>
      </c>
      <c r="Q322">
        <v>1</v>
      </c>
      <c r="R322">
        <v>70751800000</v>
      </c>
    </row>
    <row r="323" spans="15:18">
      <c r="O323">
        <v>2035</v>
      </c>
      <c r="P323">
        <v>2020</v>
      </c>
      <c r="Q323">
        <v>1</v>
      </c>
      <c r="R323">
        <v>82389300000</v>
      </c>
    </row>
    <row r="324" spans="15:18">
      <c r="O324">
        <v>2035</v>
      </c>
      <c r="P324">
        <v>2021</v>
      </c>
      <c r="Q324">
        <v>1</v>
      </c>
      <c r="R324">
        <v>95144500000</v>
      </c>
    </row>
    <row r="325" spans="15:18">
      <c r="O325">
        <v>2035</v>
      </c>
      <c r="P325">
        <v>2022</v>
      </c>
      <c r="Q325">
        <v>1</v>
      </c>
      <c r="R325">
        <v>106058000000</v>
      </c>
    </row>
    <row r="326" spans="15:18">
      <c r="O326">
        <v>2035</v>
      </c>
      <c r="P326">
        <v>2023</v>
      </c>
      <c r="Q326">
        <v>1</v>
      </c>
      <c r="R326">
        <v>118392000000</v>
      </c>
    </row>
    <row r="327" spans="15:18">
      <c r="O327">
        <v>2035</v>
      </c>
      <c r="P327">
        <v>2024</v>
      </c>
      <c r="Q327">
        <v>1</v>
      </c>
      <c r="R327">
        <v>129402000000</v>
      </c>
    </row>
    <row r="328" spans="15:18">
      <c r="O328">
        <v>2035</v>
      </c>
      <c r="P328">
        <v>2025</v>
      </c>
      <c r="Q328">
        <v>1</v>
      </c>
      <c r="R328">
        <v>140180000000</v>
      </c>
    </row>
    <row r="329" spans="15:18">
      <c r="O329">
        <v>2035</v>
      </c>
      <c r="P329">
        <v>2026</v>
      </c>
      <c r="Q329">
        <v>1</v>
      </c>
      <c r="R329">
        <v>151371000000</v>
      </c>
    </row>
    <row r="330" spans="15:18">
      <c r="O330">
        <v>2035</v>
      </c>
      <c r="P330">
        <v>2027</v>
      </c>
      <c r="Q330">
        <v>1</v>
      </c>
      <c r="R330">
        <v>161528000000</v>
      </c>
    </row>
    <row r="331" spans="15:18">
      <c r="O331">
        <v>2035</v>
      </c>
      <c r="P331">
        <v>2028</v>
      </c>
      <c r="Q331">
        <v>1</v>
      </c>
      <c r="R331">
        <v>171925000000</v>
      </c>
    </row>
    <row r="332" spans="15:18">
      <c r="O332">
        <v>2035</v>
      </c>
      <c r="P332">
        <v>2029</v>
      </c>
      <c r="Q332">
        <v>1</v>
      </c>
      <c r="R332">
        <v>181288000000</v>
      </c>
    </row>
    <row r="333" spans="15:18">
      <c r="O333">
        <v>2035</v>
      </c>
      <c r="P333">
        <v>2030</v>
      </c>
      <c r="Q333">
        <v>1</v>
      </c>
      <c r="R333">
        <v>191318000000</v>
      </c>
    </row>
    <row r="334" spans="15:18">
      <c r="O334">
        <v>2035</v>
      </c>
      <c r="P334">
        <v>2031</v>
      </c>
      <c r="Q334">
        <v>1</v>
      </c>
      <c r="R334">
        <v>201986000000</v>
      </c>
    </row>
    <row r="335" spans="15:18">
      <c r="O335">
        <v>2035</v>
      </c>
      <c r="P335">
        <v>2032</v>
      </c>
      <c r="Q335">
        <v>1</v>
      </c>
      <c r="R335">
        <v>209466000000</v>
      </c>
    </row>
    <row r="336" spans="15:18">
      <c r="O336">
        <v>2035</v>
      </c>
      <c r="P336">
        <v>2033</v>
      </c>
      <c r="Q336">
        <v>1</v>
      </c>
      <c r="R336">
        <v>217049000000</v>
      </c>
    </row>
    <row r="337" spans="15:21">
      <c r="O337">
        <v>2035</v>
      </c>
      <c r="P337">
        <v>2034</v>
      </c>
      <c r="Q337">
        <v>1</v>
      </c>
      <c r="R337">
        <v>224732000000</v>
      </c>
    </row>
    <row r="338" spans="15:21">
      <c r="O338">
        <v>2035</v>
      </c>
      <c r="P338">
        <v>2035</v>
      </c>
      <c r="Q338">
        <v>1</v>
      </c>
      <c r="R338">
        <v>230936000000</v>
      </c>
      <c r="S338">
        <f>SUM(R308:R338)</f>
        <v>3052444060000</v>
      </c>
      <c r="T338">
        <f>R329</f>
        <v>151371000000</v>
      </c>
      <c r="U338">
        <f>T338/S338</f>
        <v>4.9590097975456431E-2</v>
      </c>
    </row>
    <row r="339" spans="15:21">
      <c r="O339">
        <v>2036</v>
      </c>
      <c r="P339">
        <v>2006</v>
      </c>
      <c r="Q339">
        <v>1</v>
      </c>
      <c r="R339">
        <v>41906900000</v>
      </c>
    </row>
    <row r="340" spans="15:21">
      <c r="O340">
        <v>2036</v>
      </c>
      <c r="P340">
        <v>2007</v>
      </c>
      <c r="Q340">
        <v>1</v>
      </c>
      <c r="R340">
        <v>8058880000</v>
      </c>
    </row>
    <row r="341" spans="15:21">
      <c r="O341">
        <v>2036</v>
      </c>
      <c r="P341">
        <v>2008</v>
      </c>
      <c r="Q341">
        <v>1</v>
      </c>
      <c r="R341">
        <v>8363300000</v>
      </c>
    </row>
    <row r="342" spans="15:21">
      <c r="O342">
        <v>2036</v>
      </c>
      <c r="P342">
        <v>2009</v>
      </c>
      <c r="Q342">
        <v>1</v>
      </c>
      <c r="R342">
        <v>6022610000</v>
      </c>
    </row>
    <row r="343" spans="15:21">
      <c r="O343">
        <v>2036</v>
      </c>
      <c r="P343">
        <v>2010</v>
      </c>
      <c r="Q343">
        <v>1</v>
      </c>
      <c r="R343">
        <v>8486230000</v>
      </c>
    </row>
    <row r="344" spans="15:21">
      <c r="O344">
        <v>2036</v>
      </c>
      <c r="P344">
        <v>2011</v>
      </c>
      <c r="Q344">
        <v>1</v>
      </c>
      <c r="R344">
        <v>11010200000</v>
      </c>
    </row>
    <row r="345" spans="15:21">
      <c r="O345">
        <v>2036</v>
      </c>
      <c r="P345">
        <v>2012</v>
      </c>
      <c r="Q345">
        <v>1</v>
      </c>
      <c r="R345">
        <v>13559500000</v>
      </c>
    </row>
    <row r="346" spans="15:21">
      <c r="O346">
        <v>2036</v>
      </c>
      <c r="P346">
        <v>2013</v>
      </c>
      <c r="Q346">
        <v>1</v>
      </c>
      <c r="R346">
        <v>17385900000</v>
      </c>
    </row>
    <row r="347" spans="15:21">
      <c r="O347">
        <v>2036</v>
      </c>
      <c r="P347">
        <v>2014</v>
      </c>
      <c r="Q347">
        <v>1</v>
      </c>
      <c r="R347">
        <v>26117000000</v>
      </c>
    </row>
    <row r="348" spans="15:21">
      <c r="O348">
        <v>2036</v>
      </c>
      <c r="P348">
        <v>2015</v>
      </c>
      <c r="Q348">
        <v>1</v>
      </c>
      <c r="R348">
        <v>33224300000</v>
      </c>
    </row>
    <row r="349" spans="15:21">
      <c r="O349">
        <v>2036</v>
      </c>
      <c r="P349">
        <v>2016</v>
      </c>
      <c r="Q349">
        <v>1</v>
      </c>
      <c r="R349">
        <v>40060200000</v>
      </c>
    </row>
    <row r="350" spans="15:21">
      <c r="O350">
        <v>2036</v>
      </c>
      <c r="P350">
        <v>2017</v>
      </c>
      <c r="Q350">
        <v>1</v>
      </c>
      <c r="R350">
        <v>46933600000</v>
      </c>
    </row>
    <row r="351" spans="15:21">
      <c r="O351">
        <v>2036</v>
      </c>
      <c r="P351">
        <v>2018</v>
      </c>
      <c r="Q351">
        <v>1</v>
      </c>
      <c r="R351">
        <v>50659900000</v>
      </c>
    </row>
    <row r="352" spans="15:21">
      <c r="O352">
        <v>2036</v>
      </c>
      <c r="P352">
        <v>2019</v>
      </c>
      <c r="Q352">
        <v>1</v>
      </c>
      <c r="R352">
        <v>60168200000</v>
      </c>
    </row>
    <row r="353" spans="15:18">
      <c r="O353">
        <v>2036</v>
      </c>
      <c r="P353">
        <v>2020</v>
      </c>
      <c r="Q353">
        <v>1</v>
      </c>
      <c r="R353">
        <v>70590500000</v>
      </c>
    </row>
    <row r="354" spans="15:18">
      <c r="O354">
        <v>2036</v>
      </c>
      <c r="P354">
        <v>2021</v>
      </c>
      <c r="Q354">
        <v>1</v>
      </c>
      <c r="R354">
        <v>82320700000</v>
      </c>
    </row>
    <row r="355" spans="15:18">
      <c r="O355">
        <v>2036</v>
      </c>
      <c r="P355">
        <v>2022</v>
      </c>
      <c r="Q355">
        <v>1</v>
      </c>
      <c r="R355">
        <v>93358400000</v>
      </c>
    </row>
    <row r="356" spans="15:18">
      <c r="O356">
        <v>2036</v>
      </c>
      <c r="P356">
        <v>2023</v>
      </c>
      <c r="Q356">
        <v>1</v>
      </c>
      <c r="R356">
        <v>106818000000</v>
      </c>
    </row>
    <row r="357" spans="15:18">
      <c r="O357">
        <v>2036</v>
      </c>
      <c r="P357">
        <v>2024</v>
      </c>
      <c r="Q357">
        <v>1</v>
      </c>
      <c r="R357">
        <v>118983000000</v>
      </c>
    </row>
    <row r="358" spans="15:18">
      <c r="O358">
        <v>2036</v>
      </c>
      <c r="P358">
        <v>2025</v>
      </c>
      <c r="Q358">
        <v>1</v>
      </c>
      <c r="R358">
        <v>129731000000</v>
      </c>
    </row>
    <row r="359" spans="15:18">
      <c r="O359">
        <v>2036</v>
      </c>
      <c r="P359">
        <v>2026</v>
      </c>
      <c r="Q359">
        <v>1</v>
      </c>
      <c r="R359">
        <v>141008000000</v>
      </c>
    </row>
    <row r="360" spans="15:18">
      <c r="O360">
        <v>2036</v>
      </c>
      <c r="P360">
        <v>2027</v>
      </c>
      <c r="Q360">
        <v>1</v>
      </c>
      <c r="R360">
        <v>151529000000</v>
      </c>
    </row>
    <row r="361" spans="15:18">
      <c r="O361">
        <v>2036</v>
      </c>
      <c r="P361">
        <v>2028</v>
      </c>
      <c r="Q361">
        <v>1</v>
      </c>
      <c r="R361">
        <v>162406000000</v>
      </c>
    </row>
    <row r="362" spans="15:18">
      <c r="O362">
        <v>2036</v>
      </c>
      <c r="P362">
        <v>2029</v>
      </c>
      <c r="Q362">
        <v>1</v>
      </c>
      <c r="R362">
        <v>172426000000</v>
      </c>
    </row>
    <row r="363" spans="15:18">
      <c r="O363">
        <v>2036</v>
      </c>
      <c r="P363">
        <v>2030</v>
      </c>
      <c r="Q363">
        <v>1</v>
      </c>
      <c r="R363">
        <v>183154000000</v>
      </c>
    </row>
    <row r="364" spans="15:18">
      <c r="O364">
        <v>2036</v>
      </c>
      <c r="P364">
        <v>2031</v>
      </c>
      <c r="Q364">
        <v>1</v>
      </c>
      <c r="R364">
        <v>194549000000</v>
      </c>
    </row>
    <row r="365" spans="15:18">
      <c r="O365">
        <v>2036</v>
      </c>
      <c r="P365">
        <v>2032</v>
      </c>
      <c r="Q365">
        <v>1</v>
      </c>
      <c r="R365">
        <v>202906000000</v>
      </c>
    </row>
    <row r="366" spans="15:18">
      <c r="O366">
        <v>2036</v>
      </c>
      <c r="P366">
        <v>2033</v>
      </c>
      <c r="Q366">
        <v>1</v>
      </c>
      <c r="R366">
        <v>211519000000</v>
      </c>
    </row>
    <row r="367" spans="15:18">
      <c r="O367">
        <v>2036</v>
      </c>
      <c r="P367">
        <v>2034</v>
      </c>
      <c r="Q367">
        <v>1</v>
      </c>
      <c r="R367">
        <v>219523000000</v>
      </c>
    </row>
    <row r="368" spans="15:18">
      <c r="O368">
        <v>2036</v>
      </c>
      <c r="P368">
        <v>2035</v>
      </c>
      <c r="Q368">
        <v>1</v>
      </c>
      <c r="R368">
        <v>226134000000</v>
      </c>
    </row>
    <row r="369" spans="15:21">
      <c r="O369">
        <v>2036</v>
      </c>
      <c r="P369">
        <v>2036</v>
      </c>
      <c r="Q369">
        <v>1</v>
      </c>
      <c r="R369">
        <v>232146000000</v>
      </c>
      <c r="S369">
        <f>SUM(R339:R369)</f>
        <v>3071058320000</v>
      </c>
      <c r="T369">
        <f>R359</f>
        <v>141008000000</v>
      </c>
      <c r="U369">
        <f>T369/S369</f>
        <v>4.5915116323808527E-2</v>
      </c>
    </row>
    <row r="370" spans="15:21">
      <c r="O370">
        <v>2037</v>
      </c>
      <c r="P370">
        <v>2007</v>
      </c>
      <c r="Q370">
        <v>1</v>
      </c>
      <c r="R370">
        <v>42225000000</v>
      </c>
    </row>
    <row r="371" spans="15:21">
      <c r="O371">
        <v>2037</v>
      </c>
      <c r="P371">
        <v>2008</v>
      </c>
      <c r="Q371">
        <v>1</v>
      </c>
      <c r="R371">
        <v>7253820000</v>
      </c>
    </row>
    <row r="372" spans="15:21">
      <c r="O372">
        <v>2037</v>
      </c>
      <c r="P372">
        <v>2009</v>
      </c>
      <c r="Q372">
        <v>1</v>
      </c>
      <c r="R372">
        <v>5185200000</v>
      </c>
    </row>
    <row r="373" spans="15:21">
      <c r="O373">
        <v>2037</v>
      </c>
      <c r="P373">
        <v>2010</v>
      </c>
      <c r="Q373">
        <v>1</v>
      </c>
      <c r="R373">
        <v>7308540000</v>
      </c>
    </row>
    <row r="374" spans="15:21">
      <c r="O374">
        <v>2037</v>
      </c>
      <c r="P374">
        <v>2011</v>
      </c>
      <c r="Q374">
        <v>1</v>
      </c>
      <c r="R374">
        <v>9493970000</v>
      </c>
    </row>
    <row r="375" spans="15:21">
      <c r="O375">
        <v>2037</v>
      </c>
      <c r="P375">
        <v>2012</v>
      </c>
      <c r="Q375">
        <v>1</v>
      </c>
      <c r="R375">
        <v>11522900000</v>
      </c>
    </row>
    <row r="376" spans="15:21">
      <c r="O376">
        <v>2037</v>
      </c>
      <c r="P376">
        <v>2013</v>
      </c>
      <c r="Q376">
        <v>1</v>
      </c>
      <c r="R376">
        <v>14663200000</v>
      </c>
    </row>
    <row r="377" spans="15:21">
      <c r="O377">
        <v>2037</v>
      </c>
      <c r="P377">
        <v>2014</v>
      </c>
      <c r="Q377">
        <v>1</v>
      </c>
      <c r="R377">
        <v>22063700000</v>
      </c>
    </row>
    <row r="378" spans="15:21">
      <c r="O378">
        <v>2037</v>
      </c>
      <c r="P378">
        <v>2015</v>
      </c>
      <c r="Q378">
        <v>1</v>
      </c>
      <c r="R378">
        <v>28042800000</v>
      </c>
    </row>
    <row r="379" spans="15:21">
      <c r="O379">
        <v>2037</v>
      </c>
      <c r="P379">
        <v>2016</v>
      </c>
      <c r="Q379">
        <v>1</v>
      </c>
      <c r="R379">
        <v>33851200000</v>
      </c>
    </row>
    <row r="380" spans="15:21">
      <c r="O380">
        <v>2037</v>
      </c>
      <c r="P380">
        <v>2017</v>
      </c>
      <c r="Q380">
        <v>1</v>
      </c>
      <c r="R380">
        <v>39739900000</v>
      </c>
    </row>
    <row r="381" spans="15:21">
      <c r="O381">
        <v>2037</v>
      </c>
      <c r="P381">
        <v>2018</v>
      </c>
      <c r="Q381">
        <v>1</v>
      </c>
      <c r="R381">
        <v>42707100000</v>
      </c>
    </row>
    <row r="382" spans="15:21">
      <c r="O382">
        <v>2037</v>
      </c>
      <c r="P382">
        <v>2019</v>
      </c>
      <c r="Q382">
        <v>1</v>
      </c>
      <c r="R382">
        <v>50897000000</v>
      </c>
    </row>
    <row r="383" spans="15:21">
      <c r="O383">
        <v>2037</v>
      </c>
      <c r="P383">
        <v>2020</v>
      </c>
      <c r="Q383">
        <v>1</v>
      </c>
      <c r="R383">
        <v>60023900000</v>
      </c>
    </row>
    <row r="384" spans="15:21">
      <c r="O384">
        <v>2037</v>
      </c>
      <c r="P384">
        <v>2021</v>
      </c>
      <c r="Q384">
        <v>1</v>
      </c>
      <c r="R384">
        <v>70534400000</v>
      </c>
    </row>
    <row r="385" spans="15:21">
      <c r="O385">
        <v>2037</v>
      </c>
      <c r="P385">
        <v>2022</v>
      </c>
      <c r="Q385">
        <v>1</v>
      </c>
      <c r="R385">
        <v>80769300000</v>
      </c>
    </row>
    <row r="386" spans="15:21">
      <c r="O386">
        <v>2037</v>
      </c>
      <c r="P386">
        <v>2023</v>
      </c>
      <c r="Q386">
        <v>1</v>
      </c>
      <c r="R386">
        <v>94014300000</v>
      </c>
    </row>
    <row r="387" spans="15:21">
      <c r="O387">
        <v>2037</v>
      </c>
      <c r="P387">
        <v>2024</v>
      </c>
      <c r="Q387">
        <v>1</v>
      </c>
      <c r="R387">
        <v>107358000000</v>
      </c>
    </row>
    <row r="388" spans="15:21">
      <c r="O388">
        <v>2037</v>
      </c>
      <c r="P388">
        <v>2025</v>
      </c>
      <c r="Q388">
        <v>1</v>
      </c>
      <c r="R388">
        <v>119312000000</v>
      </c>
    </row>
    <row r="389" spans="15:21">
      <c r="O389">
        <v>2037</v>
      </c>
      <c r="P389">
        <v>2026</v>
      </c>
      <c r="Q389">
        <v>1</v>
      </c>
      <c r="R389">
        <v>130518000000</v>
      </c>
    </row>
    <row r="390" spans="15:21">
      <c r="O390">
        <v>2037</v>
      </c>
      <c r="P390">
        <v>2027</v>
      </c>
      <c r="Q390">
        <v>1</v>
      </c>
      <c r="R390">
        <v>141200000000</v>
      </c>
    </row>
    <row r="391" spans="15:21">
      <c r="O391">
        <v>2037</v>
      </c>
      <c r="P391">
        <v>2028</v>
      </c>
      <c r="Q391">
        <v>1</v>
      </c>
      <c r="R391">
        <v>152397000000</v>
      </c>
    </row>
    <row r="392" spans="15:21">
      <c r="O392">
        <v>2037</v>
      </c>
      <c r="P392">
        <v>2029</v>
      </c>
      <c r="Q392">
        <v>1</v>
      </c>
      <c r="R392">
        <v>162931000000</v>
      </c>
    </row>
    <row r="393" spans="15:21">
      <c r="O393">
        <v>2037</v>
      </c>
      <c r="P393">
        <v>2030</v>
      </c>
      <c r="Q393">
        <v>1</v>
      </c>
      <c r="R393">
        <v>174252000000</v>
      </c>
    </row>
    <row r="394" spans="15:21">
      <c r="O394">
        <v>2037</v>
      </c>
      <c r="P394">
        <v>2031</v>
      </c>
      <c r="Q394">
        <v>1</v>
      </c>
      <c r="R394">
        <v>186302000000</v>
      </c>
    </row>
    <row r="395" spans="15:21">
      <c r="O395">
        <v>2037</v>
      </c>
      <c r="P395">
        <v>2032</v>
      </c>
      <c r="Q395">
        <v>1</v>
      </c>
      <c r="R395">
        <v>195491000000</v>
      </c>
    </row>
    <row r="396" spans="15:21">
      <c r="O396">
        <v>2037</v>
      </c>
      <c r="P396">
        <v>2033</v>
      </c>
      <c r="Q396">
        <v>1</v>
      </c>
      <c r="R396">
        <v>204953000000</v>
      </c>
    </row>
    <row r="397" spans="15:21">
      <c r="O397">
        <v>2037</v>
      </c>
      <c r="P397">
        <v>2034</v>
      </c>
      <c r="Q397">
        <v>1</v>
      </c>
      <c r="R397">
        <v>213991000000</v>
      </c>
    </row>
    <row r="398" spans="15:21">
      <c r="O398">
        <v>2037</v>
      </c>
      <c r="P398">
        <v>2035</v>
      </c>
      <c r="Q398">
        <v>1</v>
      </c>
      <c r="R398">
        <v>220954000000</v>
      </c>
    </row>
    <row r="399" spans="15:21">
      <c r="O399">
        <v>2037</v>
      </c>
      <c r="P399">
        <v>2036</v>
      </c>
      <c r="Q399">
        <v>1</v>
      </c>
      <c r="R399">
        <v>227383000000</v>
      </c>
    </row>
    <row r="400" spans="15:21">
      <c r="O400">
        <v>2037</v>
      </c>
      <c r="P400">
        <v>2037</v>
      </c>
      <c r="Q400">
        <v>1</v>
      </c>
      <c r="R400">
        <v>234255000000</v>
      </c>
      <c r="S400">
        <f>SUM(R370:R400)</f>
        <v>3091593230000</v>
      </c>
      <c r="T400">
        <f>R389</f>
        <v>130518000000</v>
      </c>
      <c r="U400">
        <f>T400/S400</f>
        <v>4.2217067476241044E-2</v>
      </c>
    </row>
    <row r="401" spans="15:18">
      <c r="O401">
        <v>2038</v>
      </c>
      <c r="P401">
        <v>2008</v>
      </c>
      <c r="Q401">
        <v>1</v>
      </c>
      <c r="R401">
        <v>42565800000</v>
      </c>
    </row>
    <row r="402" spans="15:18">
      <c r="O402">
        <v>2038</v>
      </c>
      <c r="P402">
        <v>2009</v>
      </c>
      <c r="Q402">
        <v>1</v>
      </c>
      <c r="R402">
        <v>4476490000</v>
      </c>
    </row>
    <row r="403" spans="15:18">
      <c r="O403">
        <v>2038</v>
      </c>
      <c r="P403">
        <v>2010</v>
      </c>
      <c r="Q403">
        <v>1</v>
      </c>
      <c r="R403">
        <v>6315320000</v>
      </c>
    </row>
    <row r="404" spans="15:18">
      <c r="O404">
        <v>2038</v>
      </c>
      <c r="P404">
        <v>2011</v>
      </c>
      <c r="Q404">
        <v>1</v>
      </c>
      <c r="R404">
        <v>8216950000</v>
      </c>
    </row>
    <row r="405" spans="15:18">
      <c r="O405">
        <v>2038</v>
      </c>
      <c r="P405">
        <v>2012</v>
      </c>
      <c r="Q405">
        <v>1</v>
      </c>
      <c r="R405">
        <v>9872020000</v>
      </c>
    </row>
    <row r="406" spans="15:18">
      <c r="O406">
        <v>2038</v>
      </c>
      <c r="P406">
        <v>2013</v>
      </c>
      <c r="Q406">
        <v>1</v>
      </c>
      <c r="R406">
        <v>12457800000</v>
      </c>
    </row>
    <row r="407" spans="15:18">
      <c r="O407">
        <v>2038</v>
      </c>
      <c r="P407">
        <v>2014</v>
      </c>
      <c r="Q407">
        <v>1</v>
      </c>
      <c r="R407">
        <v>18731200000</v>
      </c>
    </row>
    <row r="408" spans="15:18">
      <c r="O408">
        <v>2038</v>
      </c>
      <c r="P408">
        <v>2015</v>
      </c>
      <c r="Q408">
        <v>1</v>
      </c>
      <c r="R408">
        <v>23769800000</v>
      </c>
    </row>
    <row r="409" spans="15:18">
      <c r="O409">
        <v>2038</v>
      </c>
      <c r="P409">
        <v>2016</v>
      </c>
      <c r="Q409">
        <v>1</v>
      </c>
      <c r="R409">
        <v>28667600000</v>
      </c>
    </row>
    <row r="410" spans="15:18">
      <c r="O410">
        <v>2038</v>
      </c>
      <c r="P410">
        <v>2017</v>
      </c>
      <c r="Q410">
        <v>1</v>
      </c>
      <c r="R410">
        <v>33685400000</v>
      </c>
    </row>
    <row r="411" spans="15:18">
      <c r="O411">
        <v>2038</v>
      </c>
      <c r="P411">
        <v>2018</v>
      </c>
      <c r="Q411">
        <v>1</v>
      </c>
      <c r="R411">
        <v>35951700000</v>
      </c>
    </row>
    <row r="412" spans="15:18">
      <c r="O412">
        <v>2038</v>
      </c>
      <c r="P412">
        <v>2019</v>
      </c>
      <c r="Q412">
        <v>1</v>
      </c>
      <c r="R412">
        <v>42932000000</v>
      </c>
    </row>
    <row r="413" spans="15:18">
      <c r="O413">
        <v>2038</v>
      </c>
      <c r="P413">
        <v>2020</v>
      </c>
      <c r="Q413">
        <v>1</v>
      </c>
      <c r="R413">
        <v>50783000000</v>
      </c>
    </row>
    <row r="414" spans="15:18">
      <c r="O414">
        <v>2038</v>
      </c>
      <c r="P414">
        <v>2021</v>
      </c>
      <c r="Q414">
        <v>1</v>
      </c>
      <c r="R414">
        <v>59991700000</v>
      </c>
    </row>
    <row r="415" spans="15:18">
      <c r="O415">
        <v>2038</v>
      </c>
      <c r="P415">
        <v>2022</v>
      </c>
      <c r="Q415">
        <v>1</v>
      </c>
      <c r="R415">
        <v>69208100000</v>
      </c>
    </row>
    <row r="416" spans="15:18">
      <c r="O416">
        <v>2038</v>
      </c>
      <c r="P416">
        <v>2023</v>
      </c>
      <c r="Q416">
        <v>1</v>
      </c>
      <c r="R416">
        <v>81325800000</v>
      </c>
    </row>
    <row r="417" spans="15:21">
      <c r="O417">
        <v>2038</v>
      </c>
      <c r="P417">
        <v>2024</v>
      </c>
      <c r="Q417">
        <v>1</v>
      </c>
      <c r="R417">
        <v>94464200000</v>
      </c>
    </row>
    <row r="418" spans="15:21">
      <c r="O418">
        <v>2038</v>
      </c>
      <c r="P418">
        <v>2025</v>
      </c>
      <c r="Q418">
        <v>1</v>
      </c>
      <c r="R418">
        <v>107640000000</v>
      </c>
    </row>
    <row r="419" spans="15:21">
      <c r="O419">
        <v>2038</v>
      </c>
      <c r="P419">
        <v>2026</v>
      </c>
      <c r="Q419">
        <v>1</v>
      </c>
      <c r="R419">
        <v>120019000000</v>
      </c>
    </row>
    <row r="420" spans="15:21">
      <c r="O420">
        <v>2038</v>
      </c>
      <c r="P420">
        <v>2027</v>
      </c>
      <c r="Q420">
        <v>1</v>
      </c>
      <c r="R420">
        <v>130693000000</v>
      </c>
    </row>
    <row r="421" spans="15:21">
      <c r="O421">
        <v>2038</v>
      </c>
      <c r="P421">
        <v>2028</v>
      </c>
      <c r="Q421">
        <v>1</v>
      </c>
      <c r="R421">
        <v>141994000000</v>
      </c>
    </row>
    <row r="422" spans="15:21">
      <c r="O422">
        <v>2038</v>
      </c>
      <c r="P422">
        <v>2029</v>
      </c>
      <c r="Q422">
        <v>1</v>
      </c>
      <c r="R422">
        <v>152870000000</v>
      </c>
    </row>
    <row r="423" spans="15:21">
      <c r="O423">
        <v>2038</v>
      </c>
      <c r="P423">
        <v>2030</v>
      </c>
      <c r="Q423">
        <v>1</v>
      </c>
      <c r="R423">
        <v>164622000000</v>
      </c>
    </row>
    <row r="424" spans="15:21">
      <c r="O424">
        <v>2038</v>
      </c>
      <c r="P424">
        <v>2031</v>
      </c>
      <c r="Q424">
        <v>1</v>
      </c>
      <c r="R424">
        <v>177200000000</v>
      </c>
    </row>
    <row r="425" spans="15:21">
      <c r="O425">
        <v>2038</v>
      </c>
      <c r="P425">
        <v>2032</v>
      </c>
      <c r="Q425">
        <v>1</v>
      </c>
      <c r="R425">
        <v>187146000000</v>
      </c>
    </row>
    <row r="426" spans="15:21">
      <c r="O426">
        <v>2038</v>
      </c>
      <c r="P426">
        <v>2033</v>
      </c>
      <c r="Q426">
        <v>1</v>
      </c>
      <c r="R426">
        <v>197390000000</v>
      </c>
    </row>
    <row r="427" spans="15:21">
      <c r="O427">
        <v>2038</v>
      </c>
      <c r="P427">
        <v>2034</v>
      </c>
      <c r="Q427">
        <v>1</v>
      </c>
      <c r="R427">
        <v>207262000000</v>
      </c>
    </row>
    <row r="428" spans="15:21">
      <c r="O428">
        <v>2038</v>
      </c>
      <c r="P428">
        <v>2035</v>
      </c>
      <c r="Q428">
        <v>1</v>
      </c>
      <c r="R428">
        <v>215290000000</v>
      </c>
    </row>
    <row r="429" spans="15:21">
      <c r="O429">
        <v>2038</v>
      </c>
      <c r="P429">
        <v>2036</v>
      </c>
      <c r="Q429">
        <v>1</v>
      </c>
      <c r="R429">
        <v>222075000000</v>
      </c>
    </row>
    <row r="430" spans="15:21">
      <c r="O430">
        <v>2038</v>
      </c>
      <c r="P430">
        <v>2037</v>
      </c>
      <c r="Q430">
        <v>1</v>
      </c>
      <c r="R430">
        <v>229343000000</v>
      </c>
    </row>
    <row r="431" spans="15:21">
      <c r="O431">
        <v>2038</v>
      </c>
      <c r="P431">
        <v>2038</v>
      </c>
      <c r="Q431">
        <v>1</v>
      </c>
      <c r="R431">
        <v>236346000000</v>
      </c>
      <c r="S431">
        <f>SUM(R401:R431)</f>
        <v>3113304880000</v>
      </c>
      <c r="T431">
        <f>R419</f>
        <v>120019000000</v>
      </c>
      <c r="U431">
        <f>T431/S431</f>
        <v>3.8550352318851601E-2</v>
      </c>
    </row>
    <row r="432" spans="15:21">
      <c r="O432">
        <v>2039</v>
      </c>
      <c r="P432">
        <v>2009</v>
      </c>
      <c r="Q432">
        <v>1</v>
      </c>
      <c r="R432">
        <v>42937800000</v>
      </c>
    </row>
    <row r="433" spans="15:18">
      <c r="O433">
        <v>2039</v>
      </c>
      <c r="P433">
        <v>2010</v>
      </c>
      <c r="Q433">
        <v>1</v>
      </c>
      <c r="R433">
        <v>5457540000</v>
      </c>
    </row>
    <row r="434" spans="15:18">
      <c r="O434">
        <v>2039</v>
      </c>
      <c r="P434">
        <v>2011</v>
      </c>
      <c r="Q434">
        <v>1</v>
      </c>
      <c r="R434">
        <v>7115270000</v>
      </c>
    </row>
    <row r="435" spans="15:18">
      <c r="O435">
        <v>2039</v>
      </c>
      <c r="P435">
        <v>2012</v>
      </c>
      <c r="Q435">
        <v>1</v>
      </c>
      <c r="R435">
        <v>8476300000</v>
      </c>
    </row>
    <row r="436" spans="15:18">
      <c r="O436">
        <v>2039</v>
      </c>
      <c r="P436">
        <v>2013</v>
      </c>
      <c r="Q436">
        <v>1</v>
      </c>
      <c r="R436">
        <v>10650000000</v>
      </c>
    </row>
    <row r="437" spans="15:18">
      <c r="O437">
        <v>2039</v>
      </c>
      <c r="P437">
        <v>2014</v>
      </c>
      <c r="Q437">
        <v>1</v>
      </c>
      <c r="R437">
        <v>15987000000</v>
      </c>
    </row>
    <row r="438" spans="15:18">
      <c r="O438">
        <v>2039</v>
      </c>
      <c r="P438">
        <v>2015</v>
      </c>
      <c r="Q438">
        <v>1</v>
      </c>
      <c r="R438">
        <v>20205500000</v>
      </c>
    </row>
    <row r="439" spans="15:18">
      <c r="O439">
        <v>2039</v>
      </c>
      <c r="P439">
        <v>2016</v>
      </c>
      <c r="Q439">
        <v>1</v>
      </c>
      <c r="R439">
        <v>24331400000</v>
      </c>
    </row>
    <row r="440" spans="15:18">
      <c r="O440">
        <v>2039</v>
      </c>
      <c r="P440">
        <v>2017</v>
      </c>
      <c r="Q440">
        <v>1</v>
      </c>
      <c r="R440">
        <v>28555600000</v>
      </c>
    </row>
    <row r="441" spans="15:18">
      <c r="O441">
        <v>2039</v>
      </c>
      <c r="P441">
        <v>2018</v>
      </c>
      <c r="Q441">
        <v>1</v>
      </c>
      <c r="R441">
        <v>30240100000</v>
      </c>
    </row>
    <row r="442" spans="15:18">
      <c r="O442">
        <v>2039</v>
      </c>
      <c r="P442">
        <v>2019</v>
      </c>
      <c r="Q442">
        <v>1</v>
      </c>
      <c r="R442">
        <v>36104000000</v>
      </c>
    </row>
    <row r="443" spans="15:18">
      <c r="O443">
        <v>2039</v>
      </c>
      <c r="P443">
        <v>2020</v>
      </c>
      <c r="Q443">
        <v>1</v>
      </c>
      <c r="R443">
        <v>42778100000</v>
      </c>
    </row>
    <row r="444" spans="15:18">
      <c r="O444">
        <v>2039</v>
      </c>
      <c r="P444">
        <v>2021</v>
      </c>
      <c r="Q444">
        <v>1</v>
      </c>
      <c r="R444">
        <v>50698500000</v>
      </c>
    </row>
    <row r="445" spans="15:18">
      <c r="O445">
        <v>2039</v>
      </c>
      <c r="P445">
        <v>2022</v>
      </c>
      <c r="Q445">
        <v>1</v>
      </c>
      <c r="R445">
        <v>58790600000</v>
      </c>
    </row>
    <row r="446" spans="15:18">
      <c r="O446">
        <v>2039</v>
      </c>
      <c r="P446">
        <v>2023</v>
      </c>
      <c r="Q446">
        <v>1</v>
      </c>
      <c r="R446">
        <v>69592700000</v>
      </c>
    </row>
    <row r="447" spans="15:18">
      <c r="O447">
        <v>2039</v>
      </c>
      <c r="P447">
        <v>2024</v>
      </c>
      <c r="Q447">
        <v>1</v>
      </c>
      <c r="R447">
        <v>81613100000</v>
      </c>
    </row>
    <row r="448" spans="15:18">
      <c r="O448">
        <v>2039</v>
      </c>
      <c r="P448">
        <v>2025</v>
      </c>
      <c r="Q448">
        <v>1</v>
      </c>
      <c r="R448">
        <v>94607200000</v>
      </c>
    </row>
    <row r="449" spans="15:21">
      <c r="O449">
        <v>2039</v>
      </c>
      <c r="P449">
        <v>2026</v>
      </c>
      <c r="Q449">
        <v>1</v>
      </c>
      <c r="R449">
        <v>108180000000</v>
      </c>
    </row>
    <row r="450" spans="15:21">
      <c r="O450">
        <v>2039</v>
      </c>
      <c r="P450">
        <v>2027</v>
      </c>
      <c r="Q450">
        <v>1</v>
      </c>
      <c r="R450">
        <v>120101000000</v>
      </c>
    </row>
    <row r="451" spans="15:21">
      <c r="O451">
        <v>2039</v>
      </c>
      <c r="P451">
        <v>2028</v>
      </c>
      <c r="Q451">
        <v>1</v>
      </c>
      <c r="R451">
        <v>131339000000</v>
      </c>
    </row>
    <row r="452" spans="15:21">
      <c r="O452">
        <v>2039</v>
      </c>
      <c r="P452">
        <v>2029</v>
      </c>
      <c r="Q452">
        <v>1</v>
      </c>
      <c r="R452">
        <v>142344000000</v>
      </c>
    </row>
    <row r="453" spans="15:21">
      <c r="O453">
        <v>2039</v>
      </c>
      <c r="P453">
        <v>2030</v>
      </c>
      <c r="Q453">
        <v>1</v>
      </c>
      <c r="R453">
        <v>154354000000</v>
      </c>
    </row>
    <row r="454" spans="15:21">
      <c r="O454">
        <v>2039</v>
      </c>
      <c r="P454">
        <v>2031</v>
      </c>
      <c r="Q454">
        <v>1</v>
      </c>
      <c r="R454">
        <v>167299000000</v>
      </c>
    </row>
    <row r="455" spans="15:21">
      <c r="O455">
        <v>2039</v>
      </c>
      <c r="P455">
        <v>2032</v>
      </c>
      <c r="Q455">
        <v>1</v>
      </c>
      <c r="R455">
        <v>177890000000</v>
      </c>
    </row>
    <row r="456" spans="15:21">
      <c r="O456">
        <v>2039</v>
      </c>
      <c r="P456">
        <v>2033</v>
      </c>
      <c r="Q456">
        <v>1</v>
      </c>
      <c r="R456">
        <v>188841000000</v>
      </c>
    </row>
    <row r="457" spans="15:21">
      <c r="O457">
        <v>2039</v>
      </c>
      <c r="P457">
        <v>2034</v>
      </c>
      <c r="Q457">
        <v>1</v>
      </c>
      <c r="R457">
        <v>199489000000</v>
      </c>
    </row>
    <row r="458" spans="15:21">
      <c r="O458">
        <v>2039</v>
      </c>
      <c r="P458">
        <v>2035</v>
      </c>
      <c r="Q458">
        <v>1</v>
      </c>
      <c r="R458">
        <v>208391000000</v>
      </c>
    </row>
    <row r="459" spans="15:21">
      <c r="O459">
        <v>2039</v>
      </c>
      <c r="P459">
        <v>2036</v>
      </c>
      <c r="Q459">
        <v>1</v>
      </c>
      <c r="R459">
        <v>216249000000</v>
      </c>
    </row>
    <row r="460" spans="15:21">
      <c r="O460">
        <v>2039</v>
      </c>
      <c r="P460">
        <v>2037</v>
      </c>
      <c r="Q460">
        <v>1</v>
      </c>
      <c r="R460">
        <v>223853000000</v>
      </c>
    </row>
    <row r="461" spans="15:21">
      <c r="O461">
        <v>2039</v>
      </c>
      <c r="P461">
        <v>2038</v>
      </c>
      <c r="Q461">
        <v>1</v>
      </c>
      <c r="R461">
        <v>231252000000</v>
      </c>
    </row>
    <row r="462" spans="15:21">
      <c r="O462">
        <v>2039</v>
      </c>
      <c r="P462">
        <v>2039</v>
      </c>
      <c r="Q462">
        <v>1</v>
      </c>
      <c r="R462">
        <v>237803000000</v>
      </c>
      <c r="S462">
        <f>SUM(R432:R462)</f>
        <v>3135525710000</v>
      </c>
      <c r="T462">
        <f>R449</f>
        <v>108180000000</v>
      </c>
      <c r="U462">
        <f>T462/S462</f>
        <v>3.4501391474796743E-2</v>
      </c>
    </row>
    <row r="463" spans="15:21">
      <c r="O463">
        <v>2040</v>
      </c>
      <c r="P463">
        <v>2010</v>
      </c>
      <c r="Q463">
        <v>1</v>
      </c>
      <c r="R463">
        <v>43299700000</v>
      </c>
    </row>
    <row r="464" spans="15:21">
      <c r="O464">
        <v>2040</v>
      </c>
      <c r="P464">
        <v>2011</v>
      </c>
      <c r="Q464">
        <v>1</v>
      </c>
      <c r="R464">
        <v>6182180000</v>
      </c>
    </row>
    <row r="465" spans="15:18">
      <c r="O465">
        <v>2040</v>
      </c>
      <c r="P465">
        <v>2012</v>
      </c>
      <c r="Q465">
        <v>1</v>
      </c>
      <c r="R465">
        <v>7312470000</v>
      </c>
    </row>
    <row r="466" spans="15:18">
      <c r="O466">
        <v>2040</v>
      </c>
      <c r="P466">
        <v>2013</v>
      </c>
      <c r="Q466">
        <v>1</v>
      </c>
      <c r="R466">
        <v>9154230000</v>
      </c>
    </row>
    <row r="467" spans="15:18">
      <c r="O467">
        <v>2040</v>
      </c>
      <c r="P467">
        <v>2014</v>
      </c>
      <c r="Q467">
        <v>1</v>
      </c>
      <c r="R467">
        <v>13776500000</v>
      </c>
    </row>
    <row r="468" spans="15:18">
      <c r="O468">
        <v>2040</v>
      </c>
      <c r="P468">
        <v>2015</v>
      </c>
      <c r="Q468">
        <v>1</v>
      </c>
      <c r="R468">
        <v>17325700000</v>
      </c>
    </row>
    <row r="469" spans="15:18">
      <c r="O469">
        <v>2040</v>
      </c>
      <c r="P469">
        <v>2016</v>
      </c>
      <c r="Q469">
        <v>1</v>
      </c>
      <c r="R469">
        <v>20781600000</v>
      </c>
    </row>
    <row r="470" spans="15:18">
      <c r="O470">
        <v>2040</v>
      </c>
      <c r="P470">
        <v>2017</v>
      </c>
      <c r="Q470">
        <v>1</v>
      </c>
      <c r="R470">
        <v>24346600000</v>
      </c>
    </row>
    <row r="471" spans="15:18">
      <c r="O471">
        <v>2040</v>
      </c>
      <c r="P471">
        <v>2018</v>
      </c>
      <c r="Q471">
        <v>1</v>
      </c>
      <c r="R471">
        <v>25518900000</v>
      </c>
    </row>
    <row r="472" spans="15:18">
      <c r="O472">
        <v>2040</v>
      </c>
      <c r="P472">
        <v>2019</v>
      </c>
      <c r="Q472">
        <v>1</v>
      </c>
      <c r="R472">
        <v>30422400000</v>
      </c>
    </row>
    <row r="473" spans="15:18">
      <c r="O473">
        <v>2040</v>
      </c>
      <c r="P473">
        <v>2020</v>
      </c>
      <c r="Q473">
        <v>1</v>
      </c>
      <c r="R473">
        <v>36021200000</v>
      </c>
    </row>
    <row r="474" spans="15:18">
      <c r="O474">
        <v>2040</v>
      </c>
      <c r="P474">
        <v>2021</v>
      </c>
      <c r="Q474">
        <v>1</v>
      </c>
      <c r="R474">
        <v>42764700000</v>
      </c>
    </row>
    <row r="475" spans="15:18">
      <c r="O475">
        <v>2040</v>
      </c>
      <c r="P475">
        <v>2022</v>
      </c>
      <c r="Q475">
        <v>1</v>
      </c>
      <c r="R475">
        <v>49736600000</v>
      </c>
    </row>
    <row r="476" spans="15:18">
      <c r="O476">
        <v>2040</v>
      </c>
      <c r="P476">
        <v>2023</v>
      </c>
      <c r="Q476">
        <v>1</v>
      </c>
      <c r="R476">
        <v>59163400000</v>
      </c>
    </row>
    <row r="477" spans="15:18">
      <c r="O477">
        <v>2040</v>
      </c>
      <c r="P477">
        <v>2024</v>
      </c>
      <c r="Q477">
        <v>1</v>
      </c>
      <c r="R477">
        <v>69884000000</v>
      </c>
    </row>
    <row r="478" spans="15:18">
      <c r="O478">
        <v>2040</v>
      </c>
      <c r="P478">
        <v>2025</v>
      </c>
      <c r="Q478">
        <v>1</v>
      </c>
      <c r="R478">
        <v>81785300000</v>
      </c>
    </row>
    <row r="479" spans="15:18">
      <c r="O479">
        <v>2040</v>
      </c>
      <c r="P479">
        <v>2026</v>
      </c>
      <c r="Q479">
        <v>1</v>
      </c>
      <c r="R479">
        <v>95130600000</v>
      </c>
    </row>
    <row r="480" spans="15:18">
      <c r="O480">
        <v>2040</v>
      </c>
      <c r="P480">
        <v>2027</v>
      </c>
      <c r="Q480">
        <v>1</v>
      </c>
      <c r="R480">
        <v>108304000000</v>
      </c>
    </row>
    <row r="481" spans="15:21">
      <c r="O481">
        <v>2040</v>
      </c>
      <c r="P481">
        <v>2028</v>
      </c>
      <c r="Q481">
        <v>1</v>
      </c>
      <c r="R481">
        <v>120759000000</v>
      </c>
    </row>
    <row r="482" spans="15:21">
      <c r="O482">
        <v>2040</v>
      </c>
      <c r="P482">
        <v>2029</v>
      </c>
      <c r="Q482">
        <v>1</v>
      </c>
      <c r="R482">
        <v>131727000000</v>
      </c>
    </row>
    <row r="483" spans="15:21">
      <c r="O483">
        <v>2040</v>
      </c>
      <c r="P483">
        <v>2030</v>
      </c>
      <c r="Q483">
        <v>1</v>
      </c>
      <c r="R483">
        <v>143779000000</v>
      </c>
    </row>
    <row r="484" spans="15:21">
      <c r="O484">
        <v>2040</v>
      </c>
      <c r="P484">
        <v>2031</v>
      </c>
      <c r="Q484">
        <v>1</v>
      </c>
      <c r="R484">
        <v>156909000000</v>
      </c>
    </row>
    <row r="485" spans="15:21">
      <c r="O485">
        <v>2040</v>
      </c>
      <c r="P485">
        <v>2032</v>
      </c>
      <c r="Q485">
        <v>1</v>
      </c>
      <c r="R485">
        <v>167982000000</v>
      </c>
    </row>
    <row r="486" spans="15:21">
      <c r="O486">
        <v>2040</v>
      </c>
      <c r="P486">
        <v>2033</v>
      </c>
      <c r="Q486">
        <v>1</v>
      </c>
      <c r="R486">
        <v>179515000000</v>
      </c>
    </row>
    <row r="487" spans="15:21">
      <c r="O487">
        <v>2040</v>
      </c>
      <c r="P487">
        <v>2034</v>
      </c>
      <c r="Q487">
        <v>1</v>
      </c>
      <c r="R487">
        <v>190850000000</v>
      </c>
    </row>
    <row r="488" spans="15:21">
      <c r="O488">
        <v>2040</v>
      </c>
      <c r="P488">
        <v>2035</v>
      </c>
      <c r="Q488">
        <v>1</v>
      </c>
      <c r="R488">
        <v>200560000000</v>
      </c>
    </row>
    <row r="489" spans="15:21">
      <c r="O489">
        <v>2040</v>
      </c>
      <c r="P489">
        <v>2036</v>
      </c>
      <c r="Q489">
        <v>1</v>
      </c>
      <c r="R489">
        <v>209291000000</v>
      </c>
    </row>
    <row r="490" spans="15:21">
      <c r="O490">
        <v>2040</v>
      </c>
      <c r="P490">
        <v>2037</v>
      </c>
      <c r="Q490">
        <v>1</v>
      </c>
      <c r="R490">
        <v>217936000000</v>
      </c>
    </row>
    <row r="491" spans="15:21">
      <c r="O491">
        <v>2040</v>
      </c>
      <c r="P491">
        <v>2038</v>
      </c>
      <c r="Q491">
        <v>1</v>
      </c>
      <c r="R491">
        <v>225668000000</v>
      </c>
    </row>
    <row r="492" spans="15:21">
      <c r="O492">
        <v>2040</v>
      </c>
      <c r="P492">
        <v>2039</v>
      </c>
      <c r="Q492">
        <v>1</v>
      </c>
      <c r="R492">
        <v>232627000000</v>
      </c>
    </row>
    <row r="493" spans="15:21">
      <c r="O493">
        <v>2040</v>
      </c>
      <c r="P493">
        <v>2040</v>
      </c>
      <c r="Q493">
        <v>1</v>
      </c>
      <c r="R493">
        <v>239410000000</v>
      </c>
      <c r="S493">
        <f>SUM(R463:R493)</f>
        <v>3157923080000</v>
      </c>
      <c r="T493">
        <f>R479</f>
        <v>95130600000</v>
      </c>
      <c r="U493">
        <f>T493/S493</f>
        <v>3.0124419623292407E-2</v>
      </c>
    </row>
  </sheetData>
  <sheetProtection algorithmName="SHA-512" hashValue="klXnOk3mOctOkzH7snbRnCb5aB8c3uLNlJ5cNch+DbFm2zbluvhvY0C1yCBbABL0oOURD8q42cf/+xGTAXSkpQ==" saltValue="ynnzH469PeQBPbaRORL7pg==" spinCount="100000" sheet="1" objects="1" scenarios="1"/>
  <mergeCells count="6">
    <mergeCell ref="P7:S7"/>
    <mergeCell ref="T7:W7"/>
    <mergeCell ref="X7:AA7"/>
    <mergeCell ref="P8:S8"/>
    <mergeCell ref="T8:W8"/>
    <mergeCell ref="X8:AA8"/>
  </mergeCells>
  <pageMargins left="0.7" right="0.7" top="0.75" bottom="0.75" header="0.3" footer="0.3"/>
  <pageSetup orientation="portrait" r:id="rId1"/>
  <ignoredErrors>
    <ignoredError sqref="S59 S90 S121 S152 S183 S214 S245 S276 S307 S338 S369 S400 S431 S462 S493"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1"/>
  <dimension ref="A1:AS103"/>
  <sheetViews>
    <sheetView topLeftCell="V10" zoomScaleNormal="100" workbookViewId="0">
      <selection activeCell="AK34" sqref="AK34"/>
    </sheetView>
  </sheetViews>
  <sheetFormatPr baseColWidth="10" defaultColWidth="8.83203125" defaultRowHeight="15"/>
  <cols>
    <col min="1" max="2" width="10.83203125" customWidth="1"/>
    <col min="3" max="3" width="10.83203125" style="29" customWidth="1"/>
    <col min="4" max="6" width="10.83203125" customWidth="1"/>
    <col min="7" max="7" width="14.83203125" customWidth="1"/>
    <col min="8" max="16" width="10.83203125" customWidth="1"/>
    <col min="17" max="19" width="8.83203125" customWidth="1"/>
    <col min="20" max="20" width="9.5" customWidth="1"/>
    <col min="21" max="21" width="14.6640625" customWidth="1"/>
    <col min="22" max="23" width="9" customWidth="1"/>
    <col min="24" max="25" width="8.83203125" customWidth="1"/>
    <col min="26" max="27" width="9.5" customWidth="1"/>
    <col min="28" max="28" width="9.1640625" customWidth="1"/>
    <col min="29" max="39" width="8.83203125" customWidth="1"/>
    <col min="40" max="40" width="10.5" bestFit="1" customWidth="1"/>
    <col min="41" max="41" width="10.33203125" customWidth="1"/>
    <col min="42" max="42" width="10.5" bestFit="1" customWidth="1"/>
    <col min="43" max="44" width="10.5" customWidth="1"/>
  </cols>
  <sheetData>
    <row r="1" spans="1:45">
      <c r="A1" s="70" t="s">
        <v>154</v>
      </c>
      <c r="F1" s="29"/>
    </row>
    <row r="2" spans="1:45">
      <c r="S2" s="29" t="s">
        <v>219</v>
      </c>
      <c r="AD2" s="6"/>
      <c r="AE2" s="6"/>
      <c r="AF2" s="6"/>
    </row>
    <row r="3" spans="1:45">
      <c r="A3" t="s">
        <v>307</v>
      </c>
      <c r="S3" s="29"/>
      <c r="W3" s="6"/>
      <c r="AD3" s="6"/>
      <c r="AE3" s="6"/>
      <c r="AF3" s="6"/>
    </row>
    <row r="4" spans="1:45">
      <c r="S4" s="29"/>
      <c r="V4" s="262" t="s">
        <v>524</v>
      </c>
      <c r="AD4" s="6"/>
      <c r="AE4" s="6"/>
      <c r="AF4" s="6"/>
    </row>
    <row r="5" spans="1:45">
      <c r="A5" s="2" t="s">
        <v>118</v>
      </c>
      <c r="C5" s="30" t="s">
        <v>429</v>
      </c>
      <c r="S5" s="2" t="s">
        <v>139</v>
      </c>
      <c r="T5" s="2"/>
      <c r="U5" s="2"/>
      <c r="V5" s="209" t="s">
        <v>463</v>
      </c>
      <c r="W5" s="29" t="s">
        <v>464</v>
      </c>
      <c r="X5" s="29"/>
      <c r="Y5" s="29"/>
      <c r="Z5" s="29"/>
      <c r="AD5" s="29"/>
      <c r="AE5" s="6"/>
      <c r="AF5" s="6"/>
    </row>
    <row r="6" spans="1:45" ht="16" thickBot="1">
      <c r="A6" s="6"/>
      <c r="H6" s="6"/>
      <c r="N6" s="6"/>
      <c r="S6" s="6"/>
      <c r="T6" s="6"/>
      <c r="U6" s="6"/>
      <c r="V6" s="6"/>
      <c r="W6" s="6"/>
      <c r="X6" s="29"/>
      <c r="Y6" s="29"/>
      <c r="Z6" s="29"/>
      <c r="AB6" s="6"/>
      <c r="AD6" s="144" t="s">
        <v>216</v>
      </c>
      <c r="AE6" s="144"/>
      <c r="AF6" s="144"/>
    </row>
    <row r="7" spans="1:45">
      <c r="A7" s="70" t="s">
        <v>72</v>
      </c>
      <c r="B7" s="290" t="s">
        <v>427</v>
      </c>
      <c r="C7" s="291"/>
      <c r="D7" s="292"/>
      <c r="E7" s="290" t="s">
        <v>428</v>
      </c>
      <c r="F7" s="291"/>
      <c r="G7" s="292"/>
      <c r="H7" s="290" t="s">
        <v>119</v>
      </c>
      <c r="I7" s="291"/>
      <c r="J7" s="292"/>
      <c r="K7" s="290" t="s">
        <v>120</v>
      </c>
      <c r="L7" s="291"/>
      <c r="M7" s="292"/>
      <c r="N7" s="291" t="s">
        <v>123</v>
      </c>
      <c r="O7" s="291"/>
      <c r="P7" s="292"/>
      <c r="S7" s="70" t="s">
        <v>72</v>
      </c>
      <c r="T7" s="70" t="s">
        <v>137</v>
      </c>
      <c r="U7" s="70" t="s">
        <v>215</v>
      </c>
      <c r="V7" s="290" t="s">
        <v>427</v>
      </c>
      <c r="W7" s="291"/>
      <c r="X7" s="291"/>
      <c r="Y7" s="291"/>
      <c r="Z7" s="291"/>
      <c r="AA7" s="292"/>
      <c r="AB7" s="290" t="s">
        <v>119</v>
      </c>
      <c r="AC7" s="291"/>
      <c r="AD7" s="291"/>
      <c r="AE7" s="291"/>
      <c r="AF7" s="291"/>
      <c r="AG7" s="292"/>
      <c r="AH7" s="290" t="s">
        <v>151</v>
      </c>
      <c r="AI7" s="291"/>
      <c r="AJ7" s="291"/>
      <c r="AK7" s="291"/>
      <c r="AL7" s="291"/>
      <c r="AM7" s="292"/>
      <c r="AN7" s="290" t="s">
        <v>152</v>
      </c>
      <c r="AO7" s="291"/>
      <c r="AP7" s="291"/>
      <c r="AQ7" s="291"/>
      <c r="AR7" s="291"/>
      <c r="AS7" s="292"/>
    </row>
    <row r="8" spans="1:45">
      <c r="A8" s="70"/>
      <c r="B8" s="76" t="s">
        <v>121</v>
      </c>
      <c r="C8" s="71" t="s">
        <v>122</v>
      </c>
      <c r="D8" s="72" t="s">
        <v>49</v>
      </c>
      <c r="E8" s="76" t="s">
        <v>121</v>
      </c>
      <c r="F8" s="71" t="s">
        <v>122</v>
      </c>
      <c r="G8" s="72" t="s">
        <v>49</v>
      </c>
      <c r="H8" s="76" t="s">
        <v>124</v>
      </c>
      <c r="I8" s="71" t="s">
        <v>122</v>
      </c>
      <c r="J8" s="72" t="s">
        <v>49</v>
      </c>
      <c r="K8" s="76" t="s">
        <v>121</v>
      </c>
      <c r="L8" s="71" t="s">
        <v>122</v>
      </c>
      <c r="M8" s="72" t="s">
        <v>49</v>
      </c>
      <c r="N8" s="70" t="s">
        <v>124</v>
      </c>
      <c r="O8" s="70" t="s">
        <v>122</v>
      </c>
      <c r="P8" s="72" t="s">
        <v>49</v>
      </c>
      <c r="S8" s="70"/>
      <c r="T8" s="6"/>
      <c r="U8" s="70"/>
      <c r="V8" s="76" t="s">
        <v>121</v>
      </c>
      <c r="W8" s="71" t="s">
        <v>141</v>
      </c>
      <c r="X8" s="71" t="s">
        <v>122</v>
      </c>
      <c r="Y8" s="71" t="s">
        <v>141</v>
      </c>
      <c r="Z8" s="71" t="s">
        <v>140</v>
      </c>
      <c r="AA8" s="72" t="s">
        <v>141</v>
      </c>
      <c r="AB8" s="76" t="s">
        <v>124</v>
      </c>
      <c r="AC8" s="71" t="s">
        <v>141</v>
      </c>
      <c r="AD8" s="71" t="s">
        <v>122</v>
      </c>
      <c r="AE8" s="71" t="s">
        <v>141</v>
      </c>
      <c r="AF8" s="71" t="s">
        <v>140</v>
      </c>
      <c r="AG8" s="72" t="s">
        <v>221</v>
      </c>
      <c r="AH8" s="76" t="s">
        <v>121</v>
      </c>
      <c r="AI8" s="71" t="s">
        <v>141</v>
      </c>
      <c r="AJ8" s="71" t="s">
        <v>122</v>
      </c>
      <c r="AK8" s="71" t="s">
        <v>141</v>
      </c>
      <c r="AL8" s="71" t="s">
        <v>140</v>
      </c>
      <c r="AM8" s="72" t="s">
        <v>221</v>
      </c>
      <c r="AN8" s="76" t="s">
        <v>121</v>
      </c>
      <c r="AO8" s="71" t="s">
        <v>141</v>
      </c>
      <c r="AP8" s="71" t="s">
        <v>122</v>
      </c>
      <c r="AQ8" s="71" t="s">
        <v>141</v>
      </c>
      <c r="AR8" s="71" t="s">
        <v>140</v>
      </c>
      <c r="AS8" s="72" t="s">
        <v>221</v>
      </c>
    </row>
    <row r="9" spans="1:45">
      <c r="A9">
        <v>2017</v>
      </c>
      <c r="B9" s="124"/>
      <c r="C9" s="125"/>
      <c r="D9" s="126"/>
      <c r="E9" s="77">
        <v>6.0000000000000001E-3</v>
      </c>
      <c r="F9">
        <v>8.0000000000000002E-3</v>
      </c>
      <c r="G9" s="73"/>
      <c r="H9" s="77"/>
      <c r="J9" s="73"/>
      <c r="K9" s="77"/>
      <c r="M9" s="73"/>
      <c r="P9" s="73"/>
      <c r="S9">
        <v>2017</v>
      </c>
      <c r="T9" s="6"/>
      <c r="V9" s="77"/>
      <c r="X9" s="29"/>
      <c r="Y9" s="29"/>
      <c r="Z9" s="29"/>
      <c r="AA9" s="73"/>
      <c r="AB9" s="77"/>
      <c r="AG9" s="73"/>
      <c r="AH9" s="77"/>
      <c r="AM9" s="73"/>
      <c r="AN9" s="77"/>
      <c r="AS9" s="73"/>
    </row>
    <row r="10" spans="1:45">
      <c r="A10">
        <v>2018</v>
      </c>
      <c r="B10" s="124"/>
      <c r="C10" s="125"/>
      <c r="D10" s="126"/>
      <c r="E10" s="77">
        <v>1.4E-2</v>
      </c>
      <c r="F10">
        <v>8.0000000000000002E-3</v>
      </c>
      <c r="G10" s="73"/>
      <c r="H10" s="77"/>
      <c r="J10" s="73"/>
      <c r="K10" s="77"/>
      <c r="M10" s="73"/>
      <c r="P10" s="73"/>
      <c r="S10">
        <v>2018</v>
      </c>
      <c r="T10" s="6"/>
      <c r="V10" s="77"/>
      <c r="X10" s="29"/>
      <c r="Y10" s="29"/>
      <c r="Z10" s="29"/>
      <c r="AA10" s="73"/>
      <c r="AB10" s="77"/>
      <c r="AG10" s="73"/>
      <c r="AH10" s="77"/>
      <c r="AM10" s="73"/>
      <c r="AN10" s="77"/>
      <c r="AS10" s="73"/>
    </row>
    <row r="11" spans="1:45">
      <c r="A11">
        <v>2019</v>
      </c>
      <c r="B11" s="124"/>
      <c r="C11" s="125"/>
      <c r="D11" s="126"/>
      <c r="E11" s="77">
        <v>1.2E-2</v>
      </c>
      <c r="F11">
        <v>5.0000000000000001E-3</v>
      </c>
      <c r="G11" s="73"/>
      <c r="H11" s="77"/>
      <c r="J11" s="73"/>
      <c r="K11" s="77"/>
      <c r="M11" s="73"/>
      <c r="P11" s="73"/>
      <c r="S11">
        <v>2019</v>
      </c>
      <c r="V11" s="77"/>
      <c r="X11" s="29"/>
      <c r="Y11" s="29"/>
      <c r="Z11" s="29"/>
      <c r="AA11" s="73"/>
      <c r="AB11" s="77"/>
      <c r="AG11" s="73"/>
      <c r="AH11" s="77"/>
      <c r="AM11" s="73"/>
      <c r="AN11" s="77"/>
      <c r="AS11" s="73"/>
    </row>
    <row r="12" spans="1:45">
      <c r="A12">
        <v>2020</v>
      </c>
      <c r="B12" s="124"/>
      <c r="C12" s="125"/>
      <c r="D12" s="126"/>
      <c r="E12" s="77">
        <v>3.3000000000000002E-2</v>
      </c>
      <c r="F12">
        <v>7.0000000000000001E-3</v>
      </c>
      <c r="G12" s="73"/>
      <c r="H12" s="77"/>
      <c r="J12" s="73"/>
      <c r="K12" s="77"/>
      <c r="M12" s="73"/>
      <c r="P12" s="73"/>
      <c r="S12">
        <v>2020</v>
      </c>
      <c r="T12" s="3">
        <f>'Combined MOVES output'!AE17</f>
        <v>10093583.541504964</v>
      </c>
      <c r="U12" s="3">
        <f>T12*U$17/T$17</f>
        <v>572312.66759088438</v>
      </c>
      <c r="V12" s="77"/>
      <c r="X12" s="29"/>
      <c r="Y12" s="29"/>
      <c r="Z12" s="261">
        <f>Z13/2</f>
        <v>45371.5</v>
      </c>
      <c r="AA12" s="104">
        <f>Z12/T12</f>
        <v>4.4950834174435393E-3</v>
      </c>
      <c r="AB12" s="77"/>
      <c r="AG12" s="73"/>
      <c r="AH12" s="77"/>
      <c r="AM12" s="104">
        <f>AA12</f>
        <v>4.4950834174435393E-3</v>
      </c>
      <c r="AN12" s="77"/>
      <c r="AS12" s="104">
        <f>AA12</f>
        <v>4.4950834174435393E-3</v>
      </c>
    </row>
    <row r="13" spans="1:45">
      <c r="A13">
        <v>2021</v>
      </c>
      <c r="B13" s="124"/>
      <c r="C13" s="125"/>
      <c r="D13" s="220">
        <f>F50</f>
        <v>4.07E-2</v>
      </c>
      <c r="E13" s="77"/>
      <c r="G13" s="73"/>
      <c r="H13" s="77"/>
      <c r="J13" s="73"/>
      <c r="K13" s="77"/>
      <c r="M13" s="73"/>
      <c r="P13" s="73"/>
      <c r="S13">
        <v>2021</v>
      </c>
      <c r="T13">
        <f>T12+(T17-T12)/5</f>
        <v>10198293.136016876</v>
      </c>
      <c r="U13" s="3">
        <f t="shared" ref="U13:U16" si="0">T13*U$17/T$17</f>
        <v>578249.76883060287</v>
      </c>
      <c r="V13" s="77"/>
      <c r="X13" s="29"/>
      <c r="Y13" s="29"/>
      <c r="Z13" s="262">
        <v>90743</v>
      </c>
      <c r="AA13" s="104">
        <f>Z13/T13</f>
        <v>8.8978615136612246E-3</v>
      </c>
      <c r="AB13" s="77"/>
      <c r="AG13" s="73"/>
      <c r="AH13" s="77"/>
      <c r="AM13" s="73"/>
      <c r="AN13" s="77"/>
      <c r="AS13" s="73"/>
    </row>
    <row r="14" spans="1:45">
      <c r="A14">
        <v>2022</v>
      </c>
      <c r="B14" s="124"/>
      <c r="C14" s="125"/>
      <c r="D14" s="126">
        <f>(D13+D15)/2</f>
        <v>5.7350000000000005E-2</v>
      </c>
      <c r="E14" s="77"/>
      <c r="G14" s="73"/>
      <c r="H14" s="77"/>
      <c r="J14" s="73"/>
      <c r="K14" s="77"/>
      <c r="M14" s="73"/>
      <c r="P14" s="73"/>
      <c r="S14">
        <v>2022</v>
      </c>
      <c r="T14">
        <f>T12+(T17-T12)/5*2</f>
        <v>10303002.730528789</v>
      </c>
      <c r="U14" s="3">
        <f t="shared" si="0"/>
        <v>584186.87007032149</v>
      </c>
      <c r="V14" s="77"/>
      <c r="X14" s="29"/>
      <c r="Y14" s="29"/>
      <c r="Z14" s="102">
        <f>Z13+D14*U14</f>
        <v>124246.11699853293</v>
      </c>
      <c r="AA14" s="73"/>
      <c r="AB14" s="77"/>
      <c r="AG14" s="73"/>
      <c r="AH14" s="77"/>
      <c r="AM14" s="73"/>
      <c r="AN14" s="77"/>
      <c r="AS14" s="73"/>
    </row>
    <row r="15" spans="1:45">
      <c r="A15">
        <v>2023</v>
      </c>
      <c r="B15" s="124">
        <f>E15</f>
        <v>6.7000000000000004E-2</v>
      </c>
      <c r="C15" s="42">
        <f t="shared" ref="C15:D15" si="1">F15</f>
        <v>7.0000000000000001E-3</v>
      </c>
      <c r="D15" s="42">
        <f t="shared" si="1"/>
        <v>7.400000000000001E-2</v>
      </c>
      <c r="E15" s="212">
        <f>'Federal GHG Rule'!N7</f>
        <v>6.7000000000000004E-2</v>
      </c>
      <c r="F15" s="211">
        <f>'Federal GHG Rule'!M7</f>
        <v>7.0000000000000001E-3</v>
      </c>
      <c r="G15" s="213">
        <f>E15+F15</f>
        <v>7.400000000000001E-2</v>
      </c>
      <c r="H15" s="249" t="s">
        <v>412</v>
      </c>
      <c r="I15" s="206"/>
      <c r="J15" s="73"/>
      <c r="K15" s="77"/>
      <c r="M15" s="73"/>
      <c r="P15" s="73"/>
      <c r="S15">
        <v>2023</v>
      </c>
      <c r="T15">
        <f>T12+(T17-T12)/5*3</f>
        <v>10407712.3250407</v>
      </c>
      <c r="U15" s="3">
        <f t="shared" si="0"/>
        <v>590123.9713100401</v>
      </c>
      <c r="V15" s="77"/>
      <c r="X15" s="29"/>
      <c r="Y15" s="29"/>
      <c r="Z15" s="102">
        <f t="shared" ref="Z15:Z32" si="2">Z14+D15*U15</f>
        <v>167915.29087547591</v>
      </c>
      <c r="AA15" s="73"/>
      <c r="AB15" s="77"/>
      <c r="AG15" s="73"/>
      <c r="AH15" s="77"/>
      <c r="AM15" s="73"/>
      <c r="AN15" s="77"/>
      <c r="AS15" s="73"/>
    </row>
    <row r="16" spans="1:45">
      <c r="A16">
        <v>2024</v>
      </c>
      <c r="B16" s="124">
        <f t="shared" ref="B16:B32" si="3">E16</f>
        <v>9.5000000000000001E-2</v>
      </c>
      <c r="C16" s="42">
        <f t="shared" ref="C16:C32" si="4">F16</f>
        <v>7.0000000000000001E-3</v>
      </c>
      <c r="D16" s="42">
        <f t="shared" ref="D16:D32" si="5">G16</f>
        <v>0.10200000000000001</v>
      </c>
      <c r="E16" s="212">
        <f>'Federal GHG Rule'!N8</f>
        <v>9.5000000000000001E-2</v>
      </c>
      <c r="F16" s="211">
        <f>'Federal GHG Rule'!M8</f>
        <v>7.0000000000000001E-3</v>
      </c>
      <c r="G16" s="213">
        <f t="shared" ref="G16:G18" si="6">E16+F16</f>
        <v>0.10200000000000001</v>
      </c>
      <c r="H16" s="249" t="s">
        <v>420</v>
      </c>
      <c r="I16" s="206"/>
      <c r="J16" s="73"/>
      <c r="K16" s="77"/>
      <c r="M16" s="73"/>
      <c r="P16" s="73"/>
      <c r="S16">
        <v>2024</v>
      </c>
      <c r="T16">
        <f>T12+(T17-T12)/5*4</f>
        <v>10512421.919552613</v>
      </c>
      <c r="U16" s="3">
        <f t="shared" si="0"/>
        <v>596061.07254975871</v>
      </c>
      <c r="V16" s="208"/>
      <c r="X16" s="29"/>
      <c r="Y16" s="29"/>
      <c r="Z16" s="102">
        <f t="shared" si="2"/>
        <v>228713.5202755513</v>
      </c>
      <c r="AA16" s="73"/>
      <c r="AB16" s="77"/>
      <c r="AE16" s="46"/>
      <c r="AF16" s="46" t="s">
        <v>143</v>
      </c>
      <c r="AG16" s="73"/>
      <c r="AH16" s="77"/>
      <c r="AK16" s="46"/>
      <c r="AL16" s="46" t="s">
        <v>143</v>
      </c>
      <c r="AM16" s="73"/>
      <c r="AN16" s="77"/>
      <c r="AQ16" s="121"/>
      <c r="AR16" s="121" t="s">
        <v>153</v>
      </c>
      <c r="AS16" s="120"/>
    </row>
    <row r="17" spans="1:45">
      <c r="A17">
        <v>2025</v>
      </c>
      <c r="B17" s="124">
        <f t="shared" si="3"/>
        <v>0.129</v>
      </c>
      <c r="C17" s="42">
        <f t="shared" si="4"/>
        <v>7.0000000000000001E-3</v>
      </c>
      <c r="D17" s="42">
        <f t="shared" si="5"/>
        <v>0.13600000000000001</v>
      </c>
      <c r="E17" s="212">
        <f>'Federal GHG Rule'!N9</f>
        <v>0.129</v>
      </c>
      <c r="F17" s="211">
        <f>'Federal GHG Rule'!M9</f>
        <v>7.0000000000000001E-3</v>
      </c>
      <c r="G17" s="213">
        <f t="shared" si="6"/>
        <v>0.13600000000000001</v>
      </c>
      <c r="H17" s="250" t="s">
        <v>421</v>
      </c>
      <c r="I17" s="206"/>
      <c r="J17" s="73"/>
      <c r="K17" s="77"/>
      <c r="M17" s="73"/>
      <c r="P17" s="73"/>
      <c r="S17">
        <v>2025</v>
      </c>
      <c r="T17" s="3">
        <f>'ZEV Population'!C7</f>
        <v>10617131.514064524</v>
      </c>
      <c r="U17" s="3">
        <f>'ZEV Population'!E5</f>
        <v>601998.17378947721</v>
      </c>
      <c r="V17" s="240">
        <f>(N18/(N18+O18))*Z17</f>
        <v>214797.29085428125</v>
      </c>
      <c r="W17" s="241">
        <f>V17/T17</f>
        <v>2.0231198094300618E-2</v>
      </c>
      <c r="X17" s="242">
        <f>Z17-V17</f>
        <v>95787.981056638964</v>
      </c>
      <c r="Y17" s="241">
        <f>X17/T17</f>
        <v>9.022020771782711E-3</v>
      </c>
      <c r="Z17" s="102">
        <f t="shared" si="2"/>
        <v>310585.27191092022</v>
      </c>
      <c r="AA17" s="104">
        <f>Z17/T17</f>
        <v>2.9253218866083331E-2</v>
      </c>
      <c r="AB17" s="85">
        <f>V17</f>
        <v>214797.29085428125</v>
      </c>
      <c r="AC17" s="60">
        <f t="shared" ref="AC17:AC32" si="7">AB17/T17</f>
        <v>2.0231198094300618E-2</v>
      </c>
      <c r="AD17" s="3">
        <f>X17</f>
        <v>95787.981056638964</v>
      </c>
      <c r="AE17" s="60">
        <f t="shared" ref="AE17:AE32" si="8">AD17/T17</f>
        <v>9.022020771782711E-3</v>
      </c>
      <c r="AF17" s="3">
        <f>Z17</f>
        <v>310585.27191092022</v>
      </c>
      <c r="AG17" s="60">
        <f>AA17</f>
        <v>2.9253218866083331E-2</v>
      </c>
      <c r="AH17" s="85">
        <f>V17</f>
        <v>214797.29085428125</v>
      </c>
      <c r="AI17" s="60">
        <f t="shared" ref="AI17:AI32" si="9">AH17/T17</f>
        <v>2.0231198094300618E-2</v>
      </c>
      <c r="AJ17" s="3">
        <f>X17</f>
        <v>95787.981056638964</v>
      </c>
      <c r="AK17" s="60">
        <f t="shared" ref="AK17:AK32" si="10">AJ17/T17</f>
        <v>9.022020771782711E-3</v>
      </c>
      <c r="AL17" s="3">
        <f>Z17</f>
        <v>310585.27191092022</v>
      </c>
      <c r="AM17" s="104">
        <f>AA17</f>
        <v>2.9253218866083331E-2</v>
      </c>
      <c r="AN17" s="85">
        <f>V17</f>
        <v>214797.29085428125</v>
      </c>
      <c r="AO17" s="60">
        <f t="shared" ref="AO17:AO32" si="11">AN17/T17</f>
        <v>2.0231198094300618E-2</v>
      </c>
      <c r="AP17" s="3">
        <f>X17</f>
        <v>95787.981056638964</v>
      </c>
      <c r="AQ17" s="60">
        <f t="shared" ref="AQ17:AQ32" si="12">AP17/T17</f>
        <v>9.022020771782711E-3</v>
      </c>
      <c r="AR17" s="3">
        <f>Z17</f>
        <v>310585.27191092022</v>
      </c>
      <c r="AS17" s="104">
        <f>AA17</f>
        <v>2.9253218866083331E-2</v>
      </c>
    </row>
    <row r="18" spans="1:45">
      <c r="A18">
        <v>2026</v>
      </c>
      <c r="B18" s="124">
        <f t="shared" si="3"/>
        <v>0.16600000000000001</v>
      </c>
      <c r="C18" s="42">
        <f t="shared" si="4"/>
        <v>6.0000000000000001E-3</v>
      </c>
      <c r="D18" s="42">
        <f t="shared" si="5"/>
        <v>0.17200000000000001</v>
      </c>
      <c r="E18" s="212">
        <f>'Federal GHG Rule'!N10</f>
        <v>0.16600000000000001</v>
      </c>
      <c r="F18" s="211">
        <f>'Federal GHG Rule'!M10</f>
        <v>6.0000000000000001E-3</v>
      </c>
      <c r="G18" s="213">
        <f t="shared" si="6"/>
        <v>0.17200000000000001</v>
      </c>
      <c r="H18" s="251">
        <f>J18-I18</f>
        <v>0.30470588235294116</v>
      </c>
      <c r="I18" s="252">
        <f>J18*T39</f>
        <v>4.5294117647058825E-2</v>
      </c>
      <c r="J18" s="73">
        <v>0.35</v>
      </c>
      <c r="K18" s="210">
        <f>H18*0.8</f>
        <v>0.24376470588235294</v>
      </c>
      <c r="L18" s="125">
        <f t="shared" ref="L18:M18" si="13">I18*0.8</f>
        <v>3.623529411764706E-2</v>
      </c>
      <c r="M18" s="175">
        <f t="shared" si="13"/>
        <v>0.27999999999999997</v>
      </c>
      <c r="N18">
        <v>7.3999999999999996E-2</v>
      </c>
      <c r="O18">
        <v>3.3000000000000002E-2</v>
      </c>
      <c r="P18" s="73">
        <f>N18+O18</f>
        <v>0.107</v>
      </c>
      <c r="S18">
        <v>2026</v>
      </c>
      <c r="T18" s="3">
        <f>'ZEV Population'!C11</f>
        <v>10721841.108576436</v>
      </c>
      <c r="U18" s="3">
        <f>'ZEV Population'!E9</f>
        <v>606276.02037509496</v>
      </c>
      <c r="V18" s="146">
        <f>V17+E18*U18</f>
        <v>315439.11023654701</v>
      </c>
      <c r="W18" s="221">
        <f t="shared" ref="W18:W32" si="14">V18/T18</f>
        <v>2.9420237349369618E-2</v>
      </c>
      <c r="X18" s="102">
        <f>Z18-V18</f>
        <v>99425.637178889534</v>
      </c>
      <c r="Y18" s="221">
        <f t="shared" ref="Y18:Y32" si="15">X18/T18</f>
        <v>9.2731869622054604E-3</v>
      </c>
      <c r="Z18" s="102">
        <f t="shared" si="2"/>
        <v>414864.74741543655</v>
      </c>
      <c r="AA18" s="104">
        <f t="shared" ref="AA18:AA32" si="16">Z18/T18</f>
        <v>3.8693424311575082E-2</v>
      </c>
      <c r="AB18" s="85">
        <f t="shared" ref="AB18:AB32" si="17">AB17+H18*U18</f>
        <v>399533.16059210431</v>
      </c>
      <c r="AC18" s="60">
        <f t="shared" si="7"/>
        <v>3.726348455887081E-2</v>
      </c>
      <c r="AD18" s="3">
        <f t="shared" ref="AD18:AD32" si="18">AD17+I18*U18</f>
        <v>123248.71845009914</v>
      </c>
      <c r="AE18" s="60">
        <f t="shared" si="8"/>
        <v>1.1495107715363558E-2</v>
      </c>
      <c r="AF18" s="3">
        <f t="shared" ref="AF18:AF32" si="19">AF17+J18*U18</f>
        <v>522781.87904220342</v>
      </c>
      <c r="AG18" s="104">
        <f t="shared" ref="AG18:AG32" si="20">AF18/T18</f>
        <v>4.8758592274234368E-2</v>
      </c>
      <c r="AH18" s="145">
        <f t="shared" ref="AH18:AH32" si="21">AH17+K18*U18</f>
        <v>362585.98664453969</v>
      </c>
      <c r="AI18" s="60">
        <f t="shared" si="9"/>
        <v>3.3817511654272325E-2</v>
      </c>
      <c r="AJ18" s="3">
        <f t="shared" ref="AJ18:AJ32" si="22">AJ17+L18*U18</f>
        <v>117756.57097140711</v>
      </c>
      <c r="AK18" s="60">
        <f t="shared" si="10"/>
        <v>1.0982868499815134E-2</v>
      </c>
      <c r="AL18" s="102">
        <f t="shared" ref="AL18:AL32" si="23">AL17+M18*U18</f>
        <v>480342.55761594675</v>
      </c>
      <c r="AM18" s="123">
        <f t="shared" ref="AM18:AM32" si="24">AL18/T18</f>
        <v>4.4800380154087452E-2</v>
      </c>
      <c r="AN18" s="146">
        <f>V18</f>
        <v>315439.11023654701</v>
      </c>
      <c r="AO18" s="60">
        <f t="shared" si="11"/>
        <v>2.9420237349369618E-2</v>
      </c>
      <c r="AP18" s="3">
        <f>X18</f>
        <v>99425.637178889534</v>
      </c>
      <c r="AQ18" s="60">
        <f t="shared" si="12"/>
        <v>9.2731869622054604E-3</v>
      </c>
      <c r="AR18" s="102">
        <f>Z18</f>
        <v>414864.74741543655</v>
      </c>
      <c r="AS18" s="123">
        <f>AA18</f>
        <v>3.8693424311575082E-2</v>
      </c>
    </row>
    <row r="19" spans="1:45">
      <c r="A19">
        <v>2027</v>
      </c>
      <c r="B19" s="124">
        <f t="shared" si="3"/>
        <v>0.16600000000000001</v>
      </c>
      <c r="C19" s="42">
        <f t="shared" si="4"/>
        <v>6.0000000000000001E-3</v>
      </c>
      <c r="D19" s="42">
        <f t="shared" si="5"/>
        <v>0.17200000000000001</v>
      </c>
      <c r="E19" s="212">
        <f>E18</f>
        <v>0.16600000000000001</v>
      </c>
      <c r="F19" s="211">
        <f>F18</f>
        <v>6.0000000000000001E-3</v>
      </c>
      <c r="G19" s="213">
        <f>G18</f>
        <v>0.17200000000000001</v>
      </c>
      <c r="H19" s="251">
        <f t="shared" ref="H19:H22" si="25">J19-I19</f>
        <v>0.38826470588235296</v>
      </c>
      <c r="I19" s="252">
        <f t="shared" ref="I19:I22" si="26">J19*T40</f>
        <v>4.1735294117647065E-2</v>
      </c>
      <c r="J19" s="73">
        <v>0.43</v>
      </c>
      <c r="K19" s="210">
        <f t="shared" ref="K19:K22" si="27">H19*0.8</f>
        <v>0.31061176470588236</v>
      </c>
      <c r="L19" s="125">
        <f t="shared" ref="L19:L22" si="28">I19*0.8</f>
        <v>3.3388235294117656E-2</v>
      </c>
      <c r="M19" s="175">
        <f t="shared" ref="M19:M22" si="29">J19*0.8</f>
        <v>0.34400000000000003</v>
      </c>
      <c r="N19">
        <v>7.6999999999999999E-2</v>
      </c>
      <c r="O19">
        <v>3.3000000000000002E-2</v>
      </c>
      <c r="P19" s="73">
        <f t="shared" ref="P19:P27" si="30">N19+O19</f>
        <v>0.11</v>
      </c>
      <c r="S19">
        <v>2027</v>
      </c>
      <c r="T19" s="3">
        <f>'ZEV Population'!C15</f>
        <v>10826550.703088349</v>
      </c>
      <c r="U19" s="3">
        <f>'ZEV Population'!E13</f>
        <v>610494.68972361821</v>
      </c>
      <c r="V19" s="146">
        <f t="shared" ref="V19:V32" si="31">V18+E19*U19</f>
        <v>416781.22873066762</v>
      </c>
      <c r="W19" s="221">
        <f t="shared" si="14"/>
        <v>3.849621547625301E-2</v>
      </c>
      <c r="X19" s="102">
        <f t="shared" ref="X19:X32" si="32">Z19-V19</f>
        <v>103088.60531723127</v>
      </c>
      <c r="Y19" s="221">
        <f t="shared" si="15"/>
        <v>9.5218327742948201E-3</v>
      </c>
      <c r="Z19" s="102">
        <f t="shared" si="2"/>
        <v>519869.83404789888</v>
      </c>
      <c r="AA19" s="104">
        <f t="shared" si="16"/>
        <v>4.8018048250547833E-2</v>
      </c>
      <c r="AB19" s="85">
        <f t="shared" si="17"/>
        <v>636566.70174038329</v>
      </c>
      <c r="AC19" s="60">
        <f t="shared" si="7"/>
        <v>5.8796815273658508E-2</v>
      </c>
      <c r="AD19" s="3">
        <f t="shared" si="18"/>
        <v>148727.89388297603</v>
      </c>
      <c r="AE19" s="60">
        <f t="shared" si="8"/>
        <v>1.3737329456236728E-2</v>
      </c>
      <c r="AF19" s="3">
        <f t="shared" si="19"/>
        <v>785294.59562335932</v>
      </c>
      <c r="AG19" s="104">
        <f t="shared" si="20"/>
        <v>7.2534144729895236E-2</v>
      </c>
      <c r="AH19" s="146">
        <f t="shared" si="21"/>
        <v>552212.81956316286</v>
      </c>
      <c r="AI19" s="60">
        <f t="shared" si="9"/>
        <v>5.1005424969343217E-2</v>
      </c>
      <c r="AJ19" s="3">
        <f t="shared" si="22"/>
        <v>138139.91131770864</v>
      </c>
      <c r="AK19" s="60">
        <f t="shared" si="10"/>
        <v>1.2759364926661571E-2</v>
      </c>
      <c r="AL19" s="102">
        <f t="shared" si="23"/>
        <v>690352.73088087142</v>
      </c>
      <c r="AM19" s="123">
        <f t="shared" si="24"/>
        <v>6.3764789896004787E-2</v>
      </c>
      <c r="AN19" s="146">
        <f t="shared" ref="AN19:AN32" si="33">AN18+K19*U19</f>
        <v>505065.94315517019</v>
      </c>
      <c r="AO19" s="60">
        <f t="shared" si="11"/>
        <v>4.6650679150386891E-2</v>
      </c>
      <c r="AP19" s="3">
        <f t="shared" ref="AP19:AP32" si="34">AP18+L19*U19</f>
        <v>119808.97752519105</v>
      </c>
      <c r="AQ19" s="60">
        <f t="shared" si="12"/>
        <v>1.1066218670274615E-2</v>
      </c>
      <c r="AR19" s="102">
        <f t="shared" ref="AR19:AR32" si="35">AR18+M19*U19</f>
        <v>624874.92068036122</v>
      </c>
      <c r="AS19" s="123">
        <f t="shared" ref="AS19:AS32" si="36">AR19/T19</f>
        <v>5.7716897820661507E-2</v>
      </c>
    </row>
    <row r="20" spans="1:45">
      <c r="A20">
        <v>2028</v>
      </c>
      <c r="B20" s="124">
        <f t="shared" si="3"/>
        <v>0.16600000000000001</v>
      </c>
      <c r="C20" s="42">
        <f t="shared" si="4"/>
        <v>6.0000000000000001E-3</v>
      </c>
      <c r="D20" s="42">
        <f t="shared" si="5"/>
        <v>0.17200000000000001</v>
      </c>
      <c r="E20" s="212">
        <f t="shared" ref="E20:E32" si="37">E19</f>
        <v>0.16600000000000001</v>
      </c>
      <c r="F20" s="211">
        <f t="shared" ref="F20:F32" si="38">F19</f>
        <v>6.0000000000000001E-3</v>
      </c>
      <c r="G20" s="213">
        <f t="shared" ref="G20:G32" si="39">G19</f>
        <v>0.17200000000000001</v>
      </c>
      <c r="H20" s="251">
        <f t="shared" si="25"/>
        <v>0.46920000000000001</v>
      </c>
      <c r="I20" s="252">
        <f t="shared" si="26"/>
        <v>4.0800000000000003E-2</v>
      </c>
      <c r="J20" s="73">
        <v>0.51</v>
      </c>
      <c r="K20" s="210">
        <f t="shared" si="27"/>
        <v>0.37536000000000003</v>
      </c>
      <c r="L20" s="125">
        <f t="shared" si="28"/>
        <v>3.2640000000000002E-2</v>
      </c>
      <c r="M20" s="175">
        <f t="shared" si="29"/>
        <v>0.40800000000000003</v>
      </c>
      <c r="N20">
        <v>0.08</v>
      </c>
      <c r="O20">
        <v>3.4000000000000002E-2</v>
      </c>
      <c r="P20" s="73">
        <f t="shared" si="30"/>
        <v>0.114</v>
      </c>
      <c r="S20">
        <v>2028</v>
      </c>
      <c r="T20" s="3">
        <f>'ZEV Population'!C19</f>
        <v>10931260.29760026</v>
      </c>
      <c r="U20" s="3">
        <f>'ZEV Population'!E17</f>
        <v>614654.1818350472</v>
      </c>
      <c r="V20" s="146">
        <f t="shared" si="31"/>
        <v>518813.82291528548</v>
      </c>
      <c r="W20" s="221">
        <f t="shared" si="14"/>
        <v>4.7461482829128196E-2</v>
      </c>
      <c r="X20" s="102">
        <f t="shared" si="32"/>
        <v>106776.53040824155</v>
      </c>
      <c r="Y20" s="221">
        <f t="shared" si="15"/>
        <v>9.7679981540355603E-3</v>
      </c>
      <c r="Z20" s="102">
        <f t="shared" si="2"/>
        <v>625590.35332352703</v>
      </c>
      <c r="AA20" s="104">
        <f t="shared" si="16"/>
        <v>5.7229480983163751E-2</v>
      </c>
      <c r="AB20" s="85">
        <f t="shared" si="17"/>
        <v>924962.44385738741</v>
      </c>
      <c r="AC20" s="60">
        <f t="shared" si="7"/>
        <v>8.4616267353952265E-2</v>
      </c>
      <c r="AD20" s="3">
        <f t="shared" si="18"/>
        <v>173805.78450184595</v>
      </c>
      <c r="AE20" s="60">
        <f t="shared" si="8"/>
        <v>1.5899885262086525E-2</v>
      </c>
      <c r="AF20" s="3">
        <f t="shared" si="19"/>
        <v>1098768.2283592334</v>
      </c>
      <c r="AG20" s="104">
        <f t="shared" si="20"/>
        <v>0.10051615261603879</v>
      </c>
      <c r="AH20" s="146">
        <f t="shared" si="21"/>
        <v>782929.41325676616</v>
      </c>
      <c r="AI20" s="60">
        <f t="shared" si="9"/>
        <v>7.1622977766675505E-2</v>
      </c>
      <c r="AJ20" s="3">
        <f t="shared" si="22"/>
        <v>158202.22381280459</v>
      </c>
      <c r="AK20" s="60">
        <f t="shared" si="10"/>
        <v>1.4472459671236145E-2</v>
      </c>
      <c r="AL20" s="102">
        <f t="shared" si="23"/>
        <v>941131.63706957072</v>
      </c>
      <c r="AM20" s="123">
        <f t="shared" si="24"/>
        <v>8.6095437437911648E-2</v>
      </c>
      <c r="AN20" s="146">
        <f t="shared" si="33"/>
        <v>735782.53684877348</v>
      </c>
      <c r="AO20" s="60">
        <f t="shared" si="11"/>
        <v>6.730994568030732E-2</v>
      </c>
      <c r="AP20" s="3">
        <f t="shared" si="34"/>
        <v>139871.29002028698</v>
      </c>
      <c r="AQ20" s="60">
        <f t="shared" si="12"/>
        <v>1.2795531916021882E-2</v>
      </c>
      <c r="AR20" s="102">
        <f t="shared" si="35"/>
        <v>875653.82686906052</v>
      </c>
      <c r="AS20" s="123">
        <f t="shared" si="36"/>
        <v>8.0105477596329203E-2</v>
      </c>
    </row>
    <row r="21" spans="1:45">
      <c r="A21">
        <v>2029</v>
      </c>
      <c r="B21" s="124">
        <f t="shared" si="3"/>
        <v>0.16600000000000001</v>
      </c>
      <c r="C21" s="42">
        <f t="shared" si="4"/>
        <v>6.0000000000000001E-3</v>
      </c>
      <c r="D21" s="42">
        <f t="shared" si="5"/>
        <v>0.17200000000000001</v>
      </c>
      <c r="E21" s="212">
        <f t="shared" si="37"/>
        <v>0.16600000000000001</v>
      </c>
      <c r="F21" s="211">
        <f t="shared" si="38"/>
        <v>6.0000000000000001E-3</v>
      </c>
      <c r="G21" s="213">
        <f t="shared" si="39"/>
        <v>0.17200000000000001</v>
      </c>
      <c r="H21" s="251">
        <f t="shared" si="25"/>
        <v>0.55066666666666664</v>
      </c>
      <c r="I21" s="252">
        <f t="shared" si="26"/>
        <v>3.9333333333333331E-2</v>
      </c>
      <c r="J21" s="73">
        <v>0.59</v>
      </c>
      <c r="K21" s="210">
        <f t="shared" si="27"/>
        <v>0.44053333333333333</v>
      </c>
      <c r="L21" s="125">
        <f t="shared" si="28"/>
        <v>3.1466666666666664E-2</v>
      </c>
      <c r="M21" s="175">
        <f t="shared" si="29"/>
        <v>0.47199999999999998</v>
      </c>
      <c r="N21">
        <v>8.3000000000000004E-2</v>
      </c>
      <c r="O21">
        <v>3.4000000000000002E-2</v>
      </c>
      <c r="P21" s="73">
        <f t="shared" si="30"/>
        <v>0.11700000000000001</v>
      </c>
      <c r="S21">
        <v>2029</v>
      </c>
      <c r="T21" s="3">
        <f>'ZEV Population'!C23</f>
        <v>11035969.892112173</v>
      </c>
      <c r="U21" s="3">
        <f>'ZEV Population'!E21</f>
        <v>618754.49670938146</v>
      </c>
      <c r="V21" s="146">
        <f t="shared" si="31"/>
        <v>621527.06936904276</v>
      </c>
      <c r="W21" s="221">
        <f t="shared" si="14"/>
        <v>5.6318300561264828E-2</v>
      </c>
      <c r="X21" s="102">
        <f t="shared" si="32"/>
        <v>110489.05738849787</v>
      </c>
      <c r="Y21" s="221">
        <f t="shared" si="15"/>
        <v>1.0011721531377917E-2</v>
      </c>
      <c r="Z21" s="102">
        <f t="shared" si="2"/>
        <v>732016.12675754062</v>
      </c>
      <c r="AA21" s="104">
        <f t="shared" si="16"/>
        <v>6.6330022092642743E-2</v>
      </c>
      <c r="AB21" s="85">
        <f t="shared" si="17"/>
        <v>1265689.9200453535</v>
      </c>
      <c r="AC21" s="60">
        <f t="shared" si="7"/>
        <v>0.11468769237491216</v>
      </c>
      <c r="AD21" s="3">
        <f t="shared" si="18"/>
        <v>198143.46137241495</v>
      </c>
      <c r="AE21" s="60">
        <f t="shared" si="8"/>
        <v>1.7954331455184162E-2</v>
      </c>
      <c r="AF21" s="3">
        <f t="shared" si="19"/>
        <v>1463833.3814177685</v>
      </c>
      <c r="AG21" s="104">
        <f t="shared" si="20"/>
        <v>0.13264202383009632</v>
      </c>
      <c r="AH21" s="146">
        <f t="shared" si="21"/>
        <v>1055511.394207139</v>
      </c>
      <c r="AI21" s="60">
        <f t="shared" si="9"/>
        <v>9.5642830174949386E-2</v>
      </c>
      <c r="AJ21" s="3">
        <f t="shared" si="22"/>
        <v>177672.3653092598</v>
      </c>
      <c r="AK21" s="60">
        <f t="shared" si="10"/>
        <v>1.6099388367872315E-2</v>
      </c>
      <c r="AL21" s="102">
        <f t="shared" si="23"/>
        <v>1233183.7595163989</v>
      </c>
      <c r="AM21" s="123">
        <f t="shared" si="24"/>
        <v>0.11174221854282171</v>
      </c>
      <c r="AN21" s="146">
        <f t="shared" si="33"/>
        <v>1008364.5177991462</v>
      </c>
      <c r="AO21" s="60">
        <f t="shared" si="11"/>
        <v>9.1370720259019794E-2</v>
      </c>
      <c r="AP21" s="3">
        <f t="shared" si="34"/>
        <v>159341.43151674219</v>
      </c>
      <c r="AQ21" s="60">
        <f t="shared" si="12"/>
        <v>1.4438371350634941E-2</v>
      </c>
      <c r="AR21" s="102">
        <f t="shared" si="35"/>
        <v>1167705.9493158886</v>
      </c>
      <c r="AS21" s="123">
        <f t="shared" si="36"/>
        <v>0.10580909160965475</v>
      </c>
    </row>
    <row r="22" spans="1:45">
      <c r="A22">
        <v>2030</v>
      </c>
      <c r="B22" s="124">
        <f t="shared" si="3"/>
        <v>0.16600000000000001</v>
      </c>
      <c r="C22" s="42">
        <f t="shared" si="4"/>
        <v>6.0000000000000001E-3</v>
      </c>
      <c r="D22" s="42">
        <f t="shared" si="5"/>
        <v>0.17200000000000001</v>
      </c>
      <c r="E22" s="212">
        <f t="shared" si="37"/>
        <v>0.16600000000000001</v>
      </c>
      <c r="F22" s="211">
        <f t="shared" si="38"/>
        <v>6.0000000000000001E-3</v>
      </c>
      <c r="G22" s="213">
        <f t="shared" si="39"/>
        <v>0.17200000000000001</v>
      </c>
      <c r="H22" s="251">
        <f t="shared" si="25"/>
        <v>0.64114285714285724</v>
      </c>
      <c r="I22" s="252">
        <f t="shared" si="26"/>
        <v>3.8857142857142861E-2</v>
      </c>
      <c r="J22" s="73">
        <v>0.68</v>
      </c>
      <c r="K22" s="210">
        <f t="shared" si="27"/>
        <v>0.51291428571428577</v>
      </c>
      <c r="L22" s="125">
        <f t="shared" si="28"/>
        <v>3.1085714285714289E-2</v>
      </c>
      <c r="M22" s="175">
        <f t="shared" si="29"/>
        <v>0.54400000000000004</v>
      </c>
      <c r="N22">
        <v>8.5999999999999993E-2</v>
      </c>
      <c r="O22">
        <v>3.4000000000000002E-2</v>
      </c>
      <c r="P22" s="73">
        <f t="shared" si="30"/>
        <v>0.12</v>
      </c>
      <c r="S22">
        <v>2030</v>
      </c>
      <c r="T22" s="3">
        <f>'ZEV Population'!C27</f>
        <v>11140679.486624084</v>
      </c>
      <c r="U22" s="3">
        <f>'ZEV Population'!E25</f>
        <v>622795.63434662158</v>
      </c>
      <c r="V22" s="146">
        <f t="shared" si="31"/>
        <v>724911.14467058191</v>
      </c>
      <c r="W22" s="221">
        <f t="shared" si="14"/>
        <v>6.506884481695549E-2</v>
      </c>
      <c r="X22" s="102">
        <f t="shared" si="32"/>
        <v>114225.83119457762</v>
      </c>
      <c r="Y22" s="221">
        <f t="shared" si="15"/>
        <v>1.025303989148251E-2</v>
      </c>
      <c r="Z22" s="102">
        <f t="shared" si="2"/>
        <v>839136.97586515953</v>
      </c>
      <c r="AA22" s="104">
        <f t="shared" si="16"/>
        <v>7.5321884708437994E-2</v>
      </c>
      <c r="AB22" s="85">
        <f t="shared" si="17"/>
        <v>1664990.8924664445</v>
      </c>
      <c r="AC22" s="60">
        <f t="shared" si="7"/>
        <v>0.14945146698327466</v>
      </c>
      <c r="AD22" s="3">
        <f t="shared" si="18"/>
        <v>222343.52030702654</v>
      </c>
      <c r="AE22" s="60">
        <f t="shared" si="8"/>
        <v>1.9957806036335617E-2</v>
      </c>
      <c r="AF22" s="3">
        <f t="shared" si="19"/>
        <v>1887334.4127734713</v>
      </c>
      <c r="AG22" s="104">
        <f t="shared" si="20"/>
        <v>0.16940927301961028</v>
      </c>
      <c r="AH22" s="145">
        <f t="shared" si="21"/>
        <v>1374952.1721440121</v>
      </c>
      <c r="AI22" s="60">
        <f t="shared" si="9"/>
        <v>0.12341726317455151</v>
      </c>
      <c r="AJ22" s="3">
        <f t="shared" si="22"/>
        <v>197032.41245694907</v>
      </c>
      <c r="AK22" s="60">
        <f t="shared" si="10"/>
        <v>1.7685852348011045E-2</v>
      </c>
      <c r="AL22" s="102">
        <f t="shared" si="23"/>
        <v>1571984.5846009611</v>
      </c>
      <c r="AM22" s="123">
        <f t="shared" si="24"/>
        <v>0.14110311552256255</v>
      </c>
      <c r="AN22" s="146">
        <f t="shared" si="33"/>
        <v>1327805.295736019</v>
      </c>
      <c r="AO22" s="60">
        <f t="shared" si="11"/>
        <v>0.11918530618623681</v>
      </c>
      <c r="AP22" s="3">
        <f t="shared" si="34"/>
        <v>178701.47866443146</v>
      </c>
      <c r="AQ22" s="60">
        <f t="shared" si="12"/>
        <v>1.6040446983416688E-2</v>
      </c>
      <c r="AR22" s="102">
        <f t="shared" si="35"/>
        <v>1506506.7744004508</v>
      </c>
      <c r="AS22" s="123">
        <f t="shared" si="36"/>
        <v>0.13522575316965352</v>
      </c>
    </row>
    <row r="23" spans="1:45">
      <c r="A23">
        <v>2031</v>
      </c>
      <c r="B23" s="124">
        <f t="shared" si="3"/>
        <v>0.16600000000000001</v>
      </c>
      <c r="C23" s="42">
        <f t="shared" si="4"/>
        <v>6.0000000000000001E-3</v>
      </c>
      <c r="D23" s="42">
        <f t="shared" si="5"/>
        <v>0.17200000000000001</v>
      </c>
      <c r="E23" s="212">
        <f t="shared" si="37"/>
        <v>0.16600000000000001</v>
      </c>
      <c r="F23" s="211">
        <f t="shared" si="38"/>
        <v>6.0000000000000001E-3</v>
      </c>
      <c r="G23" s="213">
        <f t="shared" si="39"/>
        <v>0.17200000000000001</v>
      </c>
      <c r="H23" s="145">
        <v>0.72599999999999998</v>
      </c>
      <c r="I23" s="29">
        <v>3.4000000000000002E-2</v>
      </c>
      <c r="J23" s="73">
        <v>0.76</v>
      </c>
      <c r="K23" s="29">
        <f>H23</f>
        <v>0.72599999999999998</v>
      </c>
      <c r="L23" s="29">
        <f>I23</f>
        <v>3.4000000000000002E-2</v>
      </c>
      <c r="M23" s="175">
        <f>J23</f>
        <v>0.76</v>
      </c>
      <c r="N23">
        <v>8.5999999999999993E-2</v>
      </c>
      <c r="O23">
        <v>3.4000000000000002E-2</v>
      </c>
      <c r="P23" s="73">
        <f t="shared" si="30"/>
        <v>0.12</v>
      </c>
      <c r="S23">
        <v>2031</v>
      </c>
      <c r="T23" s="3">
        <f>'ZEV Population'!C31</f>
        <v>11224003.036905568</v>
      </c>
      <c r="U23" s="3">
        <f>'ZEV Population'!E29</f>
        <v>629262.75542322313</v>
      </c>
      <c r="V23" s="146">
        <f t="shared" si="31"/>
        <v>829368.76207083696</v>
      </c>
      <c r="W23" s="221">
        <f t="shared" si="14"/>
        <v>7.3892421388678811E-2</v>
      </c>
      <c r="X23" s="102">
        <f t="shared" si="32"/>
        <v>118001.40772711695</v>
      </c>
      <c r="Y23" s="221">
        <f t="shared" si="15"/>
        <v>1.0513308606485344E-2</v>
      </c>
      <c r="Z23" s="102">
        <f t="shared" si="2"/>
        <v>947370.16979795392</v>
      </c>
      <c r="AA23" s="104">
        <f t="shared" si="16"/>
        <v>8.4405729995164158E-2</v>
      </c>
      <c r="AB23" s="85">
        <f t="shared" si="17"/>
        <v>2121835.6529037044</v>
      </c>
      <c r="AC23" s="60">
        <f t="shared" si="7"/>
        <v>0.18904446532372729</v>
      </c>
      <c r="AD23" s="3">
        <f t="shared" si="18"/>
        <v>243738.45399141614</v>
      </c>
      <c r="AE23" s="60">
        <f t="shared" si="8"/>
        <v>2.1715822170573315E-2</v>
      </c>
      <c r="AF23" s="3">
        <f t="shared" si="19"/>
        <v>2365574.1068951208</v>
      </c>
      <c r="AG23" s="104">
        <f t="shared" si="20"/>
        <v>0.21076028749430062</v>
      </c>
      <c r="AH23" s="145">
        <f t="shared" si="21"/>
        <v>1831796.932581272</v>
      </c>
      <c r="AI23" s="60">
        <f t="shared" si="9"/>
        <v>0.16320353144579103</v>
      </c>
      <c r="AJ23" s="3">
        <f t="shared" si="22"/>
        <v>218427.34614133864</v>
      </c>
      <c r="AK23" s="60">
        <f t="shared" si="10"/>
        <v>1.946073476843593E-2</v>
      </c>
      <c r="AL23" s="102">
        <f t="shared" si="23"/>
        <v>2050224.2787226108</v>
      </c>
      <c r="AM23" s="123">
        <f t="shared" si="24"/>
        <v>0.18266426621422699</v>
      </c>
      <c r="AN23" s="146">
        <f t="shared" si="33"/>
        <v>1784650.056173279</v>
      </c>
      <c r="AO23" s="60">
        <f t="shared" si="11"/>
        <v>0.15900299120600583</v>
      </c>
      <c r="AP23" s="3">
        <f t="shared" si="34"/>
        <v>200096.41234882106</v>
      </c>
      <c r="AQ23" s="60">
        <f t="shared" si="12"/>
        <v>1.7827544387763031E-2</v>
      </c>
      <c r="AR23" s="102">
        <f t="shared" si="35"/>
        <v>1984746.4685221002</v>
      </c>
      <c r="AS23" s="123">
        <f t="shared" si="36"/>
        <v>0.17683053559376891</v>
      </c>
    </row>
    <row r="24" spans="1:45">
      <c r="A24">
        <v>2032</v>
      </c>
      <c r="B24" s="124">
        <f t="shared" si="3"/>
        <v>0.16600000000000001</v>
      </c>
      <c r="C24" s="42">
        <f t="shared" si="4"/>
        <v>6.0000000000000001E-3</v>
      </c>
      <c r="D24" s="42">
        <f t="shared" si="5"/>
        <v>0.17200000000000001</v>
      </c>
      <c r="E24" s="212">
        <f t="shared" si="37"/>
        <v>0.16600000000000001</v>
      </c>
      <c r="F24" s="211">
        <f t="shared" si="38"/>
        <v>6.0000000000000001E-3</v>
      </c>
      <c r="G24" s="213">
        <f t="shared" si="39"/>
        <v>0.17200000000000001</v>
      </c>
      <c r="H24" s="145">
        <v>0.78600000000000003</v>
      </c>
      <c r="I24" s="29">
        <v>3.4000000000000002E-2</v>
      </c>
      <c r="J24" s="73">
        <f t="shared" ref="J24:J32" si="40">SUM(H24:I24)</f>
        <v>0.82000000000000006</v>
      </c>
      <c r="K24" s="29">
        <f t="shared" ref="K24:K32" si="41">H24</f>
        <v>0.78600000000000003</v>
      </c>
      <c r="L24" s="29">
        <f t="shared" ref="L24:L32" si="42">I24</f>
        <v>3.4000000000000002E-2</v>
      </c>
      <c r="M24" s="175">
        <f t="shared" ref="M24:M32" si="43">J24</f>
        <v>0.82000000000000006</v>
      </c>
      <c r="N24">
        <v>8.5999999999999993E-2</v>
      </c>
      <c r="O24">
        <v>3.4000000000000002E-2</v>
      </c>
      <c r="P24" s="73">
        <f t="shared" si="30"/>
        <v>0.12</v>
      </c>
      <c r="S24">
        <v>2032</v>
      </c>
      <c r="T24" s="3">
        <f>'ZEV Population'!C35</f>
        <v>11307326.587187054</v>
      </c>
      <c r="U24" s="3">
        <f>'ZEV Population'!E33</f>
        <v>635748.62469758838</v>
      </c>
      <c r="V24" s="146">
        <f t="shared" si="31"/>
        <v>934903.03377063666</v>
      </c>
      <c r="W24" s="221">
        <f t="shared" si="14"/>
        <v>8.2681173711744216E-2</v>
      </c>
      <c r="X24" s="102">
        <f t="shared" si="32"/>
        <v>121815.89947530255</v>
      </c>
      <c r="Y24" s="221">
        <f t="shared" si="15"/>
        <v>1.0773183080546976E-2</v>
      </c>
      <c r="Z24" s="102">
        <f t="shared" si="2"/>
        <v>1056718.9332459392</v>
      </c>
      <c r="AA24" s="104">
        <f t="shared" si="16"/>
        <v>9.3454356792291193E-2</v>
      </c>
      <c r="AB24" s="85">
        <f t="shared" si="17"/>
        <v>2621534.0719160088</v>
      </c>
      <c r="AC24" s="60">
        <f t="shared" si="7"/>
        <v>0.23184384493560234</v>
      </c>
      <c r="AD24" s="3">
        <f t="shared" si="18"/>
        <v>265353.90723113413</v>
      </c>
      <c r="AE24" s="60">
        <f t="shared" si="8"/>
        <v>2.3467431066492857E-2</v>
      </c>
      <c r="AF24" s="3">
        <f t="shared" si="19"/>
        <v>2886887.9791471432</v>
      </c>
      <c r="AG24" s="104">
        <f t="shared" si="20"/>
        <v>0.25531127600209519</v>
      </c>
      <c r="AH24" s="145">
        <f t="shared" si="21"/>
        <v>2331495.3515935764</v>
      </c>
      <c r="AI24" s="60">
        <f t="shared" si="9"/>
        <v>0.20619333258097636</v>
      </c>
      <c r="AJ24" s="3">
        <f t="shared" si="22"/>
        <v>240042.79938105665</v>
      </c>
      <c r="AK24" s="60">
        <f t="shared" si="10"/>
        <v>2.1228961375632523E-2</v>
      </c>
      <c r="AL24" s="102">
        <f t="shared" si="23"/>
        <v>2571538.1509746332</v>
      </c>
      <c r="AM24" s="123">
        <f t="shared" si="24"/>
        <v>0.22742229395660887</v>
      </c>
      <c r="AN24" s="146">
        <f t="shared" si="33"/>
        <v>2284348.4751855833</v>
      </c>
      <c r="AO24" s="60">
        <f t="shared" si="11"/>
        <v>0.20202374607045512</v>
      </c>
      <c r="AP24" s="3">
        <f t="shared" si="34"/>
        <v>221711.86558853908</v>
      </c>
      <c r="AQ24" s="60">
        <f t="shared" si="12"/>
        <v>1.9607805954749095E-2</v>
      </c>
      <c r="AR24" s="102">
        <f t="shared" si="35"/>
        <v>2506060.3407741226</v>
      </c>
      <c r="AS24" s="123">
        <f t="shared" si="36"/>
        <v>0.22163155202520424</v>
      </c>
    </row>
    <row r="25" spans="1:45">
      <c r="A25">
        <v>2033</v>
      </c>
      <c r="B25" s="124">
        <f t="shared" si="3"/>
        <v>0.16600000000000001</v>
      </c>
      <c r="C25" s="42">
        <f t="shared" si="4"/>
        <v>6.0000000000000001E-3</v>
      </c>
      <c r="D25" s="42">
        <f t="shared" si="5"/>
        <v>0.17200000000000001</v>
      </c>
      <c r="E25" s="212">
        <f t="shared" si="37"/>
        <v>0.16600000000000001</v>
      </c>
      <c r="F25" s="211">
        <f t="shared" si="38"/>
        <v>6.0000000000000001E-3</v>
      </c>
      <c r="G25" s="213">
        <f t="shared" si="39"/>
        <v>0.17200000000000001</v>
      </c>
      <c r="H25" s="145">
        <v>0.81299999999999994</v>
      </c>
      <c r="I25" s="29">
        <v>6.7000000000000004E-2</v>
      </c>
      <c r="J25" s="73">
        <f t="shared" si="40"/>
        <v>0.87999999999999989</v>
      </c>
      <c r="K25" s="29">
        <f t="shared" si="41"/>
        <v>0.81299999999999994</v>
      </c>
      <c r="L25" s="29">
        <f t="shared" si="42"/>
        <v>6.7000000000000004E-2</v>
      </c>
      <c r="M25" s="175">
        <f t="shared" si="43"/>
        <v>0.87999999999999989</v>
      </c>
      <c r="N25">
        <v>8.5999999999999993E-2</v>
      </c>
      <c r="O25">
        <v>3.4000000000000002E-2</v>
      </c>
      <c r="P25" s="73">
        <f t="shared" si="30"/>
        <v>0.12</v>
      </c>
      <c r="S25">
        <v>2033</v>
      </c>
      <c r="T25" s="3">
        <f>'ZEV Population'!C39</f>
        <v>11390650.137468537</v>
      </c>
      <c r="U25" s="3">
        <f>'ZEV Population'!E37</f>
        <v>642253.24216971756</v>
      </c>
      <c r="V25" s="146">
        <f t="shared" si="31"/>
        <v>1041517.0719708097</v>
      </c>
      <c r="W25" s="221">
        <f t="shared" si="14"/>
        <v>9.1436139237112662E-2</v>
      </c>
      <c r="X25" s="102">
        <f t="shared" si="32"/>
        <v>125669.41892832099</v>
      </c>
      <c r="Y25" s="221">
        <f t="shared" si="15"/>
        <v>1.1032681840955025E-2</v>
      </c>
      <c r="Z25" s="102">
        <f t="shared" si="2"/>
        <v>1167186.4908991307</v>
      </c>
      <c r="AA25" s="104">
        <f t="shared" si="16"/>
        <v>0.10246882107806769</v>
      </c>
      <c r="AB25" s="85">
        <f t="shared" si="17"/>
        <v>3143685.9577999893</v>
      </c>
      <c r="AC25" s="60">
        <f t="shared" si="7"/>
        <v>0.27598828160467437</v>
      </c>
      <c r="AD25" s="3">
        <f t="shared" si="18"/>
        <v>308384.87445650523</v>
      </c>
      <c r="AE25" s="60">
        <f t="shared" si="8"/>
        <v>2.7073509477927027E-2</v>
      </c>
      <c r="AF25" s="3">
        <f t="shared" si="19"/>
        <v>3452070.8322564946</v>
      </c>
      <c r="AG25" s="104">
        <f t="shared" si="20"/>
        <v>0.30306179108260139</v>
      </c>
      <c r="AH25" s="145">
        <f t="shared" si="21"/>
        <v>2853647.2374775568</v>
      </c>
      <c r="AI25" s="60">
        <f t="shared" si="9"/>
        <v>0.25052540487489267</v>
      </c>
      <c r="AJ25" s="3">
        <f t="shared" si="22"/>
        <v>283073.76660642773</v>
      </c>
      <c r="AK25" s="60">
        <f t="shared" si="10"/>
        <v>2.4851414378471829E-2</v>
      </c>
      <c r="AL25" s="102">
        <f t="shared" si="23"/>
        <v>3136721.0040839845</v>
      </c>
      <c r="AM25" s="123">
        <f t="shared" si="24"/>
        <v>0.27537681925336449</v>
      </c>
      <c r="AN25" s="146">
        <f t="shared" si="33"/>
        <v>2806500.3610695638</v>
      </c>
      <c r="AO25" s="60">
        <f t="shared" si="11"/>
        <v>0.24638631923544282</v>
      </c>
      <c r="AP25" s="3">
        <f t="shared" si="34"/>
        <v>264742.83281391015</v>
      </c>
      <c r="AQ25" s="60">
        <f t="shared" si="12"/>
        <v>2.3242117843920249E-2</v>
      </c>
      <c r="AR25" s="102">
        <f t="shared" si="35"/>
        <v>3071243.193883474</v>
      </c>
      <c r="AS25" s="123">
        <f t="shared" si="36"/>
        <v>0.26962843707936307</v>
      </c>
    </row>
    <row r="26" spans="1:45">
      <c r="A26">
        <v>2034</v>
      </c>
      <c r="B26" s="124">
        <f t="shared" si="3"/>
        <v>0.16600000000000001</v>
      </c>
      <c r="C26" s="42">
        <f t="shared" si="4"/>
        <v>6.0000000000000001E-3</v>
      </c>
      <c r="D26" s="42">
        <f t="shared" si="5"/>
        <v>0.17200000000000001</v>
      </c>
      <c r="E26" s="212">
        <f t="shared" si="37"/>
        <v>0.16600000000000001</v>
      </c>
      <c r="F26" s="211">
        <f t="shared" si="38"/>
        <v>6.0000000000000001E-3</v>
      </c>
      <c r="G26" s="213">
        <f t="shared" si="39"/>
        <v>0.17200000000000001</v>
      </c>
      <c r="H26" s="145">
        <v>0.82699999999999996</v>
      </c>
      <c r="I26" s="29">
        <v>0.113</v>
      </c>
      <c r="J26" s="73">
        <f t="shared" si="40"/>
        <v>0.94</v>
      </c>
      <c r="K26" s="29">
        <f t="shared" si="41"/>
        <v>0.82699999999999996</v>
      </c>
      <c r="L26" s="29">
        <f t="shared" si="42"/>
        <v>0.113</v>
      </c>
      <c r="M26" s="175">
        <f t="shared" si="43"/>
        <v>0.94</v>
      </c>
      <c r="N26">
        <v>8.5999999999999993E-2</v>
      </c>
      <c r="O26">
        <v>3.4000000000000002E-2</v>
      </c>
      <c r="P26" s="73">
        <f t="shared" si="30"/>
        <v>0.12</v>
      </c>
      <c r="S26">
        <v>2034</v>
      </c>
      <c r="T26" s="3">
        <f>'ZEV Population'!C43</f>
        <v>11473973.687750023</v>
      </c>
      <c r="U26" s="3">
        <f>'ZEV Population'!E41</f>
        <v>648776.60783961054</v>
      </c>
      <c r="V26" s="146">
        <f t="shared" si="31"/>
        <v>1149213.9888721851</v>
      </c>
      <c r="W26" s="221">
        <f t="shared" si="14"/>
        <v>0.10015832528003113</v>
      </c>
      <c r="X26" s="102">
        <f t="shared" si="32"/>
        <v>129562.07857535849</v>
      </c>
      <c r="Y26" s="221">
        <f t="shared" si="15"/>
        <v>1.1291822876819306E-2</v>
      </c>
      <c r="Z26" s="102">
        <f t="shared" si="2"/>
        <v>1278776.0674475436</v>
      </c>
      <c r="AA26" s="104">
        <f t="shared" si="16"/>
        <v>0.11145014815685043</v>
      </c>
      <c r="AB26" s="85">
        <f t="shared" si="17"/>
        <v>3680224.2124833474</v>
      </c>
      <c r="AC26" s="60">
        <f t="shared" si="7"/>
        <v>0.32074539410984282</v>
      </c>
      <c r="AD26" s="3">
        <f t="shared" si="18"/>
        <v>381696.63114238123</v>
      </c>
      <c r="AE26" s="60">
        <f t="shared" si="8"/>
        <v>3.3266298279025393E-2</v>
      </c>
      <c r="AF26" s="3">
        <f t="shared" si="19"/>
        <v>4061920.8436257285</v>
      </c>
      <c r="AG26" s="104">
        <f t="shared" si="20"/>
        <v>0.3540116923888682</v>
      </c>
      <c r="AH26" s="145">
        <f t="shared" si="21"/>
        <v>3390185.4921609145</v>
      </c>
      <c r="AI26" s="60">
        <f t="shared" si="9"/>
        <v>0.29546742779969798</v>
      </c>
      <c r="AJ26" s="3">
        <f t="shared" si="22"/>
        <v>356385.52329230373</v>
      </c>
      <c r="AK26" s="60">
        <f t="shared" si="10"/>
        <v>3.1060339947684572E-2</v>
      </c>
      <c r="AL26" s="102">
        <f t="shared" si="23"/>
        <v>3746571.0154532185</v>
      </c>
      <c r="AM26" s="123">
        <f t="shared" si="24"/>
        <v>0.32652776774738262</v>
      </c>
      <c r="AN26" s="146">
        <f t="shared" si="33"/>
        <v>3343038.6157529214</v>
      </c>
      <c r="AO26" s="60">
        <f t="shared" si="11"/>
        <v>0.29135840003904273</v>
      </c>
      <c r="AP26" s="3">
        <f t="shared" si="34"/>
        <v>338054.58949978615</v>
      </c>
      <c r="AQ26" s="60">
        <f t="shared" si="12"/>
        <v>2.9462730061923004E-2</v>
      </c>
      <c r="AR26" s="102">
        <f t="shared" si="35"/>
        <v>3681093.2052527079</v>
      </c>
      <c r="AS26" s="123">
        <f t="shared" si="36"/>
        <v>0.32082113010096575</v>
      </c>
    </row>
    <row r="27" spans="1:45">
      <c r="A27">
        <v>2035</v>
      </c>
      <c r="B27" s="124">
        <f t="shared" si="3"/>
        <v>0.16600000000000001</v>
      </c>
      <c r="C27" s="42">
        <f t="shared" si="4"/>
        <v>6.0000000000000001E-3</v>
      </c>
      <c r="D27" s="42">
        <f t="shared" si="5"/>
        <v>0.17200000000000001</v>
      </c>
      <c r="E27" s="212">
        <f t="shared" si="37"/>
        <v>0.16600000000000001</v>
      </c>
      <c r="F27" s="211">
        <f t="shared" si="38"/>
        <v>6.0000000000000001E-3</v>
      </c>
      <c r="G27" s="213">
        <f t="shared" si="39"/>
        <v>0.17200000000000001</v>
      </c>
      <c r="H27" s="145">
        <v>0.82699999999999996</v>
      </c>
      <c r="I27" s="29">
        <v>0.17299999999999999</v>
      </c>
      <c r="J27" s="73">
        <f t="shared" si="40"/>
        <v>1</v>
      </c>
      <c r="K27" s="29">
        <f t="shared" si="41"/>
        <v>0.82699999999999996</v>
      </c>
      <c r="L27" s="29">
        <f t="shared" si="42"/>
        <v>0.17299999999999999</v>
      </c>
      <c r="M27" s="175">
        <f t="shared" si="43"/>
        <v>1</v>
      </c>
      <c r="N27">
        <v>8.5999999999999993E-2</v>
      </c>
      <c r="O27">
        <v>3.4000000000000002E-2</v>
      </c>
      <c r="P27" s="73">
        <f t="shared" si="30"/>
        <v>0.12</v>
      </c>
      <c r="S27">
        <v>2035</v>
      </c>
      <c r="T27" s="3">
        <f>'ZEV Population'!C47</f>
        <v>11557297.238031507</v>
      </c>
      <c r="U27" s="3">
        <f>'ZEV Population'!E45</f>
        <v>655318.72170726745</v>
      </c>
      <c r="V27" s="146">
        <f t="shared" si="31"/>
        <v>1257996.8966755916</v>
      </c>
      <c r="W27" s="221">
        <f t="shared" si="14"/>
        <v>0.10884871010636563</v>
      </c>
      <c r="X27" s="102">
        <f t="shared" si="32"/>
        <v>133493.990905602</v>
      </c>
      <c r="Y27" s="221">
        <f t="shared" si="15"/>
        <v>1.1550623658472188E-2</v>
      </c>
      <c r="Z27" s="102">
        <f t="shared" si="2"/>
        <v>1391490.8875811936</v>
      </c>
      <c r="AA27" s="104">
        <f t="shared" si="16"/>
        <v>0.12039933376483782</v>
      </c>
      <c r="AB27" s="85">
        <f t="shared" si="17"/>
        <v>4222172.7953352574</v>
      </c>
      <c r="AC27" s="60">
        <f t="shared" si="7"/>
        <v>0.36532527531102921</v>
      </c>
      <c r="AD27" s="3">
        <f t="shared" si="18"/>
        <v>495066.76999773848</v>
      </c>
      <c r="AE27" s="60">
        <f t="shared" si="8"/>
        <v>4.2835860305524213E-2</v>
      </c>
      <c r="AF27" s="3">
        <f t="shared" si="19"/>
        <v>4717239.5653329957</v>
      </c>
      <c r="AG27" s="104">
        <f t="shared" si="20"/>
        <v>0.40816113561655337</v>
      </c>
      <c r="AH27" s="145">
        <f t="shared" si="21"/>
        <v>3932134.0750128245</v>
      </c>
      <c r="AI27" s="60">
        <f t="shared" si="9"/>
        <v>0.34022955315827491</v>
      </c>
      <c r="AJ27" s="3">
        <f t="shared" si="22"/>
        <v>469755.66214766097</v>
      </c>
      <c r="AK27" s="60">
        <f t="shared" si="10"/>
        <v>4.0645806062843112E-2</v>
      </c>
      <c r="AL27" s="29">
        <f t="shared" si="23"/>
        <v>4401889.7371604862</v>
      </c>
      <c r="AM27" s="123">
        <f t="shared" si="24"/>
        <v>0.38087535922111809</v>
      </c>
      <c r="AN27" s="146">
        <f t="shared" si="33"/>
        <v>3884987.1986048315</v>
      </c>
      <c r="AO27" s="60">
        <f t="shared" si="11"/>
        <v>0.3361501498655356</v>
      </c>
      <c r="AP27" s="3">
        <f t="shared" si="34"/>
        <v>451424.72835514339</v>
      </c>
      <c r="AQ27" s="60">
        <f t="shared" si="12"/>
        <v>3.905971431362374E-2</v>
      </c>
      <c r="AR27" s="102">
        <f t="shared" si="35"/>
        <v>4336411.9269599756</v>
      </c>
      <c r="AS27" s="123">
        <f t="shared" si="36"/>
        <v>0.37520986417915941</v>
      </c>
    </row>
    <row r="28" spans="1:45">
      <c r="A28">
        <v>2036</v>
      </c>
      <c r="B28" s="124">
        <f t="shared" si="3"/>
        <v>0.16600000000000001</v>
      </c>
      <c r="C28" s="42">
        <f t="shared" si="4"/>
        <v>6.0000000000000001E-3</v>
      </c>
      <c r="D28" s="42">
        <f t="shared" si="5"/>
        <v>0.17200000000000001</v>
      </c>
      <c r="E28" s="212">
        <f t="shared" si="37"/>
        <v>0.16600000000000001</v>
      </c>
      <c r="F28" s="211">
        <f t="shared" si="38"/>
        <v>6.0000000000000001E-3</v>
      </c>
      <c r="G28" s="213">
        <f t="shared" si="39"/>
        <v>0.17200000000000001</v>
      </c>
      <c r="H28" s="145">
        <v>0.82699999999999996</v>
      </c>
      <c r="I28" s="29">
        <v>0.17299999999999999</v>
      </c>
      <c r="J28" s="73">
        <f t="shared" si="40"/>
        <v>1</v>
      </c>
      <c r="K28" s="29">
        <f t="shared" si="41"/>
        <v>0.82699999999999996</v>
      </c>
      <c r="L28" s="29">
        <f t="shared" si="42"/>
        <v>0.17299999999999999</v>
      </c>
      <c r="M28" s="175">
        <f t="shared" si="43"/>
        <v>1</v>
      </c>
      <c r="N28">
        <v>8.5999999999999993E-2</v>
      </c>
      <c r="O28">
        <v>3.4000000000000002E-2</v>
      </c>
      <c r="P28" s="73">
        <f t="shared" ref="P28:P32" si="44">N28+O28</f>
        <v>0.12</v>
      </c>
      <c r="S28">
        <v>2036</v>
      </c>
      <c r="T28">
        <f>T27+(T32-T27)/5</f>
        <v>11639480.900143737</v>
      </c>
      <c r="U28" s="3">
        <f>U27+(U32-U27)/5</f>
        <v>659615.7583252762</v>
      </c>
      <c r="V28" s="146">
        <f t="shared" si="31"/>
        <v>1367493.1125575874</v>
      </c>
      <c r="W28" s="221">
        <f t="shared" si="14"/>
        <v>0.11748746566014814</v>
      </c>
      <c r="X28" s="102">
        <f t="shared" si="32"/>
        <v>137451.6854555537</v>
      </c>
      <c r="Y28" s="221">
        <f t="shared" si="15"/>
        <v>1.1809090683232815E-2</v>
      </c>
      <c r="Z28" s="102">
        <f t="shared" si="2"/>
        <v>1504944.7980131411</v>
      </c>
      <c r="AA28" s="104">
        <f t="shared" si="16"/>
        <v>0.12929655634338094</v>
      </c>
      <c r="AB28" s="85">
        <f t="shared" si="17"/>
        <v>4767675.0274702609</v>
      </c>
      <c r="AC28" s="60">
        <f t="shared" si="7"/>
        <v>0.40961234168195459</v>
      </c>
      <c r="AD28" s="3">
        <f t="shared" si="18"/>
        <v>609180.2961880113</v>
      </c>
      <c r="AE28" s="60">
        <f t="shared" si="8"/>
        <v>5.2337411042144372E-2</v>
      </c>
      <c r="AF28" s="3">
        <f t="shared" si="19"/>
        <v>5376855.3236582717</v>
      </c>
      <c r="AG28" s="104">
        <f t="shared" si="20"/>
        <v>0.46194975272409894</v>
      </c>
      <c r="AH28" s="145">
        <f t="shared" si="21"/>
        <v>4477636.3071478279</v>
      </c>
      <c r="AI28" s="60">
        <f t="shared" si="9"/>
        <v>0.38469381457488649</v>
      </c>
      <c r="AJ28" s="3">
        <f t="shared" si="22"/>
        <v>583869.18833793374</v>
      </c>
      <c r="AK28" s="60">
        <f t="shared" si="10"/>
        <v>5.0162820262089479E-2</v>
      </c>
      <c r="AL28" s="29">
        <f t="shared" si="23"/>
        <v>5061505.4954857621</v>
      </c>
      <c r="AM28" s="123">
        <f t="shared" si="24"/>
        <v>0.43485663483697601</v>
      </c>
      <c r="AN28" s="146">
        <f t="shared" si="33"/>
        <v>4430489.4307398349</v>
      </c>
      <c r="AO28" s="60">
        <f t="shared" si="11"/>
        <v>0.38064321499811238</v>
      </c>
      <c r="AP28" s="3">
        <f t="shared" si="34"/>
        <v>565538.25454541622</v>
      </c>
      <c r="AQ28" s="60">
        <f t="shared" si="12"/>
        <v>4.8587927537080487E-2</v>
      </c>
      <c r="AR28" s="102">
        <f t="shared" si="35"/>
        <v>4996027.6852852516</v>
      </c>
      <c r="AS28" s="123">
        <f t="shared" si="36"/>
        <v>0.4292311425351929</v>
      </c>
    </row>
    <row r="29" spans="1:45">
      <c r="A29">
        <v>2037</v>
      </c>
      <c r="B29" s="124">
        <f t="shared" si="3"/>
        <v>0.16600000000000001</v>
      </c>
      <c r="C29" s="42">
        <f t="shared" si="4"/>
        <v>6.0000000000000001E-3</v>
      </c>
      <c r="D29" s="42">
        <f t="shared" si="5"/>
        <v>0.17200000000000001</v>
      </c>
      <c r="E29" s="212">
        <f t="shared" si="37"/>
        <v>0.16600000000000001</v>
      </c>
      <c r="F29" s="211">
        <f t="shared" si="38"/>
        <v>6.0000000000000001E-3</v>
      </c>
      <c r="G29" s="213">
        <f t="shared" si="39"/>
        <v>0.17200000000000001</v>
      </c>
      <c r="H29" s="145">
        <v>0.82699999999999996</v>
      </c>
      <c r="I29" s="29">
        <v>0.17299999999999999</v>
      </c>
      <c r="J29" s="73">
        <f t="shared" si="40"/>
        <v>1</v>
      </c>
      <c r="K29" s="29">
        <f t="shared" si="41"/>
        <v>0.82699999999999996</v>
      </c>
      <c r="L29" s="29">
        <f t="shared" si="42"/>
        <v>0.17299999999999999</v>
      </c>
      <c r="M29" s="175">
        <f t="shared" si="43"/>
        <v>1</v>
      </c>
      <c r="N29">
        <v>8.5999999999999993E-2</v>
      </c>
      <c r="O29">
        <v>3.4000000000000002E-2</v>
      </c>
      <c r="P29" s="73">
        <f t="shared" si="44"/>
        <v>0.12</v>
      </c>
      <c r="S29">
        <v>2037</v>
      </c>
      <c r="T29">
        <f>T27+(T32-T27)/5*2</f>
        <v>11721664.562255967</v>
      </c>
      <c r="U29" s="3">
        <f>U27+(U32-U27)/5*2</f>
        <v>663912.79494328483</v>
      </c>
      <c r="V29" s="146">
        <f t="shared" si="31"/>
        <v>1477702.6365181727</v>
      </c>
      <c r="W29" s="221">
        <f t="shared" si="14"/>
        <v>0.12606593787681056</v>
      </c>
      <c r="X29" s="102">
        <f t="shared" si="32"/>
        <v>141435.16222521337</v>
      </c>
      <c r="Y29" s="221">
        <f t="shared" si="15"/>
        <v>1.2066132883604081E-2</v>
      </c>
      <c r="Z29" s="102">
        <f t="shared" si="2"/>
        <v>1619137.7987433861</v>
      </c>
      <c r="AA29" s="104">
        <f t="shared" si="16"/>
        <v>0.13813207076041464</v>
      </c>
      <c r="AB29" s="85">
        <f t="shared" si="17"/>
        <v>5316730.9088883577</v>
      </c>
      <c r="AC29" s="60">
        <f t="shared" si="7"/>
        <v>0.45358156093361984</v>
      </c>
      <c r="AD29" s="3">
        <f t="shared" si="18"/>
        <v>724037.20971319953</v>
      </c>
      <c r="AE29" s="60">
        <f t="shared" si="8"/>
        <v>6.1769146000356996E-2</v>
      </c>
      <c r="AF29" s="3">
        <f t="shared" si="19"/>
        <v>6040768.1186015569</v>
      </c>
      <c r="AG29" s="104">
        <f t="shared" si="20"/>
        <v>0.51535070693397678</v>
      </c>
      <c r="AH29" s="145">
        <f t="shared" si="21"/>
        <v>5026692.1885659248</v>
      </c>
      <c r="AI29" s="60">
        <f t="shared" si="9"/>
        <v>0.42883774415043324</v>
      </c>
      <c r="AJ29" s="3">
        <f t="shared" si="22"/>
        <v>698726.10186312196</v>
      </c>
      <c r="AK29" s="60">
        <f t="shared" si="10"/>
        <v>5.9609801846150438E-2</v>
      </c>
      <c r="AL29" s="29">
        <f t="shared" si="23"/>
        <v>5725418.2904290473</v>
      </c>
      <c r="AM29" s="123">
        <f t="shared" si="24"/>
        <v>0.48844754599658374</v>
      </c>
      <c r="AN29" s="146">
        <f t="shared" si="33"/>
        <v>4979545.3121579317</v>
      </c>
      <c r="AO29" s="60">
        <f t="shared" si="11"/>
        <v>0.42481554438882202</v>
      </c>
      <c r="AP29" s="3">
        <f t="shared" si="34"/>
        <v>680395.16807060444</v>
      </c>
      <c r="AQ29" s="60">
        <f t="shared" si="12"/>
        <v>5.804595110676454E-2</v>
      </c>
      <c r="AR29" s="102">
        <f t="shared" si="35"/>
        <v>5659940.4802285368</v>
      </c>
      <c r="AS29" s="123">
        <f t="shared" si="36"/>
        <v>0.4828614954955866</v>
      </c>
    </row>
    <row r="30" spans="1:45">
      <c r="A30">
        <v>2038</v>
      </c>
      <c r="B30" s="124">
        <f t="shared" si="3"/>
        <v>0.16600000000000001</v>
      </c>
      <c r="C30" s="42">
        <f t="shared" si="4"/>
        <v>6.0000000000000001E-3</v>
      </c>
      <c r="D30" s="42">
        <f t="shared" si="5"/>
        <v>0.17200000000000001</v>
      </c>
      <c r="E30" s="212">
        <f t="shared" si="37"/>
        <v>0.16600000000000001</v>
      </c>
      <c r="F30" s="211">
        <f t="shared" si="38"/>
        <v>6.0000000000000001E-3</v>
      </c>
      <c r="G30" s="213">
        <f t="shared" si="39"/>
        <v>0.17200000000000001</v>
      </c>
      <c r="H30" s="145">
        <v>0.82699999999999996</v>
      </c>
      <c r="I30" s="29">
        <v>0.17299999999999999</v>
      </c>
      <c r="J30" s="73">
        <f t="shared" si="40"/>
        <v>1</v>
      </c>
      <c r="K30" s="29">
        <f t="shared" si="41"/>
        <v>0.82699999999999996</v>
      </c>
      <c r="L30" s="29">
        <f t="shared" si="42"/>
        <v>0.17299999999999999</v>
      </c>
      <c r="M30" s="175">
        <f t="shared" si="43"/>
        <v>1</v>
      </c>
      <c r="N30">
        <v>8.5999999999999993E-2</v>
      </c>
      <c r="O30">
        <v>3.4000000000000002E-2</v>
      </c>
      <c r="P30" s="73">
        <f t="shared" si="44"/>
        <v>0.12</v>
      </c>
      <c r="S30">
        <v>2038</v>
      </c>
      <c r="T30">
        <f>T27+(T32-T27)/5*3</f>
        <v>11803848.224368196</v>
      </c>
      <c r="U30" s="3">
        <f>U27+(U32-U27)/5*3</f>
        <v>668209.83156129357</v>
      </c>
      <c r="V30" s="146">
        <f t="shared" si="31"/>
        <v>1588625.4685573475</v>
      </c>
      <c r="W30" s="221">
        <f t="shared" si="14"/>
        <v>0.13458538591488703</v>
      </c>
      <c r="X30" s="102">
        <f t="shared" si="32"/>
        <v>145444.421214581</v>
      </c>
      <c r="Y30" s="221">
        <f t="shared" si="15"/>
        <v>1.2321780020376868E-2</v>
      </c>
      <c r="Z30" s="102">
        <f t="shared" si="2"/>
        <v>1734069.8897719285</v>
      </c>
      <c r="AA30" s="104">
        <f t="shared" si="16"/>
        <v>0.14690716593526387</v>
      </c>
      <c r="AB30" s="85">
        <f t="shared" si="17"/>
        <v>5869340.439589547</v>
      </c>
      <c r="AC30" s="60">
        <f t="shared" si="7"/>
        <v>0.49723957204674285</v>
      </c>
      <c r="AD30" s="3">
        <f t="shared" si="18"/>
        <v>839637.51057330333</v>
      </c>
      <c r="AE30" s="60">
        <f t="shared" si="8"/>
        <v>7.113252344603449E-2</v>
      </c>
      <c r="AF30" s="3">
        <f t="shared" si="19"/>
        <v>6708977.9501628503</v>
      </c>
      <c r="AG30" s="104">
        <f t="shared" si="20"/>
        <v>0.56837209549277734</v>
      </c>
      <c r="AH30" s="145">
        <f t="shared" si="21"/>
        <v>5579301.719267115</v>
      </c>
      <c r="AI30" s="60">
        <f t="shared" si="9"/>
        <v>0.47266803276486119</v>
      </c>
      <c r="AJ30" s="3">
        <f t="shared" si="22"/>
        <v>814326.40272322576</v>
      </c>
      <c r="AK30" s="60">
        <f t="shared" si="10"/>
        <v>6.8988213610041801E-2</v>
      </c>
      <c r="AL30" s="29">
        <f t="shared" si="23"/>
        <v>6393628.1219903408</v>
      </c>
      <c r="AM30" s="123">
        <f t="shared" si="24"/>
        <v>0.54165624637490295</v>
      </c>
      <c r="AN30" s="146">
        <f t="shared" si="33"/>
        <v>5532154.842859121</v>
      </c>
      <c r="AO30" s="60">
        <f t="shared" si="11"/>
        <v>0.46867383735402368</v>
      </c>
      <c r="AP30" s="3">
        <f t="shared" si="34"/>
        <v>795995.46893070824</v>
      </c>
      <c r="AQ30" s="60">
        <f t="shared" si="12"/>
        <v>6.7435251097810026E-2</v>
      </c>
      <c r="AR30" s="102">
        <f t="shared" si="35"/>
        <v>6328150.3117898302</v>
      </c>
      <c r="AS30" s="123">
        <f t="shared" si="36"/>
        <v>0.5361090884518338</v>
      </c>
    </row>
    <row r="31" spans="1:45">
      <c r="A31">
        <v>2039</v>
      </c>
      <c r="B31" s="124">
        <f t="shared" si="3"/>
        <v>0.16600000000000001</v>
      </c>
      <c r="C31" s="42">
        <f t="shared" si="4"/>
        <v>6.0000000000000001E-3</v>
      </c>
      <c r="D31" s="42">
        <f t="shared" si="5"/>
        <v>0.17200000000000001</v>
      </c>
      <c r="E31" s="212">
        <f t="shared" si="37"/>
        <v>0.16600000000000001</v>
      </c>
      <c r="F31" s="211">
        <f t="shared" si="38"/>
        <v>6.0000000000000001E-3</v>
      </c>
      <c r="G31" s="213">
        <f t="shared" si="39"/>
        <v>0.17200000000000001</v>
      </c>
      <c r="H31" s="145">
        <v>0.82699999999999996</v>
      </c>
      <c r="I31" s="29">
        <v>0.17299999999999999</v>
      </c>
      <c r="J31" s="73">
        <f t="shared" si="40"/>
        <v>1</v>
      </c>
      <c r="K31" s="29">
        <f t="shared" si="41"/>
        <v>0.82699999999999996</v>
      </c>
      <c r="L31" s="29">
        <f t="shared" si="42"/>
        <v>0.17299999999999999</v>
      </c>
      <c r="M31" s="175">
        <f t="shared" si="43"/>
        <v>1</v>
      </c>
      <c r="N31">
        <v>8.5999999999999993E-2</v>
      </c>
      <c r="O31">
        <v>3.4000000000000002E-2</v>
      </c>
      <c r="P31" s="73">
        <f t="shared" si="44"/>
        <v>0.12</v>
      </c>
      <c r="S31">
        <v>2039</v>
      </c>
      <c r="T31">
        <f>T27+(T32-T27)/5*4</f>
        <v>11886031.886480426</v>
      </c>
      <c r="U31" s="3">
        <f>U27+(U32-U27)/5*4</f>
        <v>672506.8681793022</v>
      </c>
      <c r="V31" s="146">
        <f t="shared" si="31"/>
        <v>1700261.6086751118</v>
      </c>
      <c r="W31" s="221">
        <f t="shared" si="14"/>
        <v>0.14304703410808167</v>
      </c>
      <c r="X31" s="102">
        <f t="shared" si="32"/>
        <v>149479.46242365683</v>
      </c>
      <c r="Y31" s="221">
        <f t="shared" si="15"/>
        <v>1.2576061031241202E-2</v>
      </c>
      <c r="Z31" s="102">
        <f t="shared" si="2"/>
        <v>1849741.0710987686</v>
      </c>
      <c r="AA31" s="104">
        <f t="shared" si="16"/>
        <v>0.15562309513932288</v>
      </c>
      <c r="AB31" s="85">
        <f t="shared" si="17"/>
        <v>6425503.6195738297</v>
      </c>
      <c r="AC31" s="60">
        <f t="shared" si="7"/>
        <v>0.54059283038626327</v>
      </c>
      <c r="AD31" s="3">
        <f t="shared" si="18"/>
        <v>955981.19876832259</v>
      </c>
      <c r="AE31" s="60">
        <f t="shared" si="8"/>
        <v>8.0428961313463068E-2</v>
      </c>
      <c r="AF31" s="3">
        <f t="shared" si="19"/>
        <v>7381484.818342153</v>
      </c>
      <c r="AG31" s="104">
        <f t="shared" si="20"/>
        <v>0.62102179169972638</v>
      </c>
      <c r="AH31" s="145">
        <f t="shared" si="21"/>
        <v>6135464.8992513977</v>
      </c>
      <c r="AI31" s="60">
        <f t="shared" si="9"/>
        <v>0.51619118624694948</v>
      </c>
      <c r="AJ31">
        <f t="shared" si="22"/>
        <v>930670.09091824503</v>
      </c>
      <c r="AK31" s="60">
        <f t="shared" si="10"/>
        <v>7.8299477891929647E-2</v>
      </c>
      <c r="AL31" s="29">
        <f t="shared" si="23"/>
        <v>7066134.9901696425</v>
      </c>
      <c r="AM31" s="123">
        <f t="shared" si="24"/>
        <v>0.59449066413887908</v>
      </c>
      <c r="AN31" s="146">
        <f t="shared" si="33"/>
        <v>6088318.0228434037</v>
      </c>
      <c r="AO31" s="60">
        <f t="shared" si="11"/>
        <v>0.51222460792558211</v>
      </c>
      <c r="AP31" s="3">
        <f t="shared" si="34"/>
        <v>912339.15712572751</v>
      </c>
      <c r="AQ31" s="60">
        <f t="shared" si="12"/>
        <v>7.6757253037782344E-2</v>
      </c>
      <c r="AR31" s="102">
        <f t="shared" si="35"/>
        <v>7000657.1799691319</v>
      </c>
      <c r="AS31" s="123">
        <f t="shared" si="36"/>
        <v>0.58898186096336458</v>
      </c>
    </row>
    <row r="32" spans="1:45" ht="16" thickBot="1">
      <c r="A32">
        <v>2040</v>
      </c>
      <c r="B32" s="217">
        <f t="shared" si="3"/>
        <v>0.16600000000000001</v>
      </c>
      <c r="C32" s="218">
        <f t="shared" si="4"/>
        <v>6.0000000000000001E-3</v>
      </c>
      <c r="D32" s="219">
        <f t="shared" si="5"/>
        <v>0.17200000000000001</v>
      </c>
      <c r="E32" s="214">
        <f t="shared" si="37"/>
        <v>0.16600000000000001</v>
      </c>
      <c r="F32" s="215">
        <f t="shared" si="38"/>
        <v>6.0000000000000001E-3</v>
      </c>
      <c r="G32" s="216">
        <f t="shared" si="39"/>
        <v>0.17200000000000001</v>
      </c>
      <c r="H32" s="176">
        <v>0.82699999999999996</v>
      </c>
      <c r="I32" s="80">
        <v>0.17299999999999999</v>
      </c>
      <c r="J32" s="75">
        <f t="shared" si="40"/>
        <v>1</v>
      </c>
      <c r="K32" s="176">
        <f t="shared" si="41"/>
        <v>0.82699999999999996</v>
      </c>
      <c r="L32" s="80">
        <f t="shared" si="42"/>
        <v>0.17299999999999999</v>
      </c>
      <c r="M32" s="177">
        <f t="shared" si="43"/>
        <v>1</v>
      </c>
      <c r="N32" s="78">
        <v>8.5999999999999993E-2</v>
      </c>
      <c r="O32" s="74">
        <v>3.4000000000000002E-2</v>
      </c>
      <c r="P32" s="75">
        <f t="shared" si="44"/>
        <v>0.12</v>
      </c>
      <c r="S32">
        <v>2040</v>
      </c>
      <c r="T32" s="3">
        <f>'ZEV Population'!C51</f>
        <v>11968215.548592657</v>
      </c>
      <c r="U32" s="3">
        <f>'ZEV Population'!E49</f>
        <v>676803.90479731094</v>
      </c>
      <c r="V32" s="180">
        <f t="shared" si="31"/>
        <v>1812611.0568714654</v>
      </c>
      <c r="W32" s="222">
        <f t="shared" si="14"/>
        <v>0.15145207316094925</v>
      </c>
      <c r="X32" s="103">
        <f t="shared" si="32"/>
        <v>153540.28585244063</v>
      </c>
      <c r="Y32" s="222">
        <f t="shared" si="15"/>
        <v>1.2829004059046667E-2</v>
      </c>
      <c r="Z32" s="103">
        <f t="shared" si="2"/>
        <v>1966151.342723906</v>
      </c>
      <c r="AA32" s="105">
        <f t="shared" si="16"/>
        <v>0.16428107721999591</v>
      </c>
      <c r="AB32" s="178">
        <f t="shared" si="17"/>
        <v>6985220.4488412058</v>
      </c>
      <c r="AC32" s="179">
        <f t="shared" si="7"/>
        <v>0.58364761400563159</v>
      </c>
      <c r="AD32" s="106">
        <f t="shared" si="18"/>
        <v>1073068.2742982574</v>
      </c>
      <c r="AE32" s="179">
        <f t="shared" si="8"/>
        <v>8.9659838590092869E-2</v>
      </c>
      <c r="AF32" s="106">
        <f t="shared" si="19"/>
        <v>8058288.7231394639</v>
      </c>
      <c r="AG32" s="105">
        <f t="shared" si="20"/>
        <v>0.67330745259572455</v>
      </c>
      <c r="AH32" s="176">
        <f t="shared" si="21"/>
        <v>6695181.7285187738</v>
      </c>
      <c r="AI32" s="179">
        <f t="shared" si="9"/>
        <v>0.55941353172788244</v>
      </c>
      <c r="AJ32" s="106">
        <f t="shared" si="22"/>
        <v>1047757.1664481799</v>
      </c>
      <c r="AK32" s="179">
        <f t="shared" si="10"/>
        <v>8.7544977962181317E-2</v>
      </c>
      <c r="AL32" s="80">
        <f t="shared" si="23"/>
        <v>7742938.8949669534</v>
      </c>
      <c r="AM32" s="181">
        <f t="shared" si="24"/>
        <v>0.64695850969006374</v>
      </c>
      <c r="AN32" s="180">
        <f t="shared" si="33"/>
        <v>6648034.8521107798</v>
      </c>
      <c r="AO32" s="179">
        <f t="shared" si="11"/>
        <v>0.55547419121245045</v>
      </c>
      <c r="AP32" s="106">
        <f t="shared" si="34"/>
        <v>1029426.2326556623</v>
      </c>
      <c r="AQ32" s="179">
        <f t="shared" si="12"/>
        <v>8.6013343298843969E-2</v>
      </c>
      <c r="AR32" s="103">
        <f t="shared" si="35"/>
        <v>7677461.0847664429</v>
      </c>
      <c r="AS32" s="181">
        <f t="shared" si="36"/>
        <v>0.64148753451129448</v>
      </c>
    </row>
    <row r="33" spans="1:45">
      <c r="A33" s="69"/>
      <c r="E33" s="69" t="s">
        <v>424</v>
      </c>
      <c r="H33" s="144" t="s">
        <v>484</v>
      </c>
      <c r="K33" s="144" t="s">
        <v>525</v>
      </c>
      <c r="N33" s="69" t="s">
        <v>125</v>
      </c>
      <c r="V33" s="243" t="s">
        <v>430</v>
      </c>
      <c r="W33" s="79"/>
      <c r="AC33" s="3"/>
      <c r="AE33" s="60"/>
      <c r="AH33" s="79"/>
      <c r="AP33" s="3"/>
    </row>
    <row r="34" spans="1:45">
      <c r="A34" s="69"/>
      <c r="E34" s="69" t="s">
        <v>425</v>
      </c>
      <c r="H34" s="69"/>
      <c r="K34" s="144" t="s">
        <v>304</v>
      </c>
      <c r="N34" s="6"/>
      <c r="V34" s="144" t="s">
        <v>485</v>
      </c>
      <c r="W34" s="79"/>
      <c r="AH34" s="79"/>
      <c r="AK34" s="3"/>
    </row>
    <row r="35" spans="1:45">
      <c r="A35" s="144"/>
      <c r="K35" s="144" t="s">
        <v>541</v>
      </c>
      <c r="V35" s="144"/>
      <c r="W35" s="79"/>
    </row>
    <row r="36" spans="1:45" ht="14.5" customHeight="1">
      <c r="E36" s="6"/>
      <c r="V36" s="144"/>
      <c r="W36" s="79"/>
      <c r="AB36" s="29"/>
    </row>
    <row r="37" spans="1:45" ht="14.5" customHeight="1">
      <c r="V37" s="144"/>
      <c r="W37" s="235" t="s">
        <v>459</v>
      </c>
      <c r="AB37" s="29"/>
    </row>
    <row r="38" spans="1:45" ht="14.5" customHeight="1">
      <c r="I38" s="69" t="s">
        <v>411</v>
      </c>
      <c r="S38" t="s">
        <v>419</v>
      </c>
      <c r="V38" s="144"/>
      <c r="W38" s="29" t="str">
        <f>'County Scale Output 2017-2040'!Q2</f>
        <v>stateID</v>
      </c>
      <c r="X38" s="29" t="str">
        <f>'County Scale Output 2017-2040'!R2</f>
        <v>yearID</v>
      </c>
      <c r="Y38" s="29" t="str">
        <f>'County Scale Output 2017-2040'!S2</f>
        <v>regClassID</v>
      </c>
      <c r="Z38" s="29" t="str">
        <f>'County Scale Output 2017-2040'!T2</f>
        <v>fuelTypeID</v>
      </c>
      <c r="AA38" s="29" t="str">
        <f>'County Scale Output 2017-2040'!U2</f>
        <v>VMT</v>
      </c>
      <c r="AB38" s="29" t="s">
        <v>460</v>
      </c>
      <c r="AC38" t="s">
        <v>461</v>
      </c>
      <c r="AD38" t="s">
        <v>462</v>
      </c>
      <c r="AF38" t="s">
        <v>465</v>
      </c>
    </row>
    <row r="39" spans="1:45" ht="14.5" customHeight="1">
      <c r="S39" s="29">
        <v>2026</v>
      </c>
      <c r="T39" s="239">
        <v>0.12941176470588237</v>
      </c>
      <c r="V39" s="144"/>
      <c r="W39" s="29">
        <f>'County Scale Output 2017-2040'!Q3</f>
        <v>36</v>
      </c>
      <c r="X39" s="29">
        <f>'County Scale Output 2017-2040'!R3</f>
        <v>2017</v>
      </c>
      <c r="Y39" s="29">
        <f>'County Scale Output 2017-2040'!S3</f>
        <v>20</v>
      </c>
      <c r="Z39" s="29">
        <f>'County Scale Output 2017-2040'!T3</f>
        <v>1</v>
      </c>
      <c r="AA39" s="29">
        <f>'County Scale Output 2017-2040'!U3</f>
        <v>45957365728</v>
      </c>
      <c r="AB39" s="29"/>
      <c r="AF39">
        <v>2020</v>
      </c>
      <c r="AG39" s="234">
        <f>AD48+3/13*(AD58-AD48)</f>
        <v>2.7967646531049592E-3</v>
      </c>
      <c r="AI39" t="s">
        <v>510</v>
      </c>
      <c r="AP39" s="3">
        <f>AG39*T12</f>
        <v>28229.377672043058</v>
      </c>
    </row>
    <row r="40" spans="1:45" ht="14.5" customHeight="1">
      <c r="S40" s="29">
        <v>2027</v>
      </c>
      <c r="T40" s="239">
        <v>9.7058823529411781E-2</v>
      </c>
      <c r="V40" s="144"/>
      <c r="W40" s="29">
        <f>'County Scale Output 2017-2040'!Q4</f>
        <v>36</v>
      </c>
      <c r="X40" s="29">
        <f>'County Scale Output 2017-2040'!R4</f>
        <v>2017</v>
      </c>
      <c r="Y40" s="29">
        <f>'County Scale Output 2017-2040'!S4</f>
        <v>20</v>
      </c>
      <c r="Z40" s="29">
        <f>'County Scale Output 2017-2040'!T4</f>
        <v>2</v>
      </c>
      <c r="AA40" s="29">
        <f>'County Scale Output 2017-2040'!U4</f>
        <v>202731291</v>
      </c>
      <c r="AB40" s="29"/>
      <c r="AF40">
        <v>2021</v>
      </c>
      <c r="AG40" s="234">
        <f>AD48+4/12*(AD58-AD48)</f>
        <v>3.9322916156908378E-3</v>
      </c>
      <c r="AI40" t="s">
        <v>486</v>
      </c>
      <c r="AP40" s="3">
        <f>AG40*T13</f>
        <v>40102.662593116584</v>
      </c>
    </row>
    <row r="41" spans="1:45" ht="14.5" customHeight="1">
      <c r="S41" s="29">
        <v>2028</v>
      </c>
      <c r="T41" s="239">
        <v>0.08</v>
      </c>
      <c r="V41" s="144"/>
      <c r="W41" s="29">
        <f>'County Scale Output 2017-2040'!Q5</f>
        <v>36</v>
      </c>
      <c r="X41" s="29">
        <f>'County Scale Output 2017-2040'!R5</f>
        <v>2017</v>
      </c>
      <c r="Y41" s="29">
        <f>'County Scale Output 2017-2040'!S5</f>
        <v>20</v>
      </c>
      <c r="Z41" s="29">
        <f>'County Scale Output 2017-2040'!T5</f>
        <v>5</v>
      </c>
      <c r="AA41" s="29">
        <f>'County Scale Output 2017-2040'!U5</f>
        <v>349358.94018554699</v>
      </c>
      <c r="AB41" s="29"/>
      <c r="AF41">
        <v>2022</v>
      </c>
      <c r="AG41" s="234">
        <f>AD48+5/13*(AD58-AD48)</f>
        <v>4.500055096983778E-3</v>
      </c>
    </row>
    <row r="42" spans="1:45" ht="14.5" customHeight="1">
      <c r="A42" s="182"/>
      <c r="B42" s="183" t="s">
        <v>308</v>
      </c>
      <c r="C42" s="182"/>
      <c r="D42" s="182"/>
      <c r="E42" s="182"/>
      <c r="F42" s="182"/>
      <c r="G42" s="182"/>
      <c r="H42" s="182"/>
      <c r="S42" s="29">
        <v>2029</v>
      </c>
      <c r="T42" s="239">
        <v>6.6666666666666666E-2</v>
      </c>
      <c r="V42" s="144"/>
      <c r="W42" s="29">
        <f>'County Scale Output 2017-2040'!Q6</f>
        <v>36</v>
      </c>
      <c r="X42" s="29">
        <f>'County Scale Output 2017-2040'!R6</f>
        <v>2017</v>
      </c>
      <c r="Y42" s="29">
        <f>'County Scale Output 2017-2040'!S6</f>
        <v>20</v>
      </c>
      <c r="Z42" s="29">
        <f>'County Scale Output 2017-2040'!T6</f>
        <v>9</v>
      </c>
      <c r="AA42" s="29">
        <f>'County Scale Output 2017-2040'!U6</f>
        <v>20627829.933593798</v>
      </c>
      <c r="AB42" s="71"/>
      <c r="AC42" s="71"/>
      <c r="AD42" s="71"/>
      <c r="AE42" s="71"/>
      <c r="AF42" s="236">
        <v>2023</v>
      </c>
      <c r="AG42" s="237">
        <f>AD48+6/13*(AD58-AD48)</f>
        <v>5.3517003189231865E-3</v>
      </c>
      <c r="AH42" s="293"/>
      <c r="AI42" s="293"/>
      <c r="AJ42" s="293"/>
      <c r="AK42" s="293"/>
      <c r="AL42" s="293"/>
      <c r="AM42" s="293"/>
      <c r="AN42" s="293"/>
      <c r="AO42" s="293"/>
      <c r="AP42" s="293"/>
      <c r="AQ42" s="293"/>
      <c r="AR42" s="293"/>
      <c r="AS42" s="293"/>
    </row>
    <row r="43" spans="1:45">
      <c r="A43" s="182"/>
      <c r="B43" s="182"/>
      <c r="C43" s="182"/>
      <c r="D43" s="182"/>
      <c r="E43" s="182"/>
      <c r="F43" s="182"/>
      <c r="G43" s="182"/>
      <c r="H43" s="182"/>
      <c r="S43" s="29">
        <v>2030</v>
      </c>
      <c r="T43" s="239">
        <v>5.7142857142857141E-2</v>
      </c>
      <c r="W43" s="29">
        <f>'County Scale Output 2017-2040'!Q7</f>
        <v>36</v>
      </c>
      <c r="X43" s="29">
        <f>'County Scale Output 2017-2040'!R7</f>
        <v>2017</v>
      </c>
      <c r="Y43" s="29">
        <f>'County Scale Output 2017-2040'!S7</f>
        <v>30</v>
      </c>
      <c r="Z43" s="29">
        <f>'County Scale Output 2017-2040'!T7</f>
        <v>1</v>
      </c>
      <c r="AA43" s="29">
        <f>'County Scale Output 2017-2040'!U7</f>
        <v>62969635808</v>
      </c>
      <c r="AD43" s="3"/>
      <c r="AE43" s="3"/>
      <c r="AF43" s="3">
        <v>2024</v>
      </c>
      <c r="AG43" s="234">
        <f>AD48+7/13*(AD58-AD48)</f>
        <v>6.2033455408625959E-3</v>
      </c>
      <c r="AH43" s="6"/>
      <c r="AI43" s="6"/>
      <c r="AJ43" s="102"/>
      <c r="AK43" s="122"/>
      <c r="AL43" s="122"/>
      <c r="AM43" s="60"/>
      <c r="AN43" s="119"/>
      <c r="AO43" s="119"/>
      <c r="AP43" s="102"/>
      <c r="AQ43" s="122"/>
      <c r="AR43" s="122"/>
      <c r="AS43" s="60"/>
    </row>
    <row r="44" spans="1:45">
      <c r="A44" s="182"/>
      <c r="B44" s="184" t="s">
        <v>309</v>
      </c>
      <c r="C44" s="182"/>
      <c r="D44" s="182"/>
      <c r="E44" s="182"/>
      <c r="F44" s="182"/>
      <c r="G44" s="182"/>
      <c r="H44" s="182"/>
      <c r="W44" s="29">
        <f>'County Scale Output 2017-2040'!Q8</f>
        <v>36</v>
      </c>
      <c r="X44" s="29">
        <f>'County Scale Output 2017-2040'!R8</f>
        <v>2017</v>
      </c>
      <c r="Y44" s="29">
        <f>'County Scale Output 2017-2040'!S8</f>
        <v>30</v>
      </c>
      <c r="Z44" s="29">
        <f>'County Scale Output 2017-2040'!T8</f>
        <v>2</v>
      </c>
      <c r="AA44" s="29">
        <f>'County Scale Output 2017-2040'!U8</f>
        <v>503505353</v>
      </c>
      <c r="AD44" s="3"/>
      <c r="AE44" s="3"/>
      <c r="AF44" s="3">
        <v>2025</v>
      </c>
      <c r="AG44" s="234">
        <f>AD48+8/13*(AD58-AD48)</f>
        <v>7.0549907628020053E-3</v>
      </c>
      <c r="AH44" s="6"/>
      <c r="AI44" s="6"/>
      <c r="AJ44" s="102"/>
      <c r="AK44" s="122"/>
      <c r="AL44" s="122"/>
      <c r="AM44" s="60"/>
      <c r="AN44" s="119"/>
      <c r="AO44" s="119"/>
      <c r="AP44" s="102"/>
      <c r="AQ44" s="122"/>
      <c r="AR44" s="122"/>
      <c r="AS44" s="60"/>
    </row>
    <row r="45" spans="1:45">
      <c r="A45" s="182"/>
      <c r="B45" s="182"/>
      <c r="C45" s="289" t="s">
        <v>310</v>
      </c>
      <c r="D45" s="289"/>
      <c r="E45" s="289"/>
      <c r="F45" s="185" t="s">
        <v>311</v>
      </c>
      <c r="G45" s="185" t="s">
        <v>312</v>
      </c>
      <c r="H45" s="186"/>
      <c r="W45" s="29">
        <f>'County Scale Output 2017-2040'!Q9</f>
        <v>36</v>
      </c>
      <c r="X45" s="29">
        <f>'County Scale Output 2017-2040'!R9</f>
        <v>2017</v>
      </c>
      <c r="Y45" s="29">
        <f>'County Scale Output 2017-2040'!S9</f>
        <v>30</v>
      </c>
      <c r="Z45" s="29">
        <f>'County Scale Output 2017-2040'!T9</f>
        <v>5</v>
      </c>
      <c r="AA45" s="29">
        <f>'County Scale Output 2017-2040'!U9</f>
        <v>706520.00341796898</v>
      </c>
      <c r="AD45" s="3"/>
      <c r="AE45" s="3"/>
      <c r="AF45" s="3">
        <v>2026</v>
      </c>
      <c r="AG45" s="234">
        <f>AD48+9/13*(AD58-AD48)</f>
        <v>7.9066359847414138E-3</v>
      </c>
      <c r="AH45" s="6"/>
      <c r="AI45" s="6"/>
      <c r="AJ45" s="102"/>
      <c r="AK45" s="122"/>
      <c r="AL45" s="122"/>
      <c r="AM45" s="60"/>
      <c r="AN45" s="119"/>
      <c r="AO45" s="119"/>
      <c r="AP45" s="102"/>
      <c r="AQ45" s="122"/>
      <c r="AR45" s="122"/>
      <c r="AS45" s="60"/>
    </row>
    <row r="46" spans="1:45">
      <c r="A46" s="187" t="s">
        <v>313</v>
      </c>
      <c r="B46" s="188" t="s">
        <v>314</v>
      </c>
      <c r="C46" s="188" t="s">
        <v>121</v>
      </c>
      <c r="D46" s="188" t="s">
        <v>122</v>
      </c>
      <c r="E46" s="188" t="s">
        <v>315</v>
      </c>
      <c r="F46" s="189" t="s">
        <v>316</v>
      </c>
      <c r="G46" s="190" t="s">
        <v>33</v>
      </c>
      <c r="H46" s="186"/>
      <c r="W46" s="29">
        <f>'County Scale Output 2017-2040'!Q10</f>
        <v>36</v>
      </c>
      <c r="X46" s="29">
        <f>'County Scale Output 2017-2040'!R10</f>
        <v>2017</v>
      </c>
      <c r="Y46" s="29">
        <f>'County Scale Output 2017-2040'!S10</f>
        <v>30</v>
      </c>
      <c r="Z46" s="29">
        <f>'County Scale Output 2017-2040'!T10</f>
        <v>9</v>
      </c>
      <c r="AA46" s="29">
        <f>'County Scale Output 2017-2040'!U10</f>
        <v>7475060.87109375</v>
      </c>
      <c r="AD46" s="3"/>
      <c r="AE46" s="3"/>
      <c r="AF46" s="3">
        <v>2027</v>
      </c>
      <c r="AG46" s="234">
        <f>AD48+10/13*(AD58-AD48)</f>
        <v>8.7582812066808249E-3</v>
      </c>
      <c r="AH46" s="6"/>
      <c r="AI46" s="6"/>
      <c r="AJ46" s="102"/>
      <c r="AK46" s="122"/>
      <c r="AL46" s="122"/>
      <c r="AM46" s="60"/>
      <c r="AN46" s="119"/>
      <c r="AO46" s="119"/>
      <c r="AP46" s="102"/>
      <c r="AQ46" s="122"/>
      <c r="AR46" s="122"/>
      <c r="AS46" s="60"/>
    </row>
    <row r="47" spans="1:45">
      <c r="A47" s="182">
        <v>1</v>
      </c>
      <c r="B47" s="189" t="s">
        <v>317</v>
      </c>
      <c r="C47" s="191">
        <v>166582</v>
      </c>
      <c r="D47" s="191">
        <v>53194</v>
      </c>
      <c r="E47" s="191">
        <v>3271</v>
      </c>
      <c r="F47" s="192">
        <v>0.13550000000000001</v>
      </c>
      <c r="G47" s="193">
        <f>SUM(C47:E47)/F47</f>
        <v>1646103.3210332103</v>
      </c>
      <c r="H47" s="182"/>
      <c r="W47" s="29">
        <f>'County Scale Output 2017-2040'!Q11</f>
        <v>36</v>
      </c>
      <c r="X47" s="29">
        <f>'County Scale Output 2017-2040'!R11</f>
        <v>2017</v>
      </c>
      <c r="Y47" s="29">
        <f>'County Scale Output 2017-2040'!S11</f>
        <v>41</v>
      </c>
      <c r="Z47" s="29">
        <f>'County Scale Output 2017-2040'!T11</f>
        <v>1</v>
      </c>
      <c r="AA47" s="29">
        <f>'County Scale Output 2017-2040'!U11</f>
        <v>3137304230</v>
      </c>
      <c r="AD47" s="3"/>
      <c r="AE47" s="3"/>
      <c r="AF47" s="3">
        <v>2028</v>
      </c>
      <c r="AG47" s="234">
        <f>AD48+11/13*(AD58-AD48)</f>
        <v>9.6099264286202326E-3</v>
      </c>
      <c r="AH47" s="6"/>
      <c r="AI47" s="6"/>
      <c r="AJ47" s="102"/>
      <c r="AK47" s="122"/>
      <c r="AL47" s="122"/>
      <c r="AM47" s="60"/>
      <c r="AN47" s="119"/>
      <c r="AO47" s="119"/>
      <c r="AP47" s="102"/>
      <c r="AQ47" s="122"/>
      <c r="AR47" s="122"/>
      <c r="AS47" s="60"/>
    </row>
    <row r="48" spans="1:45">
      <c r="A48" s="182">
        <v>2</v>
      </c>
      <c r="B48" s="189" t="s">
        <v>318</v>
      </c>
      <c r="C48" s="191">
        <v>37880</v>
      </c>
      <c r="D48" s="191">
        <v>7795</v>
      </c>
      <c r="E48" s="191"/>
      <c r="F48" s="192">
        <v>3.6400000000000002E-2</v>
      </c>
      <c r="G48" s="193">
        <f t="shared" ref="G48:G97" si="45">SUM(C48:E48)/F48</f>
        <v>1254807.6923076923</v>
      </c>
      <c r="H48" s="182"/>
      <c r="W48" s="29">
        <f>'County Scale Output 2017-2040'!Q12</f>
        <v>36</v>
      </c>
      <c r="X48" s="29">
        <f>'County Scale Output 2017-2040'!R12</f>
        <v>2017</v>
      </c>
      <c r="Y48" s="29">
        <f>'County Scale Output 2017-2040'!S12</f>
        <v>41</v>
      </c>
      <c r="Z48" s="29">
        <f>'County Scale Output 2017-2040'!T12</f>
        <v>2</v>
      </c>
      <c r="AA48" s="29">
        <f>'County Scale Output 2017-2040'!U12</f>
        <v>3410068046</v>
      </c>
      <c r="AB48">
        <f>SUM(AA39:AA48)</f>
        <v>116209769225.74829</v>
      </c>
      <c r="AC48">
        <f>AA42+AA46</f>
        <v>28102890.804687548</v>
      </c>
      <c r="AD48" s="234">
        <f>AC48/AB48</f>
        <v>2.4182898728673205E-4</v>
      </c>
      <c r="AE48" s="3"/>
      <c r="AF48" s="3">
        <v>2029</v>
      </c>
      <c r="AG48" s="234">
        <f>AD48+12/13*(AD58-AD48)</f>
        <v>1.0461571650559642E-2</v>
      </c>
      <c r="AH48" s="6"/>
      <c r="AI48" s="6"/>
      <c r="AJ48" s="29"/>
      <c r="AK48" s="6"/>
      <c r="AL48" s="6"/>
      <c r="AM48" s="60"/>
      <c r="AN48" s="119"/>
      <c r="AO48" s="119"/>
      <c r="AP48" s="102"/>
      <c r="AQ48" s="122"/>
      <c r="AR48" s="122"/>
      <c r="AS48" s="60"/>
    </row>
    <row r="49" spans="1:45">
      <c r="A49" s="182">
        <v>3</v>
      </c>
      <c r="B49" s="189" t="s">
        <v>319</v>
      </c>
      <c r="C49" s="191">
        <v>28306</v>
      </c>
      <c r="D49" s="191">
        <v>6934</v>
      </c>
      <c r="E49" s="191"/>
      <c r="F49" s="192">
        <v>2.69E-2</v>
      </c>
      <c r="G49" s="193">
        <f t="shared" si="45"/>
        <v>1310037.1747211895</v>
      </c>
      <c r="H49" s="182"/>
      <c r="W49" s="29">
        <f>'County Scale Output 2017-2040'!Q13</f>
        <v>36</v>
      </c>
      <c r="X49" s="29">
        <f>'County Scale Output 2017-2040'!R13</f>
        <v>2030</v>
      </c>
      <c r="Y49" s="29">
        <f>'County Scale Output 2017-2040'!S13</f>
        <v>20</v>
      </c>
      <c r="Z49" s="29">
        <f>'County Scale Output 2017-2040'!T13</f>
        <v>1</v>
      </c>
      <c r="AA49" s="29">
        <f>'County Scale Output 2017-2040'!U13</f>
        <v>49031043920</v>
      </c>
      <c r="AD49" s="3"/>
      <c r="AE49" s="3"/>
      <c r="AF49" s="3">
        <v>2030</v>
      </c>
      <c r="AG49" s="234">
        <f>AD58</f>
        <v>1.1313216872499051E-2</v>
      </c>
      <c r="AH49" s="6"/>
      <c r="AI49" s="6"/>
      <c r="AJ49" s="29"/>
      <c r="AK49" s="6"/>
      <c r="AL49" s="6"/>
      <c r="AM49" s="60"/>
      <c r="AN49" s="119"/>
      <c r="AO49" s="119"/>
      <c r="AP49" s="102"/>
      <c r="AQ49" s="122"/>
      <c r="AR49" s="122"/>
      <c r="AS49" s="60"/>
    </row>
    <row r="50" spans="1:45">
      <c r="A50" s="182">
        <v>4</v>
      </c>
      <c r="B50" s="189" t="s">
        <v>320</v>
      </c>
      <c r="C50" s="191">
        <v>21141</v>
      </c>
      <c r="D50" s="191">
        <v>14366</v>
      </c>
      <c r="E50" s="191"/>
      <c r="F50" s="192">
        <v>4.07E-2</v>
      </c>
      <c r="G50" s="193">
        <f t="shared" si="45"/>
        <v>872407.86240786244</v>
      </c>
      <c r="H50" s="182"/>
      <c r="W50" s="29">
        <f>'County Scale Output 2017-2040'!Q14</f>
        <v>36</v>
      </c>
      <c r="X50" s="29">
        <f>'County Scale Output 2017-2040'!R14</f>
        <v>2030</v>
      </c>
      <c r="Y50" s="29">
        <f>'County Scale Output 2017-2040'!S14</f>
        <v>20</v>
      </c>
      <c r="Z50" s="29">
        <f>'County Scale Output 2017-2040'!T14</f>
        <v>2</v>
      </c>
      <c r="AA50" s="29">
        <f>'County Scale Output 2017-2040'!U14</f>
        <v>41357446.3125</v>
      </c>
      <c r="AD50" s="3"/>
      <c r="AE50" s="3"/>
      <c r="AF50" s="3">
        <v>2031</v>
      </c>
      <c r="AG50" s="234">
        <f>AD$58+1/10*(AD$68-AD$58)</f>
        <v>1.1584773826968832E-2</v>
      </c>
      <c r="AH50" s="6"/>
      <c r="AI50" s="6"/>
      <c r="AJ50" s="29"/>
      <c r="AK50" s="6"/>
      <c r="AL50" s="6"/>
      <c r="AM50" s="60"/>
      <c r="AN50" s="119"/>
      <c r="AO50" s="119"/>
      <c r="AP50" s="102"/>
      <c r="AQ50" s="122"/>
      <c r="AR50" s="122"/>
      <c r="AS50" s="60"/>
    </row>
    <row r="51" spans="1:45">
      <c r="A51" s="182">
        <v>5</v>
      </c>
      <c r="B51" s="189" t="s">
        <v>321</v>
      </c>
      <c r="C51" s="191">
        <v>19773</v>
      </c>
      <c r="D51" s="191">
        <v>6219</v>
      </c>
      <c r="E51" s="191"/>
      <c r="F51" s="192">
        <v>5.3499999999999999E-2</v>
      </c>
      <c r="G51" s="193">
        <f t="shared" si="45"/>
        <v>485831.77570093458</v>
      </c>
      <c r="H51" s="182"/>
      <c r="W51" s="29">
        <f>'County Scale Output 2017-2040'!Q15</f>
        <v>36</v>
      </c>
      <c r="X51" s="29">
        <f>'County Scale Output 2017-2040'!R15</f>
        <v>2030</v>
      </c>
      <c r="Y51" s="29">
        <f>'County Scale Output 2017-2040'!S15</f>
        <v>20</v>
      </c>
      <c r="Z51" s="29">
        <f>'County Scale Output 2017-2040'!T15</f>
        <v>5</v>
      </c>
      <c r="AA51" s="29">
        <f>'County Scale Output 2017-2040'!U15</f>
        <v>70036.142852783203</v>
      </c>
      <c r="AD51" s="3"/>
      <c r="AE51" s="3"/>
      <c r="AF51" s="3">
        <v>2032</v>
      </c>
      <c r="AG51" s="234">
        <f>AD$58+2/10*(AD$68-AD$58)</f>
        <v>1.185633078143861E-2</v>
      </c>
      <c r="AH51" s="6"/>
      <c r="AI51" s="6"/>
      <c r="AJ51" s="29"/>
      <c r="AK51" s="6"/>
      <c r="AL51" s="6"/>
      <c r="AM51" s="60"/>
      <c r="AN51" s="119"/>
      <c r="AO51" s="119"/>
      <c r="AP51" s="102"/>
      <c r="AQ51" s="122"/>
      <c r="AR51" s="122"/>
      <c r="AS51" s="60"/>
    </row>
    <row r="52" spans="1:45">
      <c r="A52" s="182">
        <v>6</v>
      </c>
      <c r="B52" s="189" t="s">
        <v>322</v>
      </c>
      <c r="C52" s="191">
        <v>17143</v>
      </c>
      <c r="D52" s="191">
        <v>3637</v>
      </c>
      <c r="E52" s="191"/>
      <c r="F52" s="192">
        <v>8.4400000000000003E-2</v>
      </c>
      <c r="G52" s="193">
        <f t="shared" si="45"/>
        <v>246208.53080568719</v>
      </c>
      <c r="H52" s="182"/>
      <c r="W52" s="29">
        <f>'County Scale Output 2017-2040'!Q16</f>
        <v>36</v>
      </c>
      <c r="X52" s="29">
        <f>'County Scale Output 2017-2040'!R16</f>
        <v>2030</v>
      </c>
      <c r="Y52" s="29">
        <f>'County Scale Output 2017-2040'!S16</f>
        <v>20</v>
      </c>
      <c r="Z52" s="29">
        <f>'County Scale Output 2017-2040'!T16</f>
        <v>9</v>
      </c>
      <c r="AA52" s="29">
        <f>'County Scale Output 2017-2040'!U16</f>
        <v>1281527960</v>
      </c>
      <c r="AD52" s="3"/>
      <c r="AE52" s="3"/>
      <c r="AF52" s="3">
        <v>2033</v>
      </c>
      <c r="AG52" s="234">
        <f>AD$58+3/10*(AD$68-AD$58)</f>
        <v>1.212788773590839E-2</v>
      </c>
      <c r="AH52" s="6"/>
      <c r="AI52" s="6"/>
      <c r="AJ52" s="29"/>
      <c r="AK52" s="6"/>
      <c r="AL52" s="6"/>
      <c r="AM52" s="60"/>
      <c r="AN52" s="119"/>
      <c r="AO52" s="119"/>
      <c r="AP52" s="102"/>
      <c r="AQ52" s="122"/>
      <c r="AR52" s="122"/>
      <c r="AS52" s="60"/>
    </row>
    <row r="53" spans="1:45">
      <c r="A53" s="182">
        <v>7</v>
      </c>
      <c r="B53" s="189" t="s">
        <v>323</v>
      </c>
      <c r="C53" s="191">
        <v>11989</v>
      </c>
      <c r="D53" s="191">
        <v>2888</v>
      </c>
      <c r="E53" s="191"/>
      <c r="F53" s="192">
        <v>4.7399999999999998E-2</v>
      </c>
      <c r="G53" s="193">
        <f t="shared" si="45"/>
        <v>313860.75949367089</v>
      </c>
      <c r="H53" s="182"/>
      <c r="W53" s="29">
        <f>'County Scale Output 2017-2040'!Q17</f>
        <v>36</v>
      </c>
      <c r="X53" s="29">
        <f>'County Scale Output 2017-2040'!R17</f>
        <v>2030</v>
      </c>
      <c r="Y53" s="29">
        <f>'County Scale Output 2017-2040'!S17</f>
        <v>30</v>
      </c>
      <c r="Z53" s="29">
        <f>'County Scale Output 2017-2040'!T17</f>
        <v>1</v>
      </c>
      <c r="AA53" s="29">
        <f>'County Scale Output 2017-2040'!U17</f>
        <v>73860923488</v>
      </c>
      <c r="AD53" s="3"/>
      <c r="AE53" s="3"/>
      <c r="AF53" s="3">
        <v>2034</v>
      </c>
      <c r="AG53" s="234">
        <f>AD$58+4/10*(AD$68-AD$58)</f>
        <v>1.2399444690378169E-2</v>
      </c>
      <c r="AH53" s="6"/>
      <c r="AI53" s="6"/>
      <c r="AJ53" s="29"/>
      <c r="AK53" s="6"/>
      <c r="AL53" s="6"/>
      <c r="AM53" s="60"/>
      <c r="AN53" s="119"/>
      <c r="AO53" s="119"/>
      <c r="AP53" s="102"/>
      <c r="AQ53" s="122"/>
      <c r="AR53" s="122"/>
      <c r="AS53" s="60"/>
    </row>
    <row r="54" spans="1:45">
      <c r="A54" s="182">
        <v>8</v>
      </c>
      <c r="B54" s="189" t="s">
        <v>324</v>
      </c>
      <c r="C54" s="191">
        <v>11751</v>
      </c>
      <c r="D54" s="191">
        <v>4340</v>
      </c>
      <c r="E54" s="191"/>
      <c r="F54" s="192">
        <v>3.27E-2</v>
      </c>
      <c r="G54" s="193">
        <f t="shared" si="45"/>
        <v>492079.51070336392</v>
      </c>
      <c r="H54" s="182"/>
      <c r="W54" s="29">
        <f>'County Scale Output 2017-2040'!Q18</f>
        <v>36</v>
      </c>
      <c r="X54" s="29">
        <f>'County Scale Output 2017-2040'!R18</f>
        <v>2030</v>
      </c>
      <c r="Y54" s="29">
        <f>'County Scale Output 2017-2040'!S18</f>
        <v>30</v>
      </c>
      <c r="Z54" s="29">
        <f>'County Scale Output 2017-2040'!T18</f>
        <v>2</v>
      </c>
      <c r="AA54" s="29">
        <f>'County Scale Output 2017-2040'!U18</f>
        <v>182861925.375</v>
      </c>
      <c r="AD54" s="3"/>
      <c r="AE54" s="3"/>
      <c r="AF54" s="3">
        <v>2035</v>
      </c>
      <c r="AG54" s="234">
        <f>AD$58+5/10*(AD$68-AD$58)</f>
        <v>1.2671001644847949E-2</v>
      </c>
      <c r="AH54" s="6"/>
      <c r="AI54" s="6"/>
      <c r="AJ54" s="29"/>
      <c r="AK54" s="6"/>
      <c r="AL54" s="6"/>
      <c r="AM54" s="60"/>
      <c r="AN54" s="119"/>
      <c r="AO54" s="119"/>
      <c r="AP54" s="102"/>
      <c r="AQ54" s="122"/>
      <c r="AR54" s="122"/>
      <c r="AS54" s="60"/>
    </row>
    <row r="55" spans="1:45">
      <c r="A55" s="182">
        <v>9</v>
      </c>
      <c r="B55" s="189" t="s">
        <v>325</v>
      </c>
      <c r="C55" s="191">
        <v>11692</v>
      </c>
      <c r="D55" s="191">
        <v>4266</v>
      </c>
      <c r="E55" s="191"/>
      <c r="F55" s="192">
        <v>6.9000000000000006E-2</v>
      </c>
      <c r="G55" s="193">
        <f t="shared" si="45"/>
        <v>231275.36231884055</v>
      </c>
      <c r="H55" s="182"/>
      <c r="W55" s="29">
        <f>'County Scale Output 2017-2040'!Q19</f>
        <v>36</v>
      </c>
      <c r="X55" s="29">
        <f>'County Scale Output 2017-2040'!R19</f>
        <v>2030</v>
      </c>
      <c r="Y55" s="29">
        <f>'County Scale Output 2017-2040'!S19</f>
        <v>30</v>
      </c>
      <c r="Z55" s="29">
        <f>'County Scale Output 2017-2040'!T19</f>
        <v>5</v>
      </c>
      <c r="AA55" s="29">
        <f>'County Scale Output 2017-2040'!U19</f>
        <v>1144444.29931641</v>
      </c>
      <c r="AF55">
        <v>2036</v>
      </c>
      <c r="AG55" s="234">
        <f>AD$58+6/10*(AD$68-AD$58)</f>
        <v>1.2942558599317729E-2</v>
      </c>
    </row>
    <row r="56" spans="1:45">
      <c r="A56" s="182">
        <v>10</v>
      </c>
      <c r="B56" s="189" t="s">
        <v>326</v>
      </c>
      <c r="C56" s="191">
        <v>10855</v>
      </c>
      <c r="D56" s="191">
        <v>3678</v>
      </c>
      <c r="E56" s="191">
        <v>1</v>
      </c>
      <c r="F56" s="192">
        <v>4.48E-2</v>
      </c>
      <c r="G56" s="193">
        <f t="shared" si="45"/>
        <v>324419.64285714284</v>
      </c>
      <c r="H56" s="182"/>
      <c r="W56" s="29">
        <f>'County Scale Output 2017-2040'!Q20</f>
        <v>36</v>
      </c>
      <c r="X56" s="29">
        <f>'County Scale Output 2017-2040'!R20</f>
        <v>2030</v>
      </c>
      <c r="Y56" s="29">
        <f>'County Scale Output 2017-2040'!S20</f>
        <v>30</v>
      </c>
      <c r="Z56" s="29">
        <f>'County Scale Output 2017-2040'!T20</f>
        <v>9</v>
      </c>
      <c r="AA56" s="29">
        <f>'County Scale Output 2017-2040'!U20</f>
        <v>165085205.8125</v>
      </c>
      <c r="AF56">
        <v>2037</v>
      </c>
      <c r="AG56" s="234">
        <f>AD$58+7/10*(AD$68-AD$58)</f>
        <v>1.3214115553787507E-2</v>
      </c>
    </row>
    <row r="57" spans="1:45">
      <c r="A57" s="182">
        <v>11</v>
      </c>
      <c r="B57" s="189" t="s">
        <v>327</v>
      </c>
      <c r="C57" s="191">
        <v>10312</v>
      </c>
      <c r="D57" s="191">
        <v>6614</v>
      </c>
      <c r="E57" s="191">
        <v>1</v>
      </c>
      <c r="F57" s="192">
        <v>5.7299999999999997E-2</v>
      </c>
      <c r="G57" s="193">
        <f t="shared" si="45"/>
        <v>295410.12216404889</v>
      </c>
      <c r="H57" s="182"/>
      <c r="W57" s="29">
        <f>'County Scale Output 2017-2040'!Q21</f>
        <v>36</v>
      </c>
      <c r="X57" s="29">
        <f>'County Scale Output 2017-2040'!R21</f>
        <v>2030</v>
      </c>
      <c r="Y57" s="29">
        <f>'County Scale Output 2017-2040'!S21</f>
        <v>41</v>
      </c>
      <c r="Z57" s="29">
        <f>'County Scale Output 2017-2040'!T21</f>
        <v>1</v>
      </c>
      <c r="AA57" s="29">
        <f>'County Scale Output 2017-2040'!U21</f>
        <v>1763563736</v>
      </c>
      <c r="AF57">
        <v>2038</v>
      </c>
      <c r="AG57" s="234">
        <f>AD$58+8/10*(AD$68-AD$58)</f>
        <v>1.3485672508257288E-2</v>
      </c>
    </row>
    <row r="58" spans="1:45">
      <c r="A58" s="182">
        <v>12</v>
      </c>
      <c r="B58" s="189" t="s">
        <v>328</v>
      </c>
      <c r="C58" s="191">
        <v>10047</v>
      </c>
      <c r="D58" s="191">
        <v>2763</v>
      </c>
      <c r="E58" s="191"/>
      <c r="F58" s="192">
        <v>0.03</v>
      </c>
      <c r="G58" s="193">
        <f t="shared" si="45"/>
        <v>427000</v>
      </c>
      <c r="H58" s="182"/>
      <c r="W58" s="29">
        <f>'County Scale Output 2017-2040'!Q22</f>
        <v>36</v>
      </c>
      <c r="X58" s="29">
        <f>'County Scale Output 2017-2040'!R22</f>
        <v>2030</v>
      </c>
      <c r="Y58" s="29">
        <f>'County Scale Output 2017-2040'!S22</f>
        <v>41</v>
      </c>
      <c r="Z58" s="29">
        <f>'County Scale Output 2017-2040'!T22</f>
        <v>2</v>
      </c>
      <c r="AA58" s="29">
        <f>'County Scale Output 2017-2040'!U22</f>
        <v>1541725690</v>
      </c>
      <c r="AB58">
        <f>SUM(AA49:AA58)</f>
        <v>127869303851.94217</v>
      </c>
      <c r="AC58">
        <f>AA52+AA56</f>
        <v>1446613165.8125</v>
      </c>
      <c r="AD58" s="234">
        <f>AC58/AB58</f>
        <v>1.1313216872499051E-2</v>
      </c>
      <c r="AF58">
        <v>2039</v>
      </c>
      <c r="AG58" s="234">
        <f>AD$58+9/10*(AD$68-AD$58)</f>
        <v>1.3757229462727068E-2</v>
      </c>
    </row>
    <row r="59" spans="1:45">
      <c r="A59" s="182">
        <v>13</v>
      </c>
      <c r="B59" s="189" t="s">
        <v>329</v>
      </c>
      <c r="C59" s="191">
        <v>9983</v>
      </c>
      <c r="D59" s="191">
        <v>4658</v>
      </c>
      <c r="E59" s="191">
        <v>1</v>
      </c>
      <c r="F59" s="192">
        <v>2.6700000000000002E-2</v>
      </c>
      <c r="G59" s="193">
        <f t="shared" si="45"/>
        <v>548389.51310861425</v>
      </c>
      <c r="H59" s="182"/>
      <c r="W59" s="29">
        <f>'County Scale Output 2017-2040'!Q23</f>
        <v>36</v>
      </c>
      <c r="X59" s="29">
        <f>'County Scale Output 2017-2040'!R23</f>
        <v>2040</v>
      </c>
      <c r="Y59" s="29">
        <f>'County Scale Output 2017-2040'!S23</f>
        <v>20</v>
      </c>
      <c r="Z59" s="29">
        <f>'County Scale Output 2017-2040'!T23</f>
        <v>1</v>
      </c>
      <c r="AA59" s="29">
        <f>'County Scale Output 2017-2040'!U23</f>
        <v>52230574432</v>
      </c>
      <c r="AF59">
        <v>2040</v>
      </c>
      <c r="AG59" s="234">
        <f>AD68</f>
        <v>1.4028786417196846E-2</v>
      </c>
    </row>
    <row r="60" spans="1:45">
      <c r="A60" s="182">
        <v>14</v>
      </c>
      <c r="B60" s="189" t="s">
        <v>330</v>
      </c>
      <c r="C60" s="191">
        <v>9377</v>
      </c>
      <c r="D60" s="191">
        <v>4535</v>
      </c>
      <c r="E60" s="191">
        <v>1</v>
      </c>
      <c r="F60" s="192">
        <v>5.4199999999999998E-2</v>
      </c>
      <c r="G60" s="193">
        <f t="shared" si="45"/>
        <v>256697.41697416976</v>
      </c>
      <c r="H60" s="182"/>
      <c r="W60" s="29">
        <f>'County Scale Output 2017-2040'!Q24</f>
        <v>36</v>
      </c>
      <c r="X60" s="29">
        <f>'County Scale Output 2017-2040'!R24</f>
        <v>2040</v>
      </c>
      <c r="Y60" s="29">
        <f>'County Scale Output 2017-2040'!S24</f>
        <v>20</v>
      </c>
      <c r="Z60" s="29">
        <f>'County Scale Output 2017-2040'!T24</f>
        <v>2</v>
      </c>
      <c r="AA60" s="29">
        <f>'County Scale Output 2017-2040'!U24</f>
        <v>7166422.046875</v>
      </c>
    </row>
    <row r="61" spans="1:45">
      <c r="A61" s="182">
        <v>15</v>
      </c>
      <c r="B61" s="189" t="s">
        <v>331</v>
      </c>
      <c r="C61" s="191">
        <v>9340</v>
      </c>
      <c r="D61" s="191">
        <v>3312</v>
      </c>
      <c r="E61" s="191"/>
      <c r="F61" s="192">
        <v>3.15E-2</v>
      </c>
      <c r="G61" s="193">
        <f t="shared" si="45"/>
        <v>401650.79365079367</v>
      </c>
      <c r="H61" s="182"/>
      <c r="W61" s="29">
        <f>'County Scale Output 2017-2040'!Q25</f>
        <v>36</v>
      </c>
      <c r="X61" s="29">
        <f>'County Scale Output 2017-2040'!R25</f>
        <v>2040</v>
      </c>
      <c r="Y61" s="29">
        <f>'County Scale Output 2017-2040'!S25</f>
        <v>20</v>
      </c>
      <c r="Z61" s="29">
        <f>'County Scale Output 2017-2040'!T25</f>
        <v>5</v>
      </c>
      <c r="AA61" s="29">
        <f>'County Scale Output 2017-2040'!U25</f>
        <v>47043.958297729499</v>
      </c>
    </row>
    <row r="62" spans="1:45">
      <c r="A62" s="182">
        <v>16</v>
      </c>
      <c r="B62" s="189" t="s">
        <v>332</v>
      </c>
      <c r="C62" s="191">
        <v>8380</v>
      </c>
      <c r="D62" s="191">
        <v>4421</v>
      </c>
      <c r="E62" s="191"/>
      <c r="F62" s="192">
        <v>8.3799999999999999E-2</v>
      </c>
      <c r="G62" s="193">
        <f t="shared" si="45"/>
        <v>152756.5632458234</v>
      </c>
      <c r="H62" s="182"/>
      <c r="W62" s="29">
        <f>'County Scale Output 2017-2040'!Q26</f>
        <v>36</v>
      </c>
      <c r="X62" s="29">
        <f>'County Scale Output 2017-2040'!R26</f>
        <v>2040</v>
      </c>
      <c r="Y62" s="29">
        <f>'County Scale Output 2017-2040'!S26</f>
        <v>20</v>
      </c>
      <c r="Z62" s="29">
        <f>'County Scale Output 2017-2040'!T26</f>
        <v>9</v>
      </c>
      <c r="AA62" s="29">
        <f>'County Scale Output 2017-2040'!U26</f>
        <v>1716195853</v>
      </c>
    </row>
    <row r="63" spans="1:45">
      <c r="A63" s="182">
        <v>17</v>
      </c>
      <c r="B63" s="189" t="s">
        <v>333</v>
      </c>
      <c r="C63" s="191">
        <v>7258</v>
      </c>
      <c r="D63" s="191">
        <v>3103</v>
      </c>
      <c r="E63" s="191"/>
      <c r="F63" s="192">
        <v>2.0400000000000001E-2</v>
      </c>
      <c r="G63" s="193">
        <f t="shared" si="45"/>
        <v>507892.15686274506</v>
      </c>
      <c r="H63" s="182"/>
      <c r="W63" s="29">
        <f>'County Scale Output 2017-2040'!Q27</f>
        <v>36</v>
      </c>
      <c r="X63" s="29">
        <f>'County Scale Output 2017-2040'!R27</f>
        <v>2040</v>
      </c>
      <c r="Y63" s="29">
        <f>'County Scale Output 2017-2040'!S27</f>
        <v>30</v>
      </c>
      <c r="Z63" s="29">
        <f>'County Scale Output 2017-2040'!T27</f>
        <v>1</v>
      </c>
      <c r="AA63" s="29">
        <f>'County Scale Output 2017-2040'!U27</f>
        <v>79280272992</v>
      </c>
    </row>
    <row r="64" spans="1:45">
      <c r="A64" s="182">
        <v>18</v>
      </c>
      <c r="B64" s="189" t="s">
        <v>334</v>
      </c>
      <c r="C64" s="191">
        <v>6425</v>
      </c>
      <c r="D64" s="191">
        <v>4052</v>
      </c>
      <c r="E64" s="191"/>
      <c r="F64" s="192">
        <v>2.23E-2</v>
      </c>
      <c r="G64" s="193">
        <f t="shared" si="45"/>
        <v>469820.62780269055</v>
      </c>
      <c r="H64" s="182"/>
      <c r="W64" s="29">
        <f>'County Scale Output 2017-2040'!Q28</f>
        <v>36</v>
      </c>
      <c r="X64" s="29">
        <f>'County Scale Output 2017-2040'!R28</f>
        <v>2040</v>
      </c>
      <c r="Y64" s="29">
        <f>'County Scale Output 2017-2040'!S28</f>
        <v>30</v>
      </c>
      <c r="Z64" s="29">
        <f>'County Scale Output 2017-2040'!T28</f>
        <v>2</v>
      </c>
      <c r="AA64" s="29">
        <f>'County Scale Output 2017-2040'!U28</f>
        <v>156388221.125</v>
      </c>
    </row>
    <row r="65" spans="1:30">
      <c r="A65" s="182">
        <v>19</v>
      </c>
      <c r="B65" s="189" t="s">
        <v>335</v>
      </c>
      <c r="C65" s="191">
        <v>6365</v>
      </c>
      <c r="D65" s="191">
        <v>1383</v>
      </c>
      <c r="E65" s="191"/>
      <c r="F65" s="192">
        <v>6.0400000000000002E-2</v>
      </c>
      <c r="G65" s="193">
        <f t="shared" si="45"/>
        <v>128278.14569536423</v>
      </c>
      <c r="H65" s="182"/>
      <c r="W65" s="29">
        <f>'County Scale Output 2017-2040'!Q29</f>
        <v>36</v>
      </c>
      <c r="X65" s="29">
        <f>'County Scale Output 2017-2040'!R29</f>
        <v>2040</v>
      </c>
      <c r="Y65" s="29">
        <f>'County Scale Output 2017-2040'!S29</f>
        <v>30</v>
      </c>
      <c r="Z65" s="29">
        <f>'County Scale Output 2017-2040'!T29</f>
        <v>5</v>
      </c>
      <c r="AA65" s="29">
        <f>'County Scale Output 2017-2040'!U29</f>
        <v>1208977.3791503899</v>
      </c>
    </row>
    <row r="66" spans="1:30">
      <c r="A66" s="182">
        <v>20</v>
      </c>
      <c r="B66" s="189" t="s">
        <v>336</v>
      </c>
      <c r="C66" s="191">
        <v>4952</v>
      </c>
      <c r="D66" s="191">
        <v>3050</v>
      </c>
      <c r="E66" s="191"/>
      <c r="F66" s="192">
        <v>5.3800000000000001E-2</v>
      </c>
      <c r="G66" s="193">
        <f t="shared" si="45"/>
        <v>148736.05947955389</v>
      </c>
      <c r="H66" s="182"/>
      <c r="W66" s="29">
        <f>'County Scale Output 2017-2040'!Q30</f>
        <v>36</v>
      </c>
      <c r="X66" s="29">
        <f>'County Scale Output 2017-2040'!R30</f>
        <v>2040</v>
      </c>
      <c r="Y66" s="29">
        <f>'County Scale Output 2017-2040'!S30</f>
        <v>30</v>
      </c>
      <c r="Z66" s="29">
        <f>'County Scale Output 2017-2040'!T30</f>
        <v>9</v>
      </c>
      <c r="AA66" s="29">
        <f>'County Scale Output 2017-2040'!U30</f>
        <v>203790167.9375</v>
      </c>
    </row>
    <row r="67" spans="1:30">
      <c r="A67" s="182">
        <v>21</v>
      </c>
      <c r="B67" s="189" t="s">
        <v>337</v>
      </c>
      <c r="C67" s="191">
        <v>4623</v>
      </c>
      <c r="D67" s="191">
        <v>1738</v>
      </c>
      <c r="E67" s="191"/>
      <c r="F67" s="192">
        <v>3.1699999999999999E-2</v>
      </c>
      <c r="G67" s="193">
        <f t="shared" si="45"/>
        <v>200662.46056782335</v>
      </c>
      <c r="H67" s="182"/>
      <c r="W67" s="29">
        <f>'County Scale Output 2017-2040'!Q31</f>
        <v>36</v>
      </c>
      <c r="X67" s="29">
        <f>'County Scale Output 2017-2040'!R31</f>
        <v>2040</v>
      </c>
      <c r="Y67" s="29">
        <f>'County Scale Output 2017-2040'!S31</f>
        <v>41</v>
      </c>
      <c r="Z67" s="29">
        <f>'County Scale Output 2017-2040'!T31</f>
        <v>1</v>
      </c>
      <c r="AA67" s="29">
        <f>'County Scale Output 2017-2040'!U31</f>
        <v>1777019473</v>
      </c>
    </row>
    <row r="68" spans="1:30">
      <c r="A68" s="182">
        <v>22</v>
      </c>
      <c r="B68" s="189" t="s">
        <v>338</v>
      </c>
      <c r="C68" s="191">
        <v>4411</v>
      </c>
      <c r="D68" s="191">
        <v>1226</v>
      </c>
      <c r="E68" s="191"/>
      <c r="F68" s="192">
        <v>4.9099999999999998E-2</v>
      </c>
      <c r="G68" s="193">
        <f t="shared" si="45"/>
        <v>114806.51731160897</v>
      </c>
      <c r="H68" s="182"/>
      <c r="W68" s="29">
        <f>'County Scale Output 2017-2040'!Q32</f>
        <v>36</v>
      </c>
      <c r="X68" s="29">
        <f>'County Scale Output 2017-2040'!R32</f>
        <v>2040</v>
      </c>
      <c r="Y68" s="29">
        <f>'County Scale Output 2017-2040'!S32</f>
        <v>41</v>
      </c>
      <c r="Z68" s="29">
        <f>'County Scale Output 2017-2040'!T32</f>
        <v>2</v>
      </c>
      <c r="AA68" s="29">
        <f>'County Scale Output 2017-2040'!U32</f>
        <v>1487786341</v>
      </c>
      <c r="AB68">
        <f>SUM(AA59:AA68)</f>
        <v>136860449923.44682</v>
      </c>
      <c r="AC68">
        <f>AA62+AA66</f>
        <v>1919986020.9375</v>
      </c>
      <c r="AD68" s="234">
        <f>AC68/AB68</f>
        <v>1.4028786417196846E-2</v>
      </c>
    </row>
    <row r="69" spans="1:30">
      <c r="A69" s="182">
        <v>23</v>
      </c>
      <c r="B69" s="189" t="s">
        <v>339</v>
      </c>
      <c r="C69" s="191">
        <v>4138</v>
      </c>
      <c r="D69" s="191">
        <v>956</v>
      </c>
      <c r="E69" s="191">
        <v>5</v>
      </c>
      <c r="F69" s="192">
        <v>7.8899999999999998E-2</v>
      </c>
      <c r="G69" s="193">
        <f t="shared" si="45"/>
        <v>64626.108998732576</v>
      </c>
      <c r="H69" s="182"/>
    </row>
    <row r="70" spans="1:30">
      <c r="A70" s="182">
        <v>24</v>
      </c>
      <c r="B70" s="189" t="s">
        <v>340</v>
      </c>
      <c r="C70" s="191">
        <v>4101</v>
      </c>
      <c r="D70" s="191">
        <v>1316</v>
      </c>
      <c r="E70" s="191"/>
      <c r="F70" s="192">
        <v>2.2700000000000001E-2</v>
      </c>
      <c r="G70" s="193">
        <f t="shared" si="45"/>
        <v>238634.36123348016</v>
      </c>
      <c r="H70" s="182"/>
    </row>
    <row r="71" spans="1:30">
      <c r="A71" s="182">
        <v>25</v>
      </c>
      <c r="B71" s="189" t="s">
        <v>341</v>
      </c>
      <c r="C71" s="191">
        <v>3738</v>
      </c>
      <c r="D71" s="191">
        <v>5036</v>
      </c>
      <c r="E71" s="191"/>
      <c r="F71" s="192">
        <v>2.2800000000000001E-2</v>
      </c>
      <c r="G71" s="193">
        <f t="shared" si="45"/>
        <v>384824.56140350876</v>
      </c>
      <c r="H71" s="182"/>
    </row>
    <row r="72" spans="1:30">
      <c r="A72" s="182">
        <v>26</v>
      </c>
      <c r="B72" s="189" t="s">
        <v>342</v>
      </c>
      <c r="C72" s="191">
        <v>3467</v>
      </c>
      <c r="D72" s="191">
        <v>1701</v>
      </c>
      <c r="E72" s="191"/>
      <c r="F72" s="192">
        <v>2.1999999999999999E-2</v>
      </c>
      <c r="G72" s="193">
        <f t="shared" si="45"/>
        <v>234909.09090909091</v>
      </c>
      <c r="H72" s="182"/>
    </row>
    <row r="73" spans="1:30">
      <c r="A73" s="182">
        <v>27</v>
      </c>
      <c r="B73" s="189" t="s">
        <v>343</v>
      </c>
      <c r="C73" s="191">
        <v>3304</v>
      </c>
      <c r="D73" s="191">
        <v>1613</v>
      </c>
      <c r="E73" s="191">
        <v>1</v>
      </c>
      <c r="F73" s="192">
        <v>2.2599999999999999E-2</v>
      </c>
      <c r="G73" s="193">
        <f t="shared" si="45"/>
        <v>217610.61946902657</v>
      </c>
      <c r="H73" s="182"/>
    </row>
    <row r="74" spans="1:30">
      <c r="A74" s="182">
        <v>28</v>
      </c>
      <c r="B74" s="189" t="s">
        <v>344</v>
      </c>
      <c r="C74" s="191">
        <v>3011</v>
      </c>
      <c r="D74" s="191">
        <v>1336</v>
      </c>
      <c r="E74" s="191"/>
      <c r="F74" s="192">
        <v>2.12E-2</v>
      </c>
      <c r="G74" s="193">
        <f t="shared" si="45"/>
        <v>205047.16981132075</v>
      </c>
      <c r="H74" s="182"/>
    </row>
    <row r="75" spans="1:30">
      <c r="A75" s="182">
        <v>29</v>
      </c>
      <c r="B75" s="189" t="s">
        <v>345</v>
      </c>
      <c r="C75" s="191">
        <v>2716</v>
      </c>
      <c r="D75" s="191">
        <v>1183</v>
      </c>
      <c r="E75" s="191"/>
      <c r="F75" s="192">
        <v>1.9900000000000001E-2</v>
      </c>
      <c r="G75" s="193">
        <f t="shared" si="45"/>
        <v>195929.64824120601</v>
      </c>
      <c r="H75" s="182"/>
    </row>
    <row r="76" spans="1:30">
      <c r="A76" s="182">
        <v>30</v>
      </c>
      <c r="B76" s="189" t="s">
        <v>346</v>
      </c>
      <c r="C76" s="191">
        <v>1607</v>
      </c>
      <c r="D76" s="191">
        <v>806</v>
      </c>
      <c r="E76" s="191"/>
      <c r="F76" s="192">
        <v>1.32E-2</v>
      </c>
      <c r="G76" s="193">
        <f t="shared" si="45"/>
        <v>182803.0303030303</v>
      </c>
      <c r="H76" s="182"/>
    </row>
    <row r="77" spans="1:30">
      <c r="A77" s="182">
        <v>31</v>
      </c>
      <c r="B77" s="189" t="s">
        <v>347</v>
      </c>
      <c r="C77" s="191">
        <v>1471</v>
      </c>
      <c r="D77" s="191">
        <v>654</v>
      </c>
      <c r="E77" s="191"/>
      <c r="F77" s="192">
        <v>1.5699999999999999E-2</v>
      </c>
      <c r="G77" s="193">
        <f t="shared" si="45"/>
        <v>135350.31847133758</v>
      </c>
      <c r="H77" s="182"/>
    </row>
    <row r="78" spans="1:30">
      <c r="A78" s="182">
        <v>32</v>
      </c>
      <c r="B78" s="189" t="s">
        <v>348</v>
      </c>
      <c r="C78" s="191">
        <v>1375</v>
      </c>
      <c r="D78" s="191">
        <v>806</v>
      </c>
      <c r="E78" s="191"/>
      <c r="F78" s="192">
        <v>1.9800000000000002E-2</v>
      </c>
      <c r="G78" s="193">
        <f t="shared" si="45"/>
        <v>110151.51515151514</v>
      </c>
      <c r="H78" s="182"/>
    </row>
    <row r="79" spans="1:30">
      <c r="A79" s="182">
        <v>33</v>
      </c>
      <c r="B79" s="189" t="s">
        <v>349</v>
      </c>
      <c r="C79" s="191">
        <v>1367</v>
      </c>
      <c r="D79" s="191">
        <v>763</v>
      </c>
      <c r="E79" s="191"/>
      <c r="F79" s="192">
        <v>0.1119</v>
      </c>
      <c r="G79" s="193">
        <f t="shared" si="45"/>
        <v>19034.852546916889</v>
      </c>
      <c r="H79" s="182"/>
    </row>
    <row r="80" spans="1:30">
      <c r="A80" s="182">
        <v>34</v>
      </c>
      <c r="B80" s="189" t="s">
        <v>350</v>
      </c>
      <c r="C80" s="191">
        <v>1324</v>
      </c>
      <c r="D80" s="191">
        <v>994</v>
      </c>
      <c r="E80" s="191"/>
      <c r="F80" s="192">
        <v>2.9700000000000001E-2</v>
      </c>
      <c r="G80" s="193">
        <f t="shared" si="45"/>
        <v>78047.13804713804</v>
      </c>
      <c r="H80" s="182"/>
    </row>
    <row r="81" spans="1:8">
      <c r="A81" s="182">
        <v>35</v>
      </c>
      <c r="B81" s="189" t="s">
        <v>351</v>
      </c>
      <c r="C81" s="191">
        <v>1315</v>
      </c>
      <c r="D81" s="191">
        <v>624</v>
      </c>
      <c r="E81" s="191"/>
      <c r="F81" s="192">
        <v>2.29E-2</v>
      </c>
      <c r="G81" s="193">
        <f t="shared" si="45"/>
        <v>84672.489082969434</v>
      </c>
      <c r="H81" s="182"/>
    </row>
    <row r="82" spans="1:8">
      <c r="A82" s="182">
        <v>36</v>
      </c>
      <c r="B82" s="189" t="s">
        <v>352</v>
      </c>
      <c r="C82" s="191">
        <v>1257</v>
      </c>
      <c r="D82" s="191">
        <v>531</v>
      </c>
      <c r="E82" s="191"/>
      <c r="F82" s="192">
        <v>4.2200000000000001E-2</v>
      </c>
      <c r="G82" s="193">
        <f t="shared" si="45"/>
        <v>42369.668246445493</v>
      </c>
      <c r="H82" s="182"/>
    </row>
    <row r="83" spans="1:8">
      <c r="A83" s="182">
        <v>37</v>
      </c>
      <c r="B83" s="189" t="s">
        <v>353</v>
      </c>
      <c r="C83" s="191">
        <v>1219</v>
      </c>
      <c r="D83" s="191">
        <v>1018</v>
      </c>
      <c r="E83" s="191"/>
      <c r="F83" s="192">
        <v>5.9700000000000003E-2</v>
      </c>
      <c r="G83" s="193">
        <f t="shared" si="45"/>
        <v>37470.68676716918</v>
      </c>
      <c r="H83" s="182"/>
    </row>
    <row r="84" spans="1:8">
      <c r="A84" s="182">
        <v>38</v>
      </c>
      <c r="B84" s="189" t="s">
        <v>354</v>
      </c>
      <c r="C84" s="191">
        <v>1188</v>
      </c>
      <c r="D84" s="191">
        <v>478</v>
      </c>
      <c r="E84" s="191"/>
      <c r="F84" s="192">
        <v>4.02E-2</v>
      </c>
      <c r="G84" s="193">
        <f t="shared" si="45"/>
        <v>41442.786069651738</v>
      </c>
      <c r="H84" s="182"/>
    </row>
    <row r="85" spans="1:8">
      <c r="A85" s="182">
        <v>39</v>
      </c>
      <c r="B85" s="189" t="s">
        <v>355</v>
      </c>
      <c r="C85" s="191">
        <v>1156</v>
      </c>
      <c r="D85" s="191">
        <v>685</v>
      </c>
      <c r="E85" s="191"/>
      <c r="F85" s="192">
        <v>9.7000000000000003E-3</v>
      </c>
      <c r="G85" s="193">
        <f t="shared" si="45"/>
        <v>189793.81443298969</v>
      </c>
      <c r="H85" s="182"/>
    </row>
    <row r="86" spans="1:8">
      <c r="A86" s="182">
        <v>40</v>
      </c>
      <c r="B86" s="189" t="s">
        <v>356</v>
      </c>
      <c r="C86" s="191">
        <v>1083</v>
      </c>
      <c r="D86" s="191">
        <v>1408</v>
      </c>
      <c r="E86" s="191"/>
      <c r="F86" s="192">
        <v>4.1200000000000001E-2</v>
      </c>
      <c r="G86" s="193">
        <f t="shared" si="45"/>
        <v>60461.165048543691</v>
      </c>
      <c r="H86" s="182"/>
    </row>
    <row r="87" spans="1:8">
      <c r="A87" s="182">
        <v>41</v>
      </c>
      <c r="B87" s="189" t="s">
        <v>357</v>
      </c>
      <c r="C87" s="191">
        <v>1037</v>
      </c>
      <c r="D87" s="191">
        <v>521</v>
      </c>
      <c r="E87" s="191"/>
      <c r="F87" s="192">
        <v>2.4899999999999999E-2</v>
      </c>
      <c r="G87" s="193">
        <f t="shared" si="45"/>
        <v>62570.281124497997</v>
      </c>
      <c r="H87" s="182"/>
    </row>
    <row r="88" spans="1:8">
      <c r="A88" s="182">
        <v>42</v>
      </c>
      <c r="B88" s="189" t="s">
        <v>358</v>
      </c>
      <c r="C88" s="191">
        <v>944</v>
      </c>
      <c r="D88" s="191">
        <v>737</v>
      </c>
      <c r="E88" s="191"/>
      <c r="F88" s="192">
        <v>3.85E-2</v>
      </c>
      <c r="G88" s="193">
        <f t="shared" si="45"/>
        <v>43662.337662337661</v>
      </c>
      <c r="H88" s="182"/>
    </row>
    <row r="89" spans="1:8">
      <c r="A89" s="182">
        <v>43</v>
      </c>
      <c r="B89" s="189" t="s">
        <v>359</v>
      </c>
      <c r="C89" s="191">
        <v>914</v>
      </c>
      <c r="D89" s="191">
        <v>454</v>
      </c>
      <c r="E89" s="191"/>
      <c r="F89" s="192">
        <v>1.2200000000000001E-2</v>
      </c>
      <c r="G89" s="193">
        <f t="shared" si="45"/>
        <v>112131.1475409836</v>
      </c>
      <c r="H89" s="182"/>
    </row>
    <row r="90" spans="1:8">
      <c r="A90" s="182">
        <v>44</v>
      </c>
      <c r="B90" s="189" t="s">
        <v>360</v>
      </c>
      <c r="C90" s="191">
        <v>876</v>
      </c>
      <c r="D90" s="191">
        <v>615</v>
      </c>
      <c r="E90" s="191"/>
      <c r="F90" s="192">
        <v>2.0299999999999999E-2</v>
      </c>
      <c r="G90" s="193">
        <f t="shared" si="45"/>
        <v>73448.275862068971</v>
      </c>
      <c r="H90" s="182"/>
    </row>
    <row r="91" spans="1:8">
      <c r="A91" s="182">
        <v>45</v>
      </c>
      <c r="B91" s="189" t="s">
        <v>361</v>
      </c>
      <c r="C91" s="191">
        <v>636</v>
      </c>
      <c r="D91" s="191">
        <v>311</v>
      </c>
      <c r="E91" s="191"/>
      <c r="F91" s="192">
        <v>2.0400000000000001E-2</v>
      </c>
      <c r="G91" s="193">
        <f t="shared" si="45"/>
        <v>46421.568627450979</v>
      </c>
      <c r="H91" s="182"/>
    </row>
    <row r="92" spans="1:8">
      <c r="A92" s="182">
        <v>46</v>
      </c>
      <c r="B92" s="189" t="s">
        <v>362</v>
      </c>
      <c r="C92" s="191">
        <v>474</v>
      </c>
      <c r="D92" s="191">
        <v>303</v>
      </c>
      <c r="E92" s="191"/>
      <c r="F92" s="192">
        <v>2.1999999999999999E-2</v>
      </c>
      <c r="G92" s="193">
        <f t="shared" si="45"/>
        <v>35318.181818181823</v>
      </c>
      <c r="H92" s="182"/>
    </row>
    <row r="93" spans="1:8">
      <c r="A93" s="182">
        <v>47</v>
      </c>
      <c r="B93" s="189" t="s">
        <v>363</v>
      </c>
      <c r="C93" s="191">
        <v>390</v>
      </c>
      <c r="D93" s="191">
        <v>279</v>
      </c>
      <c r="E93" s="191"/>
      <c r="F93" s="192">
        <v>9.9000000000000008E-3</v>
      </c>
      <c r="G93" s="193">
        <f t="shared" si="45"/>
        <v>67575.757575757569</v>
      </c>
      <c r="H93" s="182"/>
    </row>
    <row r="94" spans="1:8">
      <c r="A94" s="182">
        <v>48</v>
      </c>
      <c r="B94" s="189" t="s">
        <v>364</v>
      </c>
      <c r="C94" s="191">
        <v>248</v>
      </c>
      <c r="D94" s="191">
        <v>108</v>
      </c>
      <c r="E94" s="191"/>
      <c r="F94" s="192">
        <v>1.7399999999999999E-2</v>
      </c>
      <c r="G94" s="193">
        <f t="shared" si="45"/>
        <v>20459.77011494253</v>
      </c>
      <c r="H94" s="182"/>
    </row>
    <row r="95" spans="1:8">
      <c r="A95" s="182">
        <v>49</v>
      </c>
      <c r="B95" s="189" t="s">
        <v>365</v>
      </c>
      <c r="C95" s="191">
        <v>215</v>
      </c>
      <c r="D95" s="191">
        <v>167</v>
      </c>
      <c r="E95" s="191"/>
      <c r="F95" s="192">
        <v>1.17E-2</v>
      </c>
      <c r="G95" s="193">
        <f t="shared" si="45"/>
        <v>32649.572649572649</v>
      </c>
      <c r="H95" s="182"/>
    </row>
    <row r="96" spans="1:8">
      <c r="A96" s="182">
        <v>50</v>
      </c>
      <c r="B96" s="189" t="s">
        <v>366</v>
      </c>
      <c r="C96" s="191">
        <v>138</v>
      </c>
      <c r="D96" s="191">
        <v>128</v>
      </c>
      <c r="E96" s="191"/>
      <c r="F96" s="192">
        <v>1.46E-2</v>
      </c>
      <c r="G96" s="193">
        <f t="shared" si="45"/>
        <v>18219.178082191782</v>
      </c>
      <c r="H96" s="182"/>
    </row>
    <row r="97" spans="1:8">
      <c r="A97" s="182">
        <v>51</v>
      </c>
      <c r="B97" s="189" t="s">
        <v>367</v>
      </c>
      <c r="C97" s="191">
        <v>132</v>
      </c>
      <c r="D97" s="191">
        <v>101</v>
      </c>
      <c r="E97" s="191"/>
      <c r="F97" s="192">
        <v>7.7000000000000002E-3</v>
      </c>
      <c r="G97" s="193">
        <f t="shared" si="45"/>
        <v>30259.740259740258</v>
      </c>
      <c r="H97" s="182"/>
    </row>
    <row r="98" spans="1:8">
      <c r="A98" s="182"/>
      <c r="B98" s="182"/>
      <c r="C98" s="182"/>
      <c r="D98" s="182"/>
      <c r="E98" s="182"/>
      <c r="F98" s="182"/>
      <c r="G98" s="182"/>
      <c r="H98" s="182"/>
    </row>
    <row r="99" spans="1:8">
      <c r="A99" s="182"/>
      <c r="B99" s="182"/>
      <c r="C99" s="188" t="s">
        <v>121</v>
      </c>
      <c r="D99" s="188" t="s">
        <v>122</v>
      </c>
      <c r="E99" s="188" t="s">
        <v>315</v>
      </c>
      <c r="F99" s="188"/>
      <c r="G99" s="188" t="s">
        <v>33</v>
      </c>
      <c r="H99" s="182"/>
    </row>
    <row r="100" spans="1:8">
      <c r="A100" s="182"/>
      <c r="B100" s="182" t="s">
        <v>49</v>
      </c>
      <c r="C100" s="193">
        <f>SUM(C47:C97)</f>
        <v>473426</v>
      </c>
      <c r="D100" s="193">
        <f t="shared" ref="D100:E100" si="46">SUM(D47:D97)</f>
        <v>173804</v>
      </c>
      <c r="E100" s="193">
        <f t="shared" si="46"/>
        <v>3281</v>
      </c>
      <c r="F100" s="194">
        <f>SUM(C100:E100)/G100</f>
        <v>4.6816102427689771E-2</v>
      </c>
      <c r="G100" s="195">
        <f>SUM(G47:G97)</f>
        <v>13895026.844764631</v>
      </c>
      <c r="H100" s="182"/>
    </row>
    <row r="101" spans="1:8">
      <c r="A101" s="182"/>
      <c r="B101" s="182"/>
      <c r="C101" s="182"/>
      <c r="D101" s="182"/>
      <c r="E101" s="182"/>
      <c r="F101" s="182"/>
      <c r="G101" s="182"/>
      <c r="H101" s="182"/>
    </row>
    <row r="102" spans="1:8">
      <c r="A102" s="182"/>
      <c r="B102" s="182"/>
      <c r="C102" s="196"/>
      <c r="D102" s="182"/>
      <c r="E102" s="182"/>
      <c r="F102" s="182"/>
      <c r="G102" s="182"/>
      <c r="H102" s="182"/>
    </row>
    <row r="103" spans="1:8">
      <c r="A103" s="182"/>
      <c r="B103" s="182"/>
      <c r="C103" s="182"/>
      <c r="D103" s="182"/>
      <c r="E103" s="182"/>
      <c r="F103" s="182"/>
      <c r="G103" s="182"/>
      <c r="H103" s="182"/>
    </row>
  </sheetData>
  <sheetProtection algorithmName="SHA-512" hashValue="2pQai8bSbtp6mE3+gD0sD58jCQ+s30w8RXwL8rcw+s9TEDVQg+SYfHx3I77vOA50s58QM2ihBItVW+rh4Q8p8w==" saltValue="6GKmYtzUWmgupWDq8y6qWA==" spinCount="100000" sheet="1" objects="1" scenarios="1"/>
  <mergeCells count="12">
    <mergeCell ref="C45:E45"/>
    <mergeCell ref="AN7:AS7"/>
    <mergeCell ref="N7:P7"/>
    <mergeCell ref="K7:M7"/>
    <mergeCell ref="B7:D7"/>
    <mergeCell ref="E7:G7"/>
    <mergeCell ref="H7:J7"/>
    <mergeCell ref="AH42:AM42"/>
    <mergeCell ref="AN42:AS42"/>
    <mergeCell ref="V7:AA7"/>
    <mergeCell ref="AB7:AG7"/>
    <mergeCell ref="AH7:AM7"/>
  </mergeCells>
  <pageMargins left="0.7" right="0.7" top="0.75" bottom="0.75" header="0.3" footer="0.3"/>
  <pageSetup orientation="portrait" horizontalDpi="360" verticalDpi="360" r:id="rId1"/>
  <ignoredErrors>
    <ignoredError sqref="J24:J32" formulaRange="1"/>
    <ignoredError sqref="F100 AC17 AE17 AI17 AK17 AO17:AO18 AQ17:AQ18" 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2DAC0-4691-499F-9CC3-035D73604843}">
  <sheetPr codeName="Sheet12"/>
  <dimension ref="A1:AO79"/>
  <sheetViews>
    <sheetView workbookViewId="0">
      <selection activeCell="A2" sqref="A2"/>
    </sheetView>
  </sheetViews>
  <sheetFormatPr baseColWidth="10" defaultColWidth="8.6640625" defaultRowHeight="15"/>
  <cols>
    <col min="1" max="4" width="8.6640625" style="33"/>
    <col min="5" max="5" width="13.1640625" style="33" customWidth="1"/>
    <col min="6" max="6" width="8.6640625" style="33"/>
    <col min="7" max="7" width="10.5" style="33" customWidth="1"/>
    <col min="8" max="8" width="13" style="33" customWidth="1"/>
    <col min="9" max="9" width="8.6640625" style="33"/>
    <col min="10" max="10" width="12.5" style="33" customWidth="1"/>
    <col min="11" max="11" width="14.33203125" style="33" customWidth="1"/>
    <col min="12" max="13" width="15" style="33" customWidth="1"/>
    <col min="14" max="14" width="14.6640625" style="33" customWidth="1"/>
    <col min="15" max="15" width="4.83203125" style="33" bestFit="1" customWidth="1"/>
    <col min="16" max="16" width="12.83203125" style="33" customWidth="1"/>
    <col min="17" max="17" width="8.5" style="33" bestFit="1" customWidth="1"/>
    <col min="18" max="18" width="11.33203125" style="33" customWidth="1"/>
    <col min="19" max="19" width="11.6640625" style="33" customWidth="1"/>
    <col min="20" max="20" width="8.5" style="33" bestFit="1" customWidth="1"/>
    <col min="21" max="21" width="8.6640625" style="33"/>
    <col min="22" max="22" width="4.83203125" style="33" bestFit="1" customWidth="1"/>
    <col min="23" max="23" width="11" style="33" bestFit="1" customWidth="1"/>
    <col min="24" max="24" width="8.5" style="33" bestFit="1" customWidth="1"/>
    <col min="25" max="25" width="10" style="33" bestFit="1" customWidth="1"/>
    <col min="26" max="26" width="11" style="33" bestFit="1" customWidth="1"/>
    <col min="27" max="27" width="8.5" style="33" bestFit="1" customWidth="1"/>
    <col min="28" max="28" width="8.6640625" style="33"/>
    <col min="29" max="29" width="4.83203125" style="33" bestFit="1" customWidth="1"/>
    <col min="30" max="30" width="11" style="33" bestFit="1" customWidth="1"/>
    <col min="31" max="31" width="8.5" style="33" bestFit="1" customWidth="1"/>
    <col min="32" max="32" width="10" style="33" bestFit="1" customWidth="1"/>
    <col min="33" max="33" width="11" style="33" bestFit="1" customWidth="1"/>
    <col min="34" max="34" width="9.5" style="33" customWidth="1"/>
    <col min="35" max="35" width="8.6640625" style="33"/>
    <col min="36" max="36" width="4.83203125" style="33" bestFit="1" customWidth="1"/>
    <col min="37" max="37" width="11" style="33" bestFit="1" customWidth="1"/>
    <col min="38" max="38" width="8.5" style="33" bestFit="1" customWidth="1"/>
    <col min="39" max="39" width="10" style="33" bestFit="1" customWidth="1"/>
    <col min="40" max="40" width="11" style="33" bestFit="1" customWidth="1"/>
    <col min="41" max="41" width="10.5" style="33" customWidth="1"/>
    <col min="42" max="16384" width="8.6640625" style="33"/>
  </cols>
  <sheetData>
    <row r="1" spans="1:41">
      <c r="A1" s="164" t="s">
        <v>418</v>
      </c>
    </row>
    <row r="3" spans="1:41">
      <c r="A3" s="164" t="s">
        <v>255</v>
      </c>
      <c r="D3" s="7" t="s">
        <v>109</v>
      </c>
      <c r="O3" s="7" t="s">
        <v>256</v>
      </c>
      <c r="V3" s="7" t="s">
        <v>257</v>
      </c>
      <c r="AC3" s="7" t="s">
        <v>258</v>
      </c>
      <c r="AJ3" s="7" t="s">
        <v>259</v>
      </c>
    </row>
    <row r="4" spans="1:41">
      <c r="A4" s="33" t="s">
        <v>211</v>
      </c>
      <c r="D4" s="165" t="s">
        <v>211</v>
      </c>
      <c r="E4" s="165" t="s">
        <v>260</v>
      </c>
      <c r="F4" s="165" t="s">
        <v>261</v>
      </c>
      <c r="G4" s="165" t="s">
        <v>122</v>
      </c>
      <c r="H4" s="165" t="s">
        <v>121</v>
      </c>
      <c r="I4" s="165" t="s">
        <v>262</v>
      </c>
      <c r="J4" s="165" t="s">
        <v>49</v>
      </c>
      <c r="K4" s="165" t="s">
        <v>263</v>
      </c>
      <c r="L4" s="165" t="s">
        <v>264</v>
      </c>
      <c r="M4" s="169" t="s">
        <v>272</v>
      </c>
      <c r="O4" s="165" t="s">
        <v>211</v>
      </c>
      <c r="P4" s="165" t="s">
        <v>260</v>
      </c>
      <c r="Q4" s="165" t="s">
        <v>261</v>
      </c>
      <c r="R4" s="165" t="s">
        <v>122</v>
      </c>
      <c r="S4" s="165" t="s">
        <v>121</v>
      </c>
      <c r="T4" s="165" t="s">
        <v>262</v>
      </c>
      <c r="V4" s="165" t="s">
        <v>211</v>
      </c>
      <c r="W4" s="165" t="s">
        <v>260</v>
      </c>
      <c r="X4" s="165" t="s">
        <v>261</v>
      </c>
      <c r="Y4" s="165" t="s">
        <v>122</v>
      </c>
      <c r="Z4" s="165" t="s">
        <v>121</v>
      </c>
      <c r="AA4" s="165" t="s">
        <v>262</v>
      </c>
      <c r="AC4" s="165" t="s">
        <v>211</v>
      </c>
      <c r="AD4" s="165" t="s">
        <v>260</v>
      </c>
      <c r="AE4" s="165" t="s">
        <v>261</v>
      </c>
      <c r="AF4" s="165" t="s">
        <v>122</v>
      </c>
      <c r="AG4" s="165" t="s">
        <v>121</v>
      </c>
      <c r="AH4" s="165" t="s">
        <v>262</v>
      </c>
      <c r="AJ4" s="165" t="s">
        <v>211</v>
      </c>
      <c r="AK4" s="165" t="s">
        <v>260</v>
      </c>
      <c r="AL4" s="165" t="s">
        <v>261</v>
      </c>
      <c r="AM4" s="165" t="s">
        <v>122</v>
      </c>
      <c r="AN4" s="165" t="s">
        <v>121</v>
      </c>
      <c r="AO4" s="165" t="s">
        <v>262</v>
      </c>
    </row>
    <row r="5" spans="1:41">
      <c r="A5" s="33">
        <v>2025</v>
      </c>
      <c r="B5" s="33">
        <f>(G5+H5+I5)/J5</f>
        <v>6.054448252299377E-2</v>
      </c>
      <c r="D5" s="33">
        <v>2025</v>
      </c>
      <c r="E5" s="166">
        <f t="shared" ref="E5:I20" si="0">P5+W5+AD5+AK5</f>
        <v>24776703.209887661</v>
      </c>
      <c r="F5" s="166">
        <f t="shared" si="0"/>
        <v>132358.9640351852</v>
      </c>
      <c r="G5" s="166">
        <f t="shared" si="0"/>
        <v>489283.38786027988</v>
      </c>
      <c r="H5" s="166">
        <f t="shared" si="0"/>
        <v>1092590.3934145016</v>
      </c>
      <c r="I5" s="166">
        <f t="shared" si="0"/>
        <v>23424.448814275282</v>
      </c>
      <c r="J5" s="166">
        <f>SUM(E5:I5)</f>
        <v>26514360.404011905</v>
      </c>
      <c r="K5" s="166">
        <f>R5</f>
        <v>398711.84329231421</v>
      </c>
      <c r="L5" s="166">
        <f>Y5+AF5+AM5</f>
        <v>90571.54456796567</v>
      </c>
      <c r="M5" s="168">
        <f>G5/J5</f>
        <v>1.845352406789515E-2</v>
      </c>
      <c r="N5" s="168"/>
      <c r="O5" s="33">
        <v>2025</v>
      </c>
      <c r="P5" s="166">
        <v>12918515.229918957</v>
      </c>
      <c r="Q5" s="166">
        <v>42726.352364996637</v>
      </c>
      <c r="R5" s="166">
        <v>398711.84329231421</v>
      </c>
      <c r="S5" s="166">
        <v>879643.929619601</v>
      </c>
      <c r="T5" s="166">
        <v>23424.448814275282</v>
      </c>
      <c r="V5" s="33">
        <v>2025</v>
      </c>
      <c r="W5" s="166">
        <v>1290500.8283019154</v>
      </c>
      <c r="X5" s="166">
        <v>611.07494159717623</v>
      </c>
      <c r="Y5" s="166">
        <v>1832.3663233627458</v>
      </c>
      <c r="Z5" s="166">
        <v>9022.4611627572613</v>
      </c>
      <c r="AA5" s="166">
        <v>0</v>
      </c>
      <c r="AC5" s="33">
        <v>2025</v>
      </c>
      <c r="AD5" s="166">
        <v>6340897.0552265448</v>
      </c>
      <c r="AE5" s="166">
        <v>22766.138287385853</v>
      </c>
      <c r="AF5" s="166">
        <v>56763.821399749708</v>
      </c>
      <c r="AG5" s="166">
        <v>118213.5860239724</v>
      </c>
      <c r="AH5" s="166">
        <v>0</v>
      </c>
      <c r="AJ5" s="33">
        <v>2025</v>
      </c>
      <c r="AK5" s="166">
        <v>4226790.0964402445</v>
      </c>
      <c r="AL5" s="166">
        <v>66255.398441205529</v>
      </c>
      <c r="AM5" s="166">
        <v>31975.35684485321</v>
      </c>
      <c r="AN5" s="166">
        <v>85710.416608170985</v>
      </c>
      <c r="AO5" s="166">
        <v>0</v>
      </c>
    </row>
    <row r="6" spans="1:41">
      <c r="A6" s="33">
        <v>2026</v>
      </c>
      <c r="B6" s="33">
        <f t="shared" ref="B6:B20" si="1">(G6+H6+I6)/J6</f>
        <v>7.2474172594756608E-2</v>
      </c>
      <c r="D6" s="33">
        <v>2026</v>
      </c>
      <c r="E6" s="166">
        <f t="shared" si="0"/>
        <v>24619430.757507939</v>
      </c>
      <c r="F6" s="166">
        <f t="shared" si="0"/>
        <v>128719.13071376827</v>
      </c>
      <c r="G6" s="166">
        <f t="shared" si="0"/>
        <v>531110.0939526977</v>
      </c>
      <c r="H6" s="166">
        <f t="shared" si="0"/>
        <v>1374722.4995566325</v>
      </c>
      <c r="I6" s="166">
        <f t="shared" si="0"/>
        <v>27915.916133245562</v>
      </c>
      <c r="J6" s="166">
        <f t="shared" ref="J6:J20" si="2">SUM(E6:I6)</f>
        <v>26681898.397864282</v>
      </c>
      <c r="K6" s="166">
        <f t="shared" ref="K6:K20" si="3">R6</f>
        <v>428569.86278296739</v>
      </c>
      <c r="L6" s="166">
        <f t="shared" ref="L6:L20" si="4">Y6+AF6+AM6</f>
        <v>102540.23116973025</v>
      </c>
      <c r="M6" s="168">
        <f t="shared" ref="M6:M20" si="5">G6/J6</f>
        <v>1.9905258840023532E-2</v>
      </c>
      <c r="N6" s="168"/>
      <c r="O6" s="33">
        <v>2026</v>
      </c>
      <c r="P6" s="166">
        <v>12764492.780061709</v>
      </c>
      <c r="Q6" s="166">
        <v>38852.721891227295</v>
      </c>
      <c r="R6" s="166">
        <v>428569.86278296739</v>
      </c>
      <c r="S6" s="166">
        <v>1037755.5691188647</v>
      </c>
      <c r="T6" s="166">
        <v>27915.916133245562</v>
      </c>
      <c r="V6" s="33">
        <v>2026</v>
      </c>
      <c r="W6" s="166">
        <v>1256615.688346297</v>
      </c>
      <c r="X6" s="166">
        <v>519.04090894274998</v>
      </c>
      <c r="Y6" s="166">
        <v>2137.8037583467503</v>
      </c>
      <c r="Z6" s="166">
        <v>13881.384005156262</v>
      </c>
      <c r="AA6" s="166">
        <v>0</v>
      </c>
      <c r="AC6" s="33">
        <v>2026</v>
      </c>
      <c r="AD6" s="166">
        <v>6395200.0261234958</v>
      </c>
      <c r="AE6" s="166">
        <v>23496.413375187763</v>
      </c>
      <c r="AF6" s="166">
        <v>64990.126939942762</v>
      </c>
      <c r="AG6" s="166">
        <v>191623.15958199289</v>
      </c>
      <c r="AH6" s="166">
        <v>0</v>
      </c>
      <c r="AJ6" s="33">
        <v>2026</v>
      </c>
      <c r="AK6" s="166">
        <v>4203122.2629764387</v>
      </c>
      <c r="AL6" s="166">
        <v>65850.954538410471</v>
      </c>
      <c r="AM6" s="166">
        <v>35412.300471440751</v>
      </c>
      <c r="AN6" s="166">
        <v>131462.3868506185</v>
      </c>
      <c r="AO6" s="166">
        <v>0</v>
      </c>
    </row>
    <row r="7" spans="1:41">
      <c r="A7" s="33">
        <v>2027</v>
      </c>
      <c r="B7" s="33">
        <f t="shared" si="1"/>
        <v>8.3726335577664651E-2</v>
      </c>
      <c r="D7" s="33">
        <v>2027</v>
      </c>
      <c r="E7" s="166">
        <f t="shared" si="0"/>
        <v>24484060.697784394</v>
      </c>
      <c r="F7" s="166">
        <f t="shared" si="0"/>
        <v>124344.24743045453</v>
      </c>
      <c r="G7" s="166">
        <f t="shared" si="0"/>
        <v>571175.7587794211</v>
      </c>
      <c r="H7" s="166">
        <f t="shared" si="0"/>
        <v>1645218.8859777304</v>
      </c>
      <c r="I7" s="166">
        <f t="shared" si="0"/>
        <v>32247.491839759212</v>
      </c>
      <c r="J7" s="166">
        <f t="shared" si="2"/>
        <v>26857047.08181176</v>
      </c>
      <c r="K7" s="166">
        <f t="shared" si="3"/>
        <v>456835.82762902649</v>
      </c>
      <c r="L7" s="166">
        <f t="shared" si="4"/>
        <v>114339.93115039464</v>
      </c>
      <c r="M7" s="168">
        <f t="shared" si="5"/>
        <v>2.1267258348972962E-2</v>
      </c>
      <c r="N7" s="168"/>
      <c r="O7" s="33">
        <v>2027</v>
      </c>
      <c r="P7" s="166">
        <v>12621743.141460327</v>
      </c>
      <c r="Q7" s="166">
        <v>34910.664533953001</v>
      </c>
      <c r="R7" s="166">
        <v>456835.82762902649</v>
      </c>
      <c r="S7" s="166">
        <v>1189905.2238037048</v>
      </c>
      <c r="T7" s="166">
        <v>32247.491839759212</v>
      </c>
      <c r="V7" s="33">
        <v>2027</v>
      </c>
      <c r="W7" s="166">
        <v>1225393.4095604967</v>
      </c>
      <c r="X7" s="166">
        <v>249.44511967850002</v>
      </c>
      <c r="Y7" s="166">
        <v>2444.4808910312504</v>
      </c>
      <c r="Z7" s="166">
        <v>18605.459507586515</v>
      </c>
      <c r="AA7" s="166">
        <v>0</v>
      </c>
      <c r="AC7" s="33">
        <v>2027</v>
      </c>
      <c r="AD7" s="166">
        <v>6452722.7631144812</v>
      </c>
      <c r="AE7" s="166">
        <v>24098.642933379484</v>
      </c>
      <c r="AF7" s="166">
        <v>73103.047254693636</v>
      </c>
      <c r="AG7" s="166">
        <v>261120.96693220441</v>
      </c>
      <c r="AH7" s="166">
        <v>0</v>
      </c>
      <c r="AJ7" s="33">
        <v>2027</v>
      </c>
      <c r="AK7" s="166">
        <v>4184201.3836490884</v>
      </c>
      <c r="AL7" s="166">
        <v>65085.494843443543</v>
      </c>
      <c r="AM7" s="166">
        <v>38792.403004669752</v>
      </c>
      <c r="AN7" s="166">
        <v>175587.23573423486</v>
      </c>
      <c r="AO7" s="166">
        <v>0</v>
      </c>
    </row>
    <row r="8" spans="1:41">
      <c r="A8" s="33">
        <v>2028</v>
      </c>
      <c r="B8" s="33">
        <f t="shared" si="1"/>
        <v>9.4479154321895575E-2</v>
      </c>
      <c r="D8" s="33">
        <v>2028</v>
      </c>
      <c r="E8" s="166">
        <f t="shared" si="0"/>
        <v>24365229.707353376</v>
      </c>
      <c r="F8" s="166">
        <f t="shared" si="0"/>
        <v>119909.53643343314</v>
      </c>
      <c r="G8" s="166">
        <f t="shared" si="0"/>
        <v>609146.04657322436</v>
      </c>
      <c r="H8" s="166">
        <f t="shared" si="0"/>
        <v>1909115.8185873672</v>
      </c>
      <c r="I8" s="166">
        <f t="shared" si="0"/>
        <v>36439.399032262198</v>
      </c>
      <c r="J8" s="166">
        <f t="shared" si="2"/>
        <v>27039840.507979661</v>
      </c>
      <c r="K8" s="166">
        <f t="shared" si="3"/>
        <v>483393.99531991518</v>
      </c>
      <c r="L8" s="166">
        <f t="shared" si="4"/>
        <v>125752.05125330923</v>
      </c>
      <c r="M8" s="168">
        <f t="shared" si="5"/>
        <v>2.252772335670622E-2</v>
      </c>
      <c r="N8" s="168"/>
      <c r="O8" s="33">
        <v>2028</v>
      </c>
      <c r="P8" s="166">
        <v>12490468.804415734</v>
      </c>
      <c r="Q8" s="166">
        <v>31009.695020705221</v>
      </c>
      <c r="R8" s="166">
        <v>483393.99531991518</v>
      </c>
      <c r="S8" s="166">
        <v>1337050.4207118934</v>
      </c>
      <c r="T8" s="166">
        <v>36439.399032262198</v>
      </c>
      <c r="V8" s="33">
        <v>2028</v>
      </c>
      <c r="W8" s="166">
        <v>1196887.1457424774</v>
      </c>
      <c r="X8" s="166">
        <v>149.79872236350013</v>
      </c>
      <c r="Y8" s="166">
        <v>2743.5085750677526</v>
      </c>
      <c r="Z8" s="166">
        <v>23300.419026648757</v>
      </c>
      <c r="AA8" s="166">
        <v>0</v>
      </c>
      <c r="AC8" s="33">
        <v>2028</v>
      </c>
      <c r="AD8" s="166">
        <v>6510109.3315520808</v>
      </c>
      <c r="AE8" s="166">
        <v>24651.422239515985</v>
      </c>
      <c r="AF8" s="166">
        <v>81042.217161345485</v>
      </c>
      <c r="AG8" s="166">
        <v>329672.41628233285</v>
      </c>
      <c r="AH8" s="166">
        <v>0</v>
      </c>
      <c r="AJ8" s="33">
        <v>2028</v>
      </c>
      <c r="AK8" s="166">
        <v>4167764.4256430818</v>
      </c>
      <c r="AL8" s="166">
        <v>64098.620450848437</v>
      </c>
      <c r="AM8" s="166">
        <v>41966.325516895988</v>
      </c>
      <c r="AN8" s="166">
        <v>219092.56256649204</v>
      </c>
      <c r="AO8" s="166">
        <v>0</v>
      </c>
    </row>
    <row r="9" spans="1:41">
      <c r="A9" s="33">
        <v>2029</v>
      </c>
      <c r="B9" s="33">
        <f t="shared" si="1"/>
        <v>0.10475450839345687</v>
      </c>
      <c r="D9" s="33">
        <v>2029</v>
      </c>
      <c r="E9" s="166">
        <f t="shared" si="0"/>
        <v>24254509.632397231</v>
      </c>
      <c r="F9" s="166">
        <f t="shared" si="0"/>
        <v>115837.00891533744</v>
      </c>
      <c r="G9" s="166">
        <f t="shared" si="0"/>
        <v>644927.47266009578</v>
      </c>
      <c r="H9" s="166">
        <f t="shared" si="0"/>
        <v>2166205.7343985876</v>
      </c>
      <c r="I9" s="166">
        <f t="shared" si="0"/>
        <v>40490.962762684438</v>
      </c>
      <c r="J9" s="166">
        <f t="shared" si="2"/>
        <v>27221970.811133936</v>
      </c>
      <c r="K9" s="166">
        <f t="shared" si="3"/>
        <v>508094.75836991734</v>
      </c>
      <c r="L9" s="166">
        <f t="shared" si="4"/>
        <v>136832.7142901785</v>
      </c>
      <c r="M9" s="168">
        <f t="shared" si="5"/>
        <v>2.3691432083834167E-2</v>
      </c>
      <c r="N9" s="168"/>
      <c r="O9" s="33">
        <v>2029</v>
      </c>
      <c r="P9" s="166">
        <v>12366431.954655636</v>
      </c>
      <c r="Q9" s="166">
        <v>27499.229191028498</v>
      </c>
      <c r="R9" s="166">
        <v>508094.75836991734</v>
      </c>
      <c r="S9" s="166">
        <v>1479066.8659683459</v>
      </c>
      <c r="T9" s="166">
        <v>40490.962762684438</v>
      </c>
      <c r="V9" s="33">
        <v>2029</v>
      </c>
      <c r="W9" s="166">
        <v>1169893.3797686927</v>
      </c>
      <c r="X9" s="166">
        <v>78.716039403249951</v>
      </c>
      <c r="Y9" s="166">
        <v>3033.5699995300006</v>
      </c>
      <c r="Z9" s="166">
        <v>27961.895508529524</v>
      </c>
      <c r="AA9" s="166">
        <v>0</v>
      </c>
      <c r="AC9" s="33">
        <v>2029</v>
      </c>
      <c r="AD9" s="166">
        <v>6564409.1053364594</v>
      </c>
      <c r="AE9" s="166">
        <v>25158.716880275733</v>
      </c>
      <c r="AF9" s="166">
        <v>88747.180029742754</v>
      </c>
      <c r="AG9" s="166">
        <v>397318.34179392754</v>
      </c>
      <c r="AH9" s="166">
        <v>0</v>
      </c>
      <c r="AJ9" s="33">
        <v>2029</v>
      </c>
      <c r="AK9" s="166">
        <v>4153775.1926364428</v>
      </c>
      <c r="AL9" s="166">
        <v>63100.346804629968</v>
      </c>
      <c r="AM9" s="166">
        <v>45051.964260905734</v>
      </c>
      <c r="AN9" s="166">
        <v>261858.63112778426</v>
      </c>
      <c r="AO9" s="166">
        <v>0</v>
      </c>
    </row>
    <row r="10" spans="1:41">
      <c r="A10" s="33">
        <v>2030</v>
      </c>
      <c r="B10" s="33">
        <f t="shared" si="1"/>
        <v>0.1145298884853423</v>
      </c>
      <c r="D10" s="33">
        <v>2030</v>
      </c>
      <c r="E10" s="166">
        <f t="shared" si="0"/>
        <v>24154191.157487098</v>
      </c>
      <c r="F10" s="166">
        <f t="shared" si="0"/>
        <v>111891.12896717657</v>
      </c>
      <c r="G10" s="166">
        <f t="shared" si="0"/>
        <v>678435.05639908498</v>
      </c>
      <c r="H10" s="166">
        <f t="shared" si="0"/>
        <v>2415848.8566130036</v>
      </c>
      <c r="I10" s="166">
        <f t="shared" si="0"/>
        <v>44378.433805861881</v>
      </c>
      <c r="J10" s="166">
        <f t="shared" si="2"/>
        <v>27404744.633272223</v>
      </c>
      <c r="K10" s="166">
        <f t="shared" si="3"/>
        <v>530973.07761587587</v>
      </c>
      <c r="L10" s="166">
        <f t="shared" si="4"/>
        <v>147461.97878320923</v>
      </c>
      <c r="M10" s="168">
        <f t="shared" si="5"/>
        <v>2.4756116704528382E-2</v>
      </c>
      <c r="N10" s="168"/>
      <c r="O10" s="33">
        <v>2030</v>
      </c>
      <c r="P10" s="166">
        <v>12251334.09601404</v>
      </c>
      <c r="Q10" s="166">
        <v>24185.576676061744</v>
      </c>
      <c r="R10" s="166">
        <v>530973.07761587587</v>
      </c>
      <c r="S10" s="166">
        <v>1615283.7115421253</v>
      </c>
      <c r="T10" s="166">
        <v>44378.433805861881</v>
      </c>
      <c r="V10" s="33">
        <v>2030</v>
      </c>
      <c r="W10" s="166">
        <v>1144355.7347219095</v>
      </c>
      <c r="X10" s="166">
        <v>24.82009194450001</v>
      </c>
      <c r="Y10" s="166">
        <v>3314.4035554597504</v>
      </c>
      <c r="Z10" s="166">
        <v>32560.22423412577</v>
      </c>
      <c r="AA10" s="166">
        <v>0</v>
      </c>
      <c r="AC10" s="33">
        <v>2030</v>
      </c>
      <c r="AD10" s="166">
        <v>6615267.1768354252</v>
      </c>
      <c r="AE10" s="166">
        <v>25601.13100210479</v>
      </c>
      <c r="AF10" s="166">
        <v>96176.882353375957</v>
      </c>
      <c r="AG10" s="166">
        <v>464205.13220274134</v>
      </c>
      <c r="AH10" s="166">
        <v>0</v>
      </c>
      <c r="AJ10" s="33">
        <v>2030</v>
      </c>
      <c r="AK10" s="166">
        <v>4143234.1499157213</v>
      </c>
      <c r="AL10" s="166">
        <v>62079.601197065538</v>
      </c>
      <c r="AM10" s="166">
        <v>47970.692874373519</v>
      </c>
      <c r="AN10" s="166">
        <v>303799.78863401082</v>
      </c>
      <c r="AO10" s="166">
        <v>0</v>
      </c>
    </row>
    <row r="11" spans="1:41">
      <c r="A11" s="33">
        <v>2031</v>
      </c>
      <c r="B11" s="33">
        <f t="shared" si="1"/>
        <v>0.12380235931029944</v>
      </c>
      <c r="D11" s="33">
        <v>2031</v>
      </c>
      <c r="E11" s="166">
        <f t="shared" si="0"/>
        <v>24059854.077332504</v>
      </c>
      <c r="F11" s="166">
        <f t="shared" si="0"/>
        <v>109012.6816480225</v>
      </c>
      <c r="G11" s="166">
        <f t="shared" si="0"/>
        <v>709554.23138089932</v>
      </c>
      <c r="H11" s="166">
        <f t="shared" si="0"/>
        <v>2657295.3423805092</v>
      </c>
      <c r="I11" s="166">
        <f t="shared" si="0"/>
        <v>48090.83199313427</v>
      </c>
      <c r="J11" s="166">
        <f t="shared" si="2"/>
        <v>27583807.164735068</v>
      </c>
      <c r="K11" s="166">
        <f t="shared" si="3"/>
        <v>551945.97967783839</v>
      </c>
      <c r="L11" s="166">
        <f t="shared" si="4"/>
        <v>157608.25170306099</v>
      </c>
      <c r="M11" s="168">
        <f t="shared" si="5"/>
        <v>2.5723578588819299E-2</v>
      </c>
      <c r="N11" s="168"/>
      <c r="O11" s="33">
        <v>2031</v>
      </c>
      <c r="P11" s="166">
        <v>12145771.976308333</v>
      </c>
      <c r="Q11" s="166">
        <v>21935.649746282503</v>
      </c>
      <c r="R11" s="166">
        <v>551945.97967783839</v>
      </c>
      <c r="S11" s="166">
        <v>1745278.3547889991</v>
      </c>
      <c r="T11" s="166">
        <v>48090.83199313427</v>
      </c>
      <c r="V11" s="33">
        <v>2031</v>
      </c>
      <c r="W11" s="166">
        <v>1120117.5475492035</v>
      </c>
      <c r="X11" s="166">
        <v>12.004529986750002</v>
      </c>
      <c r="Y11" s="166">
        <v>3585.8704888432489</v>
      </c>
      <c r="Z11" s="166">
        <v>37063.44291375496</v>
      </c>
      <c r="AA11" s="166">
        <v>0</v>
      </c>
      <c r="AC11" s="33">
        <v>2031</v>
      </c>
      <c r="AD11" s="166">
        <v>6658801.638139531</v>
      </c>
      <c r="AE11" s="166">
        <v>25996.439133647022</v>
      </c>
      <c r="AF11" s="166">
        <v>103248.28006387997</v>
      </c>
      <c r="AG11" s="166">
        <v>530106.38974790368</v>
      </c>
      <c r="AH11" s="166">
        <v>0</v>
      </c>
      <c r="AJ11" s="33">
        <v>2031</v>
      </c>
      <c r="AK11" s="166">
        <v>4135162.9153354387</v>
      </c>
      <c r="AL11" s="166">
        <v>61068.588238106233</v>
      </c>
      <c r="AM11" s="166">
        <v>50774.101150337774</v>
      </c>
      <c r="AN11" s="166">
        <v>344847.15492985159</v>
      </c>
      <c r="AO11" s="166">
        <v>0</v>
      </c>
    </row>
    <row r="12" spans="1:41">
      <c r="A12" s="33">
        <v>2032</v>
      </c>
      <c r="B12" s="33">
        <f t="shared" si="1"/>
        <v>0.13254715400460287</v>
      </c>
      <c r="D12" s="33">
        <v>2032</v>
      </c>
      <c r="E12" s="166">
        <f t="shared" si="0"/>
        <v>23973845.782168161</v>
      </c>
      <c r="F12" s="166">
        <f t="shared" si="0"/>
        <v>105888.49148729596</v>
      </c>
      <c r="G12" s="166">
        <f t="shared" si="0"/>
        <v>738254.46788993455</v>
      </c>
      <c r="H12" s="166">
        <f t="shared" si="0"/>
        <v>2889523.1799022476</v>
      </c>
      <c r="I12" s="166">
        <f t="shared" si="0"/>
        <v>51615.718538487075</v>
      </c>
      <c r="J12" s="166">
        <f t="shared" si="2"/>
        <v>27759127.639986124</v>
      </c>
      <c r="K12" s="166">
        <f t="shared" si="3"/>
        <v>571084.70216251537</v>
      </c>
      <c r="L12" s="166">
        <f t="shared" si="4"/>
        <v>167169.76572741906</v>
      </c>
      <c r="M12" s="168">
        <f t="shared" si="5"/>
        <v>2.6595016870288923E-2</v>
      </c>
      <c r="N12" s="168"/>
      <c r="O12" s="33">
        <v>2032</v>
      </c>
      <c r="P12" s="166">
        <v>12049671.458297156</v>
      </c>
      <c r="Q12" s="166">
        <v>19502.667757219719</v>
      </c>
      <c r="R12" s="166">
        <v>571084.70216251537</v>
      </c>
      <c r="S12" s="166">
        <v>1868702.6651161115</v>
      </c>
      <c r="T12" s="166">
        <v>51615.718538487075</v>
      </c>
      <c r="V12" s="33">
        <v>2032</v>
      </c>
      <c r="W12" s="166">
        <v>1098346.1787496211</v>
      </c>
      <c r="X12" s="166">
        <v>8.5001159577499994</v>
      </c>
      <c r="Y12" s="166">
        <v>3846.9722201757463</v>
      </c>
      <c r="Z12" s="166">
        <v>41455.086660385467</v>
      </c>
      <c r="AA12" s="166">
        <v>0</v>
      </c>
      <c r="AC12" s="33">
        <v>2032</v>
      </c>
      <c r="AD12" s="166">
        <v>6696576.7557309316</v>
      </c>
      <c r="AE12" s="166">
        <v>26333.84686170028</v>
      </c>
      <c r="AF12" s="166">
        <v>109942.01260586907</v>
      </c>
      <c r="AG12" s="166">
        <v>594712.36589000793</v>
      </c>
      <c r="AH12" s="166">
        <v>0</v>
      </c>
      <c r="AJ12" s="33">
        <v>2032</v>
      </c>
      <c r="AK12" s="166">
        <v>4129251.3893904551</v>
      </c>
      <c r="AL12" s="166">
        <v>60043.47675241821</v>
      </c>
      <c r="AM12" s="166">
        <v>53380.780901374266</v>
      </c>
      <c r="AN12" s="166">
        <v>384653.06223574275</v>
      </c>
      <c r="AO12" s="166">
        <v>0</v>
      </c>
    </row>
    <row r="13" spans="1:41">
      <c r="A13" s="33">
        <v>2033</v>
      </c>
      <c r="B13" s="33">
        <f t="shared" si="1"/>
        <v>0.14076405163127231</v>
      </c>
      <c r="D13" s="33">
        <v>2033</v>
      </c>
      <c r="E13" s="166">
        <f t="shared" si="0"/>
        <v>23894914.831103697</v>
      </c>
      <c r="F13" s="166">
        <f t="shared" si="0"/>
        <v>103375.70345126701</v>
      </c>
      <c r="G13" s="166">
        <f t="shared" si="0"/>
        <v>764556.02593924361</v>
      </c>
      <c r="H13" s="166">
        <f t="shared" si="0"/>
        <v>3112012.0306103537</v>
      </c>
      <c r="I13" s="166">
        <f t="shared" si="0"/>
        <v>54944.136674785164</v>
      </c>
      <c r="J13" s="166">
        <f t="shared" si="2"/>
        <v>27929802.727779347</v>
      </c>
      <c r="K13" s="166">
        <f t="shared" si="3"/>
        <v>588445.13972361549</v>
      </c>
      <c r="L13" s="166">
        <f t="shared" si="4"/>
        <v>176110.88621562798</v>
      </c>
      <c r="M13" s="168">
        <f t="shared" si="5"/>
        <v>2.7374200719964492E-2</v>
      </c>
      <c r="N13" s="168"/>
      <c r="O13" s="33">
        <v>2033</v>
      </c>
      <c r="P13" s="166">
        <v>11964812.696240012</v>
      </c>
      <c r="Q13" s="166">
        <v>17726.910584048757</v>
      </c>
      <c r="R13" s="166">
        <v>588445.13972361549</v>
      </c>
      <c r="S13" s="166">
        <v>1985255.2134413722</v>
      </c>
      <c r="T13" s="166">
        <v>54944.136674785164</v>
      </c>
      <c r="V13" s="33">
        <v>2033</v>
      </c>
      <c r="W13" s="166">
        <v>1079184.3407464228</v>
      </c>
      <c r="X13" s="166">
        <v>8.7819465650000019</v>
      </c>
      <c r="Y13" s="166">
        <v>4096.234135963</v>
      </c>
      <c r="Z13" s="166">
        <v>45729.925351800768</v>
      </c>
      <c r="AA13" s="166">
        <v>0</v>
      </c>
      <c r="AC13" s="33">
        <v>2033</v>
      </c>
      <c r="AD13" s="166">
        <v>6726384.0342429159</v>
      </c>
      <c r="AE13" s="166">
        <v>26636.387424383465</v>
      </c>
      <c r="AF13" s="166">
        <v>116187.97914711124</v>
      </c>
      <c r="AG13" s="166">
        <v>657799.7581923852</v>
      </c>
      <c r="AH13" s="166">
        <v>0</v>
      </c>
      <c r="AJ13" s="33">
        <v>2033</v>
      </c>
      <c r="AK13" s="166">
        <v>4124533.7598743485</v>
      </c>
      <c r="AL13" s="166">
        <v>59003.623496269793</v>
      </c>
      <c r="AM13" s="166">
        <v>55826.672932553745</v>
      </c>
      <c r="AN13" s="166">
        <v>423227.13362479536</v>
      </c>
      <c r="AO13" s="166">
        <v>0</v>
      </c>
    </row>
    <row r="14" spans="1:41">
      <c r="A14" s="33">
        <v>2034</v>
      </c>
      <c r="B14" s="33">
        <f t="shared" si="1"/>
        <v>0.14844844534892929</v>
      </c>
      <c r="D14" s="33">
        <v>2034</v>
      </c>
      <c r="E14" s="166">
        <f t="shared" si="0"/>
        <v>23821408.322691493</v>
      </c>
      <c r="F14" s="166">
        <f t="shared" si="0"/>
        <v>100994.24701272201</v>
      </c>
      <c r="G14" s="166">
        <f t="shared" si="0"/>
        <v>788509.32354543253</v>
      </c>
      <c r="H14" s="166">
        <f t="shared" si="0"/>
        <v>3323744.5927012945</v>
      </c>
      <c r="I14" s="166">
        <f t="shared" si="0"/>
        <v>58067.247618646659</v>
      </c>
      <c r="J14" s="166">
        <f t="shared" si="2"/>
        <v>28092723.733569589</v>
      </c>
      <c r="K14" s="166">
        <f t="shared" si="3"/>
        <v>604115.08349216718</v>
      </c>
      <c r="L14" s="166">
        <f t="shared" si="4"/>
        <v>184394.24005326538</v>
      </c>
      <c r="M14" s="168">
        <f t="shared" si="5"/>
        <v>2.8068098025083914E-2</v>
      </c>
      <c r="N14" s="168"/>
      <c r="O14" s="33">
        <v>2034</v>
      </c>
      <c r="P14" s="166">
        <v>11889325.224204876</v>
      </c>
      <c r="Q14" s="166">
        <v>16132.197973000506</v>
      </c>
      <c r="R14" s="166">
        <v>604115.08349216718</v>
      </c>
      <c r="S14" s="166">
        <v>2094704.9085690361</v>
      </c>
      <c r="T14" s="166">
        <v>58067.247618646659</v>
      </c>
      <c r="V14" s="33">
        <v>2034</v>
      </c>
      <c r="W14" s="166">
        <v>1060007.0951929812</v>
      </c>
      <c r="X14" s="166">
        <v>9.0528660732500033</v>
      </c>
      <c r="Y14" s="166">
        <v>4332.8528908170028</v>
      </c>
      <c r="Z14" s="166">
        <v>49883.64013167224</v>
      </c>
      <c r="AA14" s="166">
        <v>0</v>
      </c>
      <c r="AC14" s="33">
        <v>2034</v>
      </c>
      <c r="AD14" s="166">
        <v>6751473.437589786</v>
      </c>
      <c r="AE14" s="166">
        <v>26897.897057432961</v>
      </c>
      <c r="AF14" s="166">
        <v>121985.34527916135</v>
      </c>
      <c r="AG14" s="166">
        <v>718854.39490647195</v>
      </c>
      <c r="AH14" s="166">
        <v>0</v>
      </c>
      <c r="AJ14" s="33">
        <v>2034</v>
      </c>
      <c r="AK14" s="166">
        <v>4120602.5657038498</v>
      </c>
      <c r="AL14" s="166">
        <v>57955.099116215293</v>
      </c>
      <c r="AM14" s="166">
        <v>58076.041883287027</v>
      </c>
      <c r="AN14" s="166">
        <v>460301.64909411385</v>
      </c>
      <c r="AO14" s="166">
        <v>0</v>
      </c>
    </row>
    <row r="15" spans="1:41">
      <c r="A15" s="33">
        <v>2035</v>
      </c>
      <c r="B15" s="33">
        <f t="shared" si="1"/>
        <v>0.1555763175488972</v>
      </c>
      <c r="D15" s="33">
        <v>2035</v>
      </c>
      <c r="E15" s="166">
        <f t="shared" si="0"/>
        <v>23757107.68916852</v>
      </c>
      <c r="F15" s="166">
        <f t="shared" si="0"/>
        <v>98812.776498799052</v>
      </c>
      <c r="G15" s="166">
        <f t="shared" si="0"/>
        <v>810173.78152710665</v>
      </c>
      <c r="H15" s="166">
        <f t="shared" si="0"/>
        <v>3524055.2040505977</v>
      </c>
      <c r="I15" s="166">
        <f t="shared" si="0"/>
        <v>60977.277485396888</v>
      </c>
      <c r="J15" s="166">
        <f t="shared" si="2"/>
        <v>28251126.728730418</v>
      </c>
      <c r="K15" s="166">
        <f t="shared" si="3"/>
        <v>618156.96888517297</v>
      </c>
      <c r="L15" s="166">
        <f t="shared" si="4"/>
        <v>192016.81264193376</v>
      </c>
      <c r="M15" s="168">
        <f t="shared" si="5"/>
        <v>2.8677574147978599E-2</v>
      </c>
      <c r="N15" s="168"/>
      <c r="O15" s="33">
        <v>2035</v>
      </c>
      <c r="P15" s="166">
        <v>11823353.907062737</v>
      </c>
      <c r="Q15" s="166">
        <v>14717.34858625876</v>
      </c>
      <c r="R15" s="166">
        <v>618156.96888517297</v>
      </c>
      <c r="S15" s="166">
        <v>2196796.1811897536</v>
      </c>
      <c r="T15" s="166">
        <v>60977.277485396888</v>
      </c>
      <c r="V15" s="33">
        <v>2035</v>
      </c>
      <c r="W15" s="166">
        <v>1043631.1486630223</v>
      </c>
      <c r="X15" s="166">
        <v>9.324082511250003</v>
      </c>
      <c r="Y15" s="166">
        <v>4556.7242657035004</v>
      </c>
      <c r="Z15" s="166">
        <v>53887.425808776708</v>
      </c>
      <c r="AA15" s="166">
        <v>0</v>
      </c>
      <c r="AC15" s="33">
        <v>2035</v>
      </c>
      <c r="AD15" s="166">
        <v>6771984.6550065847</v>
      </c>
      <c r="AE15" s="166">
        <v>27151.098749999263</v>
      </c>
      <c r="AF15" s="166">
        <v>127297.99603579077</v>
      </c>
      <c r="AG15" s="166">
        <v>777494.13667593221</v>
      </c>
      <c r="AH15" s="166">
        <v>0</v>
      </c>
      <c r="AJ15" s="33">
        <v>2035</v>
      </c>
      <c r="AK15" s="166">
        <v>4118137.9784361757</v>
      </c>
      <c r="AL15" s="166">
        <v>56935.005080029776</v>
      </c>
      <c r="AM15" s="166">
        <v>60162.092340439493</v>
      </c>
      <c r="AN15" s="166">
        <v>495877.46037613525</v>
      </c>
      <c r="AO15" s="166">
        <v>0</v>
      </c>
    </row>
    <row r="16" spans="1:41">
      <c r="A16" s="33">
        <v>2036</v>
      </c>
      <c r="B16" s="33">
        <f t="shared" si="1"/>
        <v>0.16212722199846816</v>
      </c>
      <c r="D16" s="33">
        <v>2036</v>
      </c>
      <c r="E16" s="166">
        <f t="shared" si="0"/>
        <v>23703232.502833508</v>
      </c>
      <c r="F16" s="166">
        <f t="shared" si="0"/>
        <v>96854.88731280205</v>
      </c>
      <c r="G16" s="166">
        <f t="shared" si="0"/>
        <v>829685.00956586353</v>
      </c>
      <c r="H16" s="166">
        <f t="shared" si="0"/>
        <v>3711928.5906695873</v>
      </c>
      <c r="I16" s="166">
        <f t="shared" si="0"/>
        <v>63670.34405106325</v>
      </c>
      <c r="J16" s="166">
        <f t="shared" si="2"/>
        <v>28405371.334432825</v>
      </c>
      <c r="K16" s="166">
        <f t="shared" si="3"/>
        <v>630706.87813525961</v>
      </c>
      <c r="L16" s="166">
        <f t="shared" si="4"/>
        <v>198978.13143060397</v>
      </c>
      <c r="M16" s="168">
        <f t="shared" si="5"/>
        <v>2.9208736608210582E-2</v>
      </c>
      <c r="N16" s="168"/>
      <c r="O16" s="33">
        <v>2036</v>
      </c>
      <c r="P16" s="166">
        <v>11767693.466657532</v>
      </c>
      <c r="Q16" s="166">
        <v>13472.824153005744</v>
      </c>
      <c r="R16" s="166">
        <v>630706.87813525961</v>
      </c>
      <c r="S16" s="166">
        <v>2291421.6024790704</v>
      </c>
      <c r="T16" s="166">
        <v>63670.34405106325</v>
      </c>
      <c r="V16" s="33">
        <v>2036</v>
      </c>
      <c r="W16" s="166">
        <v>1027832.2880468218</v>
      </c>
      <c r="X16" s="166">
        <v>8.9831765627499998</v>
      </c>
      <c r="Y16" s="166">
        <v>4768.0730289347503</v>
      </c>
      <c r="Z16" s="166">
        <v>57731.51701957496</v>
      </c>
      <c r="AA16" s="166">
        <v>0</v>
      </c>
      <c r="AC16" s="33">
        <v>2036</v>
      </c>
      <c r="AD16" s="166">
        <v>6789842.8206656398</v>
      </c>
      <c r="AE16" s="166">
        <v>27409.62596087675</v>
      </c>
      <c r="AF16" s="166">
        <v>132134.9669530497</v>
      </c>
      <c r="AG16" s="166">
        <v>833133.33079894085</v>
      </c>
      <c r="AH16" s="166">
        <v>0</v>
      </c>
      <c r="AJ16" s="33">
        <v>2036</v>
      </c>
      <c r="AK16" s="166">
        <v>4117863.9274635143</v>
      </c>
      <c r="AL16" s="166">
        <v>55963.454022356804</v>
      </c>
      <c r="AM16" s="166">
        <v>62075.091448619518</v>
      </c>
      <c r="AN16" s="166">
        <v>529642.1403720011</v>
      </c>
      <c r="AO16" s="166">
        <v>0</v>
      </c>
    </row>
    <row r="17" spans="1:41">
      <c r="A17" s="33">
        <v>2037</v>
      </c>
      <c r="B17" s="33">
        <f t="shared" si="1"/>
        <v>0.16807670320410481</v>
      </c>
      <c r="D17" s="33">
        <v>2037</v>
      </c>
      <c r="E17" s="166">
        <f t="shared" si="0"/>
        <v>23665825.852145694</v>
      </c>
      <c r="F17" s="166">
        <f t="shared" si="0"/>
        <v>95176.516493151837</v>
      </c>
      <c r="G17" s="166">
        <f t="shared" si="0"/>
        <v>847232.23132867389</v>
      </c>
      <c r="H17" s="166">
        <f t="shared" si="0"/>
        <v>3887151.3620850998</v>
      </c>
      <c r="I17" s="166">
        <f t="shared" si="0"/>
        <v>66144.241696911675</v>
      </c>
      <c r="J17" s="166">
        <f t="shared" si="2"/>
        <v>28561530.203749534</v>
      </c>
      <c r="K17" s="166">
        <f t="shared" si="3"/>
        <v>641916.09358762775</v>
      </c>
      <c r="L17" s="166">
        <f t="shared" si="4"/>
        <v>205316.13774104608</v>
      </c>
      <c r="M17" s="168">
        <f t="shared" si="5"/>
        <v>2.9663404771550019E-2</v>
      </c>
      <c r="N17" s="168"/>
      <c r="O17" s="33">
        <v>2037</v>
      </c>
      <c r="P17" s="166">
        <v>11727096.161574192</v>
      </c>
      <c r="Q17" s="166">
        <v>12440.228020384231</v>
      </c>
      <c r="R17" s="166">
        <v>641916.09358762775</v>
      </c>
      <c r="S17" s="166">
        <v>2378498.9355772636</v>
      </c>
      <c r="T17" s="166">
        <v>66144.241696911675</v>
      </c>
      <c r="V17" s="33">
        <v>2037</v>
      </c>
      <c r="W17" s="166">
        <v>1014429.4006149089</v>
      </c>
      <c r="X17" s="166">
        <v>9.2778100202499889</v>
      </c>
      <c r="Y17" s="166">
        <v>4966.6856653217474</v>
      </c>
      <c r="Z17" s="166">
        <v>61403.582817562536</v>
      </c>
      <c r="AA17" s="166">
        <v>0</v>
      </c>
      <c r="AC17" s="33">
        <v>2037</v>
      </c>
      <c r="AD17" s="166">
        <v>6806028.3933425723</v>
      </c>
      <c r="AE17" s="166">
        <v>27678.696900248779</v>
      </c>
      <c r="AF17" s="166">
        <v>136484.22662787183</v>
      </c>
      <c r="AG17" s="166">
        <v>885609.42473182769</v>
      </c>
      <c r="AH17" s="166">
        <v>0</v>
      </c>
      <c r="AJ17" s="33">
        <v>2037</v>
      </c>
      <c r="AK17" s="166">
        <v>4118271.8966140174</v>
      </c>
      <c r="AL17" s="166">
        <v>55048.313762498583</v>
      </c>
      <c r="AM17" s="166">
        <v>63865.225447852499</v>
      </c>
      <c r="AN17" s="166">
        <v>561639.41895844613</v>
      </c>
      <c r="AO17" s="166">
        <v>0</v>
      </c>
    </row>
    <row r="18" spans="1:41">
      <c r="A18" s="33">
        <v>2038</v>
      </c>
      <c r="B18" s="33">
        <f t="shared" si="1"/>
        <v>0.17343922111073964</v>
      </c>
      <c r="D18" s="33">
        <v>2038</v>
      </c>
      <c r="E18" s="166">
        <f t="shared" si="0"/>
        <v>23641998.514083199</v>
      </c>
      <c r="F18" s="166">
        <f t="shared" si="0"/>
        <v>93790.731565185008</v>
      </c>
      <c r="G18" s="166">
        <f t="shared" si="0"/>
        <v>862918.58584028669</v>
      </c>
      <c r="H18" s="166">
        <f t="shared" si="0"/>
        <v>4049216.9365822142</v>
      </c>
      <c r="I18" s="166">
        <f t="shared" si="0"/>
        <v>68401.788755035202</v>
      </c>
      <c r="J18" s="166">
        <f t="shared" si="2"/>
        <v>28716326.556825921</v>
      </c>
      <c r="K18" s="166">
        <f t="shared" si="3"/>
        <v>651927.5857872715</v>
      </c>
      <c r="L18" s="166">
        <f t="shared" si="4"/>
        <v>210991.0000530151</v>
      </c>
      <c r="M18" s="168">
        <f t="shared" si="5"/>
        <v>3.0049755289301424E-2</v>
      </c>
      <c r="N18" s="168"/>
      <c r="O18" s="33">
        <v>2038</v>
      </c>
      <c r="P18" s="166">
        <v>11698489.303666865</v>
      </c>
      <c r="Q18" s="166">
        <v>11606.474950350999</v>
      </c>
      <c r="R18" s="166">
        <v>651927.5857872715</v>
      </c>
      <c r="S18" s="166">
        <v>2458114.4212879618</v>
      </c>
      <c r="T18" s="166">
        <v>68401.788755035202</v>
      </c>
      <c r="V18" s="33">
        <v>2038</v>
      </c>
      <c r="W18" s="166">
        <v>1001795.0110671005</v>
      </c>
      <c r="X18" s="166">
        <v>9.5497621287500074</v>
      </c>
      <c r="Y18" s="166">
        <v>5152.3458142167492</v>
      </c>
      <c r="Z18" s="166">
        <v>64901.288781679003</v>
      </c>
      <c r="AA18" s="166">
        <v>0</v>
      </c>
      <c r="AC18" s="33">
        <v>2038</v>
      </c>
      <c r="AD18" s="166">
        <v>6821340.5790700987</v>
      </c>
      <c r="AE18" s="166">
        <v>27952.894867140993</v>
      </c>
      <c r="AF18" s="166">
        <v>140349.46901544835</v>
      </c>
      <c r="AG18" s="166">
        <v>934486.75500803173</v>
      </c>
      <c r="AH18" s="166">
        <v>0</v>
      </c>
      <c r="AJ18" s="33">
        <v>2038</v>
      </c>
      <c r="AK18" s="166">
        <v>4120373.6202791319</v>
      </c>
      <c r="AL18" s="166">
        <v>54221.811985564258</v>
      </c>
      <c r="AM18" s="166">
        <v>65489.185223350018</v>
      </c>
      <c r="AN18" s="166">
        <v>591714.47150454216</v>
      </c>
      <c r="AO18" s="166">
        <v>0</v>
      </c>
    </row>
    <row r="19" spans="1:41">
      <c r="A19" s="33">
        <v>2039</v>
      </c>
      <c r="B19" s="33">
        <f t="shared" si="1"/>
        <v>0.17824563709389449</v>
      </c>
      <c r="D19" s="33">
        <v>2039</v>
      </c>
      <c r="E19" s="166">
        <f t="shared" si="0"/>
        <v>23629773.98809823</v>
      </c>
      <c r="F19" s="166">
        <f t="shared" si="0"/>
        <v>92612.531219588273</v>
      </c>
      <c r="G19" s="166">
        <f t="shared" si="0"/>
        <v>876920.150597097</v>
      </c>
      <c r="H19" s="166">
        <f t="shared" si="0"/>
        <v>4198224.3380480502</v>
      </c>
      <c r="I19" s="166">
        <f t="shared" si="0"/>
        <v>70446.565559649069</v>
      </c>
      <c r="J19" s="166">
        <f t="shared" si="2"/>
        <v>28867977.573522612</v>
      </c>
      <c r="K19" s="166">
        <f t="shared" si="3"/>
        <v>660872.56971622468</v>
      </c>
      <c r="L19" s="166">
        <f t="shared" si="4"/>
        <v>216047.58088087229</v>
      </c>
      <c r="M19" s="168">
        <f t="shared" si="5"/>
        <v>3.0376916719008346E-2</v>
      </c>
      <c r="N19" s="168"/>
      <c r="O19" s="33">
        <v>2039</v>
      </c>
      <c r="P19" s="166">
        <v>11680713.16921445</v>
      </c>
      <c r="Q19" s="166">
        <v>10946.414317223527</v>
      </c>
      <c r="R19" s="166">
        <v>660872.56971622468</v>
      </c>
      <c r="S19" s="166">
        <v>2530366.3316204106</v>
      </c>
      <c r="T19" s="166">
        <v>70446.565559649069</v>
      </c>
      <c r="V19" s="33">
        <v>2039</v>
      </c>
      <c r="W19" s="166">
        <v>990422.15786742675</v>
      </c>
      <c r="X19" s="166">
        <v>9.8026154887500105</v>
      </c>
      <c r="Y19" s="166">
        <v>5324.6853211515045</v>
      </c>
      <c r="Z19" s="166">
        <v>68218.03346078952</v>
      </c>
      <c r="AA19" s="166">
        <v>0</v>
      </c>
      <c r="AC19" s="33">
        <v>2039</v>
      </c>
      <c r="AD19" s="166">
        <v>6838434.0532460334</v>
      </c>
      <c r="AE19" s="166">
        <v>28224.170977468264</v>
      </c>
      <c r="AF19" s="166">
        <v>143766.6823948673</v>
      </c>
      <c r="AG19" s="166">
        <v>979749.35819002194</v>
      </c>
      <c r="AH19" s="166">
        <v>0</v>
      </c>
      <c r="AJ19" s="33">
        <v>2039</v>
      </c>
      <c r="AK19" s="166">
        <v>4120204.6077703191</v>
      </c>
      <c r="AL19" s="166">
        <v>53432.143309407722</v>
      </c>
      <c r="AM19" s="166">
        <v>66956.213164853485</v>
      </c>
      <c r="AN19" s="166">
        <v>619890.61477682809</v>
      </c>
      <c r="AO19" s="166">
        <v>0</v>
      </c>
    </row>
    <row r="20" spans="1:41">
      <c r="A20" s="33">
        <v>2040</v>
      </c>
      <c r="B20" s="33">
        <f t="shared" si="1"/>
        <v>0.18250619278351354</v>
      </c>
      <c r="D20" s="33">
        <v>2040</v>
      </c>
      <c r="E20" s="166">
        <f t="shared" si="0"/>
        <v>23629200.933470346</v>
      </c>
      <c r="F20" s="166">
        <f t="shared" si="0"/>
        <v>91644.836340140158</v>
      </c>
      <c r="G20" s="166">
        <f t="shared" si="0"/>
        <v>889405.73248454696</v>
      </c>
      <c r="H20" s="166">
        <f t="shared" si="0"/>
        <v>4334006.2906446597</v>
      </c>
      <c r="I20" s="166">
        <f t="shared" si="0"/>
        <v>72287.115918310184</v>
      </c>
      <c r="J20" s="166">
        <f t="shared" si="2"/>
        <v>29016544.908858001</v>
      </c>
      <c r="K20" s="166">
        <f t="shared" si="3"/>
        <v>668879.12866219762</v>
      </c>
      <c r="L20" s="166">
        <f t="shared" si="4"/>
        <v>220526.60382234934</v>
      </c>
      <c r="M20" s="168">
        <f t="shared" si="5"/>
        <v>3.0651675975833854E-2</v>
      </c>
      <c r="N20" s="168"/>
      <c r="O20" s="33">
        <v>2040</v>
      </c>
      <c r="P20" s="166">
        <v>11670826.023883274</v>
      </c>
      <c r="Q20" s="166">
        <v>10369.870830641012</v>
      </c>
      <c r="R20" s="166">
        <v>668879.12866219762</v>
      </c>
      <c r="S20" s="166">
        <v>2595515.881873528</v>
      </c>
      <c r="T20" s="166">
        <v>72287.115918310184</v>
      </c>
      <c r="V20" s="33">
        <v>2040</v>
      </c>
      <c r="W20" s="166">
        <v>980964.78790464846</v>
      </c>
      <c r="X20" s="166">
        <v>10.043073142499997</v>
      </c>
      <c r="Y20" s="166">
        <v>5483.7144945092532</v>
      </c>
      <c r="Z20" s="166">
        <v>71350.128913012522</v>
      </c>
      <c r="AA20" s="166">
        <v>0</v>
      </c>
      <c r="AC20" s="33">
        <v>2040</v>
      </c>
      <c r="AD20" s="166">
        <v>6855931.2135007717</v>
      </c>
      <c r="AE20" s="166">
        <v>28481.422365713235</v>
      </c>
      <c r="AF20" s="166">
        <v>146777.51516188635</v>
      </c>
      <c r="AG20" s="166">
        <v>1021085.1371487204</v>
      </c>
      <c r="AH20" s="166">
        <v>0</v>
      </c>
      <c r="AJ20" s="33">
        <v>2040</v>
      </c>
      <c r="AK20" s="166">
        <v>4121478.9081816524</v>
      </c>
      <c r="AL20" s="166">
        <v>52783.500070643408</v>
      </c>
      <c r="AM20" s="166">
        <v>68265.374165953734</v>
      </c>
      <c r="AN20" s="166">
        <v>646055.14270939853</v>
      </c>
      <c r="AO20" s="166">
        <v>0</v>
      </c>
    </row>
    <row r="21" spans="1:41">
      <c r="P21" s="166"/>
      <c r="Q21" s="166"/>
      <c r="R21" s="166"/>
      <c r="S21" s="166"/>
      <c r="T21" s="166"/>
      <c r="W21" s="166"/>
      <c r="X21" s="166"/>
      <c r="Y21" s="166"/>
      <c r="Z21" s="166"/>
      <c r="AA21" s="166"/>
      <c r="AD21" s="166"/>
      <c r="AE21" s="166"/>
      <c r="AF21" s="166"/>
      <c r="AG21" s="166"/>
      <c r="AH21" s="166"/>
      <c r="AK21" s="166"/>
      <c r="AL21" s="166"/>
      <c r="AM21" s="166"/>
      <c r="AN21" s="166"/>
      <c r="AO21" s="166"/>
    </row>
    <row r="22" spans="1:41">
      <c r="A22" s="164" t="s">
        <v>265</v>
      </c>
      <c r="D22" s="140" t="s">
        <v>266</v>
      </c>
      <c r="F22" s="140" t="s">
        <v>267</v>
      </c>
      <c r="L22" s="164" t="s">
        <v>268</v>
      </c>
      <c r="M22" s="164"/>
      <c r="P22" s="164"/>
    </row>
    <row r="23" spans="1:41">
      <c r="A23" s="33" t="s">
        <v>211</v>
      </c>
      <c r="B23" s="33" t="s">
        <v>269</v>
      </c>
      <c r="C23" s="33" t="s">
        <v>35</v>
      </c>
      <c r="L23" s="33" t="s">
        <v>211</v>
      </c>
    </row>
    <row r="24" spans="1:41">
      <c r="A24" s="33">
        <v>2025</v>
      </c>
      <c r="B24" s="167">
        <f>B25</f>
        <v>0.60000000000000009</v>
      </c>
      <c r="C24" s="33">
        <f>C25</f>
        <v>0.49</v>
      </c>
      <c r="L24" s="33">
        <v>2025</v>
      </c>
      <c r="N24" s="263">
        <f t="shared" ref="N24:N39" si="6">(H5+I5+K5*B24+L5*C24)/J5</f>
        <v>5.2787319162739099E-2</v>
      </c>
    </row>
    <row r="25" spans="1:41">
      <c r="A25" s="33">
        <v>2026</v>
      </c>
      <c r="B25" s="167">
        <f>(0.54*0.5)+(0.66*0.5)</f>
        <v>0.60000000000000009</v>
      </c>
      <c r="C25" s="33">
        <f>(0.49*0.5)+(0.49*0.5)</f>
        <v>0.49</v>
      </c>
      <c r="L25" s="33">
        <v>2026</v>
      </c>
      <c r="N25" s="263">
        <f t="shared" si="6"/>
        <v>6.4089332068279783E-2</v>
      </c>
      <c r="Q25" s="168"/>
    </row>
    <row r="26" spans="1:41">
      <c r="A26" s="33">
        <v>2027</v>
      </c>
      <c r="B26" s="33">
        <f>(0.57*0.5)+(0.69*0.5)</f>
        <v>0.62999999999999989</v>
      </c>
      <c r="C26" s="33">
        <f>(0.51*0.5)+(0.62*0.5)</f>
        <v>0.56499999999999995</v>
      </c>
      <c r="L26" s="33">
        <v>2027</v>
      </c>
      <c r="N26" s="263">
        <f t="shared" si="6"/>
        <v>7.5580722040675494E-2</v>
      </c>
      <c r="Q26" s="168"/>
    </row>
    <row r="27" spans="1:41">
      <c r="A27" s="33">
        <v>2028</v>
      </c>
      <c r="B27" s="33">
        <f>(0.58*0.5)+(0.71*0.5)</f>
        <v>0.64500000000000002</v>
      </c>
      <c r="C27" s="33">
        <f>(0.52*0.5)+(0.64*0.5)</f>
        <v>0.58000000000000007</v>
      </c>
      <c r="L27" s="33">
        <v>2028</v>
      </c>
      <c r="N27" s="263">
        <f t="shared" si="6"/>
        <v>8.6179522162499828E-2</v>
      </c>
      <c r="Q27" s="168"/>
    </row>
    <row r="28" spans="1:41">
      <c r="A28" s="33">
        <v>2029</v>
      </c>
      <c r="B28" s="33">
        <f>(0.6*0.1)+0.73*0.9</f>
        <v>0.71700000000000008</v>
      </c>
      <c r="C28" s="33">
        <f>0.55*0.1+0.67*0.9</f>
        <v>0.65800000000000014</v>
      </c>
      <c r="L28" s="33">
        <v>2029</v>
      </c>
      <c r="N28" s="263">
        <f t="shared" si="6"/>
        <v>9.7753266410346082E-2</v>
      </c>
      <c r="Q28" s="168"/>
    </row>
    <row r="29" spans="1:41">
      <c r="A29" s="33">
        <v>2030</v>
      </c>
      <c r="B29" s="33">
        <f>0.62*0.1+0.75*0.9</f>
        <v>0.7370000000000001</v>
      </c>
      <c r="C29" s="33">
        <f>0.57*0.1+0.69*0.9</f>
        <v>0.67799999999999994</v>
      </c>
      <c r="L29" s="33">
        <v>2030</v>
      </c>
      <c r="N29" s="263">
        <f t="shared" si="6"/>
        <v>0.10770155714763756</v>
      </c>
      <c r="Q29" s="168"/>
    </row>
    <row r="30" spans="1:41">
      <c r="A30" s="33">
        <v>2031</v>
      </c>
      <c r="B30" s="33">
        <f>0.62*0.1+0.77*0.9</f>
        <v>0.75500000000000012</v>
      </c>
      <c r="C30" s="33">
        <f>0.59*0.1+0.72*0.9</f>
        <v>0.70700000000000007</v>
      </c>
      <c r="L30" s="33">
        <v>2031</v>
      </c>
      <c r="N30" s="263">
        <f t="shared" si="6"/>
        <v>0.11722582033992886</v>
      </c>
      <c r="Q30" s="168"/>
    </row>
    <row r="31" spans="1:41">
      <c r="A31" s="33">
        <v>2032</v>
      </c>
      <c r="B31" s="33">
        <f>0.65*0.1+0.79*0.9</f>
        <v>0.77600000000000002</v>
      </c>
      <c r="C31" s="33">
        <f>0.61*0.1+0.74*0.9</f>
        <v>0.72700000000000009</v>
      </c>
      <c r="L31" s="33">
        <v>2032</v>
      </c>
      <c r="N31" s="263">
        <f t="shared" si="6"/>
        <v>0.12629478463698698</v>
      </c>
      <c r="Q31" s="168"/>
    </row>
    <row r="32" spans="1:41">
      <c r="A32" s="33">
        <v>2033</v>
      </c>
      <c r="B32" s="33">
        <f>B31</f>
        <v>0.77600000000000002</v>
      </c>
      <c r="C32" s="33">
        <f>C31</f>
        <v>0.72700000000000009</v>
      </c>
      <c r="L32" s="33">
        <v>2033</v>
      </c>
      <c r="N32" s="263">
        <f t="shared" si="6"/>
        <v>0.13432326202068065</v>
      </c>
      <c r="Q32" s="168"/>
    </row>
    <row r="33" spans="1:41">
      <c r="A33" s="33">
        <v>2034</v>
      </c>
      <c r="B33" s="33">
        <f t="shared" ref="B33:C34" si="7">B32</f>
        <v>0.77600000000000002</v>
      </c>
      <c r="C33" s="33">
        <f t="shared" si="7"/>
        <v>0.72700000000000009</v>
      </c>
      <c r="L33" s="33">
        <v>2034</v>
      </c>
      <c r="N33" s="263">
        <f t="shared" si="6"/>
        <v>0.1418395665517862</v>
      </c>
      <c r="Q33" s="168"/>
    </row>
    <row r="34" spans="1:41">
      <c r="A34" s="33">
        <v>2035</v>
      </c>
      <c r="B34" s="33">
        <f t="shared" si="7"/>
        <v>0.77600000000000002</v>
      </c>
      <c r="C34" s="33">
        <f t="shared" si="7"/>
        <v>0.72700000000000009</v>
      </c>
      <c r="L34" s="33">
        <v>2035</v>
      </c>
      <c r="N34" s="263">
        <f t="shared" si="6"/>
        <v>0.14881949851245854</v>
      </c>
      <c r="Q34" s="168"/>
    </row>
    <row r="35" spans="1:41">
      <c r="A35" s="33">
        <v>2036</v>
      </c>
      <c r="B35" s="33">
        <f>0.79</f>
        <v>0.79</v>
      </c>
      <c r="C35" s="33">
        <f>0.74</f>
        <v>0.74</v>
      </c>
      <c r="L35" s="33">
        <v>2036</v>
      </c>
      <c r="N35" s="263">
        <f t="shared" si="6"/>
        <v>0.15564313994187848</v>
      </c>
      <c r="Q35" s="168"/>
    </row>
    <row r="36" spans="1:41">
      <c r="A36" s="33">
        <v>2037</v>
      </c>
      <c r="B36" s="33">
        <f>B35</f>
        <v>0.79</v>
      </c>
      <c r="C36" s="33">
        <f>C35</f>
        <v>0.74</v>
      </c>
      <c r="L36" s="33">
        <v>2037</v>
      </c>
      <c r="N36" s="263">
        <f t="shared" si="6"/>
        <v>0.16148796043984739</v>
      </c>
      <c r="Q36" s="168"/>
    </row>
    <row r="37" spans="1:41">
      <c r="A37" s="33">
        <v>2038</v>
      </c>
      <c r="B37" s="33">
        <f t="shared" ref="B37:C39" si="8">B36</f>
        <v>0.79</v>
      </c>
      <c r="C37" s="33">
        <f t="shared" si="8"/>
        <v>0.74</v>
      </c>
      <c r="L37" s="33">
        <v>2038</v>
      </c>
      <c r="N37" s="263">
        <f t="shared" si="6"/>
        <v>0.16676140134679324</v>
      </c>
      <c r="Q37" s="168"/>
    </row>
    <row r="38" spans="1:41">
      <c r="A38" s="33">
        <v>2039</v>
      </c>
      <c r="B38" s="33">
        <f t="shared" si="8"/>
        <v>0.79</v>
      </c>
      <c r="C38" s="33">
        <f t="shared" si="8"/>
        <v>0.74</v>
      </c>
      <c r="L38" s="33">
        <v>2039</v>
      </c>
      <c r="N38" s="263">
        <f t="shared" si="6"/>
        <v>0.17149228521211091</v>
      </c>
      <c r="Q38" s="168"/>
    </row>
    <row r="39" spans="1:41">
      <c r="A39" s="33">
        <v>2040</v>
      </c>
      <c r="B39" s="33">
        <f t="shared" si="8"/>
        <v>0.79</v>
      </c>
      <c r="C39" s="33">
        <f t="shared" si="8"/>
        <v>0.74</v>
      </c>
      <c r="L39" s="33">
        <v>2040</v>
      </c>
      <c r="N39" s="263">
        <f t="shared" si="6"/>
        <v>0.17568933934234149</v>
      </c>
      <c r="Q39" s="168"/>
    </row>
    <row r="41" spans="1:41">
      <c r="A41" s="164" t="s">
        <v>504</v>
      </c>
    </row>
    <row r="43" spans="1:41">
      <c r="A43" s="164" t="s">
        <v>255</v>
      </c>
      <c r="D43" s="7" t="s">
        <v>109</v>
      </c>
      <c r="O43" s="7" t="s">
        <v>256</v>
      </c>
      <c r="V43" s="7" t="s">
        <v>257</v>
      </c>
      <c r="AC43" s="7" t="s">
        <v>258</v>
      </c>
      <c r="AJ43" s="7" t="s">
        <v>259</v>
      </c>
    </row>
    <row r="44" spans="1:41">
      <c r="A44" s="33" t="s">
        <v>211</v>
      </c>
      <c r="D44" s="165" t="s">
        <v>211</v>
      </c>
      <c r="E44" s="165" t="s">
        <v>260</v>
      </c>
      <c r="F44" s="165" t="s">
        <v>261</v>
      </c>
      <c r="G44" s="165" t="s">
        <v>122</v>
      </c>
      <c r="H44" s="165" t="s">
        <v>121</v>
      </c>
      <c r="I44" s="165" t="s">
        <v>262</v>
      </c>
      <c r="J44" s="165" t="s">
        <v>49</v>
      </c>
      <c r="K44" s="165" t="s">
        <v>263</v>
      </c>
      <c r="L44" s="165" t="s">
        <v>264</v>
      </c>
      <c r="M44" s="169" t="s">
        <v>272</v>
      </c>
      <c r="O44" s="165" t="s">
        <v>211</v>
      </c>
      <c r="P44" s="165" t="s">
        <v>260</v>
      </c>
      <c r="Q44" s="165" t="s">
        <v>261</v>
      </c>
      <c r="R44" s="165" t="s">
        <v>122</v>
      </c>
      <c r="S44" s="165" t="s">
        <v>121</v>
      </c>
      <c r="T44" s="165" t="s">
        <v>262</v>
      </c>
      <c r="V44" s="165" t="s">
        <v>211</v>
      </c>
      <c r="W44" s="165" t="s">
        <v>260</v>
      </c>
      <c r="X44" s="165" t="s">
        <v>261</v>
      </c>
      <c r="Y44" s="165" t="s">
        <v>122</v>
      </c>
      <c r="Z44" s="165" t="s">
        <v>121</v>
      </c>
      <c r="AA44" s="165" t="s">
        <v>262</v>
      </c>
      <c r="AC44" s="165" t="s">
        <v>211</v>
      </c>
      <c r="AD44" s="165" t="s">
        <v>260</v>
      </c>
      <c r="AE44" s="165" t="s">
        <v>261</v>
      </c>
      <c r="AF44" s="165" t="s">
        <v>122</v>
      </c>
      <c r="AG44" s="165" t="s">
        <v>121</v>
      </c>
      <c r="AH44" s="165" t="s">
        <v>262</v>
      </c>
      <c r="AJ44" s="165" t="s">
        <v>211</v>
      </c>
      <c r="AK44" s="165" t="s">
        <v>260</v>
      </c>
      <c r="AL44" s="165" t="s">
        <v>261</v>
      </c>
      <c r="AM44" s="165" t="s">
        <v>122</v>
      </c>
      <c r="AN44" s="165" t="s">
        <v>121</v>
      </c>
      <c r="AO44" s="165" t="s">
        <v>262</v>
      </c>
    </row>
    <row r="45" spans="1:41">
      <c r="A45" s="33">
        <v>2025</v>
      </c>
      <c r="B45" s="33">
        <f>(G45+H45+I45)/J45</f>
        <v>6.0544482522993645E-2</v>
      </c>
      <c r="D45" s="33">
        <v>2025</v>
      </c>
      <c r="E45" s="166">
        <f t="shared" ref="E45:I60" si="9">P45+W45+AD45+AK45</f>
        <v>24776703.209887635</v>
      </c>
      <c r="F45" s="166">
        <f t="shared" si="9"/>
        <v>132358.96403518482</v>
      </c>
      <c r="G45" s="166">
        <f t="shared" si="9"/>
        <v>489283.38786027883</v>
      </c>
      <c r="H45" s="166">
        <f t="shared" si="9"/>
        <v>1092590.3934144974</v>
      </c>
      <c r="I45" s="166">
        <f t="shared" si="9"/>
        <v>23424.448814275198</v>
      </c>
      <c r="J45" s="166">
        <f>SUM(E45:I45)</f>
        <v>26514360.404011872</v>
      </c>
      <c r="K45" s="166">
        <f>R45</f>
        <v>398711.84329231322</v>
      </c>
      <c r="L45" s="166">
        <f>Y45+AF45+AM45</f>
        <v>90571.544567965611</v>
      </c>
      <c r="M45" s="168">
        <f>G45/J45</f>
        <v>1.8453524067895133E-2</v>
      </c>
      <c r="O45" s="33">
        <v>2025</v>
      </c>
      <c r="P45" s="166">
        <v>12918515.229918949</v>
      </c>
      <c r="Q45" s="166">
        <v>42726.352364996535</v>
      </c>
      <c r="R45" s="166">
        <v>398711.84329231322</v>
      </c>
      <c r="S45" s="166">
        <v>879643.92961959727</v>
      </c>
      <c r="T45" s="166">
        <v>23424.448814275198</v>
      </c>
      <c r="V45" s="33">
        <v>2025</v>
      </c>
      <c r="W45" s="166">
        <v>1290500.8283019124</v>
      </c>
      <c r="X45" s="166">
        <v>611.07494159717533</v>
      </c>
      <c r="Y45" s="166">
        <v>1832.3663233627435</v>
      </c>
      <c r="Z45" s="166">
        <v>9022.4611627572594</v>
      </c>
      <c r="AA45" s="166">
        <v>0</v>
      </c>
      <c r="AC45" s="33">
        <v>2025</v>
      </c>
      <c r="AD45" s="166">
        <v>6340897.0552265421</v>
      </c>
      <c r="AE45" s="166">
        <v>22766.138287385787</v>
      </c>
      <c r="AF45" s="166">
        <v>56763.821399749679</v>
      </c>
      <c r="AG45" s="166">
        <v>118213.58602397214</v>
      </c>
      <c r="AH45" s="166">
        <v>0</v>
      </c>
      <c r="AJ45" s="33">
        <v>2025</v>
      </c>
      <c r="AK45" s="166">
        <v>4226790.0964402305</v>
      </c>
      <c r="AL45" s="166">
        <v>66255.398441205325</v>
      </c>
      <c r="AM45" s="166">
        <v>31975.356844853188</v>
      </c>
      <c r="AN45" s="166">
        <v>85710.416608170795</v>
      </c>
      <c r="AO45" s="166">
        <v>0</v>
      </c>
    </row>
    <row r="46" spans="1:41">
      <c r="A46" s="33">
        <v>2026</v>
      </c>
      <c r="B46" s="33">
        <f t="shared" ref="B46:B60" si="10">(G46+H46+I46)/J46</f>
        <v>8.2262799936481334E-2</v>
      </c>
      <c r="D46" s="33">
        <v>2026</v>
      </c>
      <c r="E46" s="166">
        <f t="shared" si="9"/>
        <v>24358251.597583111</v>
      </c>
      <c r="F46" s="166">
        <f t="shared" si="9"/>
        <v>128719.13071491843</v>
      </c>
      <c r="G46" s="166">
        <f t="shared" si="9"/>
        <v>531006.17768471106</v>
      </c>
      <c r="H46" s="166">
        <f t="shared" si="9"/>
        <v>1636008.2549246952</v>
      </c>
      <c r="I46" s="166">
        <f t="shared" si="9"/>
        <v>27913.237243179738</v>
      </c>
      <c r="J46" s="166">
        <f t="shared" ref="J46:J60" si="11">SUM(E46:I46)</f>
        <v>26681898.398150615</v>
      </c>
      <c r="K46" s="166">
        <f t="shared" ref="K46:K60" si="12">R46</f>
        <v>428546.77918823686</v>
      </c>
      <c r="L46" s="166">
        <f t="shared" ref="L46:L60" si="13">Y46+AF46+AM46</f>
        <v>102459.39849647418</v>
      </c>
      <c r="M46" s="168">
        <f t="shared" ref="M46:M60" si="14">G46/J46</f>
        <v>1.9901364204336986E-2</v>
      </c>
      <c r="O46" s="33">
        <v>2026</v>
      </c>
      <c r="P46" s="166">
        <v>12531615.833533552</v>
      </c>
      <c r="Q46" s="166">
        <v>38852.721891151006</v>
      </c>
      <c r="R46" s="166">
        <v>428546.77918823686</v>
      </c>
      <c r="S46" s="166">
        <v>1270658.2783750868</v>
      </c>
      <c r="T46" s="166">
        <v>27913.237243179738</v>
      </c>
      <c r="V46" s="33">
        <v>2026</v>
      </c>
      <c r="W46" s="166">
        <v>1255928.1391173762</v>
      </c>
      <c r="X46" s="166">
        <v>519.04090892035447</v>
      </c>
      <c r="Y46" s="166">
        <v>2137.799423679789</v>
      </c>
      <c r="Z46" s="166">
        <v>14568.937572198092</v>
      </c>
      <c r="AA46" s="166">
        <v>0</v>
      </c>
      <c r="AC46" s="33">
        <v>2026</v>
      </c>
      <c r="AD46" s="166">
        <v>6385873.097166298</v>
      </c>
      <c r="AE46" s="166">
        <v>23496.413375238317</v>
      </c>
      <c r="AF46" s="166">
        <v>64953.060993853374</v>
      </c>
      <c r="AG46" s="166">
        <v>200987.15446701788</v>
      </c>
      <c r="AH46" s="166">
        <v>0</v>
      </c>
      <c r="AJ46" s="33">
        <v>2026</v>
      </c>
      <c r="AK46" s="166">
        <v>4184834.5277658864</v>
      </c>
      <c r="AL46" s="166">
        <v>65850.954539608749</v>
      </c>
      <c r="AM46" s="166">
        <v>35368.538078941026</v>
      </c>
      <c r="AN46" s="166">
        <v>149793.88451039247</v>
      </c>
      <c r="AO46" s="166">
        <v>0</v>
      </c>
    </row>
    <row r="47" spans="1:41">
      <c r="A47" s="33">
        <v>2027</v>
      </c>
      <c r="B47" s="33">
        <f t="shared" si="10"/>
        <v>0.10782372726973899</v>
      </c>
      <c r="D47" s="33">
        <v>2027</v>
      </c>
      <c r="E47" s="166">
        <f t="shared" si="9"/>
        <v>23836875.914536718</v>
      </c>
      <c r="F47" s="166">
        <f t="shared" si="9"/>
        <v>124344.24742980575</v>
      </c>
      <c r="G47" s="166">
        <f t="shared" si="9"/>
        <v>570978.03985879396</v>
      </c>
      <c r="H47" s="166">
        <f t="shared" si="9"/>
        <v>2292606.4474394666</v>
      </c>
      <c r="I47" s="166">
        <f t="shared" si="9"/>
        <v>32242.432518477417</v>
      </c>
      <c r="J47" s="166">
        <f t="shared" si="11"/>
        <v>26857047.081783265</v>
      </c>
      <c r="K47" s="166">
        <f t="shared" si="12"/>
        <v>456792.23220563011</v>
      </c>
      <c r="L47" s="166">
        <f t="shared" si="13"/>
        <v>114185.80765316376</v>
      </c>
      <c r="M47" s="168">
        <f t="shared" si="14"/>
        <v>2.1259896448038024E-2</v>
      </c>
      <c r="O47" s="33">
        <v>2027</v>
      </c>
      <c r="P47" s="166">
        <v>12123083.143145299</v>
      </c>
      <c r="Q47" s="166">
        <v>34910.664533494062</v>
      </c>
      <c r="R47" s="166">
        <v>456792.23220563011</v>
      </c>
      <c r="S47" s="166">
        <v>1688613.8767302954</v>
      </c>
      <c r="T47" s="166">
        <v>32242.432518477417</v>
      </c>
      <c r="V47" s="33">
        <v>2027</v>
      </c>
      <c r="W47" s="166">
        <v>1213428.617698797</v>
      </c>
      <c r="X47" s="166">
        <v>249.44511959566705</v>
      </c>
      <c r="Y47" s="166">
        <v>2444.4727344431208</v>
      </c>
      <c r="Z47" s="166">
        <v>30570.259529220846</v>
      </c>
      <c r="AA47" s="166">
        <v>0</v>
      </c>
      <c r="AC47" s="33">
        <v>2027</v>
      </c>
      <c r="AD47" s="166">
        <v>6370671.9096745113</v>
      </c>
      <c r="AE47" s="166">
        <v>24098.642933593819</v>
      </c>
      <c r="AF47" s="166">
        <v>73033.143776470839</v>
      </c>
      <c r="AG47" s="166">
        <v>343241.72389307711</v>
      </c>
      <c r="AH47" s="166">
        <v>0</v>
      </c>
      <c r="AJ47" s="33">
        <v>2027</v>
      </c>
      <c r="AK47" s="166">
        <v>4129692.2440181109</v>
      </c>
      <c r="AL47" s="166">
        <v>65085.4948431222</v>
      </c>
      <c r="AM47" s="166">
        <v>38708.191142249809</v>
      </c>
      <c r="AN47" s="166">
        <v>230180.5872868732</v>
      </c>
      <c r="AO47" s="166">
        <v>0</v>
      </c>
    </row>
    <row r="48" spans="1:41">
      <c r="A48" s="33">
        <v>2028</v>
      </c>
      <c r="B48" s="33">
        <f t="shared" si="10"/>
        <v>0.13770527461501947</v>
      </c>
      <c r="D48" s="33">
        <v>2028</v>
      </c>
      <c r="E48" s="166">
        <f t="shared" si="9"/>
        <v>23196402.3087309</v>
      </c>
      <c r="F48" s="166">
        <f t="shared" si="9"/>
        <v>119909.53643594019</v>
      </c>
      <c r="G48" s="166">
        <f t="shared" si="9"/>
        <v>619024.00516214443</v>
      </c>
      <c r="H48" s="166">
        <f t="shared" si="9"/>
        <v>3068072.6813096185</v>
      </c>
      <c r="I48" s="166">
        <f t="shared" si="9"/>
        <v>36431.976207513821</v>
      </c>
      <c r="J48" s="166">
        <f t="shared" si="11"/>
        <v>27039840.507846117</v>
      </c>
      <c r="K48" s="166">
        <f t="shared" si="12"/>
        <v>493498.36020165402</v>
      </c>
      <c r="L48" s="166">
        <f t="shared" si="13"/>
        <v>125525.64496049039</v>
      </c>
      <c r="M48" s="168">
        <f t="shared" si="14"/>
        <v>2.2893034630974359E-2</v>
      </c>
      <c r="O48" s="33">
        <v>2028</v>
      </c>
      <c r="P48" s="166">
        <v>11697022.386880683</v>
      </c>
      <c r="Q48" s="166">
        <v>31009.695020914049</v>
      </c>
      <c r="R48" s="166">
        <v>493498.36020165402</v>
      </c>
      <c r="S48" s="166">
        <v>2120399.8959803432</v>
      </c>
      <c r="T48" s="166">
        <v>36431.976207513821</v>
      </c>
      <c r="V48" s="33">
        <v>2028</v>
      </c>
      <c r="W48" s="166">
        <v>1162967.5921576321</v>
      </c>
      <c r="X48" s="166">
        <v>149.79872247730736</v>
      </c>
      <c r="Y48" s="166">
        <v>2743.496619528546</v>
      </c>
      <c r="Z48" s="166">
        <v>57219.984589455205</v>
      </c>
      <c r="AA48" s="166">
        <v>0</v>
      </c>
      <c r="AC48" s="33">
        <v>2028</v>
      </c>
      <c r="AD48" s="166">
        <v>6269062.5344988452</v>
      </c>
      <c r="AE48" s="166">
        <v>24651.422239729058</v>
      </c>
      <c r="AF48" s="166">
        <v>80940.096213946279</v>
      </c>
      <c r="AG48" s="166">
        <v>570821.33433312678</v>
      </c>
      <c r="AH48" s="166">
        <v>0</v>
      </c>
      <c r="AJ48" s="33">
        <v>2028</v>
      </c>
      <c r="AK48" s="166">
        <v>4067349.7951937397</v>
      </c>
      <c r="AL48" s="166">
        <v>64098.620452819763</v>
      </c>
      <c r="AM48" s="166">
        <v>41842.052127015559</v>
      </c>
      <c r="AN48" s="166">
        <v>319631.46640669322</v>
      </c>
      <c r="AO48" s="166">
        <v>0</v>
      </c>
    </row>
    <row r="49" spans="1:41">
      <c r="A49" s="33">
        <v>2029</v>
      </c>
      <c r="B49" s="33">
        <f t="shared" si="10"/>
        <v>0.1716981420692946</v>
      </c>
      <c r="D49" s="33">
        <v>2029</v>
      </c>
      <c r="E49" s="166">
        <f t="shared" si="9"/>
        <v>22432171.990338426</v>
      </c>
      <c r="F49" s="166">
        <f t="shared" si="9"/>
        <v>115837.00891473406</v>
      </c>
      <c r="G49" s="166">
        <f t="shared" si="9"/>
        <v>663750.28303830884</v>
      </c>
      <c r="H49" s="166">
        <f t="shared" si="9"/>
        <v>3969730.305013279</v>
      </c>
      <c r="I49" s="166">
        <f t="shared" si="9"/>
        <v>40481.223654723712</v>
      </c>
      <c r="J49" s="166">
        <f t="shared" si="11"/>
        <v>27221970.810959477</v>
      </c>
      <c r="K49" s="166">
        <f t="shared" si="12"/>
        <v>527214.9647673195</v>
      </c>
      <c r="L49" s="166">
        <f t="shared" si="13"/>
        <v>136535.31827098937</v>
      </c>
      <c r="M49" s="168">
        <f t="shared" si="14"/>
        <v>2.4382888647102845E-2</v>
      </c>
      <c r="O49" s="33">
        <v>2029</v>
      </c>
      <c r="P49" s="166">
        <v>11131583.871496364</v>
      </c>
      <c r="Q49" s="166">
        <v>27499.229191920404</v>
      </c>
      <c r="R49" s="166">
        <v>527214.9647673195</v>
      </c>
      <c r="S49" s="166">
        <v>2694804.4816669547</v>
      </c>
      <c r="T49" s="166">
        <v>40481.223654723712</v>
      </c>
      <c r="V49" s="33">
        <v>2029</v>
      </c>
      <c r="W49" s="166">
        <v>1115494.4552574311</v>
      </c>
      <c r="X49" s="166">
        <v>78.716039354329141</v>
      </c>
      <c r="Y49" s="166">
        <v>3033.5542609335448</v>
      </c>
      <c r="Z49" s="166">
        <v>82360.83575621435</v>
      </c>
      <c r="AA49" s="166">
        <v>0</v>
      </c>
      <c r="AC49" s="33">
        <v>2029</v>
      </c>
      <c r="AD49" s="166">
        <v>6176303.7601008853</v>
      </c>
      <c r="AE49" s="166">
        <v>25158.716880006399</v>
      </c>
      <c r="AF49" s="166">
        <v>88613.407154408094</v>
      </c>
      <c r="AG49" s="166">
        <v>785557.45995967311</v>
      </c>
      <c r="AH49" s="166">
        <v>0</v>
      </c>
      <c r="AJ49" s="33">
        <v>2029</v>
      </c>
      <c r="AK49" s="166">
        <v>4008789.9034837452</v>
      </c>
      <c r="AL49" s="166">
        <v>63100.346803452929</v>
      </c>
      <c r="AM49" s="166">
        <v>44888.35685564774</v>
      </c>
      <c r="AN49" s="166">
        <v>407007.5276304367</v>
      </c>
      <c r="AO49" s="166">
        <v>0</v>
      </c>
    </row>
    <row r="50" spans="1:41">
      <c r="A50" s="33">
        <v>2030</v>
      </c>
      <c r="B50" s="33">
        <f t="shared" si="10"/>
        <v>0.21037414818617328</v>
      </c>
      <c r="D50" s="33">
        <v>2030</v>
      </c>
      <c r="E50" s="166">
        <f t="shared" si="9"/>
        <v>21528110.095785327</v>
      </c>
      <c r="F50" s="166">
        <f t="shared" si="9"/>
        <v>111384.72941818152</v>
      </c>
      <c r="G50" s="166">
        <f t="shared" si="9"/>
        <v>706139.43458408059</v>
      </c>
      <c r="H50" s="166">
        <f t="shared" si="9"/>
        <v>4972433.4771213252</v>
      </c>
      <c r="I50" s="166">
        <f t="shared" si="9"/>
        <v>86676.896889548938</v>
      </c>
      <c r="J50" s="166">
        <f t="shared" si="11"/>
        <v>27404744.633798461</v>
      </c>
      <c r="K50" s="166">
        <f t="shared" si="12"/>
        <v>559045.22060182178</v>
      </c>
      <c r="L50" s="166">
        <f t="shared" si="13"/>
        <v>147094.21398225872</v>
      </c>
      <c r="M50" s="168">
        <f t="shared" si="14"/>
        <v>2.5767050341830001E-2</v>
      </c>
      <c r="O50" s="33">
        <v>2030</v>
      </c>
      <c r="P50" s="166">
        <v>10485529.017435398</v>
      </c>
      <c r="Q50" s="166">
        <v>23679.854130695032</v>
      </c>
      <c r="R50" s="166">
        <v>559045.22060182178</v>
      </c>
      <c r="S50" s="166">
        <v>3353489.6832251279</v>
      </c>
      <c r="T50" s="166">
        <v>44411.120635644351</v>
      </c>
      <c r="V50" s="33">
        <v>2030</v>
      </c>
      <c r="W50" s="166">
        <v>1068883.7467495939</v>
      </c>
      <c r="X50" s="166">
        <v>24.143087093782242</v>
      </c>
      <c r="Y50" s="166">
        <v>3314.3840439488004</v>
      </c>
      <c r="Z50" s="166">
        <v>107331.39636839479</v>
      </c>
      <c r="AA50" s="166">
        <v>701.51239153767347</v>
      </c>
      <c r="AC50" s="33">
        <v>2030</v>
      </c>
      <c r="AD50" s="166">
        <v>6054346.4356406005</v>
      </c>
      <c r="AE50" s="166">
        <v>25601.131002239134</v>
      </c>
      <c r="AF50" s="166">
        <v>96011.64210140318</v>
      </c>
      <c r="AG50" s="166">
        <v>1009840.0803781326</v>
      </c>
      <c r="AH50" s="166">
        <v>15451.033375123561</v>
      </c>
      <c r="AJ50" s="33">
        <v>2030</v>
      </c>
      <c r="AK50" s="166">
        <v>3919350.8959597345</v>
      </c>
      <c r="AL50" s="166">
        <v>62079.60119815357</v>
      </c>
      <c r="AM50" s="166">
        <v>47768.187836906734</v>
      </c>
      <c r="AN50" s="166">
        <v>501772.31714966969</v>
      </c>
      <c r="AO50" s="166">
        <v>26113.230487243356</v>
      </c>
    </row>
    <row r="51" spans="1:41">
      <c r="A51" s="33">
        <v>2031</v>
      </c>
      <c r="B51" s="33">
        <f t="shared" si="10"/>
        <v>0.25287373902844867</v>
      </c>
      <c r="D51" s="33">
        <v>2031</v>
      </c>
      <c r="E51" s="166">
        <f t="shared" si="9"/>
        <v>20500530.446436629</v>
      </c>
      <c r="F51" s="166">
        <f t="shared" si="9"/>
        <v>108056.26410253101</v>
      </c>
      <c r="G51" s="166">
        <f t="shared" si="9"/>
        <v>745960.57185239193</v>
      </c>
      <c r="H51" s="166">
        <f t="shared" si="9"/>
        <v>6093192.7994951596</v>
      </c>
      <c r="I51" s="166">
        <f t="shared" si="9"/>
        <v>136067.08310314844</v>
      </c>
      <c r="J51" s="166">
        <f t="shared" si="11"/>
        <v>27583807.164989863</v>
      </c>
      <c r="K51" s="166">
        <f t="shared" si="12"/>
        <v>588789.79327560251</v>
      </c>
      <c r="L51" s="166">
        <f t="shared" si="13"/>
        <v>157170.77857678954</v>
      </c>
      <c r="M51" s="168">
        <f t="shared" si="14"/>
        <v>2.7043423244315089E-2</v>
      </c>
      <c r="O51" s="33">
        <v>2031</v>
      </c>
      <c r="P51" s="166">
        <v>9735921.5393417552</v>
      </c>
      <c r="Q51" s="166">
        <v>20980.505898821903</v>
      </c>
      <c r="R51" s="166">
        <v>588789.79327560251</v>
      </c>
      <c r="S51" s="166">
        <v>4119150.5724902381</v>
      </c>
      <c r="T51" s="166">
        <v>48180.381623278154</v>
      </c>
      <c r="V51" s="33">
        <v>2031</v>
      </c>
      <c r="W51" s="166">
        <v>1020841.3124327653</v>
      </c>
      <c r="X51" s="166">
        <v>10.730832688880678</v>
      </c>
      <c r="Y51" s="166">
        <v>3585.8472419385203</v>
      </c>
      <c r="Z51" s="166">
        <v>135021.17100594044</v>
      </c>
      <c r="AA51" s="166">
        <v>1319.8039475343016</v>
      </c>
      <c r="AC51" s="33">
        <v>2031</v>
      </c>
      <c r="AD51" s="166">
        <v>5914059.0353554133</v>
      </c>
      <c r="AE51" s="166">
        <v>25996.439133882483</v>
      </c>
      <c r="AF51" s="166">
        <v>103051.87491479155</v>
      </c>
      <c r="AG51" s="166">
        <v>1243198.9619441135</v>
      </c>
      <c r="AH51" s="166">
        <v>31846.435872628652</v>
      </c>
      <c r="AJ51" s="33">
        <v>2031</v>
      </c>
      <c r="AK51" s="166">
        <v>3829708.5593066951</v>
      </c>
      <c r="AL51" s="166">
        <v>61068.588237137752</v>
      </c>
      <c r="AM51" s="166">
        <v>50533.05642005946</v>
      </c>
      <c r="AN51" s="166">
        <v>595822.09405486716</v>
      </c>
      <c r="AO51" s="166">
        <v>54720.461659707333</v>
      </c>
    </row>
    <row r="52" spans="1:41">
      <c r="A52" s="33">
        <v>2032</v>
      </c>
      <c r="B52" s="33">
        <f t="shared" si="10"/>
        <v>0.29756686561917234</v>
      </c>
      <c r="D52" s="33">
        <v>2032</v>
      </c>
      <c r="E52" s="166">
        <f t="shared" si="9"/>
        <v>19394445.795138117</v>
      </c>
      <c r="F52" s="166">
        <f t="shared" si="9"/>
        <v>104485.24085573354</v>
      </c>
      <c r="G52" s="166">
        <f t="shared" si="9"/>
        <v>783235.40810996387</v>
      </c>
      <c r="H52" s="166">
        <f t="shared" si="9"/>
        <v>7292853.8053018451</v>
      </c>
      <c r="I52" s="166">
        <f t="shared" si="9"/>
        <v>184107.39080956846</v>
      </c>
      <c r="J52" s="166">
        <f t="shared" si="11"/>
        <v>27759127.640215229</v>
      </c>
      <c r="K52" s="166">
        <f t="shared" si="12"/>
        <v>616571.33069773694</v>
      </c>
      <c r="L52" s="166">
        <f t="shared" si="13"/>
        <v>166664.07741222696</v>
      </c>
      <c r="M52" s="168">
        <f t="shared" si="14"/>
        <v>2.8215418663779416E-2</v>
      </c>
      <c r="O52" s="33">
        <v>2032</v>
      </c>
      <c r="P52" s="166">
        <v>8984551.6916084606</v>
      </c>
      <c r="Q52" s="166">
        <v>18101.28363375628</v>
      </c>
      <c r="R52" s="166">
        <v>616571.33069773694</v>
      </c>
      <c r="S52" s="166">
        <v>4889593.2615370359</v>
      </c>
      <c r="T52" s="166">
        <v>51759.644634271761</v>
      </c>
      <c r="V52" s="33">
        <v>2032</v>
      </c>
      <c r="W52" s="166">
        <v>962487.92272567353</v>
      </c>
      <c r="X52" s="166">
        <v>6.6336080672747633</v>
      </c>
      <c r="Y52" s="166">
        <v>3846.9453258148083</v>
      </c>
      <c r="Z52" s="166">
        <v>175381.16717345189</v>
      </c>
      <c r="AA52" s="166">
        <v>1934.0689051256843</v>
      </c>
      <c r="AC52" s="33">
        <v>2032</v>
      </c>
      <c r="AD52" s="166">
        <v>5710056.9592916798</v>
      </c>
      <c r="AE52" s="166">
        <v>26333.846861590468</v>
      </c>
      <c r="AF52" s="166">
        <v>109714.92053938036</v>
      </c>
      <c r="AG52" s="166">
        <v>1533791.0694564588</v>
      </c>
      <c r="AH52" s="166">
        <v>47668.184957182035</v>
      </c>
      <c r="AJ52" s="33">
        <v>2032</v>
      </c>
      <c r="AK52" s="166">
        <v>3737349.2215123023</v>
      </c>
      <c r="AL52" s="166">
        <v>60043.476752319526</v>
      </c>
      <c r="AM52" s="166">
        <v>53102.211547031788</v>
      </c>
      <c r="AN52" s="166">
        <v>694088.3071348985</v>
      </c>
      <c r="AO52" s="166">
        <v>82745.492312988979</v>
      </c>
    </row>
    <row r="53" spans="1:41">
      <c r="A53" s="33">
        <v>2033</v>
      </c>
      <c r="B53" s="33">
        <f t="shared" si="10"/>
        <v>0.34449327776169147</v>
      </c>
      <c r="D53" s="33">
        <v>2033</v>
      </c>
      <c r="E53" s="166">
        <f t="shared" si="9"/>
        <v>18206638.788097315</v>
      </c>
      <c r="F53" s="166">
        <f t="shared" si="9"/>
        <v>101534.65060961863</v>
      </c>
      <c r="G53" s="166">
        <f t="shared" si="9"/>
        <v>817941.90649227088</v>
      </c>
      <c r="H53" s="166">
        <f t="shared" si="9"/>
        <v>8572514.2263200376</v>
      </c>
      <c r="I53" s="166">
        <f t="shared" si="9"/>
        <v>231173.15604305803</v>
      </c>
      <c r="J53" s="166">
        <f t="shared" si="11"/>
        <v>27929802.727562297</v>
      </c>
      <c r="K53" s="166">
        <f t="shared" si="12"/>
        <v>642403.72691088193</v>
      </c>
      <c r="L53" s="166">
        <f t="shared" si="13"/>
        <v>175538.17958138898</v>
      </c>
      <c r="M53" s="168">
        <f t="shared" si="14"/>
        <v>2.9285631354821266E-2</v>
      </c>
      <c r="O53" s="33">
        <v>2033</v>
      </c>
      <c r="P53" s="166">
        <v>8241738.6386171849</v>
      </c>
      <c r="Q53" s="166">
        <v>15888.314297636538</v>
      </c>
      <c r="R53" s="166">
        <v>642403.72691088193</v>
      </c>
      <c r="S53" s="166">
        <v>5656011.8849921795</v>
      </c>
      <c r="T53" s="166">
        <v>55141.531635769956</v>
      </c>
      <c r="V53" s="33">
        <v>2033</v>
      </c>
      <c r="W53" s="166">
        <v>901275.73737651377</v>
      </c>
      <c r="X53" s="166">
        <v>6.3253928306389025</v>
      </c>
      <c r="Y53" s="166">
        <v>4096.2036833488482</v>
      </c>
      <c r="Z53" s="166">
        <v>221095.54760179986</v>
      </c>
      <c r="AA53" s="166">
        <v>2545.4681230255906</v>
      </c>
      <c r="AC53" s="33">
        <v>2033</v>
      </c>
      <c r="AD53" s="166">
        <v>5434649.1501896549</v>
      </c>
      <c r="AE53" s="166">
        <v>26636.387423854529</v>
      </c>
      <c r="AF53" s="166">
        <v>115930.55732038608</v>
      </c>
      <c r="AG53" s="166">
        <v>1886590.1627806872</v>
      </c>
      <c r="AH53" s="166">
        <v>63201.901283511012</v>
      </c>
      <c r="AJ53" s="33">
        <v>2033</v>
      </c>
      <c r="AK53" s="166">
        <v>3628975.2619139627</v>
      </c>
      <c r="AL53" s="166">
        <v>59003.623495296932</v>
      </c>
      <c r="AM53" s="166">
        <v>55511.418577654033</v>
      </c>
      <c r="AN53" s="166">
        <v>808816.63094537123</v>
      </c>
      <c r="AO53" s="166">
        <v>110284.25500075148</v>
      </c>
    </row>
    <row r="54" spans="1:41">
      <c r="A54" s="33">
        <v>2034</v>
      </c>
      <c r="B54" s="33">
        <f t="shared" si="10"/>
        <v>0.39364428455938061</v>
      </c>
      <c r="D54" s="33">
        <v>2034</v>
      </c>
      <c r="E54" s="166">
        <f t="shared" si="9"/>
        <v>16940342.314695295</v>
      </c>
      <c r="F54" s="166">
        <f t="shared" si="9"/>
        <v>93841.283380101449</v>
      </c>
      <c r="G54" s="166">
        <f t="shared" si="9"/>
        <v>866792.47351422952</v>
      </c>
      <c r="H54" s="166">
        <f t="shared" si="9"/>
        <v>9913628.3241818734</v>
      </c>
      <c r="I54" s="166">
        <f t="shared" si="9"/>
        <v>278119.33768452634</v>
      </c>
      <c r="J54" s="166">
        <f t="shared" si="11"/>
        <v>28092723.733456027</v>
      </c>
      <c r="K54" s="166">
        <f t="shared" si="12"/>
        <v>655837.78360240336</v>
      </c>
      <c r="L54" s="166">
        <f t="shared" si="13"/>
        <v>210954.68991182619</v>
      </c>
      <c r="M54" s="168">
        <f t="shared" si="14"/>
        <v>3.0854696815387609E-2</v>
      </c>
      <c r="O54" s="33">
        <v>2034</v>
      </c>
      <c r="P54" s="166">
        <v>7514553.76124126</v>
      </c>
      <c r="Q54" s="166">
        <v>13862.954026968246</v>
      </c>
      <c r="R54" s="166">
        <v>655837.78360240336</v>
      </c>
      <c r="S54" s="166">
        <v>6419772.954623742</v>
      </c>
      <c r="T54" s="166">
        <v>58317.20839077689</v>
      </c>
      <c r="V54" s="33">
        <v>2034</v>
      </c>
      <c r="W54" s="166">
        <v>836585.56863248092</v>
      </c>
      <c r="X54" s="166">
        <v>6.0081807293310456</v>
      </c>
      <c r="Y54" s="166">
        <v>4332.8189701200918</v>
      </c>
      <c r="Z54" s="166">
        <v>270153.36200620979</v>
      </c>
      <c r="AA54" s="166">
        <v>3154.883284044965</v>
      </c>
      <c r="AC54" s="33">
        <v>2034</v>
      </c>
      <c r="AD54" s="166">
        <v>5108515.3338666195</v>
      </c>
      <c r="AE54" s="166">
        <v>24962.433219750063</v>
      </c>
      <c r="AF54" s="166">
        <v>121698.17940123973</v>
      </c>
      <c r="AG54" s="166">
        <v>2285354.4375002026</v>
      </c>
      <c r="AH54" s="166">
        <v>78680.69065946342</v>
      </c>
      <c r="AJ54" s="33">
        <v>2034</v>
      </c>
      <c r="AK54" s="166">
        <v>3480687.6509549366</v>
      </c>
      <c r="AL54" s="166">
        <v>55009.887952653808</v>
      </c>
      <c r="AM54" s="166">
        <v>84923.691540466374</v>
      </c>
      <c r="AN54" s="166">
        <v>938347.57005171757</v>
      </c>
      <c r="AO54" s="166">
        <v>137966.55535024108</v>
      </c>
    </row>
    <row r="55" spans="1:41">
      <c r="A55" s="33">
        <v>2035</v>
      </c>
      <c r="B55" s="33">
        <f t="shared" si="10"/>
        <v>0.44469863307260099</v>
      </c>
      <c r="D55" s="33">
        <v>2035</v>
      </c>
      <c r="E55" s="166">
        <f t="shared" si="9"/>
        <v>15601087.509355105</v>
      </c>
      <c r="F55" s="166">
        <f t="shared" si="9"/>
        <v>86801.780267498922</v>
      </c>
      <c r="G55" s="166">
        <f t="shared" si="9"/>
        <v>1000783.5970133834</v>
      </c>
      <c r="H55" s="166">
        <f t="shared" si="9"/>
        <v>11238103.219281046</v>
      </c>
      <c r="I55" s="166">
        <f t="shared" si="9"/>
        <v>324350.62266828306</v>
      </c>
      <c r="J55" s="166">
        <f t="shared" si="11"/>
        <v>28251126.728585318</v>
      </c>
      <c r="K55" s="166">
        <f t="shared" si="12"/>
        <v>668589.91488842026</v>
      </c>
      <c r="L55" s="166">
        <f t="shared" si="13"/>
        <v>332193.68212496315</v>
      </c>
      <c r="M55" s="168">
        <f t="shared" si="14"/>
        <v>3.5424555155910337E-2</v>
      </c>
      <c r="O55" s="33">
        <v>2035</v>
      </c>
      <c r="P55" s="166">
        <v>6815685.4779956751</v>
      </c>
      <c r="Q55" s="166">
        <v>12026.129407857405</v>
      </c>
      <c r="R55" s="166">
        <v>668589.91488842026</v>
      </c>
      <c r="S55" s="166">
        <v>7156421.2935512625</v>
      </c>
      <c r="T55" s="166">
        <v>61278.867256565733</v>
      </c>
      <c r="V55" s="33">
        <v>2035</v>
      </c>
      <c r="W55" s="166">
        <v>775884.76243992324</v>
      </c>
      <c r="X55" s="166">
        <v>5.697553242339378</v>
      </c>
      <c r="Y55" s="166">
        <v>4556.6869563162472</v>
      </c>
      <c r="Z55" s="166">
        <v>317879.6926871707</v>
      </c>
      <c r="AA55" s="166">
        <v>3757.7832131863684</v>
      </c>
      <c r="AC55" s="33">
        <v>2035</v>
      </c>
      <c r="AD55" s="166">
        <v>4754803.4042727342</v>
      </c>
      <c r="AE55" s="166">
        <v>23501.70371651485</v>
      </c>
      <c r="AF55" s="166">
        <v>140184.27950312459</v>
      </c>
      <c r="AG55" s="166">
        <v>2691439.0939928284</v>
      </c>
      <c r="AH55" s="166">
        <v>93999.404930967226</v>
      </c>
      <c r="AJ55" s="33">
        <v>2035</v>
      </c>
      <c r="AK55" s="166">
        <v>3254713.8646467738</v>
      </c>
      <c r="AL55" s="166">
        <v>51268.249589884319</v>
      </c>
      <c r="AM55" s="166">
        <v>187452.71566552229</v>
      </c>
      <c r="AN55" s="166">
        <v>1072363.139049785</v>
      </c>
      <c r="AO55" s="166">
        <v>165314.56726756372</v>
      </c>
    </row>
    <row r="56" spans="1:41">
      <c r="A56" s="33">
        <v>2036</v>
      </c>
      <c r="B56" s="33">
        <f t="shared" si="10"/>
        <v>0.49329713523680352</v>
      </c>
      <c r="D56" s="33">
        <v>2036</v>
      </c>
      <c r="E56" s="166">
        <f t="shared" si="9"/>
        <v>14313021.290750789</v>
      </c>
      <c r="F56" s="166">
        <f t="shared" si="9"/>
        <v>80061.739206403756</v>
      </c>
      <c r="G56" s="166">
        <f t="shared" si="9"/>
        <v>1124869.4667693209</v>
      </c>
      <c r="H56" s="166">
        <f t="shared" si="9"/>
        <v>12517966.888379484</v>
      </c>
      <c r="I56" s="166">
        <f t="shared" si="9"/>
        <v>369451.94959858258</v>
      </c>
      <c r="J56" s="166">
        <f t="shared" si="11"/>
        <v>28405371.334704582</v>
      </c>
      <c r="K56" s="166">
        <f t="shared" si="12"/>
        <v>679599.34659660934</v>
      </c>
      <c r="L56" s="166">
        <f t="shared" si="13"/>
        <v>445270.1201727115</v>
      </c>
      <c r="M56" s="168">
        <f t="shared" si="14"/>
        <v>3.9600590096669462E-2</v>
      </c>
      <c r="O56" s="33">
        <v>2036</v>
      </c>
      <c r="P56" s="166">
        <v>6147735.0531260353</v>
      </c>
      <c r="Q56" s="166">
        <v>10372.88433357802</v>
      </c>
      <c r="R56" s="166">
        <v>679599.34659660934</v>
      </c>
      <c r="S56" s="166">
        <v>7865235.6762113636</v>
      </c>
      <c r="T56" s="166">
        <v>64022.155356946161</v>
      </c>
      <c r="V56" s="33">
        <v>2036</v>
      </c>
      <c r="W56" s="166">
        <v>716378.01567114308</v>
      </c>
      <c r="X56" s="166">
        <v>4.7889364026947092</v>
      </c>
      <c r="Y56" s="166">
        <v>4768.0324596961182</v>
      </c>
      <c r="Z56" s="166">
        <v>364843.98570466175</v>
      </c>
      <c r="AA56" s="166">
        <v>4346.0384873646344</v>
      </c>
      <c r="AC56" s="33">
        <v>2036</v>
      </c>
      <c r="AD56" s="166">
        <v>4408477.8310460187</v>
      </c>
      <c r="AE56" s="166">
        <v>22080.109643119737</v>
      </c>
      <c r="AF56" s="166">
        <v>156683.78013915539</v>
      </c>
      <c r="AG56" s="166">
        <v>3086193.5287347441</v>
      </c>
      <c r="AH56" s="166">
        <v>109085.49500129762</v>
      </c>
      <c r="AJ56" s="33">
        <v>2036</v>
      </c>
      <c r="AK56" s="166">
        <v>3040430.3909075907</v>
      </c>
      <c r="AL56" s="166">
        <v>47603.956293303301</v>
      </c>
      <c r="AM56" s="166">
        <v>283818.30757385999</v>
      </c>
      <c r="AN56" s="166">
        <v>1201693.6977287168</v>
      </c>
      <c r="AO56" s="166">
        <v>191998.26075297419</v>
      </c>
    </row>
    <row r="57" spans="1:41">
      <c r="A57" s="33">
        <v>2037</v>
      </c>
      <c r="B57" s="33">
        <f t="shared" si="10"/>
        <v>0.53957768799651995</v>
      </c>
      <c r="D57" s="33">
        <v>2037</v>
      </c>
      <c r="E57" s="166">
        <f t="shared" si="9"/>
        <v>13076671.281459153</v>
      </c>
      <c r="F57" s="166">
        <f t="shared" si="9"/>
        <v>73694.489314908729</v>
      </c>
      <c r="G57" s="166">
        <f t="shared" si="9"/>
        <v>1245449.7747070775</v>
      </c>
      <c r="H57" s="166">
        <f t="shared" si="9"/>
        <v>13752224.817578169</v>
      </c>
      <c r="I57" s="166">
        <f t="shared" si="9"/>
        <v>413489.84070428624</v>
      </c>
      <c r="J57" s="166">
        <f t="shared" si="11"/>
        <v>28561530.203763589</v>
      </c>
      <c r="K57" s="166">
        <f t="shared" si="12"/>
        <v>689174.52754153858</v>
      </c>
      <c r="L57" s="166">
        <f t="shared" si="13"/>
        <v>556275.24716553907</v>
      </c>
      <c r="M57" s="168">
        <f t="shared" si="14"/>
        <v>4.3605849050166193E-2</v>
      </c>
      <c r="O57" s="33">
        <v>2037</v>
      </c>
      <c r="P57" s="166">
        <v>5517819.1686304891</v>
      </c>
      <c r="Q57" s="166">
        <v>8942.4486933270182</v>
      </c>
      <c r="R57" s="166">
        <v>689174.52754153858</v>
      </c>
      <c r="S57" s="166">
        <v>8543614.6178545654</v>
      </c>
      <c r="T57" s="166">
        <v>66544.897905731865</v>
      </c>
      <c r="V57" s="33">
        <v>2037</v>
      </c>
      <c r="W57" s="166">
        <v>660075.07438096951</v>
      </c>
      <c r="X57" s="166">
        <v>4.5301731789773809</v>
      </c>
      <c r="Y57" s="166">
        <v>4966.641956438395</v>
      </c>
      <c r="Z57" s="166">
        <v>410843.23900323175</v>
      </c>
      <c r="AA57" s="166">
        <v>4919.4613926842667</v>
      </c>
      <c r="AC57" s="33">
        <v>2037</v>
      </c>
      <c r="AD57" s="166">
        <v>4067699.6386762988</v>
      </c>
      <c r="AE57" s="166">
        <v>20700.100063461301</v>
      </c>
      <c r="AF57" s="166">
        <v>172465.04912586001</v>
      </c>
      <c r="AG57" s="166">
        <v>3470960.2427246063</v>
      </c>
      <c r="AH57" s="166">
        <v>123975.71089142816</v>
      </c>
      <c r="AJ57" s="33">
        <v>2037</v>
      </c>
      <c r="AK57" s="166">
        <v>2831077.3997713951</v>
      </c>
      <c r="AL57" s="166">
        <v>44047.410384941431</v>
      </c>
      <c r="AM57" s="166">
        <v>378843.5560832406</v>
      </c>
      <c r="AN57" s="166">
        <v>1326806.7179957642</v>
      </c>
      <c r="AO57" s="166">
        <v>218049.77051444192</v>
      </c>
    </row>
    <row r="58" spans="1:41">
      <c r="A58" s="33">
        <v>2038</v>
      </c>
      <c r="B58" s="33">
        <f t="shared" si="10"/>
        <v>0.58344572692926089</v>
      </c>
      <c r="D58" s="33">
        <v>2038</v>
      </c>
      <c r="E58" s="166">
        <f t="shared" si="9"/>
        <v>11894228.651540894</v>
      </c>
      <c r="F58" s="166">
        <f t="shared" si="9"/>
        <v>67679.882668217906</v>
      </c>
      <c r="G58" s="166">
        <f t="shared" si="9"/>
        <v>1362106.5369407118</v>
      </c>
      <c r="H58" s="166">
        <f t="shared" si="9"/>
        <v>14936090.416091394</v>
      </c>
      <c r="I58" s="166">
        <f t="shared" si="9"/>
        <v>456221.06974921527</v>
      </c>
      <c r="J58" s="166">
        <f t="shared" si="11"/>
        <v>28716326.55699043</v>
      </c>
      <c r="K58" s="166">
        <f t="shared" si="12"/>
        <v>697323.51000018045</v>
      </c>
      <c r="L58" s="166">
        <f t="shared" si="13"/>
        <v>664783.02694053121</v>
      </c>
      <c r="M58" s="168">
        <f t="shared" si="14"/>
        <v>4.7433174791262897E-2</v>
      </c>
      <c r="O58" s="33">
        <v>2038</v>
      </c>
      <c r="P58" s="166">
        <v>4925401.7028483506</v>
      </c>
      <c r="Q58" s="166">
        <v>7726.8136797302104</v>
      </c>
      <c r="R58" s="166">
        <v>697323.51000018045</v>
      </c>
      <c r="S58" s="166">
        <v>9189237.9702265542</v>
      </c>
      <c r="T58" s="166">
        <v>68849.577913661473</v>
      </c>
      <c r="V58" s="33">
        <v>2038</v>
      </c>
      <c r="W58" s="166">
        <v>605668.77575981908</v>
      </c>
      <c r="X58" s="166">
        <v>4.2633270736108031</v>
      </c>
      <c r="Y58" s="166">
        <v>5152.2991127924442</v>
      </c>
      <c r="Z58" s="166">
        <v>455555.09925906942</v>
      </c>
      <c r="AA58" s="166">
        <v>5477.7579588903318</v>
      </c>
      <c r="AC58" s="33">
        <v>2038</v>
      </c>
      <c r="AD58" s="166">
        <v>3734634.3579388019</v>
      </c>
      <c r="AE58" s="166">
        <v>19336.865367830389</v>
      </c>
      <c r="AF58" s="166">
        <v>187550.25858012569</v>
      </c>
      <c r="AG58" s="166">
        <v>3844025.511336701</v>
      </c>
      <c r="AH58" s="166">
        <v>138582.70472351118</v>
      </c>
      <c r="AJ58" s="33">
        <v>2038</v>
      </c>
      <c r="AK58" s="166">
        <v>2628523.8149939212</v>
      </c>
      <c r="AL58" s="166">
        <v>40611.940293583699</v>
      </c>
      <c r="AM58" s="166">
        <v>472080.46924761304</v>
      </c>
      <c r="AN58" s="166">
        <v>1447271.8352690691</v>
      </c>
      <c r="AO58" s="166">
        <v>243311.02915315231</v>
      </c>
    </row>
    <row r="59" spans="1:41">
      <c r="A59" s="33">
        <v>2039</v>
      </c>
      <c r="B59" s="33">
        <f t="shared" si="10"/>
        <v>0.62489609693935222</v>
      </c>
      <c r="D59" s="33">
        <v>2039</v>
      </c>
      <c r="E59" s="166">
        <f t="shared" si="9"/>
        <v>10766558.589725638</v>
      </c>
      <c r="F59" s="166">
        <f t="shared" si="9"/>
        <v>61932.471578863617</v>
      </c>
      <c r="G59" s="166">
        <f t="shared" si="9"/>
        <v>1475742.8566659703</v>
      </c>
      <c r="H59" s="166">
        <f t="shared" si="9"/>
        <v>16066056.054796005</v>
      </c>
      <c r="I59" s="166">
        <f t="shared" si="9"/>
        <v>497687.60077991989</v>
      </c>
      <c r="J59" s="166">
        <f t="shared" si="11"/>
        <v>28867977.573546398</v>
      </c>
      <c r="K59" s="166">
        <f t="shared" si="12"/>
        <v>704241.34874797077</v>
      </c>
      <c r="L59" s="166">
        <f t="shared" si="13"/>
        <v>771501.50791799952</v>
      </c>
      <c r="M59" s="168">
        <f t="shared" si="14"/>
        <v>5.1120410250640118E-2</v>
      </c>
      <c r="O59" s="33">
        <v>2039</v>
      </c>
      <c r="P59" s="166">
        <v>4371652.6139740907</v>
      </c>
      <c r="Q59" s="166">
        <v>6699.156273280214</v>
      </c>
      <c r="R59" s="166">
        <v>704241.34874797077</v>
      </c>
      <c r="S59" s="166">
        <v>9799812.2059979942</v>
      </c>
      <c r="T59" s="166">
        <v>70939.725392105931</v>
      </c>
      <c r="V59" s="33">
        <v>2039</v>
      </c>
      <c r="W59" s="166">
        <v>553812.26721975335</v>
      </c>
      <c r="X59" s="166">
        <v>3.9901642693533117</v>
      </c>
      <c r="Y59" s="166">
        <v>5324.6357609466859</v>
      </c>
      <c r="Z59" s="166">
        <v>498810.97666950448</v>
      </c>
      <c r="AA59" s="166">
        <v>6022.8094496509593</v>
      </c>
      <c r="AC59" s="33">
        <v>2039</v>
      </c>
      <c r="AD59" s="166">
        <v>3412783.5524957879</v>
      </c>
      <c r="AE59" s="166">
        <v>17988.612267947017</v>
      </c>
      <c r="AF59" s="166">
        <v>202107.71461094776</v>
      </c>
      <c r="AG59" s="166">
        <v>4204456.9471870922</v>
      </c>
      <c r="AH59" s="166">
        <v>152837.43826238019</v>
      </c>
      <c r="AJ59" s="33">
        <v>2039</v>
      </c>
      <c r="AK59" s="166">
        <v>2428310.1560360058</v>
      </c>
      <c r="AL59" s="166">
        <v>37240.712873367032</v>
      </c>
      <c r="AM59" s="166">
        <v>564069.1575461051</v>
      </c>
      <c r="AN59" s="166">
        <v>1562975.9249414124</v>
      </c>
      <c r="AO59" s="166">
        <v>267887.62767578283</v>
      </c>
    </row>
    <row r="60" spans="1:41">
      <c r="A60" s="33">
        <v>2040</v>
      </c>
      <c r="B60" s="33">
        <f t="shared" si="10"/>
        <v>0.66379518604666532</v>
      </c>
      <c r="D60" s="33">
        <v>2040</v>
      </c>
      <c r="E60" s="166">
        <f t="shared" si="9"/>
        <v>9698988.7286072485</v>
      </c>
      <c r="F60" s="166">
        <f t="shared" si="9"/>
        <v>56513.354128712745</v>
      </c>
      <c r="G60" s="166">
        <f t="shared" si="9"/>
        <v>1586209.0565874304</v>
      </c>
      <c r="H60" s="166">
        <f t="shared" si="9"/>
        <v>17137566.006721824</v>
      </c>
      <c r="I60" s="166">
        <f t="shared" si="9"/>
        <v>537267.76306493627</v>
      </c>
      <c r="J60" s="166">
        <f t="shared" si="11"/>
        <v>29016544.909110151</v>
      </c>
      <c r="K60" s="166">
        <f t="shared" si="12"/>
        <v>710065.16857411573</v>
      </c>
      <c r="L60" s="166">
        <f t="shared" si="13"/>
        <v>876143.88801331469</v>
      </c>
      <c r="M60" s="168">
        <f t="shared" si="14"/>
        <v>5.4665676480641835E-2</v>
      </c>
      <c r="O60" s="33">
        <v>2040</v>
      </c>
      <c r="P60" s="166">
        <v>3855904.0112638213</v>
      </c>
      <c r="Q60" s="166">
        <v>5773.6079507723634</v>
      </c>
      <c r="R60" s="166">
        <v>710065.16857411573</v>
      </c>
      <c r="S60" s="166">
        <v>10373311.648104774</v>
      </c>
      <c r="T60" s="166">
        <v>72823.585541530047</v>
      </c>
      <c r="V60" s="33">
        <v>2040</v>
      </c>
      <c r="W60" s="166">
        <v>505267.57376153831</v>
      </c>
      <c r="X60" s="166">
        <v>3.7251022750973366</v>
      </c>
      <c r="Y60" s="166">
        <v>5483.6622301212828</v>
      </c>
      <c r="Z60" s="166">
        <v>540507.09029902006</v>
      </c>
      <c r="AA60" s="166">
        <v>6546.6229894277731</v>
      </c>
      <c r="AC60" s="33">
        <v>2040</v>
      </c>
      <c r="AD60" s="166">
        <v>3102537.4119258565</v>
      </c>
      <c r="AE60" s="166">
        <v>16653.499997659212</v>
      </c>
      <c r="AF60" s="166">
        <v>216136.45221183111</v>
      </c>
      <c r="AG60" s="166">
        <v>4550416.171908834</v>
      </c>
      <c r="AH60" s="166">
        <v>166531.75209537463</v>
      </c>
      <c r="AJ60" s="33">
        <v>2040</v>
      </c>
      <c r="AK60" s="166">
        <v>2235279.7316560308</v>
      </c>
      <c r="AL60" s="166">
        <v>34082.521078006073</v>
      </c>
      <c r="AM60" s="166">
        <v>654523.77357136225</v>
      </c>
      <c r="AN60" s="166">
        <v>1673331.0964091972</v>
      </c>
      <c r="AO60" s="166">
        <v>291365.80243860389</v>
      </c>
    </row>
    <row r="61" spans="1:41">
      <c r="P61" s="166"/>
      <c r="Q61" s="166"/>
      <c r="R61" s="166"/>
      <c r="S61" s="166"/>
      <c r="T61" s="166"/>
      <c r="W61" s="166"/>
      <c r="X61" s="166"/>
      <c r="Y61" s="166"/>
      <c r="Z61" s="166"/>
      <c r="AA61" s="166"/>
      <c r="AD61" s="166"/>
      <c r="AE61" s="166"/>
      <c r="AF61" s="166"/>
      <c r="AG61" s="166"/>
      <c r="AH61" s="166"/>
      <c r="AK61" s="166"/>
      <c r="AL61" s="166"/>
      <c r="AM61" s="166"/>
      <c r="AN61" s="166"/>
      <c r="AO61" s="166"/>
    </row>
    <row r="62" spans="1:41">
      <c r="A62" s="164" t="s">
        <v>265</v>
      </c>
      <c r="D62" s="140" t="s">
        <v>266</v>
      </c>
      <c r="F62" s="140" t="s">
        <v>267</v>
      </c>
      <c r="L62" s="164" t="s">
        <v>268</v>
      </c>
      <c r="M62" s="164"/>
      <c r="P62" s="164" t="s">
        <v>270</v>
      </c>
    </row>
    <row r="63" spans="1:41">
      <c r="A63" s="33" t="s">
        <v>211</v>
      </c>
      <c r="B63" s="33" t="s">
        <v>269</v>
      </c>
      <c r="C63" s="33" t="s">
        <v>35</v>
      </c>
      <c r="D63" s="33" t="s">
        <v>109</v>
      </c>
      <c r="L63" s="33" t="s">
        <v>211</v>
      </c>
      <c r="P63" s="33" t="s">
        <v>211</v>
      </c>
    </row>
    <row r="64" spans="1:41">
      <c r="A64" s="33">
        <v>2025</v>
      </c>
      <c r="B64" s="167">
        <f>B65</f>
        <v>0.60000000000000009</v>
      </c>
      <c r="C64" s="167">
        <f>C65</f>
        <v>0.49</v>
      </c>
      <c r="L64" s="33">
        <v>2025</v>
      </c>
      <c r="N64" s="168">
        <f t="shared" ref="N64:N79" si="15">(H45+I45+K45*B64+L45*C64)/J45</f>
        <v>5.2787319162738988E-2</v>
      </c>
      <c r="P64" s="33">
        <v>2025</v>
      </c>
      <c r="Q64" s="171">
        <f>N64-N24</f>
        <v>-1.1102230246251565E-16</v>
      </c>
    </row>
    <row r="65" spans="1:17">
      <c r="A65" s="33">
        <v>2026</v>
      </c>
      <c r="B65" s="167">
        <f>(0.54*0.5)+(0.66*0.5)</f>
        <v>0.60000000000000009</v>
      </c>
      <c r="C65" s="33">
        <f>(0.49*0.5)+(0.49*0.5)</f>
        <v>0.49</v>
      </c>
      <c r="L65" s="33">
        <v>2026</v>
      </c>
      <c r="N65" s="168">
        <f t="shared" si="15"/>
        <v>7.3879850508714998E-2</v>
      </c>
      <c r="P65" s="33">
        <v>2026</v>
      </c>
      <c r="Q65" s="171">
        <f t="shared" ref="Q65:Q79" si="16">N65-N25</f>
        <v>9.7905184404352141E-3</v>
      </c>
    </row>
    <row r="66" spans="1:17">
      <c r="A66" s="33">
        <v>2027</v>
      </c>
      <c r="B66" s="33">
        <f>(0.57*0.5)+(0.69*0.5)</f>
        <v>0.62999999999999989</v>
      </c>
      <c r="C66" s="33">
        <f>(0.51*0.5)+(0.62*0.5)</f>
        <v>0.56499999999999995</v>
      </c>
      <c r="L66" s="33">
        <v>2027</v>
      </c>
      <c r="N66" s="168">
        <f t="shared" si="15"/>
        <v>9.9681210649081184E-2</v>
      </c>
      <c r="P66" s="33">
        <v>2027</v>
      </c>
      <c r="Q66" s="171">
        <f t="shared" si="16"/>
        <v>2.410048860840569E-2</v>
      </c>
    </row>
    <row r="67" spans="1:17">
      <c r="A67" s="33">
        <v>2028</v>
      </c>
      <c r="B67" s="33">
        <f>(0.58*0.5)+(0.71*0.5)</f>
        <v>0.64500000000000002</v>
      </c>
      <c r="C67" s="33">
        <f>(0.52*0.5)+(0.64*0.5)</f>
        <v>0.58000000000000007</v>
      </c>
      <c r="L67" s="33">
        <v>2028</v>
      </c>
      <c r="N67" s="168">
        <f t="shared" si="15"/>
        <v>0.12927650120236342</v>
      </c>
      <c r="P67" s="33">
        <v>2028</v>
      </c>
      <c r="Q67" s="171">
        <f t="shared" si="16"/>
        <v>4.3096979039863592E-2</v>
      </c>
    </row>
    <row r="68" spans="1:17">
      <c r="A68" s="33">
        <v>2029</v>
      </c>
      <c r="B68" s="33">
        <f>(0.6*0.1)+0.73*0.9</f>
        <v>0.71700000000000008</v>
      </c>
      <c r="C68" s="33">
        <f>0.55*0.1+0.67*0.9</f>
        <v>0.65800000000000014</v>
      </c>
      <c r="L68" s="33">
        <v>2029</v>
      </c>
      <c r="N68" s="168">
        <f t="shared" si="15"/>
        <v>0.16450186244508158</v>
      </c>
      <c r="P68" s="33">
        <v>2029</v>
      </c>
      <c r="Q68" s="171">
        <f t="shared" si="16"/>
        <v>6.67485960347355E-2</v>
      </c>
    </row>
    <row r="69" spans="1:17">
      <c r="A69" s="33">
        <v>2030</v>
      </c>
      <c r="B69" s="33">
        <f>0.62*0.1+0.75*0.9</f>
        <v>0.7370000000000001</v>
      </c>
      <c r="C69" s="33">
        <f>0.57*0.1+0.69*0.9</f>
        <v>0.67799999999999994</v>
      </c>
      <c r="L69" s="33">
        <v>2030</v>
      </c>
      <c r="N69" s="168">
        <f t="shared" si="15"/>
        <v>0.20328073306706942</v>
      </c>
      <c r="P69" s="33">
        <v>2030</v>
      </c>
      <c r="Q69" s="171">
        <f t="shared" si="16"/>
        <v>9.5579175919431866E-2</v>
      </c>
    </row>
    <row r="70" spans="1:17">
      <c r="A70" s="33">
        <v>2031</v>
      </c>
      <c r="B70" s="33">
        <f>0.62*0.1+0.77*0.9</f>
        <v>0.75500000000000012</v>
      </c>
      <c r="C70" s="33">
        <f>0.59*0.1+0.72*0.9</f>
        <v>0.70700000000000007</v>
      </c>
      <c r="L70" s="33">
        <v>2031</v>
      </c>
      <c r="N70" s="168">
        <f t="shared" si="15"/>
        <v>0.24597459938694693</v>
      </c>
      <c r="P70" s="33">
        <v>2031</v>
      </c>
      <c r="Q70" s="171">
        <f t="shared" si="16"/>
        <v>0.12874877904701809</v>
      </c>
    </row>
    <row r="71" spans="1:17">
      <c r="A71" s="33">
        <v>2032</v>
      </c>
      <c r="B71" s="33">
        <f>0.65*0.1+0.79*0.9</f>
        <v>0.77600000000000002</v>
      </c>
      <c r="C71" s="33">
        <f>0.61*0.1+0.74*0.9</f>
        <v>0.72700000000000009</v>
      </c>
      <c r="L71" s="33">
        <v>2032</v>
      </c>
      <c r="N71" s="168">
        <f t="shared" si="15"/>
        <v>0.29095241888332357</v>
      </c>
      <c r="P71" s="33">
        <v>2032</v>
      </c>
      <c r="Q71" s="171">
        <f t="shared" si="16"/>
        <v>0.16465763424633659</v>
      </c>
    </row>
    <row r="72" spans="1:17">
      <c r="A72" s="33">
        <v>2033</v>
      </c>
      <c r="B72" s="33">
        <f>B71</f>
        <v>0.77600000000000002</v>
      </c>
      <c r="C72" s="33">
        <f>C71</f>
        <v>0.72700000000000009</v>
      </c>
      <c r="L72" s="33">
        <v>2033</v>
      </c>
      <c r="N72" s="168">
        <f t="shared" si="15"/>
        <v>0.33762533244446724</v>
      </c>
      <c r="P72" s="33">
        <v>2033</v>
      </c>
      <c r="Q72" s="171">
        <f t="shared" si="16"/>
        <v>0.20330207042378659</v>
      </c>
    </row>
    <row r="73" spans="1:17">
      <c r="A73" s="33">
        <v>2034</v>
      </c>
      <c r="B73" s="33">
        <f t="shared" ref="B73:C74" si="17">B72</f>
        <v>0.77600000000000002</v>
      </c>
      <c r="C73" s="33">
        <f t="shared" si="17"/>
        <v>0.72700000000000009</v>
      </c>
      <c r="L73" s="33">
        <v>2034</v>
      </c>
      <c r="N73" s="168">
        <f t="shared" si="15"/>
        <v>0.38636488026191385</v>
      </c>
      <c r="P73" s="33">
        <v>2034</v>
      </c>
      <c r="Q73" s="171">
        <f t="shared" si="16"/>
        <v>0.24452531371012765</v>
      </c>
    </row>
    <row r="74" spans="1:17">
      <c r="A74" s="33">
        <v>2035</v>
      </c>
      <c r="B74" s="33">
        <f t="shared" si="17"/>
        <v>0.77600000000000002</v>
      </c>
      <c r="C74" s="33">
        <f t="shared" si="17"/>
        <v>0.72700000000000009</v>
      </c>
      <c r="L74" s="33">
        <v>2035</v>
      </c>
      <c r="N74" s="168">
        <f t="shared" si="15"/>
        <v>0.43618736134651354</v>
      </c>
      <c r="P74" s="33">
        <v>2035</v>
      </c>
      <c r="Q74" s="171">
        <f t="shared" si="16"/>
        <v>0.28736786283405502</v>
      </c>
    </row>
    <row r="75" spans="1:17">
      <c r="A75" s="33">
        <v>2036</v>
      </c>
      <c r="B75" s="33">
        <f>0.79</f>
        <v>0.79</v>
      </c>
      <c r="C75" s="33">
        <f>0.74</f>
        <v>0.74</v>
      </c>
      <c r="L75" s="33">
        <v>2036</v>
      </c>
      <c r="N75" s="168">
        <f t="shared" si="15"/>
        <v>0.48419723328571068</v>
      </c>
      <c r="P75" s="33">
        <v>2036</v>
      </c>
      <c r="Q75" s="171">
        <f t="shared" si="16"/>
        <v>0.32855409334383223</v>
      </c>
    </row>
    <row r="76" spans="1:17">
      <c r="A76" s="33">
        <v>2037</v>
      </c>
      <c r="B76" s="33">
        <f>B75</f>
        <v>0.79</v>
      </c>
      <c r="C76" s="33">
        <f>C75</f>
        <v>0.74</v>
      </c>
      <c r="L76" s="33">
        <v>2037</v>
      </c>
      <c r="N76" s="168">
        <f t="shared" si="15"/>
        <v>0.52944664064077873</v>
      </c>
      <c r="P76" s="33">
        <v>2037</v>
      </c>
      <c r="Q76" s="171">
        <f t="shared" si="16"/>
        <v>0.36795868020093137</v>
      </c>
    </row>
    <row r="77" spans="1:17">
      <c r="A77" s="33">
        <v>2038</v>
      </c>
      <c r="B77" s="33">
        <f t="shared" ref="B77:C79" si="18">B76</f>
        <v>0.79</v>
      </c>
      <c r="C77" s="33">
        <f t="shared" si="18"/>
        <v>0.74</v>
      </c>
      <c r="L77" s="33">
        <v>2038</v>
      </c>
      <c r="N77" s="168">
        <f t="shared" si="15"/>
        <v>0.57232726010618273</v>
      </c>
      <c r="P77" s="33">
        <v>2038</v>
      </c>
      <c r="Q77" s="171">
        <f t="shared" si="16"/>
        <v>0.4055658587593895</v>
      </c>
    </row>
    <row r="78" spans="1:17">
      <c r="A78" s="33">
        <v>2039</v>
      </c>
      <c r="B78" s="33">
        <f t="shared" si="18"/>
        <v>0.79</v>
      </c>
      <c r="C78" s="33">
        <f t="shared" si="18"/>
        <v>0.74</v>
      </c>
      <c r="L78" s="33">
        <v>2039</v>
      </c>
      <c r="N78" s="168">
        <f t="shared" si="15"/>
        <v>0.61282455246042433</v>
      </c>
      <c r="P78" s="33">
        <v>2039</v>
      </c>
      <c r="Q78" s="171">
        <f t="shared" si="16"/>
        <v>0.44133226724831343</v>
      </c>
    </row>
    <row r="79" spans="1:17">
      <c r="A79" s="33">
        <v>2040</v>
      </c>
      <c r="B79" s="33">
        <f t="shared" si="18"/>
        <v>0.79</v>
      </c>
      <c r="C79" s="33">
        <f t="shared" si="18"/>
        <v>0.74</v>
      </c>
      <c r="L79" s="33">
        <v>2040</v>
      </c>
      <c r="N79" s="168">
        <f t="shared" si="15"/>
        <v>0.65080566239853144</v>
      </c>
      <c r="P79" s="33">
        <v>2040</v>
      </c>
      <c r="Q79" s="171">
        <f t="shared" si="16"/>
        <v>0.47511632305618995</v>
      </c>
    </row>
  </sheetData>
  <sheetProtection algorithmName="SHA-512" hashValue="ZxkxYGOeqw41R/6YDxOy2+iCMhI8G0LIwgYwlBBY/WPXrNi85aq3gSWZ2InHkYyIqvQnAXnuXHZ+TlSPug/B8Q==" saltValue="DNRL8VOYi4db3pq15Gcngw==" spinCount="100000" sheet="1" objects="1" scenarios="1"/>
  <pageMargins left="0.7" right="0.7" top="0.75" bottom="0.75" header="0.3" footer="0.3"/>
  <ignoredErrors>
    <ignoredError sqref="B75:C75 B35:C35" formula="1"/>
  </ignoredErrors>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E0752-E285-4E6D-AE87-C9ED6E836382}">
  <sheetPr codeName="Sheet13"/>
  <dimension ref="A1:N59"/>
  <sheetViews>
    <sheetView workbookViewId="0"/>
  </sheetViews>
  <sheetFormatPr baseColWidth="10" defaultColWidth="8.83203125" defaultRowHeight="15"/>
  <cols>
    <col min="1" max="1" width="12.33203125" customWidth="1"/>
    <col min="3" max="3" width="10" bestFit="1" customWidth="1"/>
    <col min="7" max="7" width="11.5" customWidth="1"/>
    <col min="11" max="12" width="10.83203125" customWidth="1"/>
  </cols>
  <sheetData>
    <row r="1" spans="1:13">
      <c r="A1" s="2" t="s">
        <v>253</v>
      </c>
    </row>
    <row r="3" spans="1:13" ht="16" thickBot="1">
      <c r="A3" t="s">
        <v>222</v>
      </c>
    </row>
    <row r="4" spans="1:13">
      <c r="A4" s="294" t="s">
        <v>223</v>
      </c>
      <c r="B4" s="295"/>
      <c r="C4" s="295"/>
      <c r="D4" s="295"/>
      <c r="E4" s="295"/>
      <c r="F4" s="295"/>
      <c r="G4" s="295"/>
      <c r="H4" s="295"/>
      <c r="I4" s="295"/>
      <c r="J4" s="295"/>
      <c r="K4" s="295"/>
      <c r="L4" s="295"/>
      <c r="M4" s="296"/>
    </row>
    <row r="5" spans="1:13" ht="16" thickBot="1">
      <c r="A5" s="147" t="s">
        <v>224</v>
      </c>
      <c r="B5" s="148" t="s">
        <v>225</v>
      </c>
      <c r="C5" s="149" t="s">
        <v>226</v>
      </c>
      <c r="D5" s="149" t="s">
        <v>227</v>
      </c>
      <c r="E5" s="149" t="s">
        <v>228</v>
      </c>
      <c r="F5" s="149" t="s">
        <v>229</v>
      </c>
      <c r="G5" s="149" t="s">
        <v>230</v>
      </c>
      <c r="H5" s="149" t="s">
        <v>231</v>
      </c>
      <c r="I5" s="149" t="s">
        <v>232</v>
      </c>
      <c r="J5" s="149" t="s">
        <v>233</v>
      </c>
      <c r="K5" s="149" t="s">
        <v>234</v>
      </c>
      <c r="L5" s="149" t="s">
        <v>235</v>
      </c>
      <c r="M5" s="150" t="s">
        <v>236</v>
      </c>
    </row>
    <row r="6" spans="1:13">
      <c r="A6" s="151" t="s">
        <v>237</v>
      </c>
      <c r="B6" s="152" t="s">
        <v>238</v>
      </c>
      <c r="C6" s="153">
        <v>208.60670288821427</v>
      </c>
      <c r="D6" s="153">
        <f t="shared" ref="D6:M15" si="0">C6*(1-BEV_Annual_Efficiency_Improvement)</f>
        <v>207.56366937377319</v>
      </c>
      <c r="E6" s="153">
        <f t="shared" si="0"/>
        <v>206.52585102690432</v>
      </c>
      <c r="F6" s="153">
        <f t="shared" si="0"/>
        <v>205.49322177176981</v>
      </c>
      <c r="G6" s="153">
        <f t="shared" si="0"/>
        <v>204.46575566291096</v>
      </c>
      <c r="H6" s="153">
        <f t="shared" si="0"/>
        <v>203.44342688459642</v>
      </c>
      <c r="I6" s="153">
        <f t="shared" si="0"/>
        <v>202.42620975017343</v>
      </c>
      <c r="J6" s="153">
        <f t="shared" si="0"/>
        <v>201.41407870142257</v>
      </c>
      <c r="K6" s="153">
        <f t="shared" si="0"/>
        <v>200.40700830791545</v>
      </c>
      <c r="L6" s="153">
        <f t="shared" si="0"/>
        <v>199.40497326637586</v>
      </c>
      <c r="M6" s="154">
        <f t="shared" si="0"/>
        <v>198.40794840004398</v>
      </c>
    </row>
    <row r="7" spans="1:13">
      <c r="A7" s="155" t="s">
        <v>237</v>
      </c>
      <c r="B7" s="156" t="s">
        <v>239</v>
      </c>
      <c r="C7" s="157">
        <v>231.79753496646828</v>
      </c>
      <c r="D7" s="157">
        <f t="shared" si="0"/>
        <v>230.63854729163594</v>
      </c>
      <c r="E7" s="157">
        <f t="shared" si="0"/>
        <v>229.48535455517776</v>
      </c>
      <c r="F7" s="157">
        <f t="shared" si="0"/>
        <v>228.33792778240186</v>
      </c>
      <c r="G7" s="157">
        <f t="shared" si="0"/>
        <v>227.19623814348986</v>
      </c>
      <c r="H7" s="157">
        <f t="shared" si="0"/>
        <v>226.06025695277242</v>
      </c>
      <c r="I7" s="157">
        <f t="shared" si="0"/>
        <v>224.92995566800855</v>
      </c>
      <c r="J7" s="157">
        <f t="shared" si="0"/>
        <v>223.80530588966849</v>
      </c>
      <c r="K7" s="157">
        <f t="shared" si="0"/>
        <v>222.68627936022014</v>
      </c>
      <c r="L7" s="157">
        <f t="shared" si="0"/>
        <v>221.57284796341904</v>
      </c>
      <c r="M7" s="158">
        <f t="shared" si="0"/>
        <v>220.46498372360193</v>
      </c>
    </row>
    <row r="8" spans="1:13">
      <c r="A8" s="155" t="s">
        <v>240</v>
      </c>
      <c r="B8" s="156" t="s">
        <v>238</v>
      </c>
      <c r="C8" s="157">
        <v>215.32979737345238</v>
      </c>
      <c r="D8" s="157">
        <f t="shared" si="0"/>
        <v>214.25314838658511</v>
      </c>
      <c r="E8" s="157">
        <f t="shared" si="0"/>
        <v>213.18188264465218</v>
      </c>
      <c r="F8" s="157">
        <f t="shared" si="0"/>
        <v>212.11597323142891</v>
      </c>
      <c r="G8" s="157">
        <f t="shared" si="0"/>
        <v>211.05539336527175</v>
      </c>
      <c r="H8" s="157">
        <f t="shared" si="0"/>
        <v>210.00011639844539</v>
      </c>
      <c r="I8" s="157">
        <f t="shared" si="0"/>
        <v>208.95011581645315</v>
      </c>
      <c r="J8" s="157">
        <f t="shared" si="0"/>
        <v>207.90536523737089</v>
      </c>
      <c r="K8" s="157">
        <f t="shared" si="0"/>
        <v>206.86583841118403</v>
      </c>
      <c r="L8" s="157">
        <f t="shared" si="0"/>
        <v>205.83150921912809</v>
      </c>
      <c r="M8" s="158">
        <f t="shared" si="0"/>
        <v>204.80235167303246</v>
      </c>
    </row>
    <row r="9" spans="1:13">
      <c r="A9" s="155" t="s">
        <v>240</v>
      </c>
      <c r="B9" s="156" t="s">
        <v>239</v>
      </c>
      <c r="C9" s="157">
        <v>239.50482069007938</v>
      </c>
      <c r="D9" s="157">
        <f t="shared" si="0"/>
        <v>238.30729658662898</v>
      </c>
      <c r="E9" s="157">
        <f t="shared" si="0"/>
        <v>237.11576010369583</v>
      </c>
      <c r="F9" s="157">
        <f t="shared" si="0"/>
        <v>235.93018130317736</v>
      </c>
      <c r="G9" s="157">
        <f t="shared" si="0"/>
        <v>234.75053039666147</v>
      </c>
      <c r="H9" s="157">
        <f t="shared" si="0"/>
        <v>233.57677774467817</v>
      </c>
      <c r="I9" s="157">
        <f t="shared" si="0"/>
        <v>232.40889385595477</v>
      </c>
      <c r="J9" s="157">
        <f t="shared" si="0"/>
        <v>231.246849386675</v>
      </c>
      <c r="K9" s="157">
        <f t="shared" si="0"/>
        <v>230.09061513974163</v>
      </c>
      <c r="L9" s="157">
        <f t="shared" si="0"/>
        <v>228.94016206404291</v>
      </c>
      <c r="M9" s="158">
        <f t="shared" si="0"/>
        <v>227.79546125372269</v>
      </c>
    </row>
    <row r="10" spans="1:13">
      <c r="A10" s="155" t="s">
        <v>241</v>
      </c>
      <c r="B10" s="156" t="s">
        <v>238</v>
      </c>
      <c r="C10" s="157">
        <v>224.60757430002184</v>
      </c>
      <c r="D10" s="157">
        <f t="shared" si="0"/>
        <v>223.48453642852172</v>
      </c>
      <c r="E10" s="157">
        <f t="shared" si="0"/>
        <v>222.36711374637912</v>
      </c>
      <c r="F10" s="157">
        <f t="shared" si="0"/>
        <v>221.25527817764723</v>
      </c>
      <c r="G10" s="157">
        <f t="shared" si="0"/>
        <v>220.14900178675899</v>
      </c>
      <c r="H10" s="157">
        <f t="shared" si="0"/>
        <v>219.0482567778252</v>
      </c>
      <c r="I10" s="157">
        <f t="shared" si="0"/>
        <v>217.95301549393608</v>
      </c>
      <c r="J10" s="157">
        <f t="shared" si="0"/>
        <v>216.8632504164664</v>
      </c>
      <c r="K10" s="157">
        <f t="shared" si="0"/>
        <v>215.77893416438405</v>
      </c>
      <c r="L10" s="157">
        <f t="shared" si="0"/>
        <v>214.70003949356214</v>
      </c>
      <c r="M10" s="158">
        <f t="shared" si="0"/>
        <v>213.62653929609434</v>
      </c>
    </row>
    <row r="11" spans="1:13">
      <c r="A11" s="155" t="s">
        <v>241</v>
      </c>
      <c r="B11" s="156" t="s">
        <v>239</v>
      </c>
      <c r="C11" s="157">
        <v>249.21141200729167</v>
      </c>
      <c r="D11" s="157">
        <f t="shared" si="0"/>
        <v>247.96535494725521</v>
      </c>
      <c r="E11" s="157">
        <f t="shared" si="0"/>
        <v>246.72552817251892</v>
      </c>
      <c r="F11" s="157">
        <f t="shared" si="0"/>
        <v>245.49190053165631</v>
      </c>
      <c r="G11" s="157">
        <f t="shared" si="0"/>
        <v>244.26444102899802</v>
      </c>
      <c r="H11" s="157">
        <f t="shared" si="0"/>
        <v>243.04311882385304</v>
      </c>
      <c r="I11" s="157">
        <f t="shared" si="0"/>
        <v>241.82790322973378</v>
      </c>
      <c r="J11" s="157">
        <f t="shared" si="0"/>
        <v>240.61876371358511</v>
      </c>
      <c r="K11" s="157">
        <f t="shared" si="0"/>
        <v>239.41566989501717</v>
      </c>
      <c r="L11" s="157">
        <f t="shared" si="0"/>
        <v>238.2185915455421</v>
      </c>
      <c r="M11" s="158">
        <f t="shared" si="0"/>
        <v>237.02749858781439</v>
      </c>
    </row>
    <row r="12" spans="1:13">
      <c r="A12" s="155" t="s">
        <v>242</v>
      </c>
      <c r="B12" s="156" t="s">
        <v>238</v>
      </c>
      <c r="C12" s="157">
        <v>271.69529279523806</v>
      </c>
      <c r="D12" s="157">
        <f t="shared" si="0"/>
        <v>270.33681633126184</v>
      </c>
      <c r="E12" s="157">
        <f t="shared" si="0"/>
        <v>268.98513224960556</v>
      </c>
      <c r="F12" s="157">
        <f t="shared" si="0"/>
        <v>267.6402065883575</v>
      </c>
      <c r="G12" s="157">
        <f t="shared" si="0"/>
        <v>266.30200555541569</v>
      </c>
      <c r="H12" s="157">
        <f t="shared" si="0"/>
        <v>264.9704955276386</v>
      </c>
      <c r="I12" s="157">
        <f t="shared" si="0"/>
        <v>263.64564305000039</v>
      </c>
      <c r="J12" s="157">
        <f t="shared" si="0"/>
        <v>262.32741483475036</v>
      </c>
      <c r="K12" s="157">
        <f t="shared" si="0"/>
        <v>261.01577776057661</v>
      </c>
      <c r="L12" s="157">
        <f t="shared" si="0"/>
        <v>259.71069887177373</v>
      </c>
      <c r="M12" s="158">
        <f t="shared" si="0"/>
        <v>258.41214537741484</v>
      </c>
    </row>
    <row r="13" spans="1:13">
      <c r="A13" s="155" t="s">
        <v>242</v>
      </c>
      <c r="B13" s="156" t="s">
        <v>239</v>
      </c>
      <c r="C13" s="157">
        <v>300.76724061066068</v>
      </c>
      <c r="D13" s="157">
        <f t="shared" si="0"/>
        <v>299.26340440760737</v>
      </c>
      <c r="E13" s="157">
        <f t="shared" si="0"/>
        <v>297.76708738556931</v>
      </c>
      <c r="F13" s="157">
        <f t="shared" si="0"/>
        <v>296.27825194864147</v>
      </c>
      <c r="G13" s="157">
        <f t="shared" si="0"/>
        <v>294.79686068889828</v>
      </c>
      <c r="H13" s="157">
        <f t="shared" si="0"/>
        <v>293.32287638545381</v>
      </c>
      <c r="I13" s="157">
        <f t="shared" si="0"/>
        <v>291.85626200352652</v>
      </c>
      <c r="J13" s="157">
        <f t="shared" si="0"/>
        <v>290.39698069350891</v>
      </c>
      <c r="K13" s="157">
        <f t="shared" si="0"/>
        <v>288.94499579004139</v>
      </c>
      <c r="L13" s="157">
        <f t="shared" si="0"/>
        <v>287.50027081109118</v>
      </c>
      <c r="M13" s="158">
        <f t="shared" si="0"/>
        <v>286.0627694570357</v>
      </c>
    </row>
    <row r="14" spans="1:13">
      <c r="A14" s="155" t="s">
        <v>243</v>
      </c>
      <c r="B14" s="156" t="s">
        <v>238</v>
      </c>
      <c r="C14" s="157">
        <v>346.78691837968256</v>
      </c>
      <c r="D14" s="157">
        <f t="shared" si="0"/>
        <v>345.05298378778417</v>
      </c>
      <c r="E14" s="157">
        <f t="shared" si="0"/>
        <v>343.32771886884524</v>
      </c>
      <c r="F14" s="157">
        <f t="shared" si="0"/>
        <v>341.61108027450103</v>
      </c>
      <c r="G14" s="157">
        <f t="shared" si="0"/>
        <v>339.90302487312852</v>
      </c>
      <c r="H14" s="157">
        <f t="shared" si="0"/>
        <v>338.20350974876288</v>
      </c>
      <c r="I14" s="157">
        <f t="shared" si="0"/>
        <v>336.51249220001904</v>
      </c>
      <c r="J14" s="157">
        <f t="shared" si="0"/>
        <v>334.82992973901895</v>
      </c>
      <c r="K14" s="157">
        <f t="shared" si="0"/>
        <v>333.15578009032384</v>
      </c>
      <c r="L14" s="157">
        <f t="shared" si="0"/>
        <v>331.4900011898722</v>
      </c>
      <c r="M14" s="158">
        <f t="shared" si="0"/>
        <v>329.83255118392282</v>
      </c>
    </row>
    <row r="15" spans="1:13">
      <c r="A15" s="155" t="s">
        <v>243</v>
      </c>
      <c r="B15" s="156" t="s">
        <v>239</v>
      </c>
      <c r="C15" s="157">
        <v>384.07320274496033</v>
      </c>
      <c r="D15" s="157">
        <f t="shared" si="0"/>
        <v>382.15283673123554</v>
      </c>
      <c r="E15" s="157">
        <f t="shared" si="0"/>
        <v>380.24207254757937</v>
      </c>
      <c r="F15" s="157">
        <f t="shared" si="0"/>
        <v>378.34086218484146</v>
      </c>
      <c r="G15" s="157">
        <f t="shared" si="0"/>
        <v>376.44915787391727</v>
      </c>
      <c r="H15" s="157">
        <f t="shared" si="0"/>
        <v>374.56691208454771</v>
      </c>
      <c r="I15" s="157">
        <f t="shared" si="0"/>
        <v>372.69407752412496</v>
      </c>
      <c r="J15" s="157">
        <f t="shared" si="0"/>
        <v>370.83060713650434</v>
      </c>
      <c r="K15" s="157">
        <f t="shared" si="0"/>
        <v>368.9764541008218</v>
      </c>
      <c r="L15" s="157">
        <f t="shared" si="0"/>
        <v>367.13157183031768</v>
      </c>
      <c r="M15" s="158">
        <f t="shared" si="0"/>
        <v>365.2959139711661</v>
      </c>
    </row>
    <row r="17" spans="1:13" ht="16" thickBot="1">
      <c r="A17" t="s">
        <v>244</v>
      </c>
    </row>
    <row r="18" spans="1:13">
      <c r="A18" s="294" t="s">
        <v>223</v>
      </c>
      <c r="B18" s="295"/>
      <c r="C18" s="295"/>
      <c r="D18" s="295"/>
      <c r="E18" s="295"/>
      <c r="F18" s="295"/>
      <c r="G18" s="295"/>
      <c r="H18" s="295"/>
      <c r="I18" s="295"/>
      <c r="J18" s="295"/>
      <c r="K18" s="295"/>
      <c r="L18" s="295"/>
      <c r="M18" s="296"/>
    </row>
    <row r="19" spans="1:13" ht="16" thickBot="1">
      <c r="A19" s="147" t="s">
        <v>224</v>
      </c>
      <c r="B19" s="148" t="s">
        <v>225</v>
      </c>
      <c r="C19" s="149" t="s">
        <v>226</v>
      </c>
      <c r="D19" s="149" t="s">
        <v>227</v>
      </c>
      <c r="E19" s="149" t="s">
        <v>228</v>
      </c>
      <c r="F19" s="149" t="s">
        <v>229</v>
      </c>
      <c r="G19" s="149" t="s">
        <v>230</v>
      </c>
      <c r="H19" s="149" t="s">
        <v>231</v>
      </c>
      <c r="I19" s="149" t="s">
        <v>232</v>
      </c>
      <c r="J19" s="149" t="s">
        <v>233</v>
      </c>
      <c r="K19" s="149" t="s">
        <v>234</v>
      </c>
      <c r="L19" s="149" t="s">
        <v>235</v>
      </c>
      <c r="M19" s="150" t="s">
        <v>236</v>
      </c>
    </row>
    <row r="20" spans="1:13">
      <c r="A20" s="151" t="s">
        <v>237</v>
      </c>
      <c r="B20" s="152" t="s">
        <v>245</v>
      </c>
      <c r="C20" s="153">
        <f>(C6+C7)/2</f>
        <v>220.20211892734127</v>
      </c>
      <c r="D20" s="153">
        <f t="shared" ref="D20:M20" si="1">(D6+D7)/2</f>
        <v>219.10110833270457</v>
      </c>
      <c r="E20" s="153">
        <f t="shared" si="1"/>
        <v>218.00560279104104</v>
      </c>
      <c r="F20" s="153">
        <f t="shared" si="1"/>
        <v>216.91557477708585</v>
      </c>
      <c r="G20" s="153">
        <f t="shared" si="1"/>
        <v>215.8309969032004</v>
      </c>
      <c r="H20" s="153">
        <f t="shared" si="1"/>
        <v>214.75184191868442</v>
      </c>
      <c r="I20" s="153">
        <f t="shared" si="1"/>
        <v>213.67808270909097</v>
      </c>
      <c r="J20" s="153">
        <f t="shared" si="1"/>
        <v>212.60969229554553</v>
      </c>
      <c r="K20" s="153">
        <f t="shared" si="1"/>
        <v>211.54664383406779</v>
      </c>
      <c r="L20" s="153">
        <f t="shared" si="1"/>
        <v>210.48891061489746</v>
      </c>
      <c r="M20" s="153">
        <f t="shared" si="1"/>
        <v>209.43646606182295</v>
      </c>
    </row>
    <row r="21" spans="1:13" ht="16" thickBot="1">
      <c r="A21" s="155" t="s">
        <v>246</v>
      </c>
      <c r="B21" s="156"/>
      <c r="C21" s="157">
        <f>C20*1.07</f>
        <v>235.61626725225517</v>
      </c>
      <c r="D21" s="157">
        <f t="shared" ref="D21:M21" si="2">D20*1.07</f>
        <v>234.4381859159939</v>
      </c>
      <c r="E21" s="157">
        <f t="shared" si="2"/>
        <v>233.26599498641392</v>
      </c>
      <c r="F21" s="157">
        <f t="shared" si="2"/>
        <v>232.09966501148187</v>
      </c>
      <c r="G21" s="157">
        <f t="shared" si="2"/>
        <v>230.93916668642444</v>
      </c>
      <c r="H21" s="157">
        <f t="shared" si="2"/>
        <v>229.78447085299234</v>
      </c>
      <c r="I21" s="157">
        <f t="shared" si="2"/>
        <v>228.63554849872736</v>
      </c>
      <c r="J21" s="157">
        <f t="shared" si="2"/>
        <v>227.49237075623373</v>
      </c>
      <c r="K21" s="157">
        <f t="shared" si="2"/>
        <v>226.35490890245256</v>
      </c>
      <c r="L21" s="157">
        <f t="shared" si="2"/>
        <v>225.2231343579403</v>
      </c>
      <c r="M21" s="157">
        <f t="shared" si="2"/>
        <v>224.09701868615056</v>
      </c>
    </row>
    <row r="22" spans="1:13">
      <c r="A22" s="155" t="s">
        <v>240</v>
      </c>
      <c r="B22" s="152" t="s">
        <v>245</v>
      </c>
      <c r="C22" s="153">
        <f>(C8+C9)/2</f>
        <v>227.41730903176588</v>
      </c>
      <c r="D22" s="153">
        <f t="shared" ref="D22:M22" si="3">(D8+D9)/2</f>
        <v>226.28022248660704</v>
      </c>
      <c r="E22" s="153">
        <f t="shared" si="3"/>
        <v>225.14882137417402</v>
      </c>
      <c r="F22" s="153">
        <f t="shared" si="3"/>
        <v>224.02307726730314</v>
      </c>
      <c r="G22" s="153">
        <f t="shared" si="3"/>
        <v>222.90296188096661</v>
      </c>
      <c r="H22" s="153">
        <f t="shared" si="3"/>
        <v>221.78844707156179</v>
      </c>
      <c r="I22" s="153">
        <f t="shared" si="3"/>
        <v>220.67950483620396</v>
      </c>
      <c r="J22" s="153">
        <f t="shared" si="3"/>
        <v>219.57610731202294</v>
      </c>
      <c r="K22" s="153">
        <f t="shared" si="3"/>
        <v>218.47822677546282</v>
      </c>
      <c r="L22" s="153">
        <f t="shared" si="3"/>
        <v>217.38583564158552</v>
      </c>
      <c r="M22" s="153">
        <f t="shared" si="3"/>
        <v>216.29890646337759</v>
      </c>
    </row>
    <row r="23" spans="1:13" ht="16" thickBot="1">
      <c r="A23" s="155" t="s">
        <v>246</v>
      </c>
      <c r="B23" s="156"/>
      <c r="C23" s="157">
        <f>C22*1.07</f>
        <v>243.33652066398952</v>
      </c>
      <c r="D23" s="157">
        <f t="shared" ref="D23:M23" si="4">D22*1.07</f>
        <v>242.11983806066957</v>
      </c>
      <c r="E23" s="157">
        <f t="shared" si="4"/>
        <v>240.90923887036621</v>
      </c>
      <c r="F23" s="157">
        <f t="shared" si="4"/>
        <v>239.70469267601436</v>
      </c>
      <c r="G23" s="157">
        <f t="shared" si="4"/>
        <v>238.50616921263429</v>
      </c>
      <c r="H23" s="157">
        <f t="shared" si="4"/>
        <v>237.31363836657113</v>
      </c>
      <c r="I23" s="157">
        <f t="shared" si="4"/>
        <v>236.12707017473826</v>
      </c>
      <c r="J23" s="157">
        <f t="shared" si="4"/>
        <v>234.94643482386456</v>
      </c>
      <c r="K23" s="157">
        <f t="shared" si="4"/>
        <v>233.77170264974524</v>
      </c>
      <c r="L23" s="157">
        <f t="shared" si="4"/>
        <v>232.60284413649651</v>
      </c>
      <c r="M23" s="157">
        <f t="shared" si="4"/>
        <v>231.43982991581404</v>
      </c>
    </row>
    <row r="24" spans="1:13">
      <c r="A24" s="155" t="s">
        <v>241</v>
      </c>
      <c r="B24" s="152" t="s">
        <v>245</v>
      </c>
      <c r="C24" s="153">
        <f>(C10+C11)/2</f>
        <v>236.90949315365674</v>
      </c>
      <c r="D24" s="153">
        <f t="shared" ref="D24:M24" si="5">(D10+D11)/2</f>
        <v>235.72494568788846</v>
      </c>
      <c r="E24" s="153">
        <f t="shared" si="5"/>
        <v>234.54632095944902</v>
      </c>
      <c r="F24" s="153">
        <f t="shared" si="5"/>
        <v>233.37358935465176</v>
      </c>
      <c r="G24" s="153">
        <f t="shared" si="5"/>
        <v>232.20672140787849</v>
      </c>
      <c r="H24" s="153">
        <f t="shared" si="5"/>
        <v>231.04568780083912</v>
      </c>
      <c r="I24" s="153">
        <f t="shared" si="5"/>
        <v>229.89045936183493</v>
      </c>
      <c r="J24" s="153">
        <f t="shared" si="5"/>
        <v>228.74100706502577</v>
      </c>
      <c r="K24" s="153">
        <f t="shared" si="5"/>
        <v>227.59730202970061</v>
      </c>
      <c r="L24" s="153">
        <f t="shared" si="5"/>
        <v>226.45931551955212</v>
      </c>
      <c r="M24" s="153">
        <f t="shared" si="5"/>
        <v>225.32701894195435</v>
      </c>
    </row>
    <row r="25" spans="1:13" ht="16" thickBot="1">
      <c r="A25" s="155" t="s">
        <v>246</v>
      </c>
      <c r="B25" s="156"/>
      <c r="C25" s="157">
        <f>C24*1.07</f>
        <v>253.49315767441271</v>
      </c>
      <c r="D25" s="157">
        <f t="shared" ref="D25:M25" si="6">D24*1.07</f>
        <v>252.22569188604066</v>
      </c>
      <c r="E25" s="157">
        <f t="shared" si="6"/>
        <v>250.96456342661045</v>
      </c>
      <c r="F25" s="157">
        <f t="shared" si="6"/>
        <v>249.70974060947739</v>
      </c>
      <c r="G25" s="157">
        <f t="shared" si="6"/>
        <v>248.46119190643</v>
      </c>
      <c r="H25" s="157">
        <f t="shared" si="6"/>
        <v>247.21888594689787</v>
      </c>
      <c r="I25" s="157">
        <f t="shared" si="6"/>
        <v>245.98279151716338</v>
      </c>
      <c r="J25" s="157">
        <f t="shared" si="6"/>
        <v>244.7528775595776</v>
      </c>
      <c r="K25" s="157">
        <f t="shared" si="6"/>
        <v>243.52911317177967</v>
      </c>
      <c r="L25" s="157">
        <f t="shared" si="6"/>
        <v>242.3114676059208</v>
      </c>
      <c r="M25" s="157">
        <f t="shared" si="6"/>
        <v>241.09991026789118</v>
      </c>
    </row>
    <row r="26" spans="1:13">
      <c r="A26" s="155" t="s">
        <v>242</v>
      </c>
      <c r="B26" s="152" t="s">
        <v>245</v>
      </c>
      <c r="C26" s="153">
        <f>(C12+C13)/2</f>
        <v>286.23126670294937</v>
      </c>
      <c r="D26" s="153">
        <f t="shared" ref="D26:M26" si="7">(D12+D13)/2</f>
        <v>284.80011036943461</v>
      </c>
      <c r="E26" s="153">
        <f t="shared" si="7"/>
        <v>283.37610981758746</v>
      </c>
      <c r="F26" s="153">
        <f t="shared" si="7"/>
        <v>281.95922926849948</v>
      </c>
      <c r="G26" s="153">
        <f t="shared" si="7"/>
        <v>280.54943312215698</v>
      </c>
      <c r="H26" s="153">
        <f t="shared" si="7"/>
        <v>279.14668595654621</v>
      </c>
      <c r="I26" s="153">
        <f t="shared" si="7"/>
        <v>277.75095252676346</v>
      </c>
      <c r="J26" s="153">
        <f t="shared" si="7"/>
        <v>276.36219776412963</v>
      </c>
      <c r="K26" s="153">
        <f t="shared" si="7"/>
        <v>274.980386775309</v>
      </c>
      <c r="L26" s="153">
        <f t="shared" si="7"/>
        <v>273.60548484143249</v>
      </c>
      <c r="M26" s="153">
        <f t="shared" si="7"/>
        <v>272.2374574172253</v>
      </c>
    </row>
    <row r="27" spans="1:13" ht="16" thickBot="1">
      <c r="A27" s="155" t="s">
        <v>246</v>
      </c>
      <c r="B27" s="156"/>
      <c r="C27" s="157">
        <f>C26*1.07</f>
        <v>306.26745537215584</v>
      </c>
      <c r="D27" s="157">
        <f t="shared" ref="D27:M27" si="8">D26*1.07</f>
        <v>304.73611809529507</v>
      </c>
      <c r="E27" s="157">
        <f t="shared" si="8"/>
        <v>303.21243750481858</v>
      </c>
      <c r="F27" s="157">
        <f t="shared" si="8"/>
        <v>301.69637531729444</v>
      </c>
      <c r="G27" s="157">
        <f t="shared" si="8"/>
        <v>300.18789344070797</v>
      </c>
      <c r="H27" s="157">
        <f t="shared" si="8"/>
        <v>298.68695397350444</v>
      </c>
      <c r="I27" s="157">
        <f t="shared" si="8"/>
        <v>297.19351920363692</v>
      </c>
      <c r="J27" s="157">
        <f t="shared" si="8"/>
        <v>295.70755160761871</v>
      </c>
      <c r="K27" s="157">
        <f t="shared" si="8"/>
        <v>294.22901384958067</v>
      </c>
      <c r="L27" s="157">
        <f t="shared" si="8"/>
        <v>292.75786878033279</v>
      </c>
      <c r="M27" s="157">
        <f t="shared" si="8"/>
        <v>291.2940794364311</v>
      </c>
    </row>
    <row r="28" spans="1:13">
      <c r="A28" s="155" t="s">
        <v>243</v>
      </c>
      <c r="B28" s="152" t="s">
        <v>245</v>
      </c>
      <c r="C28" s="153">
        <f>(C14+C15)/2</f>
        <v>365.43006056232144</v>
      </c>
      <c r="D28" s="153">
        <f t="shared" ref="D28:M28" si="9">(D14+D15)/2</f>
        <v>363.60291025950983</v>
      </c>
      <c r="E28" s="153">
        <f t="shared" si="9"/>
        <v>361.78489570821228</v>
      </c>
      <c r="F28" s="153">
        <f t="shared" si="9"/>
        <v>359.97597122967125</v>
      </c>
      <c r="G28" s="153">
        <f t="shared" si="9"/>
        <v>358.17609137352292</v>
      </c>
      <c r="H28" s="153">
        <f t="shared" si="9"/>
        <v>356.3852109166553</v>
      </c>
      <c r="I28" s="153">
        <f t="shared" si="9"/>
        <v>354.60328486207197</v>
      </c>
      <c r="J28" s="153">
        <f t="shared" si="9"/>
        <v>352.83026843776167</v>
      </c>
      <c r="K28" s="153">
        <f t="shared" si="9"/>
        <v>351.06611709557285</v>
      </c>
      <c r="L28" s="153">
        <f t="shared" si="9"/>
        <v>349.31078651009494</v>
      </c>
      <c r="M28" s="153">
        <f t="shared" si="9"/>
        <v>347.56423257754443</v>
      </c>
    </row>
    <row r="29" spans="1:13">
      <c r="A29" s="155" t="s">
        <v>246</v>
      </c>
      <c r="B29" s="156"/>
      <c r="C29" s="157">
        <f>C28*1.07</f>
        <v>391.01016480168397</v>
      </c>
      <c r="D29" s="157">
        <f t="shared" ref="D29:M29" si="10">D28*1.07</f>
        <v>389.05511397767555</v>
      </c>
      <c r="E29" s="157">
        <f t="shared" si="10"/>
        <v>387.10983840778715</v>
      </c>
      <c r="F29" s="157">
        <f t="shared" si="10"/>
        <v>385.17428921574827</v>
      </c>
      <c r="G29" s="157">
        <f t="shared" si="10"/>
        <v>383.24841776966957</v>
      </c>
      <c r="H29" s="157">
        <f t="shared" si="10"/>
        <v>381.33217568082119</v>
      </c>
      <c r="I29" s="157">
        <f t="shared" si="10"/>
        <v>379.42551480241701</v>
      </c>
      <c r="J29" s="157">
        <f t="shared" si="10"/>
        <v>377.52838722840499</v>
      </c>
      <c r="K29" s="157">
        <f t="shared" si="10"/>
        <v>375.64074529226298</v>
      </c>
      <c r="L29" s="157">
        <f t="shared" si="10"/>
        <v>373.7625415658016</v>
      </c>
      <c r="M29" s="157">
        <f t="shared" si="10"/>
        <v>371.89372885797258</v>
      </c>
    </row>
    <row r="31" spans="1:13" ht="16" thickBot="1">
      <c r="A31" t="s">
        <v>247</v>
      </c>
    </row>
    <row r="32" spans="1:13">
      <c r="A32" s="294"/>
      <c r="B32" s="295"/>
      <c r="C32" s="295"/>
      <c r="D32" s="295"/>
      <c r="E32" s="295"/>
      <c r="F32" s="295"/>
      <c r="G32" s="295"/>
      <c r="H32" s="295"/>
      <c r="I32" s="295"/>
      <c r="J32" s="295"/>
      <c r="K32" s="295"/>
      <c r="L32" s="295"/>
      <c r="M32" s="296"/>
    </row>
    <row r="33" spans="1:14" ht="16" thickBot="1">
      <c r="A33" s="147" t="s">
        <v>224</v>
      </c>
      <c r="B33" s="148" t="s">
        <v>225</v>
      </c>
      <c r="C33" s="149" t="s">
        <v>226</v>
      </c>
      <c r="D33" s="149" t="s">
        <v>227</v>
      </c>
      <c r="E33" s="149" t="s">
        <v>228</v>
      </c>
      <c r="F33" s="149" t="s">
        <v>229</v>
      </c>
      <c r="G33" s="149" t="s">
        <v>230</v>
      </c>
      <c r="H33" s="149" t="s">
        <v>231</v>
      </c>
      <c r="I33" s="149" t="s">
        <v>232</v>
      </c>
      <c r="J33" s="149" t="s">
        <v>233</v>
      </c>
      <c r="K33" s="149" t="s">
        <v>234</v>
      </c>
      <c r="L33" s="149" t="s">
        <v>235</v>
      </c>
      <c r="M33" s="150" t="s">
        <v>236</v>
      </c>
    </row>
    <row r="34" spans="1:14" ht="16" thickBot="1">
      <c r="A34" s="151" t="s">
        <v>237</v>
      </c>
      <c r="B34" s="152" t="s">
        <v>248</v>
      </c>
      <c r="C34" s="153">
        <f>C21/1000/0.000293071</f>
        <v>803.95626743094738</v>
      </c>
      <c r="D34" s="153">
        <f t="shared" ref="D34:M34" si="11">D21/1000/0.000293071</f>
        <v>799.93648609379261</v>
      </c>
      <c r="E34" s="153">
        <f t="shared" si="11"/>
        <v>795.93680366332364</v>
      </c>
      <c r="F34" s="153">
        <f t="shared" si="11"/>
        <v>791.95711964500708</v>
      </c>
      <c r="G34" s="153">
        <f t="shared" si="11"/>
        <v>787.99733404678204</v>
      </c>
      <c r="H34" s="153">
        <f t="shared" si="11"/>
        <v>784.05734737654814</v>
      </c>
      <c r="I34" s="153">
        <f t="shared" si="11"/>
        <v>780.13706063966538</v>
      </c>
      <c r="J34" s="153">
        <f t="shared" si="11"/>
        <v>776.23637533646695</v>
      </c>
      <c r="K34" s="153">
        <f t="shared" si="11"/>
        <v>772.35519345978469</v>
      </c>
      <c r="L34" s="153">
        <f t="shared" si="11"/>
        <v>768.49341749248583</v>
      </c>
      <c r="M34" s="153">
        <f t="shared" si="11"/>
        <v>764.6509504050232</v>
      </c>
    </row>
    <row r="35" spans="1:14" ht="16" thickBot="1">
      <c r="A35" s="155" t="s">
        <v>240</v>
      </c>
      <c r="B35" s="152" t="s">
        <v>248</v>
      </c>
      <c r="C35" s="157">
        <f>C23/1000/0.000293071</f>
        <v>830.29887182283312</v>
      </c>
      <c r="D35" s="157">
        <f t="shared" ref="D35:M35" si="12">D23/1000/0.000293071</f>
        <v>826.14737746371884</v>
      </c>
      <c r="E35" s="157">
        <f t="shared" si="12"/>
        <v>822.01664057640028</v>
      </c>
      <c r="F35" s="157">
        <f t="shared" si="12"/>
        <v>817.90655737351824</v>
      </c>
      <c r="G35" s="157">
        <f t="shared" si="12"/>
        <v>813.81702458665063</v>
      </c>
      <c r="H35" s="157">
        <f t="shared" si="12"/>
        <v>809.74793946371744</v>
      </c>
      <c r="I35" s="157">
        <f t="shared" si="12"/>
        <v>805.69919976639881</v>
      </c>
      <c r="J35" s="157">
        <f t="shared" si="12"/>
        <v>801.67070376756681</v>
      </c>
      <c r="K35" s="157">
        <f t="shared" si="12"/>
        <v>797.6623502487289</v>
      </c>
      <c r="L35" s="157">
        <f t="shared" si="12"/>
        <v>793.6740384974853</v>
      </c>
      <c r="M35" s="157">
        <f t="shared" si="12"/>
        <v>789.70566830499797</v>
      </c>
    </row>
    <row r="36" spans="1:14" ht="16" thickBot="1">
      <c r="A36" s="155" t="s">
        <v>241</v>
      </c>
      <c r="B36" s="152" t="s">
        <v>248</v>
      </c>
      <c r="C36" s="157">
        <f>C25/1000/0.000293071</f>
        <v>864.95476411658854</v>
      </c>
      <c r="D36" s="157">
        <f t="shared" ref="D36:M36" si="13">D25/1000/0.000293071</f>
        <v>860.62999029600564</v>
      </c>
      <c r="E36" s="157">
        <f t="shared" si="13"/>
        <v>856.32684034452552</v>
      </c>
      <c r="F36" s="157">
        <f t="shared" si="13"/>
        <v>852.04520614280295</v>
      </c>
      <c r="G36" s="157">
        <f t="shared" si="13"/>
        <v>847.78498011208887</v>
      </c>
      <c r="H36" s="157">
        <f t="shared" si="13"/>
        <v>843.54605521152848</v>
      </c>
      <c r="I36" s="157">
        <f t="shared" si="13"/>
        <v>839.32832493547085</v>
      </c>
      <c r="J36" s="157">
        <f t="shared" si="13"/>
        <v>835.13168331079362</v>
      </c>
      <c r="K36" s="157">
        <f t="shared" si="13"/>
        <v>830.95602489423948</v>
      </c>
      <c r="L36" s="157">
        <f t="shared" si="13"/>
        <v>826.80124476976835</v>
      </c>
      <c r="M36" s="157">
        <f t="shared" si="13"/>
        <v>822.66723854591953</v>
      </c>
    </row>
    <row r="37" spans="1:14" ht="16" thickBot="1">
      <c r="A37" s="155" t="s">
        <v>242</v>
      </c>
      <c r="B37" s="152" t="s">
        <v>248</v>
      </c>
      <c r="C37" s="157">
        <f>C27/1000/0.000293071</f>
        <v>1045.0281855664866</v>
      </c>
      <c r="D37" s="157">
        <f t="shared" ref="D37:M37" si="14">D27/1000/0.000293071</f>
        <v>1039.8030446386542</v>
      </c>
      <c r="E37" s="157">
        <f t="shared" si="14"/>
        <v>1034.6040294154611</v>
      </c>
      <c r="F37" s="157">
        <f t="shared" si="14"/>
        <v>1029.4310092683836</v>
      </c>
      <c r="G37" s="157">
        <f t="shared" si="14"/>
        <v>1024.2838542220416</v>
      </c>
      <c r="H37" s="157">
        <f t="shared" si="14"/>
        <v>1019.1624349509315</v>
      </c>
      <c r="I37" s="157">
        <f t="shared" si="14"/>
        <v>1014.0666227761768</v>
      </c>
      <c r="J37" s="157">
        <f t="shared" si="14"/>
        <v>1008.9962896622958</v>
      </c>
      <c r="K37" s="157">
        <f t="shared" si="14"/>
        <v>1003.9513082139846</v>
      </c>
      <c r="L37" s="157">
        <f t="shared" si="14"/>
        <v>998.93155167291468</v>
      </c>
      <c r="M37" s="157">
        <f t="shared" si="14"/>
        <v>993.93689391455007</v>
      </c>
    </row>
    <row r="38" spans="1:14">
      <c r="A38" s="155" t="s">
        <v>243</v>
      </c>
      <c r="B38" s="152" t="s">
        <v>248</v>
      </c>
      <c r="C38" s="157">
        <f>C29/1000/0.000293071</f>
        <v>1334.1823817494189</v>
      </c>
      <c r="D38" s="157">
        <f t="shared" ref="D38:M38" si="15">D29/1000/0.000293071</f>
        <v>1327.5114698406719</v>
      </c>
      <c r="E38" s="157">
        <f t="shared" si="15"/>
        <v>1320.8739124914684</v>
      </c>
      <c r="F38" s="157">
        <f t="shared" si="15"/>
        <v>1314.2695429290113</v>
      </c>
      <c r="G38" s="157">
        <f t="shared" si="15"/>
        <v>1307.6981952143663</v>
      </c>
      <c r="H38" s="157">
        <f t="shared" si="15"/>
        <v>1301.1597042382944</v>
      </c>
      <c r="I38" s="157">
        <f t="shared" si="15"/>
        <v>1294.6539057171026</v>
      </c>
      <c r="J38" s="157">
        <f t="shared" si="15"/>
        <v>1288.1806361885174</v>
      </c>
      <c r="K38" s="157">
        <f t="shared" si="15"/>
        <v>1281.7397330075748</v>
      </c>
      <c r="L38" s="157">
        <f t="shared" si="15"/>
        <v>1275.3310343425367</v>
      </c>
      <c r="M38" s="157">
        <f t="shared" si="15"/>
        <v>1268.954379170824</v>
      </c>
    </row>
    <row r="39" spans="1:14">
      <c r="A39" s="155" t="s">
        <v>245</v>
      </c>
      <c r="B39" s="156"/>
      <c r="C39" s="157">
        <f>(C34+C35+C36+C37+C38)/5</f>
        <v>975.68409413725499</v>
      </c>
      <c r="D39" s="157">
        <f t="shared" ref="D39:M39" si="16">(D34+D35+D36+D37+D38)/5</f>
        <v>970.80567366656874</v>
      </c>
      <c r="E39" s="157">
        <f t="shared" si="16"/>
        <v>965.9516452982358</v>
      </c>
      <c r="F39" s="157">
        <f t="shared" si="16"/>
        <v>961.1218870717446</v>
      </c>
      <c r="G39" s="157">
        <f t="shared" si="16"/>
        <v>956.31627763638585</v>
      </c>
      <c r="H39" s="157">
        <f t="shared" si="16"/>
        <v>951.53469624820389</v>
      </c>
      <c r="I39" s="157">
        <f t="shared" si="16"/>
        <v>946.77702276696289</v>
      </c>
      <c r="J39" s="157">
        <f t="shared" si="16"/>
        <v>942.04313765312816</v>
      </c>
      <c r="K39" s="157">
        <f t="shared" si="16"/>
        <v>937.33292196486252</v>
      </c>
      <c r="L39" s="157">
        <f t="shared" si="16"/>
        <v>932.64625735503819</v>
      </c>
      <c r="M39" s="157">
        <f t="shared" si="16"/>
        <v>927.98302606826292</v>
      </c>
    </row>
    <row r="40" spans="1:14">
      <c r="A40" s="155" t="s">
        <v>249</v>
      </c>
      <c r="B40" s="156"/>
      <c r="C40" s="159">
        <f>E47/C39</f>
        <v>4.6312809293076898</v>
      </c>
      <c r="D40" s="157"/>
      <c r="E40" s="157"/>
      <c r="F40" s="157"/>
      <c r="G40" s="157"/>
      <c r="H40" s="159">
        <f>E52/H39</f>
        <v>4.3004228323236049</v>
      </c>
      <c r="I40" s="157"/>
      <c r="J40" s="157"/>
      <c r="K40" s="157"/>
      <c r="L40" s="157"/>
      <c r="M40" s="160">
        <f>E57/M39</f>
        <v>4.1194029778691217</v>
      </c>
    </row>
    <row r="41" spans="1:14">
      <c r="A41" s="8"/>
      <c r="B41" s="140"/>
      <c r="C41" s="161"/>
      <c r="D41" s="162"/>
      <c r="E41" s="162"/>
      <c r="F41" s="162"/>
      <c r="G41" s="162"/>
      <c r="H41" s="161"/>
      <c r="I41" s="162"/>
      <c r="J41" s="162"/>
      <c r="K41" s="162"/>
      <c r="L41" s="162"/>
      <c r="M41" s="161"/>
    </row>
    <row r="42" spans="1:14">
      <c r="A42" t="s">
        <v>250</v>
      </c>
      <c r="I42" s="277" t="s">
        <v>273</v>
      </c>
      <c r="J42" s="277"/>
      <c r="K42" s="277" t="s">
        <v>275</v>
      </c>
      <c r="L42" s="277"/>
      <c r="N42" s="69" t="s">
        <v>276</v>
      </c>
    </row>
    <row r="43" spans="1:14">
      <c r="A43" t="s">
        <v>254</v>
      </c>
      <c r="F43" s="33" t="s">
        <v>0</v>
      </c>
      <c r="G43" s="33" t="s">
        <v>1</v>
      </c>
      <c r="H43" s="33" t="s">
        <v>271</v>
      </c>
      <c r="I43" s="33" t="s">
        <v>48</v>
      </c>
      <c r="J43" s="33" t="s">
        <v>274</v>
      </c>
      <c r="K43" s="33" t="s">
        <v>48</v>
      </c>
      <c r="L43" s="33" t="s">
        <v>274</v>
      </c>
      <c r="N43" s="170" t="s">
        <v>277</v>
      </c>
    </row>
    <row r="44" spans="1:14">
      <c r="A44" t="s">
        <v>0</v>
      </c>
      <c r="B44" t="s">
        <v>1</v>
      </c>
      <c r="C44" t="s">
        <v>22</v>
      </c>
      <c r="D44" t="s">
        <v>75</v>
      </c>
      <c r="E44" t="s">
        <v>251</v>
      </c>
      <c r="F44">
        <v>2025</v>
      </c>
      <c r="G44" t="s">
        <v>109</v>
      </c>
      <c r="H44" s="142">
        <f>C40</f>
        <v>4.6312809293076898</v>
      </c>
      <c r="I44" s="16">
        <f>1-0.5*'CARB ZEV counts'!M5</f>
        <v>0.99077323796605243</v>
      </c>
      <c r="J44" s="16">
        <f>1-0.5*'CARB ZEV counts'!M45</f>
        <v>0.99077323796605243</v>
      </c>
      <c r="K44" s="16">
        <f>H44*I44</f>
        <v>4.5885492022606078</v>
      </c>
      <c r="L44" s="16">
        <f>H44*J44</f>
        <v>4.5885492022606078</v>
      </c>
      <c r="N44" s="6"/>
    </row>
    <row r="45" spans="1:14">
      <c r="A45">
        <v>2025</v>
      </c>
      <c r="B45">
        <v>20</v>
      </c>
      <c r="C45">
        <v>60408500</v>
      </c>
      <c r="D45">
        <v>15603900000</v>
      </c>
      <c r="F45">
        <v>2026</v>
      </c>
      <c r="G45" t="s">
        <v>109</v>
      </c>
      <c r="H45" s="142">
        <f t="shared" ref="H45" si="17">H44+(H49-H44)/5</f>
        <v>4.5651093099108726</v>
      </c>
      <c r="I45" s="16">
        <f>1-0.5*'CARB ZEV counts'!M6</f>
        <v>0.99004737057998826</v>
      </c>
      <c r="J45" s="16">
        <f>1-0.5*'CARB ZEV counts'!M46</f>
        <v>0.99004931789783146</v>
      </c>
      <c r="K45" s="16">
        <f t="shared" ref="K45:K59" si="18">H45*I45</f>
        <v>4.5196744686874846</v>
      </c>
      <c r="L45" s="16">
        <f t="shared" ref="L45:L59" si="19">H45*J45</f>
        <v>4.5196833584062999</v>
      </c>
    </row>
    <row r="46" spans="1:14">
      <c r="A46">
        <v>2025</v>
      </c>
      <c r="B46">
        <v>30</v>
      </c>
      <c r="C46">
        <v>101860000</v>
      </c>
      <c r="D46">
        <v>20306800000</v>
      </c>
      <c r="F46">
        <v>2027</v>
      </c>
      <c r="G46" t="s">
        <v>109</v>
      </c>
      <c r="H46" s="142">
        <f t="shared" ref="H46" si="20">H44+(H49-H44)/5*2</f>
        <v>4.4989376905140555</v>
      </c>
      <c r="I46" s="16">
        <f>1-0.5*'CARB ZEV counts'!M7</f>
        <v>0.98936637082551349</v>
      </c>
      <c r="J46" s="16">
        <f>1-0.5*'CARB ZEV counts'!M47</f>
        <v>0.98937005177598103</v>
      </c>
      <c r="K46" s="16">
        <f t="shared" si="18"/>
        <v>4.4510976554340083</v>
      </c>
      <c r="L46" s="16">
        <f t="shared" si="19"/>
        <v>4.4511142158008035</v>
      </c>
      <c r="N46" s="6"/>
    </row>
    <row r="47" spans="1:14">
      <c r="A47">
        <v>2025</v>
      </c>
      <c r="B47" t="s">
        <v>252</v>
      </c>
      <c r="C47">
        <f>C45+C46</f>
        <v>162268500</v>
      </c>
      <c r="D47">
        <f>D45+D46</f>
        <v>35910700000</v>
      </c>
      <c r="E47">
        <f>C47*1000000/D47</f>
        <v>4518.6671382067179</v>
      </c>
      <c r="F47">
        <v>2028</v>
      </c>
      <c r="G47" t="s">
        <v>109</v>
      </c>
      <c r="H47" s="142">
        <f t="shared" ref="H47" si="21">H44+(H49-H44)/5*3</f>
        <v>4.4327660711172392</v>
      </c>
      <c r="I47" s="16">
        <f>1-0.5*'CARB ZEV counts'!M8</f>
        <v>0.98873613832164686</v>
      </c>
      <c r="J47" s="16">
        <f>1-0.5*'CARB ZEV counts'!M48</f>
        <v>0.98855348268451282</v>
      </c>
      <c r="K47" s="16">
        <f t="shared" si="18"/>
        <v>4.3828360072396775</v>
      </c>
      <c r="L47" s="16">
        <f t="shared" si="19"/>
        <v>4.3820263375286919</v>
      </c>
    </row>
    <row r="48" spans="1:14">
      <c r="F48">
        <v>2029</v>
      </c>
      <c r="G48" t="s">
        <v>109</v>
      </c>
      <c r="H48" s="142">
        <f t="shared" ref="H48" si="22">H44+(H49-H44)/5*4</f>
        <v>4.366594451720422</v>
      </c>
      <c r="I48" s="16">
        <f>1-0.5*'CARB ZEV counts'!M9</f>
        <v>0.98815428395808291</v>
      </c>
      <c r="J48" s="16">
        <f>1-0.5*'CARB ZEV counts'!M49</f>
        <v>0.98780855567644854</v>
      </c>
      <c r="K48" s="16">
        <f t="shared" si="18"/>
        <v>4.3148690137751311</v>
      </c>
      <c r="L48" s="16">
        <f t="shared" si="19"/>
        <v>4.3133593585787438</v>
      </c>
      <c r="N48" s="6"/>
    </row>
    <row r="49" spans="1:12">
      <c r="A49" t="s">
        <v>0</v>
      </c>
      <c r="B49" t="s">
        <v>1</v>
      </c>
      <c r="C49" t="s">
        <v>22</v>
      </c>
      <c r="D49" t="s">
        <v>75</v>
      </c>
      <c r="F49">
        <v>2030</v>
      </c>
      <c r="G49" t="s">
        <v>109</v>
      </c>
      <c r="H49" s="142">
        <f>H40</f>
        <v>4.3004228323236049</v>
      </c>
      <c r="I49" s="16">
        <f>1-0.5*'CARB ZEV counts'!M10</f>
        <v>0.98762194164773576</v>
      </c>
      <c r="J49" s="16">
        <f>1-0.5*'CARB ZEV counts'!M50</f>
        <v>0.98711647482908504</v>
      </c>
      <c r="K49" s="16">
        <f t="shared" si="18"/>
        <v>4.2471919475656934</v>
      </c>
      <c r="L49" s="16">
        <f t="shared" si="19"/>
        <v>4.2450182265177867</v>
      </c>
    </row>
    <row r="50" spans="1:12">
      <c r="A50">
        <v>2030</v>
      </c>
      <c r="B50">
        <v>20</v>
      </c>
      <c r="C50">
        <v>57299300</v>
      </c>
      <c r="D50">
        <v>16509400000</v>
      </c>
      <c r="F50">
        <v>2031</v>
      </c>
      <c r="G50" t="s">
        <v>109</v>
      </c>
      <c r="H50" s="142">
        <f t="shared" ref="H50" si="23">H49+(H54-H49)/5</f>
        <v>4.2642188614327079</v>
      </c>
      <c r="I50" s="16">
        <f>1-0.5*'CARB ZEV counts'!M11</f>
        <v>0.98713821070559038</v>
      </c>
      <c r="J50" s="16">
        <f>1-0.5*'CARB ZEV counts'!M51</f>
        <v>0.98647828837784246</v>
      </c>
      <c r="K50" s="16">
        <f t="shared" si="18"/>
        <v>4.2093733769317128</v>
      </c>
      <c r="L50" s="16">
        <f t="shared" si="19"/>
        <v>4.2065593236946501</v>
      </c>
    </row>
    <row r="51" spans="1:12">
      <c r="A51">
        <v>2030</v>
      </c>
      <c r="B51">
        <v>30</v>
      </c>
      <c r="C51">
        <v>94266800</v>
      </c>
      <c r="D51">
        <v>20530200000</v>
      </c>
      <c r="F51">
        <v>2032</v>
      </c>
      <c r="G51" t="s">
        <v>109</v>
      </c>
      <c r="H51" s="142">
        <f t="shared" ref="H51" si="24">H49+(H54-H49)/5*2</f>
        <v>4.2280148905418118</v>
      </c>
      <c r="I51" s="16">
        <f>1-0.5*'CARB ZEV counts'!M12</f>
        <v>0.98670249156485557</v>
      </c>
      <c r="J51" s="16">
        <f>1-0.5*'CARB ZEV counts'!M52</f>
        <v>0.98589229066811024</v>
      </c>
      <c r="K51" s="16">
        <f t="shared" si="18"/>
        <v>4.1717928268709157</v>
      </c>
      <c r="L51" s="16">
        <f t="shared" si="19"/>
        <v>4.1683672854151466</v>
      </c>
    </row>
    <row r="52" spans="1:12">
      <c r="A52">
        <v>2030</v>
      </c>
      <c r="B52" t="s">
        <v>252</v>
      </c>
      <c r="C52">
        <f>C50+C51</f>
        <v>151566100</v>
      </c>
      <c r="D52">
        <f>D50+D51</f>
        <v>37039600000</v>
      </c>
      <c r="E52">
        <f>C52*1000000/D52</f>
        <v>4092.0015334938821</v>
      </c>
      <c r="F52">
        <v>2033</v>
      </c>
      <c r="G52" t="s">
        <v>109</v>
      </c>
      <c r="H52" s="142">
        <f t="shared" ref="H52" si="25">H49+(H54-H49)/5*3</f>
        <v>4.1918109196509148</v>
      </c>
      <c r="I52" s="16">
        <f>1-0.5*'CARB ZEV counts'!M13</f>
        <v>0.98631289964001778</v>
      </c>
      <c r="J52" s="16">
        <f>1-0.5*'CARB ZEV counts'!M53</f>
        <v>0.98535718432258934</v>
      </c>
      <c r="K52" s="16">
        <f t="shared" si="18"/>
        <v>4.1344371829035831</v>
      </c>
      <c r="L52" s="16">
        <f t="shared" si="19"/>
        <v>4.1304310049999096</v>
      </c>
    </row>
    <row r="53" spans="1:12">
      <c r="F53">
        <v>2034</v>
      </c>
      <c r="G53" t="s">
        <v>109</v>
      </c>
      <c r="H53" s="142">
        <f t="shared" ref="H53" si="26">H49+(H54-H49)/5*4</f>
        <v>4.1556069487600187</v>
      </c>
      <c r="I53" s="16">
        <f>1-0.5*'CARB ZEV counts'!M14</f>
        <v>0.9859659509874581</v>
      </c>
      <c r="J53" s="16">
        <f>1-0.5*'CARB ZEV counts'!M54</f>
        <v>0.98457265159230622</v>
      </c>
      <c r="K53" s="16">
        <f t="shared" si="18"/>
        <v>4.0972869571642612</v>
      </c>
      <c r="L53" s="16">
        <f t="shared" si="19"/>
        <v>4.0914969525160645</v>
      </c>
    </row>
    <row r="54" spans="1:12">
      <c r="A54" t="s">
        <v>0</v>
      </c>
      <c r="B54" t="s">
        <v>1</v>
      </c>
      <c r="C54" t="s">
        <v>22</v>
      </c>
      <c r="D54" t="s">
        <v>75</v>
      </c>
      <c r="F54">
        <v>2035</v>
      </c>
      <c r="G54" t="s">
        <v>109</v>
      </c>
      <c r="H54" s="142">
        <f>M40</f>
        <v>4.1194029778691217</v>
      </c>
      <c r="I54" s="16">
        <f>1-0.5*'CARB ZEV counts'!M15</f>
        <v>0.98566121292601072</v>
      </c>
      <c r="J54" s="16">
        <f>1-0.5*'CARB ZEV counts'!M55</f>
        <v>0.98228772242204487</v>
      </c>
      <c r="K54" s="16">
        <f t="shared" si="18"/>
        <v>4.0603357356974987</v>
      </c>
      <c r="L54" s="16">
        <f t="shared" si="19"/>
        <v>4.0464389688696487</v>
      </c>
    </row>
    <row r="55" spans="1:12">
      <c r="A55">
        <v>2035</v>
      </c>
      <c r="B55">
        <v>20</v>
      </c>
      <c r="C55">
        <v>57006600</v>
      </c>
      <c r="D55">
        <v>17602700000</v>
      </c>
      <c r="F55">
        <v>2036</v>
      </c>
      <c r="G55" t="s">
        <v>109</v>
      </c>
      <c r="H55" s="142">
        <f>H54</f>
        <v>4.1194029778691217</v>
      </c>
      <c r="I55" s="16">
        <f>1-0.5*'CARB ZEV counts'!M16</f>
        <v>0.98539563169589472</v>
      </c>
      <c r="J55" s="16">
        <f>1-0.5*'CARB ZEV counts'!M56</f>
        <v>0.98019970495166531</v>
      </c>
      <c r="K55" s="16">
        <f t="shared" si="18"/>
        <v>4.0592416995872931</v>
      </c>
      <c r="L55" s="16">
        <f t="shared" si="19"/>
        <v>4.0378375834843245</v>
      </c>
    </row>
    <row r="56" spans="1:12">
      <c r="A56">
        <v>2035</v>
      </c>
      <c r="B56">
        <v>30</v>
      </c>
      <c r="C56">
        <v>87855600</v>
      </c>
      <c r="D56">
        <v>20292200000</v>
      </c>
      <c r="F56">
        <v>2037</v>
      </c>
      <c r="G56" t="s">
        <v>109</v>
      </c>
      <c r="H56" s="142">
        <f t="shared" ref="H56:H59" si="27">H55</f>
        <v>4.1194029778691217</v>
      </c>
      <c r="I56" s="16">
        <f>1-0.5*'CARB ZEV counts'!M17</f>
        <v>0.98516829761422497</v>
      </c>
      <c r="J56" s="16">
        <f>1-0.5*'CARB ZEV counts'!M57</f>
        <v>0.97819707547491686</v>
      </c>
      <c r="K56" s="16">
        <f t="shared" si="18"/>
        <v>4.0583052188942919</v>
      </c>
      <c r="L56" s="16">
        <f t="shared" si="19"/>
        <v>4.0295879456542387</v>
      </c>
    </row>
    <row r="57" spans="1:12">
      <c r="A57">
        <v>2035</v>
      </c>
      <c r="B57" t="s">
        <v>252</v>
      </c>
      <c r="C57">
        <f>C55+C56</f>
        <v>144862200</v>
      </c>
      <c r="D57">
        <f>D55+D56</f>
        <v>37894900000</v>
      </c>
      <c r="E57">
        <f>C57*1000000/D57</f>
        <v>3822.7360409976013</v>
      </c>
      <c r="F57">
        <v>2038</v>
      </c>
      <c r="G57" t="s">
        <v>109</v>
      </c>
      <c r="H57" s="142">
        <f t="shared" si="27"/>
        <v>4.1194029778691217</v>
      </c>
      <c r="I57" s="16">
        <f>1-0.5*'CARB ZEV counts'!M18</f>
        <v>0.98497512235534934</v>
      </c>
      <c r="J57" s="16">
        <f>1-0.5*'CARB ZEV counts'!M58</f>
        <v>0.97628341260436857</v>
      </c>
      <c r="K57" s="16">
        <f t="shared" si="18"/>
        <v>4.0575094521576283</v>
      </c>
      <c r="L57" s="16">
        <f t="shared" si="19"/>
        <v>4.021704797126664</v>
      </c>
    </row>
    <row r="58" spans="1:12">
      <c r="F58">
        <v>2039</v>
      </c>
      <c r="G58" t="s">
        <v>109</v>
      </c>
      <c r="H58" s="142">
        <f t="shared" si="27"/>
        <v>4.1194029778691217</v>
      </c>
      <c r="I58" s="16">
        <f>1-0.5*'CARB ZEV counts'!M19</f>
        <v>0.98481154164049578</v>
      </c>
      <c r="J58" s="16">
        <f>1-0.5*'CARB ZEV counts'!M59</f>
        <v>0.97443979487467991</v>
      </c>
      <c r="K58" s="16">
        <f t="shared" si="18"/>
        <v>4.0568355972737384</v>
      </c>
      <c r="L58" s="16">
        <f t="shared" si="19"/>
        <v>4.0141101927609322</v>
      </c>
    </row>
    <row r="59" spans="1:12">
      <c r="F59">
        <v>2040</v>
      </c>
      <c r="G59" t="s">
        <v>109</v>
      </c>
      <c r="H59" s="142">
        <f t="shared" si="27"/>
        <v>4.1194029778691217</v>
      </c>
      <c r="I59" s="16">
        <f>1-0.5*'CARB ZEV counts'!M20</f>
        <v>0.98467416201208302</v>
      </c>
      <c r="J59" s="16">
        <f>1-0.5*'CARB ZEV counts'!M60</f>
        <v>0.97266716175967904</v>
      </c>
      <c r="K59" s="16">
        <f t="shared" si="18"/>
        <v>4.0562696752233567</v>
      </c>
      <c r="L59" s="16">
        <f t="shared" si="19"/>
        <v>4.0068080026283281</v>
      </c>
    </row>
  </sheetData>
  <sheetProtection algorithmName="SHA-512" hashValue="vsGW/Tsy+Vj8gx0GCsoDRV+Jyil6GUe96Kff111UIXUxFuYSU5DdBKa0l+183ORLiczjRXS/N39rHGJ8ec1MfQ==" saltValue="AWAY7LK7TNZKwd0H7jR9GQ==" spinCount="100000" sheet="1" objects="1" scenarios="1"/>
  <mergeCells count="5">
    <mergeCell ref="A4:M4"/>
    <mergeCell ref="A18:M18"/>
    <mergeCell ref="A32:M32"/>
    <mergeCell ref="I42:J42"/>
    <mergeCell ref="K42:L42"/>
  </mergeCells>
  <pageMargins left="0.7" right="0.7" top="0.75" bottom="0.75" header="0.3" footer="0.3"/>
  <drawing r:id="rId1"/>
  <tableParts count="3">
    <tablePart r:id="rId2"/>
    <tablePart r:id="rId3"/>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4"/>
  <dimension ref="A1:V72"/>
  <sheetViews>
    <sheetView workbookViewId="0"/>
  </sheetViews>
  <sheetFormatPr baseColWidth="10" defaultColWidth="8.83203125" defaultRowHeight="15"/>
  <cols>
    <col min="3" max="3" width="18.6640625" customWidth="1"/>
    <col min="4" max="4" width="12.5" customWidth="1"/>
    <col min="5" max="5" width="10.33203125" customWidth="1"/>
    <col min="6" max="6" width="13.6640625" customWidth="1"/>
    <col min="7" max="7" width="12.1640625" customWidth="1"/>
    <col min="8" max="14" width="11.5" customWidth="1"/>
    <col min="15" max="16" width="11.83203125" customWidth="1"/>
    <col min="17" max="17" width="10" customWidth="1"/>
    <col min="18" max="18" width="8.83203125" customWidth="1"/>
    <col min="19" max="19" width="11.1640625" customWidth="1"/>
  </cols>
  <sheetData>
    <row r="1" spans="1:22" ht="16" thickBot="1">
      <c r="A1" s="2" t="s">
        <v>501</v>
      </c>
      <c r="C1" s="2"/>
      <c r="D1" s="2"/>
      <c r="E1" s="2"/>
      <c r="F1" s="68"/>
      <c r="J1" s="2"/>
      <c r="N1" s="2"/>
    </row>
    <row r="2" spans="1:22" ht="16" thickBot="1">
      <c r="B2" s="2"/>
      <c r="C2" s="2"/>
      <c r="D2" s="2"/>
      <c r="E2" s="2"/>
      <c r="F2" s="297" t="s">
        <v>500</v>
      </c>
      <c r="G2" s="297"/>
      <c r="H2" s="297"/>
      <c r="I2" s="297"/>
      <c r="J2" s="297" t="s">
        <v>130</v>
      </c>
      <c r="K2" s="297"/>
      <c r="L2" s="297"/>
      <c r="M2" s="297"/>
      <c r="N2" s="297" t="s">
        <v>131</v>
      </c>
      <c r="O2" s="297"/>
      <c r="P2" s="297"/>
      <c r="Q2" s="297"/>
    </row>
    <row r="3" spans="1:22" ht="16" thickBot="1">
      <c r="A3" t="s">
        <v>19</v>
      </c>
      <c r="B3" t="s">
        <v>50</v>
      </c>
      <c r="C3" t="s">
        <v>137</v>
      </c>
      <c r="D3" t="s">
        <v>134</v>
      </c>
      <c r="E3" t="s">
        <v>214</v>
      </c>
      <c r="F3" s="87" t="s">
        <v>129</v>
      </c>
      <c r="G3" s="88" t="s">
        <v>124</v>
      </c>
      <c r="H3" s="88" t="s">
        <v>122</v>
      </c>
      <c r="I3" s="88" t="s">
        <v>132</v>
      </c>
      <c r="J3" s="87" t="s">
        <v>129</v>
      </c>
      <c r="K3" s="88" t="s">
        <v>124</v>
      </c>
      <c r="L3" s="88" t="s">
        <v>122</v>
      </c>
      <c r="M3" s="88" t="s">
        <v>132</v>
      </c>
      <c r="N3" s="87" t="s">
        <v>129</v>
      </c>
      <c r="O3" s="88" t="s">
        <v>124</v>
      </c>
      <c r="P3" s="88" t="s">
        <v>122</v>
      </c>
      <c r="Q3" s="88" t="s">
        <v>132</v>
      </c>
      <c r="U3" s="3"/>
      <c r="V3" s="3"/>
    </row>
    <row r="4" spans="1:22">
      <c r="A4">
        <f>'ZEV Sales'!S10</f>
        <v>2025</v>
      </c>
      <c r="B4">
        <f>'ZEV Sales'!T10</f>
        <v>20</v>
      </c>
      <c r="C4" s="3">
        <f>'Combined MOVES output'!AE18</f>
        <v>4841470.1504458673</v>
      </c>
      <c r="D4" s="3">
        <f>'ZEV Sales'!D4</f>
        <v>284656.37160710734</v>
      </c>
      <c r="E4" s="3"/>
      <c r="F4" s="85"/>
      <c r="G4" s="3"/>
      <c r="H4" s="3"/>
      <c r="I4" s="89"/>
      <c r="J4" s="85"/>
      <c r="K4" s="3"/>
      <c r="L4" s="3"/>
      <c r="M4" s="89"/>
      <c r="N4" s="99"/>
      <c r="O4" s="3"/>
      <c r="P4" s="3"/>
      <c r="Q4" s="100"/>
      <c r="U4" s="3"/>
      <c r="V4" s="3"/>
    </row>
    <row r="5" spans="1:22">
      <c r="A5">
        <f>'ZEV Sales'!S11</f>
        <v>2025</v>
      </c>
      <c r="B5">
        <f>'ZEV Sales'!T11</f>
        <v>30</v>
      </c>
      <c r="C5" s="3">
        <f>'Combined MOVES output'!AE19</f>
        <v>5775661.363618657</v>
      </c>
      <c r="D5" s="3">
        <f>'ZEV Sales'!D5</f>
        <v>317341.80218236992</v>
      </c>
      <c r="E5" s="3">
        <f>D4+D5</f>
        <v>601998.17378947721</v>
      </c>
      <c r="F5" s="85"/>
      <c r="G5" s="3"/>
      <c r="H5" s="3"/>
      <c r="I5" s="89"/>
      <c r="J5" s="85"/>
      <c r="K5" s="3"/>
      <c r="L5" s="3"/>
      <c r="M5" s="89"/>
      <c r="N5" s="85"/>
      <c r="O5" s="3"/>
      <c r="P5" s="3"/>
      <c r="Q5" s="90"/>
      <c r="U5" s="3"/>
      <c r="V5" s="3"/>
    </row>
    <row r="6" spans="1:22">
      <c r="A6">
        <f>'ZEV Sales'!S12</f>
        <v>2025</v>
      </c>
      <c r="B6">
        <f>'ZEV Sales'!T12</f>
        <v>41</v>
      </c>
      <c r="C6" s="3"/>
      <c r="D6" s="3">
        <f>'ZEV Sales'!D6</f>
        <v>20311.226838118284</v>
      </c>
      <c r="E6" s="3"/>
      <c r="F6" s="85"/>
      <c r="G6" s="3"/>
      <c r="H6" s="3"/>
      <c r="I6" s="89"/>
      <c r="J6" s="85"/>
      <c r="K6" s="3"/>
      <c r="L6" s="3"/>
      <c r="M6" s="89"/>
      <c r="N6" s="85"/>
      <c r="O6" s="3"/>
      <c r="P6" s="3"/>
      <c r="Q6" s="90"/>
      <c r="U6" s="3"/>
      <c r="V6" s="3"/>
    </row>
    <row r="7" spans="1:22">
      <c r="A7" s="91">
        <f>A6</f>
        <v>2025</v>
      </c>
      <c r="B7" s="207" t="s">
        <v>33</v>
      </c>
      <c r="C7" s="92">
        <f>C4+C5</f>
        <v>10617131.514064524</v>
      </c>
      <c r="D7" s="3">
        <f>'ZEV Sales'!D7</f>
        <v>622290.04849819443</v>
      </c>
      <c r="E7" s="92"/>
      <c r="F7" s="93">
        <f>C7-I7</f>
        <v>10306546.242153604</v>
      </c>
      <c r="G7" s="92">
        <f>'Fleet ZEV fractions'!V17</f>
        <v>214797.29085428125</v>
      </c>
      <c r="H7" s="92">
        <f>'Fleet ZEV fractions'!X17</f>
        <v>95787.981056638964</v>
      </c>
      <c r="I7" s="94">
        <f>'Fleet ZEV fractions'!Z17</f>
        <v>310585.27191092022</v>
      </c>
      <c r="J7" s="253">
        <f>F7</f>
        <v>10306546.242153604</v>
      </c>
      <c r="K7" s="254">
        <f t="shared" ref="K7:M7" si="0">G7</f>
        <v>214797.29085428125</v>
      </c>
      <c r="L7" s="254">
        <f t="shared" si="0"/>
        <v>95787.981056638964</v>
      </c>
      <c r="M7" s="254">
        <f t="shared" si="0"/>
        <v>310585.27191092022</v>
      </c>
      <c r="N7" s="253">
        <f>F7</f>
        <v>10306546.242153604</v>
      </c>
      <c r="O7" s="254">
        <f t="shared" ref="O7:Q7" si="1">G7</f>
        <v>214797.29085428125</v>
      </c>
      <c r="P7" s="254">
        <f t="shared" si="1"/>
        <v>95787.981056638964</v>
      </c>
      <c r="Q7" s="255">
        <f t="shared" si="1"/>
        <v>310585.27191092022</v>
      </c>
      <c r="U7" s="3"/>
      <c r="V7" s="3"/>
    </row>
    <row r="8" spans="1:22">
      <c r="A8">
        <v>2026</v>
      </c>
      <c r="B8">
        <f>'ZEV Sales'!T14</f>
        <v>20</v>
      </c>
      <c r="C8" s="3">
        <f>C4+(C24-C4)/5</f>
        <v>4877750.103802504</v>
      </c>
      <c r="D8" s="3">
        <f>'ZEV Sales'!D8</f>
        <v>289289.18082582462</v>
      </c>
      <c r="E8" s="3"/>
      <c r="F8" s="85"/>
      <c r="G8" s="3"/>
      <c r="H8" s="3"/>
      <c r="I8" s="3"/>
      <c r="J8" s="85"/>
      <c r="K8" s="3"/>
      <c r="L8" s="3"/>
      <c r="M8" s="3"/>
      <c r="N8" s="85"/>
      <c r="O8" s="3"/>
      <c r="P8" s="3"/>
      <c r="Q8" s="86"/>
      <c r="U8" s="3"/>
      <c r="V8" s="3"/>
    </row>
    <row r="9" spans="1:22">
      <c r="A9">
        <v>2026</v>
      </c>
      <c r="B9">
        <f>'ZEV Sales'!T15</f>
        <v>30</v>
      </c>
      <c r="C9" s="3">
        <f t="shared" ref="C9:C11" si="2">C5+(C25-C5)/5</f>
        <v>5844091.0047739325</v>
      </c>
      <c r="D9" s="3">
        <f>'ZEV Sales'!D9</f>
        <v>316986.83954927034</v>
      </c>
      <c r="E9" s="3">
        <f>D8+D9</f>
        <v>606276.02037509496</v>
      </c>
      <c r="F9" s="85"/>
      <c r="G9" s="3"/>
      <c r="H9" s="3"/>
      <c r="I9" s="3"/>
      <c r="J9" s="85"/>
      <c r="K9" s="3"/>
      <c r="L9" s="3"/>
      <c r="M9" s="3"/>
      <c r="N9" s="85"/>
      <c r="O9" s="3"/>
      <c r="P9" s="3"/>
      <c r="Q9" s="86"/>
      <c r="U9" s="3"/>
      <c r="V9" s="3"/>
    </row>
    <row r="10" spans="1:22">
      <c r="A10">
        <v>2026</v>
      </c>
      <c r="B10">
        <f>'ZEV Sales'!T16</f>
        <v>41</v>
      </c>
      <c r="C10" s="3"/>
      <c r="D10" s="3">
        <f>'ZEV Sales'!D10</f>
        <v>18979.544540709077</v>
      </c>
      <c r="E10" s="3"/>
      <c r="F10" s="85"/>
      <c r="G10" s="3"/>
      <c r="H10" s="3"/>
      <c r="I10" s="3"/>
      <c r="J10" s="85"/>
      <c r="K10" s="3"/>
      <c r="L10" s="3"/>
      <c r="M10" s="3"/>
      <c r="N10" s="85"/>
      <c r="O10" s="3"/>
      <c r="P10" s="3"/>
      <c r="Q10" s="86"/>
      <c r="U10" s="3"/>
      <c r="V10" s="3"/>
    </row>
    <row r="11" spans="1:22">
      <c r="A11" s="91">
        <v>2026</v>
      </c>
      <c r="B11" s="207" t="s">
        <v>33</v>
      </c>
      <c r="C11" s="92">
        <f t="shared" si="2"/>
        <v>10721841.108576436</v>
      </c>
      <c r="D11" s="3">
        <f>'ZEV Sales'!D11</f>
        <v>625492.59599185898</v>
      </c>
      <c r="E11" s="92"/>
      <c r="F11" s="93">
        <f>C11-I11</f>
        <v>10306976.361160999</v>
      </c>
      <c r="G11" s="92">
        <f>'Fleet ZEV fractions'!V18</f>
        <v>315439.11023654701</v>
      </c>
      <c r="H11" s="92">
        <f>'Fleet ZEV fractions'!X18</f>
        <v>99425.637178889534</v>
      </c>
      <c r="I11" s="92">
        <f>'Fleet ZEV fractions'!Z18</f>
        <v>414864.74741543655</v>
      </c>
      <c r="J11" s="93">
        <f>C11-M11</f>
        <v>10199059.229534233</v>
      </c>
      <c r="K11" s="92">
        <f>'Fleet ZEV fractions'!AB18</f>
        <v>399533.16059210431</v>
      </c>
      <c r="L11" s="92">
        <f>'Fleet ZEV fractions'!AD18</f>
        <v>123248.71845009914</v>
      </c>
      <c r="M11" s="92">
        <f>'Fleet ZEV fractions'!AF18</f>
        <v>522781.87904220342</v>
      </c>
      <c r="N11" s="93">
        <f>C11-Q11</f>
        <v>10241498.550960489</v>
      </c>
      <c r="O11" s="92">
        <f>'Fleet ZEV fractions'!AH18</f>
        <v>362585.98664453969</v>
      </c>
      <c r="P11" s="92">
        <f>'Fleet ZEV fractions'!AJ18</f>
        <v>117756.57097140711</v>
      </c>
      <c r="Q11" s="95">
        <f>'Fleet ZEV fractions'!AL18</f>
        <v>480342.55761594675</v>
      </c>
      <c r="U11" s="3"/>
      <c r="V11" s="3"/>
    </row>
    <row r="12" spans="1:22">
      <c r="A12">
        <v>2027</v>
      </c>
      <c r="B12">
        <f>'ZEV Sales'!T18</f>
        <v>20</v>
      </c>
      <c r="C12" s="3">
        <f>C4+2*(C24-C4)/5</f>
        <v>4914030.0571591398</v>
      </c>
      <c r="D12" s="3">
        <f>'ZEV Sales'!D12</f>
        <v>293959.17500994651</v>
      </c>
      <c r="E12" s="3"/>
      <c r="F12" s="85"/>
      <c r="G12" s="3"/>
      <c r="H12" s="3"/>
      <c r="I12" s="3"/>
      <c r="J12" s="85"/>
      <c r="K12" s="3"/>
      <c r="L12" s="3"/>
      <c r="M12" s="3"/>
      <c r="N12" s="85"/>
      <c r="O12" s="3"/>
      <c r="P12" s="3"/>
      <c r="Q12" s="86"/>
      <c r="U12" s="3"/>
      <c r="V12" s="3"/>
    </row>
    <row r="13" spans="1:22">
      <c r="A13">
        <v>2027</v>
      </c>
      <c r="B13">
        <f>'ZEV Sales'!T19</f>
        <v>30</v>
      </c>
      <c r="C13" s="3">
        <f t="shared" ref="C13:C15" si="3">C5+2*(C25-C5)/5</f>
        <v>5912520.645929208</v>
      </c>
      <c r="D13" s="3">
        <f>'ZEV Sales'!D13</f>
        <v>316535.5147136717</v>
      </c>
      <c r="E13" s="3">
        <f>D12+D13</f>
        <v>610494.68972361821</v>
      </c>
      <c r="F13" s="85"/>
      <c r="G13" s="3"/>
      <c r="H13" s="3"/>
      <c r="I13" s="3"/>
      <c r="J13" s="85"/>
      <c r="K13" s="3"/>
      <c r="L13" s="3"/>
      <c r="M13" s="3"/>
      <c r="N13" s="85"/>
      <c r="O13" s="3"/>
      <c r="P13" s="3"/>
      <c r="Q13" s="86"/>
      <c r="U13" s="3"/>
      <c r="V13" s="3"/>
    </row>
    <row r="14" spans="1:22">
      <c r="A14">
        <v>2027</v>
      </c>
      <c r="B14">
        <f>'ZEV Sales'!T20</f>
        <v>41</v>
      </c>
      <c r="C14" s="3"/>
      <c r="D14" s="3">
        <f>'ZEV Sales'!D14</f>
        <v>17659.229965803675</v>
      </c>
      <c r="E14" s="3"/>
      <c r="F14" s="85"/>
      <c r="G14" s="3"/>
      <c r="H14" s="3"/>
      <c r="I14" s="3"/>
      <c r="J14" s="85"/>
      <c r="K14" s="3"/>
      <c r="L14" s="3"/>
      <c r="M14" s="3"/>
      <c r="N14" s="85"/>
      <c r="O14" s="3"/>
      <c r="P14" s="3"/>
      <c r="Q14" s="86"/>
      <c r="U14" s="3"/>
      <c r="V14" s="3"/>
    </row>
    <row r="15" spans="1:22">
      <c r="A15" s="91">
        <v>2027</v>
      </c>
      <c r="B15" s="207" t="s">
        <v>33</v>
      </c>
      <c r="C15" s="92">
        <f t="shared" si="3"/>
        <v>10826550.703088349</v>
      </c>
      <c r="D15" s="3">
        <f>'ZEV Sales'!D15</f>
        <v>628674.40633282089</v>
      </c>
      <c r="E15" s="92"/>
      <c r="F15" s="93">
        <f>C15-I15</f>
        <v>10306680.86904045</v>
      </c>
      <c r="G15" s="92">
        <f>'Fleet ZEV fractions'!V19</f>
        <v>416781.22873066762</v>
      </c>
      <c r="H15" s="92">
        <f>'Fleet ZEV fractions'!X19</f>
        <v>103088.60531723127</v>
      </c>
      <c r="I15" s="92">
        <f>'Fleet ZEV fractions'!Z19</f>
        <v>519869.83404789888</v>
      </c>
      <c r="J15" s="93">
        <f>C15-M15</f>
        <v>10041256.10746499</v>
      </c>
      <c r="K15" s="92">
        <f>'Fleet ZEV fractions'!AB19</f>
        <v>636566.70174038329</v>
      </c>
      <c r="L15" s="92">
        <f>'Fleet ZEV fractions'!AD19</f>
        <v>148727.89388297603</v>
      </c>
      <c r="M15" s="92">
        <f>'Fleet ZEV fractions'!AF19</f>
        <v>785294.59562335932</v>
      </c>
      <c r="N15" s="93">
        <f>C15-Q15</f>
        <v>10136197.972207477</v>
      </c>
      <c r="O15" s="92">
        <f>'Fleet ZEV fractions'!AH19</f>
        <v>552212.81956316286</v>
      </c>
      <c r="P15" s="92">
        <f>'Fleet ZEV fractions'!AJ19</f>
        <v>138139.91131770864</v>
      </c>
      <c r="Q15" s="95">
        <f>'Fleet ZEV fractions'!AL19</f>
        <v>690352.73088087142</v>
      </c>
      <c r="U15" s="3"/>
      <c r="V15" s="3"/>
    </row>
    <row r="16" spans="1:22">
      <c r="A16">
        <v>2028</v>
      </c>
      <c r="B16">
        <f>'ZEV Sales'!T22</f>
        <v>20</v>
      </c>
      <c r="C16" s="3">
        <f>C4+3*(C24-C4)/5</f>
        <v>4950310.0105157765</v>
      </c>
      <c r="D16" s="3">
        <f>'ZEV Sales'!D16</f>
        <v>298666.35415947315</v>
      </c>
      <c r="E16" s="3"/>
      <c r="F16" s="85"/>
      <c r="G16" s="3"/>
      <c r="H16" s="3"/>
      <c r="I16" s="3"/>
      <c r="J16" s="85"/>
      <c r="K16" s="3"/>
      <c r="L16" s="3"/>
      <c r="M16" s="3"/>
      <c r="N16" s="85"/>
      <c r="O16" s="3"/>
      <c r="P16" s="3"/>
      <c r="Q16" s="86"/>
      <c r="U16" s="3"/>
      <c r="V16" s="3"/>
    </row>
    <row r="17" spans="1:22">
      <c r="A17">
        <v>2028</v>
      </c>
      <c r="B17">
        <f>'ZEV Sales'!T23</f>
        <v>30</v>
      </c>
      <c r="C17" s="3">
        <f>C5+3*(C25-C5)/5</f>
        <v>5980950.2870844845</v>
      </c>
      <c r="D17" s="3">
        <f>'ZEV Sales'!D17</f>
        <v>315987.82767557399</v>
      </c>
      <c r="E17" s="3">
        <f>D16+D17</f>
        <v>614654.1818350472</v>
      </c>
      <c r="F17" s="85"/>
      <c r="G17" s="3"/>
      <c r="H17" s="3"/>
      <c r="I17" s="3"/>
      <c r="J17" s="85"/>
      <c r="K17" s="3"/>
      <c r="L17" s="3"/>
      <c r="M17" s="3"/>
      <c r="N17" s="85"/>
      <c r="O17" s="3"/>
      <c r="P17" s="3"/>
      <c r="Q17" s="86"/>
      <c r="U17" s="3"/>
      <c r="V17" s="3"/>
    </row>
    <row r="18" spans="1:22">
      <c r="A18">
        <v>2028</v>
      </c>
      <c r="B18">
        <f>'ZEV Sales'!T24</f>
        <v>41</v>
      </c>
      <c r="C18" s="3"/>
      <c r="D18" s="3">
        <f>'ZEV Sales'!D18</f>
        <v>16350.283113402083</v>
      </c>
      <c r="E18" s="3"/>
      <c r="F18" s="85"/>
      <c r="G18" s="3"/>
      <c r="H18" s="3"/>
      <c r="I18" s="3"/>
      <c r="J18" s="85"/>
      <c r="K18" s="3"/>
      <c r="L18" s="3"/>
      <c r="M18" s="3"/>
      <c r="N18" s="85"/>
      <c r="O18" s="3"/>
      <c r="P18" s="3"/>
      <c r="Q18" s="86"/>
      <c r="U18" s="3"/>
      <c r="V18" s="3"/>
    </row>
    <row r="19" spans="1:22">
      <c r="A19" s="91">
        <v>2028</v>
      </c>
      <c r="B19" s="207" t="s">
        <v>33</v>
      </c>
      <c r="C19" s="92">
        <f>C7+3*(C27-C7)/5</f>
        <v>10931260.29760026</v>
      </c>
      <c r="D19" s="3">
        <f>'ZEV Sales'!D19</f>
        <v>618092.98799931735</v>
      </c>
      <c r="E19" s="92"/>
      <c r="F19" s="93">
        <f>C19-I19</f>
        <v>10305669.944276733</v>
      </c>
      <c r="G19" s="92">
        <f>'Fleet ZEV fractions'!V20</f>
        <v>518813.82291528548</v>
      </c>
      <c r="H19" s="92">
        <f>'Fleet ZEV fractions'!X20</f>
        <v>106776.53040824155</v>
      </c>
      <c r="I19" s="92">
        <f>'Fleet ZEV fractions'!Z20</f>
        <v>625590.35332352703</v>
      </c>
      <c r="J19" s="93">
        <f>C19-M19</f>
        <v>9832492.0692410264</v>
      </c>
      <c r="K19" s="92">
        <f>'Fleet ZEV fractions'!AB20</f>
        <v>924962.44385738741</v>
      </c>
      <c r="L19" s="92">
        <f>'Fleet ZEV fractions'!AD20</f>
        <v>173805.78450184595</v>
      </c>
      <c r="M19" s="92">
        <f>'Fleet ZEV fractions'!AF20</f>
        <v>1098768.2283592334</v>
      </c>
      <c r="N19" s="93">
        <f>C19-Q19</f>
        <v>9990128.6605306901</v>
      </c>
      <c r="O19" s="92">
        <f>'Fleet ZEV fractions'!AH20</f>
        <v>782929.41325676616</v>
      </c>
      <c r="P19" s="92">
        <f>'Fleet ZEV fractions'!AJ20</f>
        <v>158202.22381280459</v>
      </c>
      <c r="Q19" s="95">
        <f>'Fleet ZEV fractions'!AL20</f>
        <v>941131.63706957072</v>
      </c>
      <c r="U19" s="3"/>
      <c r="V19" s="3"/>
    </row>
    <row r="20" spans="1:22">
      <c r="A20">
        <v>2029</v>
      </c>
      <c r="B20">
        <v>20</v>
      </c>
      <c r="C20" s="3">
        <f>C4+4*(C24-C4)/5</f>
        <v>4986589.9638724122</v>
      </c>
      <c r="D20" s="3">
        <f>'ZEV Sales'!D20</f>
        <v>303410.71827440441</v>
      </c>
      <c r="E20" s="3"/>
      <c r="F20" s="85"/>
      <c r="G20" s="3"/>
      <c r="H20" s="3"/>
      <c r="I20" s="3"/>
      <c r="J20" s="85"/>
      <c r="K20" s="3"/>
      <c r="L20" s="3"/>
      <c r="M20" s="3"/>
      <c r="N20" s="85"/>
      <c r="O20" s="3"/>
      <c r="P20" s="3"/>
      <c r="Q20" s="86"/>
      <c r="U20" s="3"/>
      <c r="V20" s="3"/>
    </row>
    <row r="21" spans="1:22">
      <c r="A21">
        <v>2029</v>
      </c>
      <c r="B21">
        <v>30</v>
      </c>
      <c r="C21" s="3">
        <f t="shared" ref="C21:C23" si="4">C5+4*(C25-C5)/5</f>
        <v>6049379.92823976</v>
      </c>
      <c r="D21" s="3">
        <f>'ZEV Sales'!D21</f>
        <v>315343.77843497711</v>
      </c>
      <c r="E21" s="3">
        <f>D20+D21</f>
        <v>618754.49670938146</v>
      </c>
      <c r="F21" s="85"/>
      <c r="G21" s="3"/>
      <c r="H21" s="3"/>
      <c r="I21" s="3"/>
      <c r="J21" s="85"/>
      <c r="K21" s="3"/>
      <c r="L21" s="3"/>
      <c r="M21" s="3"/>
      <c r="N21" s="85"/>
      <c r="O21" s="3"/>
      <c r="P21" s="3"/>
      <c r="Q21" s="86"/>
      <c r="U21" s="3"/>
      <c r="V21" s="3"/>
    </row>
    <row r="22" spans="1:22">
      <c r="A22">
        <v>2029</v>
      </c>
      <c r="B22">
        <v>41</v>
      </c>
      <c r="C22" s="3"/>
      <c r="D22" s="3">
        <f>'ZEV Sales'!D22</f>
        <v>15052.7039835043</v>
      </c>
      <c r="E22" s="3"/>
      <c r="F22" s="85"/>
      <c r="G22" s="3"/>
      <c r="H22" s="3"/>
      <c r="I22" s="3"/>
      <c r="J22" s="85"/>
      <c r="K22" s="3"/>
      <c r="L22" s="3"/>
      <c r="M22" s="3"/>
      <c r="N22" s="85"/>
      <c r="O22" s="3"/>
      <c r="P22" s="3"/>
      <c r="Q22" s="86"/>
      <c r="U22" s="3"/>
      <c r="V22" s="3"/>
    </row>
    <row r="23" spans="1:22">
      <c r="A23" s="91">
        <v>2029</v>
      </c>
      <c r="B23" s="207" t="s">
        <v>33</v>
      </c>
      <c r="C23" s="92">
        <f t="shared" si="4"/>
        <v>11035969.892112173</v>
      </c>
      <c r="D23" s="3">
        <f>'ZEV Sales'!D23</f>
        <v>634975.81555663643</v>
      </c>
      <c r="E23" s="92"/>
      <c r="F23" s="93">
        <f>C23-I23</f>
        <v>10303953.765354633</v>
      </c>
      <c r="G23" s="92">
        <f>'Fleet ZEV fractions'!V21</f>
        <v>621527.06936904276</v>
      </c>
      <c r="H23" s="92">
        <f>'Fleet ZEV fractions'!X21</f>
        <v>110489.05738849787</v>
      </c>
      <c r="I23" s="92">
        <f>'Fleet ZEV fractions'!Z21</f>
        <v>732016.12675754062</v>
      </c>
      <c r="J23" s="93">
        <f>C23-M23</f>
        <v>9572136.5106944051</v>
      </c>
      <c r="K23" s="92">
        <f>'Fleet ZEV fractions'!AB21</f>
        <v>1265689.9200453535</v>
      </c>
      <c r="L23" s="92">
        <f>'Fleet ZEV fractions'!AD21</f>
        <v>198143.46137241495</v>
      </c>
      <c r="M23" s="92">
        <f>'Fleet ZEV fractions'!AF21</f>
        <v>1463833.3814177685</v>
      </c>
      <c r="N23" s="93">
        <f>C23-Q23</f>
        <v>9802786.1325957738</v>
      </c>
      <c r="O23" s="92">
        <f>'Fleet ZEV fractions'!AH21</f>
        <v>1055511.394207139</v>
      </c>
      <c r="P23" s="92">
        <f>'Fleet ZEV fractions'!AJ21</f>
        <v>177672.3653092598</v>
      </c>
      <c r="Q23" s="95">
        <f>'Fleet ZEV fractions'!AL21</f>
        <v>1233183.7595163989</v>
      </c>
      <c r="U23" s="3"/>
      <c r="V23" s="3"/>
    </row>
    <row r="24" spans="1:22">
      <c r="A24">
        <v>2030</v>
      </c>
      <c r="B24">
        <v>20</v>
      </c>
      <c r="C24" s="3">
        <f>'Combined MOVES output'!AE23</f>
        <v>5022869.9172290489</v>
      </c>
      <c r="D24" s="3">
        <f>'ZEV Sales'!D24</f>
        <v>308192.26735474041</v>
      </c>
      <c r="E24" s="3"/>
      <c r="F24" s="85"/>
      <c r="G24" s="3"/>
      <c r="H24" s="3"/>
      <c r="I24" s="89"/>
      <c r="J24" s="85"/>
      <c r="K24" s="3"/>
      <c r="L24" s="3"/>
      <c r="M24" s="89"/>
      <c r="N24" s="85"/>
      <c r="O24" s="3"/>
      <c r="P24" s="3"/>
      <c r="Q24" s="90"/>
      <c r="U24" s="3"/>
      <c r="V24" s="3"/>
    </row>
    <row r="25" spans="1:22">
      <c r="A25">
        <v>2030</v>
      </c>
      <c r="B25">
        <v>30</v>
      </c>
      <c r="C25" s="3">
        <f>'Combined MOVES output'!AE24</f>
        <v>6117809.5693950355</v>
      </c>
      <c r="D25" s="3">
        <f>'ZEV Sales'!D25</f>
        <v>314603.36699188116</v>
      </c>
      <c r="E25" s="3">
        <f>D24+D25</f>
        <v>622795.63434662158</v>
      </c>
      <c r="F25" s="85"/>
      <c r="G25" s="3"/>
      <c r="H25" s="3"/>
      <c r="I25" s="89"/>
      <c r="J25" s="85"/>
      <c r="K25" s="3"/>
      <c r="L25" s="3"/>
      <c r="M25" s="89"/>
      <c r="N25" s="85"/>
      <c r="O25" s="3"/>
      <c r="P25" s="3"/>
      <c r="Q25" s="90"/>
      <c r="U25" s="3"/>
      <c r="V25" s="3"/>
    </row>
    <row r="26" spans="1:22">
      <c r="A26">
        <v>2030</v>
      </c>
      <c r="B26">
        <v>41</v>
      </c>
      <c r="C26" s="3"/>
      <c r="D26" s="3">
        <f>'ZEV Sales'!D26</f>
        <v>13766.492576110319</v>
      </c>
      <c r="E26" s="3"/>
      <c r="F26" s="85"/>
      <c r="G26" s="3"/>
      <c r="H26" s="3"/>
      <c r="I26" s="89"/>
      <c r="J26" s="85"/>
      <c r="K26" s="3"/>
      <c r="L26" s="3"/>
      <c r="M26" s="89"/>
      <c r="N26" s="85"/>
      <c r="O26" s="3"/>
      <c r="P26" s="3"/>
      <c r="Q26" s="90"/>
      <c r="U26" s="3"/>
      <c r="V26" s="3"/>
    </row>
    <row r="27" spans="1:22">
      <c r="A27" s="91">
        <v>2030</v>
      </c>
      <c r="B27" s="207" t="s">
        <v>33</v>
      </c>
      <c r="C27" s="92">
        <f>C24+C25</f>
        <v>11140679.486624084</v>
      </c>
      <c r="D27" s="3">
        <f>'ZEV Sales'!D27</f>
        <v>638095.41443948995</v>
      </c>
      <c r="E27" s="92"/>
      <c r="F27" s="93">
        <f>C27-I27</f>
        <v>10301542.510758925</v>
      </c>
      <c r="G27" s="92">
        <f>'Fleet ZEV fractions'!V22</f>
        <v>724911.14467058191</v>
      </c>
      <c r="H27" s="92">
        <f>'Fleet ZEV fractions'!X22</f>
        <v>114225.83119457762</v>
      </c>
      <c r="I27" s="94">
        <f>'Fleet ZEV fractions'!Z22</f>
        <v>839136.97586515953</v>
      </c>
      <c r="J27" s="93">
        <f>C27-M27</f>
        <v>9253345.0738506131</v>
      </c>
      <c r="K27" s="92">
        <f>'Fleet ZEV fractions'!AB22</f>
        <v>1664990.8924664445</v>
      </c>
      <c r="L27" s="92">
        <f>'Fleet ZEV fractions'!AD22</f>
        <v>222343.52030702654</v>
      </c>
      <c r="M27" s="92">
        <f>'Fleet ZEV fractions'!AF22</f>
        <v>1887334.4127734713</v>
      </c>
      <c r="N27" s="93">
        <f>C27-Q27</f>
        <v>9568694.9020231236</v>
      </c>
      <c r="O27" s="92">
        <f>'Fleet ZEV fractions'!AH22</f>
        <v>1374952.1721440121</v>
      </c>
      <c r="P27" s="92">
        <f>'Fleet ZEV fractions'!AJ22</f>
        <v>197032.41245694907</v>
      </c>
      <c r="Q27" s="95">
        <f>'Fleet ZEV fractions'!AL22</f>
        <v>1571984.5846009611</v>
      </c>
      <c r="U27" s="3"/>
      <c r="V27" s="3"/>
    </row>
    <row r="28" spans="1:22">
      <c r="A28">
        <v>2031</v>
      </c>
      <c r="B28">
        <v>20</v>
      </c>
      <c r="C28" s="3">
        <f>C24+(C44-C24)/5</f>
        <v>5052754.5754936608</v>
      </c>
      <c r="D28" s="3">
        <f>'ZEV Sales'!D28</f>
        <v>312558.82462132408</v>
      </c>
      <c r="E28" s="3"/>
      <c r="F28" s="85"/>
      <c r="G28" s="3"/>
      <c r="H28" s="3"/>
      <c r="I28" s="3"/>
      <c r="J28" s="85"/>
      <c r="K28" s="3"/>
      <c r="L28" s="3"/>
      <c r="M28" s="3"/>
      <c r="N28" s="85"/>
      <c r="O28" s="3"/>
      <c r="P28" s="3"/>
      <c r="Q28" s="86"/>
      <c r="U28" s="3"/>
      <c r="V28" s="3"/>
    </row>
    <row r="29" spans="1:22">
      <c r="A29">
        <v>2031</v>
      </c>
      <c r="B29">
        <v>30</v>
      </c>
      <c r="C29" s="3">
        <f t="shared" ref="C29:C31" si="5">C25+(C45-C25)/5</f>
        <v>6171248.4614119083</v>
      </c>
      <c r="D29" s="3">
        <f>'ZEV Sales'!D29</f>
        <v>316703.93080189906</v>
      </c>
      <c r="E29" s="3">
        <f>D28+D29</f>
        <v>629262.75542322313</v>
      </c>
      <c r="F29" s="85"/>
      <c r="G29" s="3"/>
      <c r="H29" s="3"/>
      <c r="I29" s="3"/>
      <c r="J29" s="85"/>
      <c r="K29" s="3"/>
      <c r="L29" s="3"/>
      <c r="M29" s="3"/>
      <c r="N29" s="85"/>
      <c r="O29" s="3"/>
      <c r="P29" s="3"/>
      <c r="Q29" s="86"/>
      <c r="U29" s="3"/>
      <c r="V29" s="3"/>
    </row>
    <row r="30" spans="1:22">
      <c r="A30">
        <v>2031</v>
      </c>
      <c r="B30">
        <v>41</v>
      </c>
      <c r="C30" s="3"/>
      <c r="D30" s="3">
        <f>'ZEV Sales'!D30</f>
        <v>13722.092525128306</v>
      </c>
      <c r="E30" s="3"/>
      <c r="F30" s="85"/>
      <c r="G30" s="3"/>
      <c r="H30" s="3"/>
      <c r="I30" s="3"/>
      <c r="J30" s="85"/>
      <c r="K30" s="3"/>
      <c r="L30" s="3"/>
      <c r="M30" s="3"/>
      <c r="N30" s="85"/>
      <c r="O30" s="3"/>
      <c r="P30" s="3"/>
      <c r="Q30" s="86"/>
      <c r="U30" s="3"/>
      <c r="V30" s="3"/>
    </row>
    <row r="31" spans="1:22">
      <c r="A31" s="91">
        <v>2031</v>
      </c>
      <c r="B31" s="207" t="s">
        <v>33</v>
      </c>
      <c r="C31" s="92">
        <f t="shared" si="5"/>
        <v>11224003.036905568</v>
      </c>
      <c r="D31" s="3">
        <f>'ZEV Sales'!D31</f>
        <v>645146.00243900402</v>
      </c>
      <c r="E31" s="92"/>
      <c r="F31" s="93">
        <f>C31-I31</f>
        <v>10276632.867107615</v>
      </c>
      <c r="G31" s="92">
        <f>'Fleet ZEV fractions'!V23</f>
        <v>829368.76207083696</v>
      </c>
      <c r="H31" s="92">
        <f>'Fleet ZEV fractions'!X23</f>
        <v>118001.40772711695</v>
      </c>
      <c r="I31" s="92">
        <f>'Fleet ZEV fractions'!Z23</f>
        <v>947370.16979795392</v>
      </c>
      <c r="J31" s="93">
        <f>C31-M31</f>
        <v>8858428.9300104473</v>
      </c>
      <c r="K31" s="92">
        <f>'Fleet ZEV fractions'!AB23</f>
        <v>2121835.6529037044</v>
      </c>
      <c r="L31" s="92">
        <f>'Fleet ZEV fractions'!AD23</f>
        <v>243738.45399141614</v>
      </c>
      <c r="M31" s="92">
        <f>'Fleet ZEV fractions'!AF23</f>
        <v>2365574.1068951208</v>
      </c>
      <c r="N31" s="93">
        <f>C31-Q31</f>
        <v>9173778.7581829578</v>
      </c>
      <c r="O31" s="92">
        <f>'Fleet ZEV fractions'!AH23</f>
        <v>1831796.932581272</v>
      </c>
      <c r="P31" s="92">
        <f>'Fleet ZEV fractions'!AJ23</f>
        <v>218427.34614133864</v>
      </c>
      <c r="Q31" s="95">
        <f>'Fleet ZEV fractions'!AL23</f>
        <v>2050224.2787226108</v>
      </c>
      <c r="U31" s="3"/>
      <c r="V31" s="3"/>
    </row>
    <row r="32" spans="1:22">
      <c r="A32">
        <v>2032</v>
      </c>
      <c r="B32">
        <v>20</v>
      </c>
      <c r="C32" s="3">
        <f>C24+2*(C44-C24)/5</f>
        <v>5082639.2337582726</v>
      </c>
      <c r="D32" s="3">
        <f>'ZEV Sales'!D32</f>
        <v>316955.34370684007</v>
      </c>
      <c r="E32" s="3"/>
      <c r="F32" s="85"/>
      <c r="G32" s="3"/>
      <c r="H32" s="3"/>
      <c r="I32" s="3"/>
      <c r="J32" s="85"/>
      <c r="K32" s="3"/>
      <c r="L32" s="3"/>
      <c r="M32" s="3"/>
      <c r="N32" s="85"/>
      <c r="O32" s="3"/>
      <c r="P32" s="3"/>
      <c r="Q32" s="86"/>
      <c r="U32" s="3"/>
      <c r="V32" s="3"/>
    </row>
    <row r="33" spans="1:22">
      <c r="A33">
        <v>2032</v>
      </c>
      <c r="B33">
        <v>30</v>
      </c>
      <c r="C33" s="3">
        <f t="shared" ref="C33:C35" si="6">C25+2*(C45-C25)/5</f>
        <v>6224687.353428781</v>
      </c>
      <c r="D33" s="3">
        <f>'ZEV Sales'!D33</f>
        <v>318793.28099074838</v>
      </c>
      <c r="E33" s="3">
        <f>D32+D33</f>
        <v>635748.62469758838</v>
      </c>
      <c r="F33" s="85"/>
      <c r="G33" s="3"/>
      <c r="H33" s="3"/>
      <c r="I33" s="3"/>
      <c r="J33" s="85"/>
      <c r="K33" s="3"/>
      <c r="L33" s="3"/>
      <c r="M33" s="3"/>
      <c r="N33" s="85"/>
      <c r="O33" s="3"/>
      <c r="P33" s="3"/>
      <c r="Q33" s="86"/>
      <c r="U33" s="3"/>
      <c r="V33" s="3"/>
    </row>
    <row r="34" spans="1:22">
      <c r="A34">
        <v>2032</v>
      </c>
      <c r="B34">
        <v>41</v>
      </c>
      <c r="C34" s="3"/>
      <c r="D34" s="3">
        <f>'ZEV Sales'!D34</f>
        <v>13677.242876433689</v>
      </c>
      <c r="E34" s="3"/>
      <c r="F34" s="85"/>
      <c r="G34" s="3"/>
      <c r="H34" s="3"/>
      <c r="I34" s="3"/>
      <c r="J34" s="85"/>
      <c r="K34" s="3"/>
      <c r="L34" s="3"/>
      <c r="M34" s="3"/>
      <c r="N34" s="85"/>
      <c r="O34" s="3"/>
      <c r="P34" s="3"/>
      <c r="Q34" s="86"/>
      <c r="U34" s="3"/>
      <c r="V34" s="3"/>
    </row>
    <row r="35" spans="1:22">
      <c r="A35" s="91">
        <v>2032</v>
      </c>
      <c r="B35" s="207" t="s">
        <v>33</v>
      </c>
      <c r="C35" s="92">
        <f t="shared" si="6"/>
        <v>11307326.587187054</v>
      </c>
      <c r="D35" s="3">
        <f>'ZEV Sales'!D35</f>
        <v>652231.83687128616</v>
      </c>
      <c r="E35" s="92"/>
      <c r="F35" s="93">
        <f>C35-I35</f>
        <v>10250607.653941114</v>
      </c>
      <c r="G35" s="92">
        <f>'Fleet ZEV fractions'!V24</f>
        <v>934903.03377063666</v>
      </c>
      <c r="H35" s="92">
        <f>'Fleet ZEV fractions'!X24</f>
        <v>121815.89947530255</v>
      </c>
      <c r="I35" s="92">
        <f>'Fleet ZEV fractions'!Z24</f>
        <v>1056718.9332459392</v>
      </c>
      <c r="J35" s="93">
        <f>C35-M35</f>
        <v>8420438.60803991</v>
      </c>
      <c r="K35" s="92">
        <f>'Fleet ZEV fractions'!AB24</f>
        <v>2621534.0719160088</v>
      </c>
      <c r="L35" s="92">
        <f>'Fleet ZEV fractions'!AD24</f>
        <v>265353.90723113413</v>
      </c>
      <c r="M35" s="92">
        <f>'Fleet ZEV fractions'!AF24</f>
        <v>2886887.9791471432</v>
      </c>
      <c r="N35" s="93">
        <f>C35-Q35</f>
        <v>8735788.4362124205</v>
      </c>
      <c r="O35" s="92">
        <f>'Fleet ZEV fractions'!AH24</f>
        <v>2331495.3515935764</v>
      </c>
      <c r="P35" s="92">
        <f>'Fleet ZEV fractions'!AJ24</f>
        <v>240042.79938105665</v>
      </c>
      <c r="Q35" s="95">
        <f>'Fleet ZEV fractions'!AL24</f>
        <v>2571538.1509746332</v>
      </c>
      <c r="U35" s="3"/>
      <c r="V35" s="3"/>
    </row>
    <row r="36" spans="1:22">
      <c r="A36">
        <v>2033</v>
      </c>
      <c r="B36">
        <v>20</v>
      </c>
      <c r="C36" s="3">
        <f>C24+3*(C44-C24)/5</f>
        <v>5112523.8920228835</v>
      </c>
      <c r="D36" s="3">
        <f>'ZEV Sales'!D36</f>
        <v>321381.82461128838</v>
      </c>
      <c r="E36" s="3"/>
      <c r="F36" s="85"/>
      <c r="G36" s="3"/>
      <c r="H36" s="3"/>
      <c r="I36" s="3"/>
      <c r="J36" s="85"/>
      <c r="K36" s="3"/>
      <c r="L36" s="3"/>
      <c r="M36" s="3"/>
      <c r="N36" s="85"/>
      <c r="O36" s="3"/>
      <c r="P36" s="3"/>
      <c r="Q36" s="86"/>
      <c r="U36" s="3"/>
      <c r="V36" s="3"/>
    </row>
    <row r="37" spans="1:22">
      <c r="A37">
        <v>2033</v>
      </c>
      <c r="B37">
        <v>30</v>
      </c>
      <c r="C37" s="3">
        <f>C25+3*(C45-C25)/5</f>
        <v>6278126.2454456547</v>
      </c>
      <c r="D37" s="3">
        <f>'ZEV Sales'!D37</f>
        <v>320871.41755842924</v>
      </c>
      <c r="E37" s="3">
        <f>D36+D37</f>
        <v>642253.24216971756</v>
      </c>
      <c r="F37" s="85"/>
      <c r="G37" s="3"/>
      <c r="H37" s="3"/>
      <c r="I37" s="3"/>
      <c r="J37" s="85"/>
      <c r="K37" s="3"/>
      <c r="L37" s="3"/>
      <c r="M37" s="3"/>
      <c r="N37" s="85"/>
      <c r="O37" s="3"/>
      <c r="P37" s="3"/>
      <c r="Q37" s="86"/>
      <c r="U37" s="3"/>
      <c r="V37" s="3"/>
    </row>
    <row r="38" spans="1:22">
      <c r="A38">
        <v>2033</v>
      </c>
      <c r="B38">
        <v>41</v>
      </c>
      <c r="C38" s="3"/>
      <c r="D38" s="3">
        <f>'ZEV Sales'!D38</f>
        <v>13631.943630026466</v>
      </c>
      <c r="E38" s="3"/>
      <c r="F38" s="85"/>
      <c r="G38" s="3"/>
      <c r="H38" s="3"/>
      <c r="I38" s="3"/>
      <c r="J38" s="85"/>
      <c r="K38" s="3"/>
      <c r="L38" s="3"/>
      <c r="M38" s="3"/>
      <c r="N38" s="85"/>
      <c r="O38" s="3"/>
      <c r="P38" s="3"/>
      <c r="Q38" s="86"/>
      <c r="U38" s="3"/>
      <c r="V38" s="3"/>
    </row>
    <row r="39" spans="1:22">
      <c r="A39" s="91">
        <v>2033</v>
      </c>
      <c r="B39" s="207" t="s">
        <v>33</v>
      </c>
      <c r="C39" s="92">
        <f>C27+3*(C47-C27)/5</f>
        <v>11390650.137468537</v>
      </c>
      <c r="D39" s="3">
        <f>'ZEV Sales'!D39</f>
        <v>659352.91773633601</v>
      </c>
      <c r="E39" s="92"/>
      <c r="F39" s="93">
        <f>C39-I39</f>
        <v>10223463.646569407</v>
      </c>
      <c r="G39" s="92">
        <f>'Fleet ZEV fractions'!V25</f>
        <v>1041517.0719708097</v>
      </c>
      <c r="H39" s="92">
        <f>'Fleet ZEV fractions'!X25</f>
        <v>125669.41892832099</v>
      </c>
      <c r="I39" s="92">
        <f>'Fleet ZEV fractions'!Z25</f>
        <v>1167186.4908991307</v>
      </c>
      <c r="J39" s="93">
        <f>C39-M39</f>
        <v>7938579.3052120432</v>
      </c>
      <c r="K39" s="92">
        <f>'Fleet ZEV fractions'!AB25</f>
        <v>3143685.9577999893</v>
      </c>
      <c r="L39" s="92">
        <f>'Fleet ZEV fractions'!AD25</f>
        <v>308384.87445650523</v>
      </c>
      <c r="M39" s="92">
        <f>'Fleet ZEV fractions'!AF25</f>
        <v>3452070.8322564946</v>
      </c>
      <c r="N39" s="93">
        <f>C39-Q39</f>
        <v>8253929.1333845528</v>
      </c>
      <c r="O39" s="92">
        <f>'Fleet ZEV fractions'!AH25</f>
        <v>2853647.2374775568</v>
      </c>
      <c r="P39" s="92">
        <f>'Fleet ZEV fractions'!AJ25</f>
        <v>283073.76660642773</v>
      </c>
      <c r="Q39" s="95">
        <f>'Fleet ZEV fractions'!AL25</f>
        <v>3136721.0040839845</v>
      </c>
      <c r="U39" s="3"/>
      <c r="V39" s="3"/>
    </row>
    <row r="40" spans="1:22">
      <c r="A40">
        <v>2034</v>
      </c>
      <c r="B40">
        <v>20</v>
      </c>
      <c r="C40" s="3">
        <f>C24+4*(C44-C24)/5</f>
        <v>5142408.5502874954</v>
      </c>
      <c r="D40" s="3">
        <f>'ZEV Sales'!D40</f>
        <v>325838.26733466901</v>
      </c>
      <c r="E40" s="3"/>
      <c r="F40" s="85"/>
      <c r="G40" s="3"/>
      <c r="H40" s="3"/>
      <c r="I40" s="3"/>
      <c r="J40" s="85"/>
      <c r="K40" s="3"/>
      <c r="L40" s="3"/>
      <c r="M40" s="3"/>
      <c r="N40" s="85"/>
      <c r="O40" s="3"/>
      <c r="P40" s="3"/>
      <c r="Q40" s="86"/>
      <c r="U40" s="3"/>
      <c r="V40" s="3"/>
    </row>
    <row r="41" spans="1:22">
      <c r="A41">
        <v>2034</v>
      </c>
      <c r="B41">
        <v>30</v>
      </c>
      <c r="C41" s="3">
        <f t="shared" ref="C41:C43" si="7">C25+4*(C45-C25)/5</f>
        <v>6331565.1374625275</v>
      </c>
      <c r="D41" s="3">
        <f>'ZEV Sales'!D41</f>
        <v>322938.34050494153</v>
      </c>
      <c r="E41" s="3">
        <f>D40+D41</f>
        <v>648776.60783961054</v>
      </c>
      <c r="F41" s="85"/>
      <c r="G41" s="3"/>
      <c r="H41" s="3"/>
      <c r="I41" s="3"/>
      <c r="J41" s="85"/>
      <c r="K41" s="3"/>
      <c r="L41" s="3"/>
      <c r="M41" s="3"/>
      <c r="N41" s="85"/>
      <c r="O41" s="3"/>
      <c r="P41" s="3"/>
      <c r="Q41" s="86"/>
      <c r="U41" s="3"/>
      <c r="V41" s="3"/>
    </row>
    <row r="42" spans="1:22">
      <c r="A42">
        <v>2034</v>
      </c>
      <c r="B42">
        <v>41</v>
      </c>
      <c r="C42" s="3"/>
      <c r="D42" s="3">
        <f>'ZEV Sales'!D42</f>
        <v>13586.194785906639</v>
      </c>
      <c r="E42" s="3"/>
      <c r="F42" s="85"/>
      <c r="G42" s="3"/>
      <c r="H42" s="3"/>
      <c r="I42" s="3"/>
      <c r="J42" s="85"/>
      <c r="K42" s="3"/>
      <c r="L42" s="3"/>
      <c r="M42" s="3"/>
      <c r="N42" s="85"/>
      <c r="O42" s="3"/>
      <c r="P42" s="3"/>
      <c r="Q42" s="86"/>
      <c r="U42" s="3"/>
      <c r="V42" s="3"/>
    </row>
    <row r="43" spans="1:22">
      <c r="A43" s="91">
        <v>2034</v>
      </c>
      <c r="B43" s="207" t="s">
        <v>33</v>
      </c>
      <c r="C43" s="92">
        <f t="shared" si="7"/>
        <v>11473973.687750023</v>
      </c>
      <c r="D43" s="3">
        <f>'ZEV Sales'!D43</f>
        <v>666509.24503415392</v>
      </c>
      <c r="E43" s="92"/>
      <c r="F43" s="93">
        <f>C43-I43</f>
        <v>10195197.62030248</v>
      </c>
      <c r="G43" s="92">
        <f>'Fleet ZEV fractions'!V26</f>
        <v>1149213.9888721851</v>
      </c>
      <c r="H43" s="92">
        <f>'Fleet ZEV fractions'!X26</f>
        <v>129562.07857535849</v>
      </c>
      <c r="I43" s="92">
        <f>'Fleet ZEV fractions'!Z26</f>
        <v>1278776.0674475436</v>
      </c>
      <c r="J43" s="93">
        <f>C43-M43</f>
        <v>7412052.8441242948</v>
      </c>
      <c r="K43" s="92">
        <f>'Fleet ZEV fractions'!AB26</f>
        <v>3680224.2124833474</v>
      </c>
      <c r="L43" s="92">
        <f>'Fleet ZEV fractions'!AD26</f>
        <v>381696.63114238123</v>
      </c>
      <c r="M43" s="92">
        <f>'Fleet ZEV fractions'!AF26</f>
        <v>4061920.8436257285</v>
      </c>
      <c r="N43" s="93">
        <f>C43-Q43</f>
        <v>7727402.6722968044</v>
      </c>
      <c r="O43" s="92">
        <f>'Fleet ZEV fractions'!AH26</f>
        <v>3390185.4921609145</v>
      </c>
      <c r="P43" s="92">
        <f>'Fleet ZEV fractions'!AJ26</f>
        <v>356385.52329230373</v>
      </c>
      <c r="Q43" s="95">
        <f>'Fleet ZEV fractions'!AL26</f>
        <v>3746571.0154532185</v>
      </c>
      <c r="U43" s="3"/>
      <c r="V43" s="3"/>
    </row>
    <row r="44" spans="1:22">
      <c r="A44">
        <v>2035</v>
      </c>
      <c r="B44">
        <v>20</v>
      </c>
      <c r="C44" s="3">
        <f>'Combined MOVES output'!AE28</f>
        <v>5172293.2085521072</v>
      </c>
      <c r="D44" s="3">
        <f>'ZEV Sales'!D44</f>
        <v>330324.67187698203</v>
      </c>
      <c r="E44" s="3"/>
      <c r="F44" s="85"/>
      <c r="G44" s="3"/>
      <c r="H44" s="3"/>
      <c r="I44" s="89"/>
      <c r="J44" s="85"/>
      <c r="K44" s="3"/>
      <c r="L44" s="3"/>
      <c r="M44" s="89"/>
      <c r="N44" s="85"/>
      <c r="O44" s="3"/>
      <c r="P44" s="3"/>
      <c r="Q44" s="90"/>
      <c r="U44" s="3"/>
      <c r="V44" s="3"/>
    </row>
    <row r="45" spans="1:22">
      <c r="A45">
        <v>2035</v>
      </c>
      <c r="B45">
        <v>30</v>
      </c>
      <c r="C45" s="3">
        <f>'Combined MOVES output'!AE29</f>
        <v>6385004.0294794003</v>
      </c>
      <c r="D45" s="3">
        <f>'ZEV Sales'!D45</f>
        <v>324994.04983028537</v>
      </c>
      <c r="E45" s="3">
        <f>D44+D45</f>
        <v>655318.72170726745</v>
      </c>
      <c r="F45" s="85"/>
      <c r="G45" s="3"/>
      <c r="H45" s="3"/>
      <c r="I45" s="89"/>
      <c r="J45" s="85"/>
      <c r="K45" s="3"/>
      <c r="L45" s="3"/>
      <c r="M45" s="89"/>
      <c r="N45" s="85"/>
      <c r="O45" s="3"/>
      <c r="P45" s="3"/>
      <c r="Q45" s="90"/>
      <c r="U45" s="3"/>
      <c r="V45" s="3"/>
    </row>
    <row r="46" spans="1:22">
      <c r="A46">
        <v>2035</v>
      </c>
      <c r="B46">
        <v>41</v>
      </c>
      <c r="C46" s="3"/>
      <c r="D46" s="3">
        <f>'ZEV Sales'!D46</f>
        <v>13539.996344074207</v>
      </c>
      <c r="E46" s="3"/>
      <c r="F46" s="85"/>
      <c r="G46" s="3"/>
      <c r="H46" s="3"/>
      <c r="I46" s="89"/>
      <c r="J46" s="85"/>
      <c r="K46" s="3"/>
      <c r="L46" s="3"/>
      <c r="M46" s="89"/>
      <c r="N46" s="85"/>
      <c r="O46" s="3"/>
      <c r="P46" s="3"/>
      <c r="Q46" s="90"/>
      <c r="U46" s="3"/>
      <c r="V46" s="3"/>
    </row>
    <row r="47" spans="1:22">
      <c r="A47" s="91">
        <v>2035</v>
      </c>
      <c r="B47" s="207" t="s">
        <v>33</v>
      </c>
      <c r="C47" s="92">
        <f>C44+C45</f>
        <v>11557297.238031507</v>
      </c>
      <c r="D47" s="3">
        <f>'ZEV Sales'!D47</f>
        <v>673700.81876473967</v>
      </c>
      <c r="E47" s="92"/>
      <c r="F47" s="93">
        <f>C47-I47</f>
        <v>10165806.350450313</v>
      </c>
      <c r="G47" s="92">
        <f>'Fleet ZEV fractions'!V27</f>
        <v>1257996.8966755916</v>
      </c>
      <c r="H47" s="92">
        <f>'Fleet ZEV fractions'!X27</f>
        <v>133493.990905602</v>
      </c>
      <c r="I47" s="94">
        <f>'Fleet ZEV fractions'!Z27</f>
        <v>1391490.8875811936</v>
      </c>
      <c r="J47" s="93">
        <f>C47-M47</f>
        <v>6840057.6726985108</v>
      </c>
      <c r="K47" s="92">
        <f>'Fleet ZEV fractions'!AB27</f>
        <v>4222172.7953352574</v>
      </c>
      <c r="L47" s="92">
        <f>'Fleet ZEV fractions'!AD27</f>
        <v>495066.76999773848</v>
      </c>
      <c r="M47" s="92">
        <f>'Fleet ZEV fractions'!AF27</f>
        <v>4717239.5653329957</v>
      </c>
      <c r="N47" s="93">
        <f>C47-Q47</f>
        <v>7155407.5008710204</v>
      </c>
      <c r="O47" s="92">
        <f>'Fleet ZEV fractions'!AH27</f>
        <v>3932134.0750128245</v>
      </c>
      <c r="P47" s="92">
        <f>'Fleet ZEV fractions'!AJ27</f>
        <v>469755.66214766097</v>
      </c>
      <c r="Q47" s="95">
        <f>'Fleet ZEV fractions'!AL27</f>
        <v>4401889.7371604862</v>
      </c>
      <c r="U47" s="3"/>
      <c r="V47" s="3"/>
    </row>
    <row r="48" spans="1:22">
      <c r="A48">
        <v>2040</v>
      </c>
      <c r="B48">
        <v>20</v>
      </c>
      <c r="C48" s="3">
        <f>'Combined MOVES output'!AE33</f>
        <v>5385673.4237676412</v>
      </c>
      <c r="D48" s="3">
        <f>'ZEV Sales'!D48</f>
        <v>340209.70659117005</v>
      </c>
      <c r="E48" s="3"/>
      <c r="F48" s="85"/>
      <c r="G48" s="3"/>
      <c r="H48" s="3"/>
      <c r="I48" s="89"/>
      <c r="J48" s="85"/>
      <c r="K48" s="3"/>
      <c r="L48" s="3"/>
      <c r="M48" s="89"/>
      <c r="N48" s="85"/>
      <c r="O48" s="3"/>
      <c r="P48" s="3"/>
      <c r="Q48" s="90"/>
      <c r="U48" s="3"/>
      <c r="V48" s="3"/>
    </row>
    <row r="49" spans="1:22">
      <c r="A49">
        <v>2040</v>
      </c>
      <c r="B49">
        <v>30</v>
      </c>
      <c r="C49" s="3">
        <f>'Combined MOVES output'!AE34</f>
        <v>6582542.1248250157</v>
      </c>
      <c r="D49" s="3">
        <f>'ZEV Sales'!D49</f>
        <v>336594.19820614089</v>
      </c>
      <c r="E49" s="3">
        <f>D48+D49</f>
        <v>676803.90479731094</v>
      </c>
      <c r="F49" s="85"/>
      <c r="G49" s="3"/>
      <c r="H49" s="3"/>
      <c r="I49" s="89"/>
      <c r="J49" s="85"/>
      <c r="K49" s="3"/>
      <c r="L49" s="3"/>
      <c r="M49" s="89"/>
      <c r="N49" s="85"/>
      <c r="O49" s="3"/>
      <c r="P49" s="3"/>
      <c r="Q49" s="90"/>
      <c r="U49" s="3"/>
      <c r="V49" s="3"/>
    </row>
    <row r="50" spans="1:22">
      <c r="A50">
        <v>2040</v>
      </c>
      <c r="B50">
        <v>41</v>
      </c>
      <c r="C50" s="3"/>
      <c r="D50" s="3">
        <f>'ZEV Sales'!D50</f>
        <v>13371.986585561943</v>
      </c>
      <c r="E50" s="3"/>
      <c r="F50" s="85"/>
      <c r="G50" s="3"/>
      <c r="H50" s="3"/>
      <c r="I50" s="89"/>
      <c r="J50" s="85"/>
      <c r="K50" s="3"/>
      <c r="L50" s="3"/>
      <c r="M50" s="89"/>
      <c r="N50" s="85"/>
      <c r="O50" s="3"/>
      <c r="P50" s="3"/>
      <c r="Q50" s="90"/>
      <c r="U50" s="3"/>
      <c r="V50" s="3"/>
    </row>
    <row r="51" spans="1:22" ht="16" thickBot="1">
      <c r="A51" s="91">
        <v>2040</v>
      </c>
      <c r="B51" s="91" t="s">
        <v>133</v>
      </c>
      <c r="C51" s="92">
        <f>C48+C49</f>
        <v>11968215.548592657</v>
      </c>
      <c r="D51" s="3">
        <f>'ZEV Sales'!D51</f>
        <v>697436.84670204099</v>
      </c>
      <c r="E51" s="92"/>
      <c r="F51" s="96">
        <f>C51-I51</f>
        <v>10002064.205868751</v>
      </c>
      <c r="G51" s="97">
        <f>'Fleet ZEV fractions'!V32</f>
        <v>1812611.0568714654</v>
      </c>
      <c r="H51" s="97">
        <f>'Fleet ZEV fractions'!X32</f>
        <v>153540.28585244063</v>
      </c>
      <c r="I51" s="98">
        <f>'Fleet ZEV fractions'!Z32</f>
        <v>1966151.342723906</v>
      </c>
      <c r="J51" s="96">
        <f>C51-M51</f>
        <v>3909926.8254531929</v>
      </c>
      <c r="K51" s="97">
        <f>'Fleet ZEV fractions'!AB32</f>
        <v>6985220.4488412058</v>
      </c>
      <c r="L51" s="97">
        <f>'Fleet ZEV fractions'!AD32</f>
        <v>1073068.2742982574</v>
      </c>
      <c r="M51" s="97">
        <f>'Fleet ZEV fractions'!AF32</f>
        <v>8058288.7231394639</v>
      </c>
      <c r="N51" s="96">
        <f>C51-Q51</f>
        <v>4225276.6536257034</v>
      </c>
      <c r="O51" s="97">
        <f>'Fleet ZEV fractions'!AH32</f>
        <v>6695181.7285187738</v>
      </c>
      <c r="P51" s="97">
        <f>'Fleet ZEV fractions'!AJ32</f>
        <v>1047757.1664481799</v>
      </c>
      <c r="Q51" s="101">
        <f>'Fleet ZEV fractions'!AL32</f>
        <v>7742938.8949669534</v>
      </c>
      <c r="U51" s="3"/>
      <c r="V51" s="3"/>
    </row>
    <row r="52" spans="1:22">
      <c r="C52" s="3"/>
      <c r="N52" s="79"/>
      <c r="U52" s="3"/>
      <c r="V52" s="3"/>
    </row>
    <row r="53" spans="1:22">
      <c r="N53" s="79"/>
      <c r="U53" s="3"/>
      <c r="V53" s="3"/>
    </row>
    <row r="54" spans="1:22">
      <c r="U54" s="3"/>
      <c r="V54" s="3"/>
    </row>
    <row r="55" spans="1:22">
      <c r="U55" s="3"/>
      <c r="V55" s="3"/>
    </row>
    <row r="56" spans="1:22">
      <c r="U56" s="3"/>
      <c r="V56" s="3"/>
    </row>
    <row r="57" spans="1:22">
      <c r="U57" s="3"/>
      <c r="V57" s="3"/>
    </row>
    <row r="58" spans="1:22">
      <c r="U58" s="3"/>
      <c r="V58" s="3"/>
    </row>
    <row r="59" spans="1:22">
      <c r="U59" s="3"/>
      <c r="V59" s="3"/>
    </row>
    <row r="60" spans="1:22">
      <c r="C60" s="3"/>
      <c r="D60" s="3"/>
      <c r="U60" s="3"/>
      <c r="V60" s="3"/>
    </row>
    <row r="61" spans="1:22">
      <c r="C61" s="3"/>
      <c r="D61" s="3"/>
      <c r="U61" s="3"/>
      <c r="V61" s="3"/>
    </row>
    <row r="62" spans="1:22">
      <c r="C62" s="3"/>
      <c r="D62" s="3"/>
      <c r="U62" s="3"/>
      <c r="V62" s="3"/>
    </row>
    <row r="63" spans="1:22">
      <c r="C63" s="3"/>
      <c r="D63" s="3"/>
      <c r="U63" s="3"/>
      <c r="V63" s="3"/>
    </row>
    <row r="64" spans="1:22">
      <c r="C64" s="3"/>
      <c r="D64" s="3"/>
      <c r="U64" s="3"/>
      <c r="V64" s="3"/>
    </row>
    <row r="65" spans="3:22">
      <c r="C65" s="3"/>
      <c r="D65" s="3"/>
      <c r="U65" s="3"/>
      <c r="V65" s="3"/>
    </row>
    <row r="66" spans="3:22">
      <c r="C66" s="3"/>
      <c r="D66" s="3"/>
      <c r="U66" s="3"/>
      <c r="V66" s="3"/>
    </row>
    <row r="67" spans="3:22">
      <c r="C67" s="3"/>
      <c r="D67" s="3"/>
      <c r="U67" s="3"/>
      <c r="V67" s="3"/>
    </row>
    <row r="68" spans="3:22">
      <c r="C68" s="3"/>
      <c r="D68" s="3"/>
      <c r="U68" s="3"/>
      <c r="V68" s="3"/>
    </row>
    <row r="69" spans="3:22">
      <c r="C69" s="3"/>
      <c r="D69" s="3"/>
      <c r="U69" s="3"/>
      <c r="V69" s="3"/>
    </row>
    <row r="70" spans="3:22">
      <c r="C70" s="3"/>
      <c r="D70" s="3"/>
      <c r="U70" s="3"/>
      <c r="V70" s="3"/>
    </row>
    <row r="71" spans="3:22">
      <c r="U71" s="3"/>
      <c r="V71" s="3"/>
    </row>
    <row r="72" spans="3:22">
      <c r="U72" s="3"/>
      <c r="V72" s="3"/>
    </row>
  </sheetData>
  <sheetProtection algorithmName="SHA-512" hashValue="4LQ5gZIhiSsTQRhSvyrPgdV6u4Wk5GFmqR8FOm6L3RzJiARQVZoEnSlWYoO6uWLjeAwipeK64G93pKLRiiVwvw==" saltValue="vF9O/Dwchi2MIPtSWkA8wA==" spinCount="100000" sheet="1" objects="1" scenarios="1"/>
  <mergeCells count="3">
    <mergeCell ref="F2:I2"/>
    <mergeCell ref="J2:M2"/>
    <mergeCell ref="N2:Q2"/>
  </mergeCells>
  <pageMargins left="0.7" right="0.7" top="0.75" bottom="0.75" header="0.3" footer="0.3"/>
  <pageSetup orientation="portrait" horizontalDpi="360" verticalDpi="36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3DCDC-7953-43DD-9FF2-3FBCAB79B74B}">
  <sheetPr codeName="Sheet15"/>
  <dimension ref="A1:AF53"/>
  <sheetViews>
    <sheetView workbookViewId="0">
      <selection activeCell="R11" sqref="R11"/>
    </sheetView>
  </sheetViews>
  <sheetFormatPr baseColWidth="10" defaultColWidth="8.83203125" defaultRowHeight="15"/>
  <cols>
    <col min="3" max="3" width="10.1640625" customWidth="1"/>
    <col min="4" max="5" width="10.33203125" customWidth="1"/>
    <col min="9" max="9" width="9.5" bestFit="1" customWidth="1"/>
  </cols>
  <sheetData>
    <row r="1" spans="1:32" ht="16" thickBot="1">
      <c r="A1" s="2" t="s">
        <v>503</v>
      </c>
      <c r="C1" s="2"/>
      <c r="D1" s="2"/>
      <c r="E1" s="2"/>
      <c r="F1" s="68"/>
      <c r="J1" s="2"/>
      <c r="N1" s="2"/>
      <c r="S1" s="34" t="s">
        <v>70</v>
      </c>
      <c r="T1" s="38"/>
      <c r="U1" s="38"/>
      <c r="V1" s="38"/>
      <c r="W1" s="38"/>
      <c r="X1" s="38"/>
      <c r="Y1" s="38"/>
      <c r="Z1" s="38"/>
      <c r="AA1" s="38"/>
      <c r="AB1" s="38"/>
      <c r="AC1" s="38"/>
      <c r="AD1" s="38"/>
      <c r="AE1" s="38"/>
      <c r="AF1" s="39"/>
    </row>
    <row r="2" spans="1:32" ht="16" thickBot="1">
      <c r="B2" s="2"/>
      <c r="C2" s="2"/>
      <c r="D2" s="2"/>
      <c r="E2" s="2"/>
      <c r="F2" s="297" t="s">
        <v>48</v>
      </c>
      <c r="G2" s="297"/>
      <c r="H2" s="297"/>
      <c r="I2" s="297"/>
      <c r="J2" s="297" t="s">
        <v>130</v>
      </c>
      <c r="K2" s="297"/>
      <c r="L2" s="297"/>
      <c r="M2" s="297"/>
      <c r="N2" s="297" t="s">
        <v>131</v>
      </c>
      <c r="O2" s="297"/>
      <c r="P2" s="297"/>
      <c r="Q2" s="297"/>
      <c r="S2" s="19" t="s">
        <v>71</v>
      </c>
      <c r="AF2" s="82"/>
    </row>
    <row r="3" spans="1:32" ht="16" thickBot="1">
      <c r="A3" t="s">
        <v>19</v>
      </c>
      <c r="B3" t="s">
        <v>50</v>
      </c>
      <c r="C3" t="s">
        <v>137</v>
      </c>
      <c r="D3" t="s">
        <v>134</v>
      </c>
      <c r="E3" t="s">
        <v>214</v>
      </c>
      <c r="F3" s="87" t="s">
        <v>129</v>
      </c>
      <c r="G3" s="88" t="s">
        <v>124</v>
      </c>
      <c r="H3" s="88" t="s">
        <v>122</v>
      </c>
      <c r="I3" s="88" t="s">
        <v>132</v>
      </c>
      <c r="J3" s="87" t="s">
        <v>129</v>
      </c>
      <c r="K3" s="88" t="s">
        <v>124</v>
      </c>
      <c r="L3" s="88" t="s">
        <v>122</v>
      </c>
      <c r="M3" s="88" t="s">
        <v>132</v>
      </c>
      <c r="N3" s="87" t="s">
        <v>129</v>
      </c>
      <c r="O3" s="88" t="s">
        <v>124</v>
      </c>
      <c r="P3" s="88" t="s">
        <v>122</v>
      </c>
      <c r="Q3" s="88" t="s">
        <v>132</v>
      </c>
      <c r="S3" s="19"/>
      <c r="AF3" s="82"/>
    </row>
    <row r="4" spans="1:32">
      <c r="A4">
        <f>'ZEV Sales'!S10</f>
        <v>2025</v>
      </c>
      <c r="B4">
        <f>'ZEV Sales'!T10</f>
        <v>20</v>
      </c>
      <c r="C4" s="3">
        <f>'Combined MOVES output'!AE18</f>
        <v>4841470.1504458673</v>
      </c>
      <c r="D4" s="3">
        <f>C4*U10</f>
        <v>284656.37160710734</v>
      </c>
      <c r="E4" s="3"/>
      <c r="F4" s="85"/>
      <c r="G4" s="3"/>
      <c r="H4" s="3"/>
      <c r="I4" s="89"/>
      <c r="J4" s="85"/>
      <c r="K4" s="3"/>
      <c r="L4" s="3"/>
      <c r="M4" s="89"/>
      <c r="N4" s="99"/>
      <c r="O4" s="3"/>
      <c r="P4" s="3"/>
      <c r="Q4" s="100"/>
      <c r="S4" s="19"/>
      <c r="AF4" s="82"/>
    </row>
    <row r="5" spans="1:32">
      <c r="A5">
        <f>'ZEV Sales'!S11</f>
        <v>2025</v>
      </c>
      <c r="B5">
        <f>'ZEV Sales'!T11</f>
        <v>30</v>
      </c>
      <c r="C5" s="3">
        <f>'Combined MOVES output'!AE19</f>
        <v>5775661.363618657</v>
      </c>
      <c r="D5" s="3">
        <f>C5*U11</f>
        <v>317341.80218236992</v>
      </c>
      <c r="E5" s="3">
        <f>D4+D5</f>
        <v>601998.17378947721</v>
      </c>
      <c r="F5" s="85"/>
      <c r="G5" s="3"/>
      <c r="H5" s="3"/>
      <c r="I5" s="89"/>
      <c r="J5" s="85"/>
      <c r="K5" s="3"/>
      <c r="L5" s="3"/>
      <c r="M5" s="89"/>
      <c r="N5" s="85"/>
      <c r="O5" s="3"/>
      <c r="P5" s="3"/>
      <c r="Q5" s="90"/>
      <c r="S5" s="19" t="s">
        <v>0</v>
      </c>
      <c r="T5" t="s">
        <v>136</v>
      </c>
      <c r="U5" t="s">
        <v>135</v>
      </c>
      <c r="AF5" s="82"/>
    </row>
    <row r="6" spans="1:32">
      <c r="A6">
        <f>'ZEV Sales'!S12</f>
        <v>2025</v>
      </c>
      <c r="B6">
        <f>'ZEV Sales'!T12</f>
        <v>41</v>
      </c>
      <c r="C6" s="3">
        <f>'Combined MOVES output'!AE20</f>
        <v>378862.46733210597</v>
      </c>
      <c r="D6" s="3">
        <f>C6*U12</f>
        <v>20311.226838118284</v>
      </c>
      <c r="E6" s="3"/>
      <c r="F6" s="85"/>
      <c r="G6" s="3"/>
      <c r="H6" s="3"/>
      <c r="I6" s="89"/>
      <c r="J6" s="85"/>
      <c r="K6" s="3"/>
      <c r="L6" s="3"/>
      <c r="M6" s="89"/>
      <c r="N6" s="85"/>
      <c r="O6" s="3"/>
      <c r="P6" s="3"/>
      <c r="Q6" s="90"/>
      <c r="S6" s="19">
        <v>2020</v>
      </c>
      <c r="T6">
        <v>20</v>
      </c>
      <c r="U6">
        <v>6.0165773347153381E-2</v>
      </c>
      <c r="AF6" s="82"/>
    </row>
    <row r="7" spans="1:32">
      <c r="A7" s="91">
        <f>A6</f>
        <v>2025</v>
      </c>
      <c r="B7" s="91" t="s">
        <v>133</v>
      </c>
      <c r="C7" s="92">
        <f>'Combined MOVES output'!AE21</f>
        <v>10995993.98139663</v>
      </c>
      <c r="D7" s="92">
        <f>C7*U13</f>
        <v>622290.04849819443</v>
      </c>
      <c r="E7" s="92">
        <f>E5</f>
        <v>601998.17378947721</v>
      </c>
      <c r="F7" s="93">
        <f>E7-I7</f>
        <v>520126.4221541083</v>
      </c>
      <c r="G7" s="94">
        <f>$E7*'Fleet ZEV fractions'!B17</f>
        <v>77657.764418842562</v>
      </c>
      <c r="H7" s="94">
        <f>$E7*'Fleet ZEV fractions'!C17</f>
        <v>4213.9872165263405</v>
      </c>
      <c r="I7" s="94">
        <f>$E7*'Fleet ZEV fractions'!D17</f>
        <v>81871.751635368913</v>
      </c>
      <c r="J7" s="253">
        <f>F7</f>
        <v>520126.4221541083</v>
      </c>
      <c r="K7" s="254">
        <f t="shared" ref="K7:M7" si="0">G7</f>
        <v>77657.764418842562</v>
      </c>
      <c r="L7" s="254">
        <f t="shared" si="0"/>
        <v>4213.9872165263405</v>
      </c>
      <c r="M7" s="254">
        <f t="shared" si="0"/>
        <v>81871.751635368913</v>
      </c>
      <c r="N7" s="253">
        <f>F7</f>
        <v>520126.4221541083</v>
      </c>
      <c r="O7" s="254">
        <f t="shared" ref="O7:Q7" si="1">G7</f>
        <v>77657.764418842562</v>
      </c>
      <c r="P7" s="254">
        <f t="shared" si="1"/>
        <v>4213.9872165263405</v>
      </c>
      <c r="Q7" s="255">
        <f t="shared" si="1"/>
        <v>81871.751635368913</v>
      </c>
      <c r="S7" s="19">
        <v>2020</v>
      </c>
      <c r="T7">
        <v>30</v>
      </c>
      <c r="U7">
        <v>6.0448579796706946E-2</v>
      </c>
      <c r="AF7" s="82"/>
    </row>
    <row r="8" spans="1:32">
      <c r="A8">
        <v>2026</v>
      </c>
      <c r="B8">
        <f>'ZEV Sales'!T14</f>
        <v>20</v>
      </c>
      <c r="C8" s="3">
        <f>C4+(C24-C4)/5</f>
        <v>4877750.103802504</v>
      </c>
      <c r="D8" s="3">
        <f t="shared" ref="D8:D23" si="2">C8*AB10</f>
        <v>289289.18082582462</v>
      </c>
      <c r="E8" s="3"/>
      <c r="F8" s="85"/>
      <c r="G8" s="3"/>
      <c r="H8" s="3"/>
      <c r="I8" s="3"/>
      <c r="J8" s="85"/>
      <c r="K8" s="3"/>
      <c r="L8" s="3"/>
      <c r="M8" s="3"/>
      <c r="N8" s="85"/>
      <c r="O8" s="3"/>
      <c r="P8" s="3"/>
      <c r="Q8" s="86"/>
      <c r="S8" s="19">
        <v>2020</v>
      </c>
      <c r="T8">
        <v>41</v>
      </c>
      <c r="U8">
        <v>5.1021689276319594E-2</v>
      </c>
      <c r="Z8" t="s">
        <v>0</v>
      </c>
      <c r="AA8" t="s">
        <v>136</v>
      </c>
      <c r="AB8" t="s">
        <v>135</v>
      </c>
      <c r="AF8" s="82"/>
    </row>
    <row r="9" spans="1:32">
      <c r="A9">
        <v>2026</v>
      </c>
      <c r="B9">
        <f>'ZEV Sales'!T15</f>
        <v>30</v>
      </c>
      <c r="C9" s="3">
        <f t="shared" ref="C9:C11" si="3">C5+(C25-C5)/5</f>
        <v>5844091.0047739325</v>
      </c>
      <c r="D9" s="3">
        <f t="shared" si="2"/>
        <v>316986.83954927034</v>
      </c>
      <c r="E9" s="3">
        <f>D8+D9</f>
        <v>606276.02037509496</v>
      </c>
      <c r="F9" s="85"/>
      <c r="G9" s="3"/>
      <c r="H9" s="3"/>
      <c r="I9" s="3"/>
      <c r="J9" s="85"/>
      <c r="K9" s="3"/>
      <c r="L9" s="3"/>
      <c r="M9" s="3"/>
      <c r="N9" s="85"/>
      <c r="O9" s="3"/>
      <c r="P9" s="3"/>
      <c r="Q9" s="86"/>
      <c r="S9" s="19">
        <v>2020</v>
      </c>
      <c r="T9" s="8" t="s">
        <v>109</v>
      </c>
      <c r="U9">
        <v>5.9864498528082767E-2</v>
      </c>
      <c r="Z9" t="s">
        <v>128</v>
      </c>
      <c r="AF9" s="83"/>
    </row>
    <row r="10" spans="1:32">
      <c r="A10">
        <v>2026</v>
      </c>
      <c r="B10">
        <f>'ZEV Sales'!T16</f>
        <v>41</v>
      </c>
      <c r="C10" s="3">
        <f t="shared" si="3"/>
        <v>355646.94687593856</v>
      </c>
      <c r="D10" s="3">
        <f t="shared" si="2"/>
        <v>18979.544540709077</v>
      </c>
      <c r="E10" s="3"/>
      <c r="F10" s="85"/>
      <c r="G10" s="3"/>
      <c r="H10" s="3"/>
      <c r="I10" s="3"/>
      <c r="J10" s="85"/>
      <c r="K10" s="3"/>
      <c r="L10" s="3"/>
      <c r="M10" s="3"/>
      <c r="N10" s="85"/>
      <c r="O10" s="3"/>
      <c r="P10" s="3"/>
      <c r="Q10" s="86"/>
      <c r="S10" s="19">
        <v>2025</v>
      </c>
      <c r="T10">
        <v>20</v>
      </c>
      <c r="U10">
        <v>5.8795440798265049E-2</v>
      </c>
      <c r="X10">
        <f t="shared" ref="X10:X17" si="4">(U14-U10)/5</f>
        <v>5.124726186822526E-4</v>
      </c>
      <c r="Z10">
        <v>2026</v>
      </c>
      <c r="AA10">
        <v>20</v>
      </c>
      <c r="AB10">
        <f>U10+X10</f>
        <v>5.93079134169473E-2</v>
      </c>
      <c r="AD10">
        <v>2031</v>
      </c>
      <c r="AE10">
        <v>20</v>
      </c>
      <c r="AF10" s="82">
        <f>U14+X14</f>
        <v>6.1859094866246626E-2</v>
      </c>
    </row>
    <row r="11" spans="1:32">
      <c r="A11" s="91">
        <v>2026</v>
      </c>
      <c r="B11" s="91" t="s">
        <v>133</v>
      </c>
      <c r="C11" s="92">
        <f t="shared" si="3"/>
        <v>11077488.055452375</v>
      </c>
      <c r="D11" s="92">
        <f t="shared" si="2"/>
        <v>625492.59599185898</v>
      </c>
      <c r="E11" s="92">
        <f>E9</f>
        <v>606276.02037509496</v>
      </c>
      <c r="F11" s="93">
        <f>E11-I11</f>
        <v>501996.54487057863</v>
      </c>
      <c r="G11" s="92">
        <f>$E11*'Fleet ZEV fractions'!B18</f>
        <v>100641.81938226576</v>
      </c>
      <c r="H11" s="92">
        <f>$E11*'Fleet ZEV fractions'!C18</f>
        <v>3637.6561222505698</v>
      </c>
      <c r="I11" s="92">
        <f>$E11*'Fleet ZEV fractions'!D18</f>
        <v>104279.47550451635</v>
      </c>
      <c r="J11" s="93">
        <f>E11-M11</f>
        <v>394079.41324381169</v>
      </c>
      <c r="K11" s="92">
        <f>$E11*'Fleet ZEV fractions'!H18</f>
        <v>184735.86973782303</v>
      </c>
      <c r="L11" s="92">
        <f>$E11*'Fleet ZEV fractions'!I18</f>
        <v>27460.737393460186</v>
      </c>
      <c r="M11" s="92">
        <f>$E11*'Fleet ZEV fractions'!J18</f>
        <v>212196.60713128324</v>
      </c>
      <c r="N11" s="93">
        <f>E11-Q11</f>
        <v>436518.73467006837</v>
      </c>
      <c r="O11" s="92">
        <f>$E11*'Fleet ZEV fractions'!K18</f>
        <v>147788.69579025844</v>
      </c>
      <c r="P11" s="92">
        <f>$E11*'Fleet ZEV fractions'!L18</f>
        <v>21968.589914768148</v>
      </c>
      <c r="Q11" s="95">
        <f>$E11*'Fleet ZEV fractions'!M18</f>
        <v>169757.28570502656</v>
      </c>
      <c r="S11" s="19">
        <v>2025</v>
      </c>
      <c r="T11">
        <v>30</v>
      </c>
      <c r="U11">
        <v>5.494466905233239E-2</v>
      </c>
      <c r="X11">
        <f t="shared" si="4"/>
        <v>-7.040969444837078E-4</v>
      </c>
      <c r="Z11">
        <v>2026</v>
      </c>
      <c r="AA11">
        <v>30</v>
      </c>
      <c r="AB11">
        <f>U11+X11</f>
        <v>5.4240572107848682E-2</v>
      </c>
      <c r="AD11">
        <v>2031</v>
      </c>
      <c r="AE11">
        <v>30</v>
      </c>
      <c r="AF11" s="82">
        <f>U15+X15</f>
        <v>5.1319264291854641E-2</v>
      </c>
    </row>
    <row r="12" spans="1:32">
      <c r="A12">
        <v>2027</v>
      </c>
      <c r="B12">
        <f>'ZEV Sales'!T18</f>
        <v>20</v>
      </c>
      <c r="C12" s="3">
        <f>C4+2*(C24-C4)/5</f>
        <v>4914030.0571591398</v>
      </c>
      <c r="D12" s="3">
        <f t="shared" si="2"/>
        <v>293959.17500994651</v>
      </c>
      <c r="E12" s="3"/>
      <c r="F12" s="85"/>
      <c r="G12" s="3"/>
      <c r="H12" s="3"/>
      <c r="I12" s="3"/>
      <c r="J12" s="85"/>
      <c r="K12" s="3"/>
      <c r="L12" s="3"/>
      <c r="M12" s="3"/>
      <c r="N12" s="85"/>
      <c r="O12" s="3"/>
      <c r="P12" s="3"/>
      <c r="Q12" s="86"/>
      <c r="S12" s="19">
        <v>2025</v>
      </c>
      <c r="T12">
        <v>41</v>
      </c>
      <c r="U12">
        <v>5.3611082093053375E-2</v>
      </c>
      <c r="X12">
        <f t="shared" si="4"/>
        <v>-2.4483023168206939E-4</v>
      </c>
      <c r="Z12">
        <v>2026</v>
      </c>
      <c r="AA12">
        <v>41</v>
      </c>
      <c r="AB12">
        <f>U12+X12</f>
        <v>5.3366251861371304E-2</v>
      </c>
      <c r="AD12">
        <v>2031</v>
      </c>
      <c r="AE12">
        <v>41</v>
      </c>
      <c r="AF12" s="82">
        <f>U16+X16</f>
        <v>5.2530648581707987E-2</v>
      </c>
    </row>
    <row r="13" spans="1:32">
      <c r="A13">
        <v>2027</v>
      </c>
      <c r="B13">
        <f>'ZEV Sales'!T19</f>
        <v>30</v>
      </c>
      <c r="C13" s="3">
        <f t="shared" ref="C13:C15" si="5">C5+2*(C25-C5)/5</f>
        <v>5912520.645929208</v>
      </c>
      <c r="D13" s="3">
        <f t="shared" si="2"/>
        <v>316535.5147136717</v>
      </c>
      <c r="E13" s="3">
        <f>D12+D13</f>
        <v>610494.68972361821</v>
      </c>
      <c r="F13" s="85"/>
      <c r="G13" s="3"/>
      <c r="H13" s="3"/>
      <c r="I13" s="3"/>
      <c r="J13" s="85"/>
      <c r="K13" s="3"/>
      <c r="L13" s="3"/>
      <c r="M13" s="3"/>
      <c r="N13" s="85"/>
      <c r="O13" s="3"/>
      <c r="P13" s="3"/>
      <c r="Q13" s="86"/>
      <c r="S13" s="19">
        <v>2025</v>
      </c>
      <c r="T13" s="8" t="s">
        <v>109</v>
      </c>
      <c r="U13">
        <v>5.6592432621462359E-2</v>
      </c>
      <c r="X13">
        <f t="shared" si="4"/>
        <v>-1.2723104681569287E-4</v>
      </c>
      <c r="Z13">
        <v>2026</v>
      </c>
      <c r="AA13" s="8" t="s">
        <v>109</v>
      </c>
      <c r="AB13">
        <f>U13+X13</f>
        <v>5.6465201574646663E-2</v>
      </c>
      <c r="AD13">
        <v>2031</v>
      </c>
      <c r="AE13" s="8" t="s">
        <v>109</v>
      </c>
      <c r="AF13" s="82">
        <f>U17+X17</f>
        <v>5.6171827167234449E-2</v>
      </c>
    </row>
    <row r="14" spans="1:32">
      <c r="A14">
        <v>2027</v>
      </c>
      <c r="B14">
        <f>'ZEV Sales'!T20</f>
        <v>41</v>
      </c>
      <c r="C14" s="3">
        <f t="shared" si="5"/>
        <v>332431.42641977116</v>
      </c>
      <c r="D14" s="3">
        <f t="shared" si="2"/>
        <v>17659.229965803675</v>
      </c>
      <c r="E14" s="3"/>
      <c r="F14" s="85"/>
      <c r="G14" s="3"/>
      <c r="H14" s="3"/>
      <c r="I14" s="3"/>
      <c r="J14" s="85"/>
      <c r="K14" s="3"/>
      <c r="L14" s="3"/>
      <c r="M14" s="3"/>
      <c r="N14" s="85"/>
      <c r="O14" s="3"/>
      <c r="P14" s="3"/>
      <c r="Q14" s="86"/>
      <c r="S14" s="19">
        <v>2030</v>
      </c>
      <c r="T14">
        <v>20</v>
      </c>
      <c r="U14">
        <v>6.1357803891676312E-2</v>
      </c>
      <c r="X14">
        <f t="shared" si="4"/>
        <v>5.0129097457031621E-4</v>
      </c>
      <c r="Z14">
        <v>2027</v>
      </c>
      <c r="AA14">
        <v>20</v>
      </c>
      <c r="AB14">
        <f>U10+2*X10</f>
        <v>5.9820386035629551E-2</v>
      </c>
      <c r="AD14">
        <v>2032</v>
      </c>
      <c r="AE14">
        <v>20</v>
      </c>
      <c r="AF14" s="82">
        <f>U14+X14*2</f>
        <v>6.2360385840816941E-2</v>
      </c>
    </row>
    <row r="15" spans="1:32">
      <c r="A15" s="91">
        <v>2027</v>
      </c>
      <c r="B15" s="91" t="s">
        <v>133</v>
      </c>
      <c r="C15" s="92">
        <f t="shared" si="5"/>
        <v>11158982.129508119</v>
      </c>
      <c r="D15" s="92">
        <f t="shared" si="2"/>
        <v>628674.40633282089</v>
      </c>
      <c r="E15" s="92">
        <f>E13</f>
        <v>610494.68972361821</v>
      </c>
      <c r="F15" s="93">
        <f>E15-I15</f>
        <v>505489.60309115588</v>
      </c>
      <c r="G15" s="92">
        <f>$E15*'Fleet ZEV fractions'!B19</f>
        <v>101342.11849412063</v>
      </c>
      <c r="H15" s="92">
        <f>$E15*'Fleet ZEV fractions'!C19</f>
        <v>3662.9681383417092</v>
      </c>
      <c r="I15" s="92">
        <f>$E15*'Fleet ZEV fractions'!D19</f>
        <v>105005.08663246233</v>
      </c>
      <c r="J15" s="93">
        <f>E15-M15</f>
        <v>347981.97314246238</v>
      </c>
      <c r="K15" s="92">
        <f>$E15*'Fleet ZEV fractions'!H19</f>
        <v>237033.54114827895</v>
      </c>
      <c r="L15" s="92">
        <f>$E15*'Fleet ZEV fractions'!I19</f>
        <v>25479.175432876895</v>
      </c>
      <c r="M15" s="92">
        <f>$E15*'Fleet ZEV fractions'!J19</f>
        <v>262512.71658115584</v>
      </c>
      <c r="N15" s="93">
        <f>E15-Q15</f>
        <v>400484.51645869354</v>
      </c>
      <c r="O15" s="92">
        <f>$E15*'Fleet ZEV fractions'!K19</f>
        <v>189626.83291862317</v>
      </c>
      <c r="P15" s="92">
        <f>$E15*'Fleet ZEV fractions'!L19</f>
        <v>20383.340346301517</v>
      </c>
      <c r="Q15" s="95">
        <f>$E15*'Fleet ZEV fractions'!M19</f>
        <v>210010.17326492467</v>
      </c>
      <c r="S15" s="19">
        <v>2030</v>
      </c>
      <c r="T15">
        <v>30</v>
      </c>
      <c r="U15">
        <v>5.1424184329913851E-2</v>
      </c>
      <c r="X15">
        <f t="shared" si="4"/>
        <v>-1.0492003805921135E-4</v>
      </c>
      <c r="Z15">
        <v>2027</v>
      </c>
      <c r="AA15">
        <v>30</v>
      </c>
      <c r="AB15">
        <f>U11+2*X11</f>
        <v>5.3536475163364974E-2</v>
      </c>
      <c r="AD15">
        <v>2032</v>
      </c>
      <c r="AE15">
        <v>30</v>
      </c>
      <c r="AF15" s="82">
        <f>U15+X15*2</f>
        <v>5.1214344253795431E-2</v>
      </c>
    </row>
    <row r="16" spans="1:32">
      <c r="A16">
        <v>2028</v>
      </c>
      <c r="B16">
        <f>'ZEV Sales'!T22</f>
        <v>20</v>
      </c>
      <c r="C16" s="3">
        <f>C4+3*(C24-C4)/5</f>
        <v>4950310.0105157765</v>
      </c>
      <c r="D16" s="3">
        <f t="shared" si="2"/>
        <v>298666.35415947315</v>
      </c>
      <c r="E16" s="3"/>
      <c r="F16" s="85"/>
      <c r="G16" s="3"/>
      <c r="H16" s="3"/>
      <c r="I16" s="3"/>
      <c r="J16" s="85"/>
      <c r="K16" s="3"/>
      <c r="L16" s="3"/>
      <c r="M16" s="3"/>
      <c r="N16" s="85"/>
      <c r="O16" s="3"/>
      <c r="P16" s="3"/>
      <c r="Q16" s="86"/>
      <c r="S16" s="19">
        <v>2030</v>
      </c>
      <c r="T16">
        <v>41</v>
      </c>
      <c r="U16">
        <v>5.2386930934643028E-2</v>
      </c>
      <c r="X16">
        <f t="shared" si="4"/>
        <v>1.4371764706495871E-4</v>
      </c>
      <c r="Z16">
        <v>2027</v>
      </c>
      <c r="AA16">
        <v>41</v>
      </c>
      <c r="AB16">
        <f>U12+2*X12</f>
        <v>5.3121421629689233E-2</v>
      </c>
      <c r="AD16">
        <v>2032</v>
      </c>
      <c r="AE16">
        <v>41</v>
      </c>
      <c r="AF16" s="82">
        <f>U16+X16*2</f>
        <v>5.2674366228772945E-2</v>
      </c>
    </row>
    <row r="17" spans="1:32">
      <c r="A17">
        <v>2028</v>
      </c>
      <c r="B17">
        <f>'ZEV Sales'!T23</f>
        <v>30</v>
      </c>
      <c r="C17" s="3">
        <f>C5+3*(C25-C5)/5</f>
        <v>5980950.2870844845</v>
      </c>
      <c r="D17" s="3">
        <f t="shared" si="2"/>
        <v>315987.82767557399</v>
      </c>
      <c r="E17" s="3">
        <f>D16+D17</f>
        <v>614654.1818350472</v>
      </c>
      <c r="F17" s="85"/>
      <c r="G17" s="3"/>
      <c r="H17" s="3"/>
      <c r="I17" s="3"/>
      <c r="J17" s="85"/>
      <c r="K17" s="3"/>
      <c r="L17" s="3"/>
      <c r="M17" s="3"/>
      <c r="N17" s="85"/>
      <c r="O17" s="3"/>
      <c r="P17" s="3"/>
      <c r="Q17" s="86"/>
      <c r="S17" s="19">
        <v>2030</v>
      </c>
      <c r="T17" s="8" t="s">
        <v>109</v>
      </c>
      <c r="U17">
        <v>5.5956277387383895E-2</v>
      </c>
      <c r="X17">
        <f t="shared" si="4"/>
        <v>2.1554977985055457E-4</v>
      </c>
      <c r="Z17">
        <v>2027</v>
      </c>
      <c r="AA17" s="8" t="s">
        <v>109</v>
      </c>
      <c r="AB17">
        <f>U13+2*X13</f>
        <v>5.6337970527830974E-2</v>
      </c>
      <c r="AD17">
        <v>2032</v>
      </c>
      <c r="AE17" s="8" t="s">
        <v>109</v>
      </c>
      <c r="AF17" s="82">
        <f>U17+X17*2</f>
        <v>5.6387376947085004E-2</v>
      </c>
    </row>
    <row r="18" spans="1:32">
      <c r="A18">
        <v>2028</v>
      </c>
      <c r="B18">
        <f>'ZEV Sales'!T24</f>
        <v>41</v>
      </c>
      <c r="C18" s="3">
        <f>C6+3*(C26-C6)/5</f>
        <v>309215.90596360376</v>
      </c>
      <c r="D18" s="3">
        <f t="shared" si="2"/>
        <v>16350.283113402083</v>
      </c>
      <c r="E18" s="3"/>
      <c r="F18" s="85"/>
      <c r="G18" s="3"/>
      <c r="H18" s="3"/>
      <c r="I18" s="3"/>
      <c r="J18" s="85"/>
      <c r="K18" s="3"/>
      <c r="L18" s="3"/>
      <c r="M18" s="3"/>
      <c r="N18" s="85"/>
      <c r="O18" s="3"/>
      <c r="P18" s="3"/>
      <c r="Q18" s="86"/>
      <c r="S18" s="19">
        <v>2035</v>
      </c>
      <c r="T18">
        <v>20</v>
      </c>
      <c r="U18">
        <v>6.3864258764527893E-2</v>
      </c>
      <c r="Z18">
        <v>2028</v>
      </c>
      <c r="AA18">
        <v>20</v>
      </c>
      <c r="AB18">
        <f>U10+3*X10</f>
        <v>6.0332858654311809E-2</v>
      </c>
      <c r="AD18">
        <v>2033</v>
      </c>
      <c r="AE18">
        <v>20</v>
      </c>
      <c r="AF18" s="82">
        <f>U14+X14*3</f>
        <v>6.2861676815387263E-2</v>
      </c>
    </row>
    <row r="19" spans="1:32">
      <c r="A19" s="91">
        <v>2028</v>
      </c>
      <c r="B19" s="91" t="s">
        <v>133</v>
      </c>
      <c r="C19" s="92">
        <f t="shared" ref="C19" si="6">C7+3*(C27/C7)/5</f>
        <v>10995994.603630384</v>
      </c>
      <c r="D19" s="92">
        <f t="shared" si="2"/>
        <v>618092.98799931735</v>
      </c>
      <c r="E19" s="92">
        <f>E17</f>
        <v>614654.1818350472</v>
      </c>
      <c r="F19" s="93">
        <f>E19-I19</f>
        <v>508933.66255941906</v>
      </c>
      <c r="G19" s="92">
        <f>$E19*'Fleet ZEV fractions'!B20</f>
        <v>102032.59418461785</v>
      </c>
      <c r="H19" s="92">
        <f>$E19*'Fleet ZEV fractions'!C20</f>
        <v>3687.9250910102833</v>
      </c>
      <c r="I19" s="92">
        <f>$E19*'Fleet ZEV fractions'!D20</f>
        <v>105720.51927562813</v>
      </c>
      <c r="J19" s="93">
        <f>E19-M19</f>
        <v>301180.54909917311</v>
      </c>
      <c r="K19" s="92">
        <f>$E19*'Fleet ZEV fractions'!H20</f>
        <v>288395.74211700418</v>
      </c>
      <c r="L19" s="92">
        <f>$E19*'Fleet ZEV fractions'!I20</f>
        <v>25077.890618869929</v>
      </c>
      <c r="M19" s="92">
        <f>$E19*'Fleet ZEV fractions'!J20</f>
        <v>313473.6327358741</v>
      </c>
      <c r="N19" s="93">
        <f>E19-Q19</f>
        <v>363875.2756463479</v>
      </c>
      <c r="O19" s="92">
        <f>$E19*'Fleet ZEV fractions'!K20</f>
        <v>230716.59369360332</v>
      </c>
      <c r="P19" s="92">
        <f>$E19*'Fleet ZEV fractions'!L20</f>
        <v>20062.312495095943</v>
      </c>
      <c r="Q19" s="95">
        <f>$E19*'Fleet ZEV fractions'!M20</f>
        <v>250778.90618869927</v>
      </c>
      <c r="S19" s="19">
        <v>2035</v>
      </c>
      <c r="T19">
        <v>30</v>
      </c>
      <c r="U19">
        <v>5.0899584139617794E-2</v>
      </c>
      <c r="Z19">
        <v>2028</v>
      </c>
      <c r="AA19">
        <v>30</v>
      </c>
      <c r="AB19">
        <f>U11+3*X11</f>
        <v>5.2832378218881267E-2</v>
      </c>
      <c r="AD19">
        <v>2033</v>
      </c>
      <c r="AE19">
        <v>30</v>
      </c>
      <c r="AF19" s="82">
        <f>U15+X15*3</f>
        <v>5.1109424215736214E-2</v>
      </c>
    </row>
    <row r="20" spans="1:32">
      <c r="A20">
        <v>2029</v>
      </c>
      <c r="B20">
        <v>20</v>
      </c>
      <c r="C20" s="3">
        <f>C4+4*(C24-C4)/5</f>
        <v>4986589.9638724122</v>
      </c>
      <c r="D20" s="3">
        <f t="shared" si="2"/>
        <v>303410.71827440441</v>
      </c>
      <c r="E20" s="3"/>
      <c r="F20" s="85"/>
      <c r="G20" s="3"/>
      <c r="H20" s="3"/>
      <c r="I20" s="3"/>
      <c r="J20" s="85"/>
      <c r="K20" s="3"/>
      <c r="L20" s="3"/>
      <c r="M20" s="3"/>
      <c r="N20" s="85"/>
      <c r="O20" s="3"/>
      <c r="P20" s="3"/>
      <c r="Q20" s="86"/>
      <c r="S20" s="19">
        <v>2035</v>
      </c>
      <c r="T20">
        <v>41</v>
      </c>
      <c r="U20">
        <v>5.3105519169967821E-2</v>
      </c>
      <c r="Z20">
        <v>2028</v>
      </c>
      <c r="AA20">
        <v>41</v>
      </c>
      <c r="AB20">
        <f>U12+3*X12</f>
        <v>5.2876591398007169E-2</v>
      </c>
      <c r="AD20">
        <v>2033</v>
      </c>
      <c r="AE20">
        <v>41</v>
      </c>
      <c r="AF20" s="82">
        <f>U16+X16*3</f>
        <v>5.2818083875837904E-2</v>
      </c>
    </row>
    <row r="21" spans="1:32">
      <c r="A21">
        <v>2029</v>
      </c>
      <c r="B21">
        <v>30</v>
      </c>
      <c r="C21" s="3">
        <f t="shared" ref="C21:C23" si="7">C5+4*(C25-C5)/5</f>
        <v>6049379.92823976</v>
      </c>
      <c r="D21" s="3">
        <f t="shared" si="2"/>
        <v>315343.77843497711</v>
      </c>
      <c r="E21" s="3">
        <f>D20+D21</f>
        <v>618754.49670938146</v>
      </c>
      <c r="F21" s="85"/>
      <c r="G21" s="3"/>
      <c r="H21" s="3"/>
      <c r="I21" s="3"/>
      <c r="J21" s="85"/>
      <c r="K21" s="3"/>
      <c r="L21" s="3"/>
      <c r="M21" s="3"/>
      <c r="N21" s="85"/>
      <c r="O21" s="3"/>
      <c r="P21" s="3"/>
      <c r="Q21" s="86"/>
      <c r="S21" s="19">
        <v>2035</v>
      </c>
      <c r="T21" s="8" t="s">
        <v>109</v>
      </c>
      <c r="U21">
        <v>5.7034026286636667E-2</v>
      </c>
      <c r="Z21">
        <v>2028</v>
      </c>
      <c r="AA21" s="8" t="s">
        <v>109</v>
      </c>
      <c r="AB21">
        <f>U13+3*X13</f>
        <v>5.6210739481015279E-2</v>
      </c>
      <c r="AD21">
        <v>2033</v>
      </c>
      <c r="AE21" s="8" t="s">
        <v>109</v>
      </c>
      <c r="AF21" s="82">
        <f>U17+X17*3</f>
        <v>5.6602926726935558E-2</v>
      </c>
    </row>
    <row r="22" spans="1:32">
      <c r="A22">
        <v>2029</v>
      </c>
      <c r="B22">
        <v>41</v>
      </c>
      <c r="C22" s="3">
        <f t="shared" si="7"/>
        <v>286000.38550743641</v>
      </c>
      <c r="D22" s="3">
        <f t="shared" si="2"/>
        <v>15052.7039835043</v>
      </c>
      <c r="E22" s="3"/>
      <c r="F22" s="85"/>
      <c r="G22" s="3"/>
      <c r="H22" s="3"/>
      <c r="I22" s="3"/>
      <c r="J22" s="85"/>
      <c r="K22" s="3"/>
      <c r="L22" s="3"/>
      <c r="M22" s="3"/>
      <c r="N22" s="85"/>
      <c r="O22" s="3"/>
      <c r="P22" s="3"/>
      <c r="Q22" s="86"/>
      <c r="S22" s="19">
        <v>2040</v>
      </c>
      <c r="T22">
        <v>20</v>
      </c>
      <c r="U22">
        <v>6.3169390310556642E-2</v>
      </c>
      <c r="Z22">
        <v>2029</v>
      </c>
      <c r="AA22">
        <v>20</v>
      </c>
      <c r="AB22">
        <f>U10+4*X10</f>
        <v>6.084533127299406E-2</v>
      </c>
      <c r="AD22">
        <v>2034</v>
      </c>
      <c r="AE22">
        <v>20</v>
      </c>
      <c r="AF22" s="82">
        <f>U14+X14*4</f>
        <v>6.3362967789957578E-2</v>
      </c>
    </row>
    <row r="23" spans="1:32">
      <c r="A23" s="91">
        <v>2029</v>
      </c>
      <c r="B23" s="91" t="s">
        <v>133</v>
      </c>
      <c r="C23" s="92">
        <f t="shared" si="7"/>
        <v>11321970.27761961</v>
      </c>
      <c r="D23" s="92">
        <f t="shared" si="2"/>
        <v>634975.81555663643</v>
      </c>
      <c r="E23" s="92">
        <f>E21</f>
        <v>618754.49670938146</v>
      </c>
      <c r="F23" s="93">
        <f>E23-I23</f>
        <v>512328.72327536787</v>
      </c>
      <c r="G23" s="92">
        <f>$E23*'Fleet ZEV fractions'!B21</f>
        <v>102713.24645375733</v>
      </c>
      <c r="H23" s="92">
        <f>$E23*'Fleet ZEV fractions'!C21</f>
        <v>3712.5269802562889</v>
      </c>
      <c r="I23" s="92">
        <f>$E23*'Fleet ZEV fractions'!D21</f>
        <v>106425.77343401362</v>
      </c>
      <c r="J23" s="93">
        <f>E23-M23</f>
        <v>253689.34365084639</v>
      </c>
      <c r="K23" s="92">
        <f>$E23*'Fleet ZEV fractions'!H21</f>
        <v>340727.47618796607</v>
      </c>
      <c r="L23" s="92">
        <f>$E23*'Fleet ZEV fractions'!I21</f>
        <v>24337.676870569005</v>
      </c>
      <c r="M23" s="92">
        <f>$E23*'Fleet ZEV fractions'!J21</f>
        <v>365065.15305853507</v>
      </c>
      <c r="N23" s="93">
        <f>E23-Q23</f>
        <v>326702.37426255341</v>
      </c>
      <c r="O23" s="92">
        <f>$E23*'Fleet ZEV fractions'!K21</f>
        <v>272581.98095037282</v>
      </c>
      <c r="P23" s="92">
        <f>$E23*'Fleet ZEV fractions'!L21</f>
        <v>19470.141496455202</v>
      </c>
      <c r="Q23" s="95">
        <f>$E23*'Fleet ZEV fractions'!M21</f>
        <v>292052.12244682806</v>
      </c>
      <c r="S23" s="19">
        <v>2040</v>
      </c>
      <c r="T23">
        <v>30</v>
      </c>
      <c r="U23">
        <v>5.1134378151068589E-2</v>
      </c>
      <c r="Z23">
        <v>2029</v>
      </c>
      <c r="AA23">
        <v>30</v>
      </c>
      <c r="AB23">
        <f>U11+4*X11</f>
        <v>5.2128281274397559E-2</v>
      </c>
      <c r="AD23">
        <v>2034</v>
      </c>
      <c r="AE23">
        <v>30</v>
      </c>
      <c r="AF23" s="82">
        <f>U15+X15*4</f>
        <v>5.1004504177677004E-2</v>
      </c>
    </row>
    <row r="24" spans="1:32">
      <c r="A24">
        <v>2030</v>
      </c>
      <c r="B24">
        <v>20</v>
      </c>
      <c r="C24" s="3">
        <f>'Combined MOVES output'!AE23</f>
        <v>5022869.9172290489</v>
      </c>
      <c r="D24" s="3">
        <f>C24*U14</f>
        <v>308192.26735474041</v>
      </c>
      <c r="E24" s="3"/>
      <c r="F24" s="85"/>
      <c r="G24" s="3"/>
      <c r="H24" s="3"/>
      <c r="I24" s="89"/>
      <c r="J24" s="85"/>
      <c r="K24" s="3"/>
      <c r="L24" s="3"/>
      <c r="M24" s="89"/>
      <c r="N24" s="85"/>
      <c r="O24" s="3"/>
      <c r="P24" s="3"/>
      <c r="Q24" s="90"/>
      <c r="S24" s="19">
        <v>2040</v>
      </c>
      <c r="T24">
        <v>41</v>
      </c>
      <c r="U24">
        <v>5.4174961614402543E-2</v>
      </c>
      <c r="Z24">
        <v>2029</v>
      </c>
      <c r="AA24">
        <v>41</v>
      </c>
      <c r="AB24">
        <f>U12+4*X12</f>
        <v>5.2631761166325099E-2</v>
      </c>
      <c r="AD24">
        <v>2034</v>
      </c>
      <c r="AE24">
        <v>41</v>
      </c>
      <c r="AF24" s="82">
        <f>U16+X16*4</f>
        <v>5.2961801522902863E-2</v>
      </c>
    </row>
    <row r="25" spans="1:32">
      <c r="A25">
        <v>2030</v>
      </c>
      <c r="B25">
        <v>30</v>
      </c>
      <c r="C25" s="3">
        <f>'Combined MOVES output'!AE24</f>
        <v>6117809.5693950355</v>
      </c>
      <c r="D25" s="3">
        <f>C25*U15</f>
        <v>314603.36699188116</v>
      </c>
      <c r="E25" s="3">
        <f>D24+D25</f>
        <v>622795.63434662158</v>
      </c>
      <c r="F25" s="85"/>
      <c r="G25" s="3"/>
      <c r="H25" s="3"/>
      <c r="I25" s="89"/>
      <c r="J25" s="85"/>
      <c r="K25" s="3"/>
      <c r="L25" s="3"/>
      <c r="M25" s="89"/>
      <c r="N25" s="85"/>
      <c r="O25" s="3"/>
      <c r="P25" s="3"/>
      <c r="Q25" s="90"/>
      <c r="S25" s="20">
        <v>2040</v>
      </c>
      <c r="T25" s="67" t="s">
        <v>109</v>
      </c>
      <c r="U25" s="66">
        <v>5.7096542469052977E-2</v>
      </c>
      <c r="V25" s="66"/>
      <c r="W25" s="66"/>
      <c r="X25" s="66"/>
      <c r="Y25" s="66"/>
      <c r="Z25" s="66">
        <v>2029</v>
      </c>
      <c r="AA25" s="67" t="s">
        <v>109</v>
      </c>
      <c r="AB25" s="66">
        <f>U13+4*X13</f>
        <v>5.608350843419959E-2</v>
      </c>
      <c r="AC25" s="66"/>
      <c r="AD25" s="66">
        <v>2034</v>
      </c>
      <c r="AE25" s="67" t="s">
        <v>109</v>
      </c>
      <c r="AF25" s="84">
        <f>U17+X17*4</f>
        <v>5.6818476506786113E-2</v>
      </c>
    </row>
    <row r="26" spans="1:32">
      <c r="A26">
        <v>2030</v>
      </c>
      <c r="B26">
        <v>41</v>
      </c>
      <c r="C26" s="3">
        <f>'Combined MOVES output'!AE25</f>
        <v>262784.86505126901</v>
      </c>
      <c r="D26" s="3">
        <f>C26*U16</f>
        <v>13766.492576110319</v>
      </c>
      <c r="E26" s="3"/>
      <c r="F26" s="85"/>
      <c r="G26" s="3"/>
      <c r="H26" s="3"/>
      <c r="I26" s="89"/>
      <c r="J26" s="85"/>
      <c r="K26" s="3"/>
      <c r="L26" s="3"/>
      <c r="M26" s="89"/>
      <c r="N26" s="85"/>
      <c r="O26" s="3"/>
      <c r="P26" s="3"/>
      <c r="Q26" s="90"/>
    </row>
    <row r="27" spans="1:32">
      <c r="A27" s="91">
        <v>2030</v>
      </c>
      <c r="B27" s="91" t="s">
        <v>133</v>
      </c>
      <c r="C27" s="92">
        <f>'Combined MOVES output'!AE26</f>
        <v>11403464.351675354</v>
      </c>
      <c r="D27" s="92">
        <f>C27*U17</f>
        <v>638095.41443948995</v>
      </c>
      <c r="E27" s="92">
        <f>E25</f>
        <v>622795.63434662158</v>
      </c>
      <c r="F27" s="93">
        <f>E27-I27</f>
        <v>515674.78523900267</v>
      </c>
      <c r="G27" s="94">
        <f>$E27*'Fleet ZEV fractions'!B22</f>
        <v>103384.07530153918</v>
      </c>
      <c r="H27" s="94">
        <f>$E27*'Fleet ZEV fractions'!C22</f>
        <v>3736.7738060797296</v>
      </c>
      <c r="I27" s="94">
        <f>$E27*'Fleet ZEV fractions'!D22</f>
        <v>107120.84910761892</v>
      </c>
      <c r="J27" s="93">
        <f>E27-M27</f>
        <v>199294.60299091885</v>
      </c>
      <c r="K27" s="92">
        <f>$E27*'Fleet ZEV fractions'!H22</f>
        <v>399300.97242109117</v>
      </c>
      <c r="L27" s="92">
        <f>$E27*'Fleet ZEV fractions'!I22</f>
        <v>24200.058934611585</v>
      </c>
      <c r="M27" s="92">
        <f>$E27*'Fleet ZEV fractions'!J22</f>
        <v>423501.03135570273</v>
      </c>
      <c r="N27" s="93">
        <f>E27-Q27</f>
        <v>283994.8092620594</v>
      </c>
      <c r="O27" s="92">
        <f>$E27*'Fleet ZEV fractions'!K22</f>
        <v>319440.77793687291</v>
      </c>
      <c r="P27" s="92">
        <f>$E27*'Fleet ZEV fractions'!L22</f>
        <v>19360.047147689267</v>
      </c>
      <c r="Q27" s="95">
        <f>$E27*'Fleet ZEV fractions'!M22</f>
        <v>338800.82508456218</v>
      </c>
    </row>
    <row r="28" spans="1:32">
      <c r="A28">
        <v>2031</v>
      </c>
      <c r="B28">
        <v>20</v>
      </c>
      <c r="C28" s="3">
        <f>C24+(C44-C24)/5</f>
        <v>5052754.5754936608</v>
      </c>
      <c r="D28" s="3">
        <f t="shared" ref="D28:D43" si="8">C28*AF10</f>
        <v>312558.82462132408</v>
      </c>
      <c r="E28" s="3"/>
      <c r="F28" s="85"/>
      <c r="G28" s="3"/>
      <c r="H28" s="3"/>
      <c r="I28" s="3"/>
      <c r="J28" s="85"/>
      <c r="K28" s="3"/>
      <c r="L28" s="3"/>
      <c r="M28" s="3"/>
      <c r="N28" s="85"/>
      <c r="O28" s="3"/>
      <c r="P28" s="3"/>
      <c r="Q28" s="86"/>
    </row>
    <row r="29" spans="1:32">
      <c r="A29">
        <v>2031</v>
      </c>
      <c r="B29">
        <v>30</v>
      </c>
      <c r="C29" s="3">
        <f t="shared" ref="C29:C31" si="9">C25+(C45-C25)/5</f>
        <v>6171248.4614119083</v>
      </c>
      <c r="D29" s="3">
        <f t="shared" si="8"/>
        <v>316703.93080189906</v>
      </c>
      <c r="E29" s="3">
        <f>D28+D29</f>
        <v>629262.75542322313</v>
      </c>
      <c r="F29" s="85"/>
      <c r="G29" s="3"/>
      <c r="H29" s="3"/>
      <c r="I29" s="3"/>
      <c r="J29" s="85"/>
      <c r="K29" s="3"/>
      <c r="L29" s="3"/>
      <c r="M29" s="3"/>
      <c r="N29" s="85"/>
      <c r="O29" s="3"/>
      <c r="P29" s="3"/>
      <c r="Q29" s="86"/>
    </row>
    <row r="30" spans="1:32">
      <c r="A30">
        <v>2031</v>
      </c>
      <c r="B30">
        <v>41</v>
      </c>
      <c r="C30" s="3">
        <f t="shared" si="9"/>
        <v>261220.69488223601</v>
      </c>
      <c r="D30" s="3">
        <f t="shared" si="8"/>
        <v>13722.092525128306</v>
      </c>
      <c r="E30" s="3"/>
      <c r="F30" s="85"/>
      <c r="G30" s="3"/>
      <c r="H30" s="3"/>
      <c r="I30" s="3"/>
      <c r="J30" s="85"/>
      <c r="K30" s="3"/>
      <c r="L30" s="3"/>
      <c r="M30" s="3"/>
      <c r="N30" s="85"/>
      <c r="O30" s="3"/>
      <c r="P30" s="3"/>
      <c r="Q30" s="86"/>
    </row>
    <row r="31" spans="1:32">
      <c r="A31" s="91">
        <v>2031</v>
      </c>
      <c r="B31" s="91" t="s">
        <v>133</v>
      </c>
      <c r="C31" s="92">
        <f t="shared" si="9"/>
        <v>11485223.731787805</v>
      </c>
      <c r="D31" s="92">
        <f t="shared" si="8"/>
        <v>645146.00243900402</v>
      </c>
      <c r="E31" s="92">
        <f>E29</f>
        <v>629262.75542322313</v>
      </c>
      <c r="F31" s="93">
        <f>E31-I31</f>
        <v>521029.56149042875</v>
      </c>
      <c r="G31" s="92">
        <f>$E31*'Fleet ZEV fractions'!B23</f>
        <v>104457.61740025504</v>
      </c>
      <c r="H31" s="92">
        <f>$E31*'Fleet ZEV fractions'!C23</f>
        <v>3775.576532539339</v>
      </c>
      <c r="I31" s="92">
        <f>$E31*'Fleet ZEV fractions'!D23</f>
        <v>108233.19393279438</v>
      </c>
      <c r="J31" s="93">
        <f>E31-M31</f>
        <v>151023.06130157353</v>
      </c>
      <c r="K31" s="92">
        <f>$E31*'Fleet ZEV fractions'!H23</f>
        <v>456844.76043725997</v>
      </c>
      <c r="L31" s="92">
        <f>$E31*'Fleet ZEV fractions'!I23</f>
        <v>21394.933684389587</v>
      </c>
      <c r="M31" s="92">
        <f>$E31*'Fleet ZEV fractions'!J23</f>
        <v>478239.69412164961</v>
      </c>
      <c r="N31" s="93">
        <f>E31-Q31</f>
        <v>151023.06130157353</v>
      </c>
      <c r="O31" s="92">
        <f>$E31*'Fleet ZEV fractions'!K23</f>
        <v>456844.76043725997</v>
      </c>
      <c r="P31" s="92">
        <f>$E31*'Fleet ZEV fractions'!L23</f>
        <v>21394.933684389587</v>
      </c>
      <c r="Q31" s="95">
        <f>$E31*'Fleet ZEV fractions'!M23</f>
        <v>478239.69412164961</v>
      </c>
    </row>
    <row r="32" spans="1:32">
      <c r="A32">
        <v>2032</v>
      </c>
      <c r="B32">
        <v>20</v>
      </c>
      <c r="C32" s="3">
        <f>C24+2*(C44-C24)/5</f>
        <v>5082639.2337582726</v>
      </c>
      <c r="D32" s="3">
        <f t="shared" si="8"/>
        <v>316955.34370684007</v>
      </c>
      <c r="E32" s="3"/>
      <c r="F32" s="85"/>
      <c r="G32" s="3"/>
      <c r="H32" s="3"/>
      <c r="I32" s="3"/>
      <c r="J32" s="85"/>
      <c r="K32" s="3"/>
      <c r="L32" s="3"/>
      <c r="M32" s="3"/>
      <c r="N32" s="85"/>
      <c r="O32" s="3"/>
      <c r="P32" s="3"/>
      <c r="Q32" s="86"/>
    </row>
    <row r="33" spans="1:17">
      <c r="A33">
        <v>2032</v>
      </c>
      <c r="B33">
        <v>30</v>
      </c>
      <c r="C33" s="3">
        <f t="shared" ref="C33:C35" si="10">C25+2*(C45-C25)/5</f>
        <v>6224687.353428781</v>
      </c>
      <c r="D33" s="3">
        <f t="shared" si="8"/>
        <v>318793.28099074838</v>
      </c>
      <c r="E33" s="3">
        <f>D32+D33</f>
        <v>635748.62469758838</v>
      </c>
      <c r="F33" s="85"/>
      <c r="G33" s="3"/>
      <c r="H33" s="3"/>
      <c r="I33" s="3"/>
      <c r="J33" s="85"/>
      <c r="K33" s="3"/>
      <c r="L33" s="3"/>
      <c r="M33" s="3"/>
      <c r="N33" s="85"/>
      <c r="O33" s="3"/>
      <c r="P33" s="3"/>
      <c r="Q33" s="86"/>
    </row>
    <row r="34" spans="1:17">
      <c r="A34">
        <v>2032</v>
      </c>
      <c r="B34">
        <v>41</v>
      </c>
      <c r="C34" s="3">
        <f t="shared" si="10"/>
        <v>259656.52471320302</v>
      </c>
      <c r="D34" s="3">
        <f t="shared" si="8"/>
        <v>13677.242876433689</v>
      </c>
      <c r="E34" s="3"/>
      <c r="F34" s="85"/>
      <c r="G34" s="3"/>
      <c r="H34" s="3"/>
      <c r="I34" s="3"/>
      <c r="J34" s="85"/>
      <c r="K34" s="3"/>
      <c r="L34" s="3"/>
      <c r="M34" s="3"/>
      <c r="N34" s="85"/>
      <c r="O34" s="3"/>
      <c r="P34" s="3"/>
      <c r="Q34" s="86"/>
    </row>
    <row r="35" spans="1:17">
      <c r="A35" s="91">
        <v>2032</v>
      </c>
      <c r="B35" s="91" t="s">
        <v>133</v>
      </c>
      <c r="C35" s="92">
        <f t="shared" si="10"/>
        <v>11566983.111900257</v>
      </c>
      <c r="D35" s="92">
        <f t="shared" si="8"/>
        <v>652231.83687128616</v>
      </c>
      <c r="E35" s="92">
        <f>E33</f>
        <v>635748.62469758838</v>
      </c>
      <c r="F35" s="93">
        <f>E35-I35</f>
        <v>526399.86124960321</v>
      </c>
      <c r="G35" s="92">
        <f>$E35*'Fleet ZEV fractions'!B24</f>
        <v>105534.27169979968</v>
      </c>
      <c r="H35" s="92">
        <f>$E35*'Fleet ZEV fractions'!C24</f>
        <v>3814.4917481855305</v>
      </c>
      <c r="I35" s="92">
        <f>$E35*'Fleet ZEV fractions'!D24</f>
        <v>109348.76344798521</v>
      </c>
      <c r="J35" s="93">
        <f>E35-M35</f>
        <v>114434.75244556589</v>
      </c>
      <c r="K35" s="92">
        <f>$E35*'Fleet ZEV fractions'!H24</f>
        <v>499698.41901230451</v>
      </c>
      <c r="L35" s="92">
        <f>$E35*'Fleet ZEV fractions'!I24</f>
        <v>21615.453239718008</v>
      </c>
      <c r="M35" s="92">
        <f>$E35*'Fleet ZEV fractions'!J24</f>
        <v>521313.8722520225</v>
      </c>
      <c r="N35" s="93">
        <f>E35-Q35</f>
        <v>114434.75244556589</v>
      </c>
      <c r="O35" s="92">
        <f>$E35*'Fleet ZEV fractions'!K24</f>
        <v>499698.41901230451</v>
      </c>
      <c r="P35" s="92">
        <f>$E35*'Fleet ZEV fractions'!L24</f>
        <v>21615.453239718008</v>
      </c>
      <c r="Q35" s="95">
        <f>$E35*'Fleet ZEV fractions'!M24</f>
        <v>521313.8722520225</v>
      </c>
    </row>
    <row r="36" spans="1:17">
      <c r="A36">
        <v>2033</v>
      </c>
      <c r="B36">
        <v>20</v>
      </c>
      <c r="C36" s="3">
        <f>C24+3*(C44-C24)/5</f>
        <v>5112523.8920228835</v>
      </c>
      <c r="D36" s="3">
        <f t="shared" si="8"/>
        <v>321381.82461128838</v>
      </c>
      <c r="E36" s="3"/>
      <c r="F36" s="85"/>
      <c r="G36" s="3"/>
      <c r="H36" s="3"/>
      <c r="I36" s="3"/>
      <c r="J36" s="85"/>
      <c r="K36" s="3"/>
      <c r="L36" s="3"/>
      <c r="M36" s="3"/>
      <c r="N36" s="85"/>
      <c r="O36" s="3"/>
      <c r="P36" s="3"/>
      <c r="Q36" s="86"/>
    </row>
    <row r="37" spans="1:17">
      <c r="A37">
        <v>2033</v>
      </c>
      <c r="B37">
        <v>30</v>
      </c>
      <c r="C37" s="3">
        <f>C25+3*(C45-C25)/5</f>
        <v>6278126.2454456547</v>
      </c>
      <c r="D37" s="3">
        <f t="shared" si="8"/>
        <v>320871.41755842924</v>
      </c>
      <c r="E37" s="3">
        <f>D36+D37</f>
        <v>642253.24216971756</v>
      </c>
      <c r="F37" s="85"/>
      <c r="G37" s="3"/>
      <c r="H37" s="3"/>
      <c r="I37" s="3"/>
      <c r="J37" s="85"/>
      <c r="K37" s="3"/>
      <c r="L37" s="3"/>
      <c r="M37" s="3"/>
      <c r="N37" s="85"/>
      <c r="O37" s="3"/>
      <c r="P37" s="3"/>
      <c r="Q37" s="86"/>
    </row>
    <row r="38" spans="1:17">
      <c r="A38">
        <v>2033</v>
      </c>
      <c r="B38">
        <v>41</v>
      </c>
      <c r="C38" s="3">
        <f>C26+3*(C46-C26)/5</f>
        <v>258092.35454417003</v>
      </c>
      <c r="D38" s="3">
        <f t="shared" si="8"/>
        <v>13631.943630026466</v>
      </c>
      <c r="E38" s="3"/>
      <c r="F38" s="85"/>
      <c r="G38" s="3"/>
      <c r="H38" s="3"/>
      <c r="I38" s="3"/>
      <c r="J38" s="85"/>
      <c r="K38" s="3"/>
      <c r="L38" s="3"/>
      <c r="M38" s="3"/>
      <c r="N38" s="85"/>
      <c r="O38" s="3"/>
      <c r="P38" s="3"/>
      <c r="Q38" s="86"/>
    </row>
    <row r="39" spans="1:17">
      <c r="A39" s="91">
        <v>2033</v>
      </c>
      <c r="B39" s="91" t="s">
        <v>133</v>
      </c>
      <c r="C39" s="92">
        <f>C27+3*(C47-C27)/5</f>
        <v>11648742.492012708</v>
      </c>
      <c r="D39" s="92">
        <f t="shared" si="8"/>
        <v>659352.91773633601</v>
      </c>
      <c r="E39" s="92">
        <f>E37</f>
        <v>642253.24216971756</v>
      </c>
      <c r="F39" s="93">
        <f>E39-I39</f>
        <v>531785.68451652618</v>
      </c>
      <c r="G39" s="92">
        <f>$E39*'Fleet ZEV fractions'!B25</f>
        <v>106614.03820017312</v>
      </c>
      <c r="H39" s="92">
        <f>$E39*'Fleet ZEV fractions'!C25</f>
        <v>3853.5194530183053</v>
      </c>
      <c r="I39" s="92">
        <f>$E39*'Fleet ZEV fractions'!D25</f>
        <v>110467.55765319143</v>
      </c>
      <c r="J39" s="93">
        <f>E39-M39</f>
        <v>77070.3890603662</v>
      </c>
      <c r="K39" s="92">
        <f>$E39*'Fleet ZEV fractions'!H25</f>
        <v>522151.88588398031</v>
      </c>
      <c r="L39" s="92">
        <f>$E39*'Fleet ZEV fractions'!I25</f>
        <v>43030.967225371081</v>
      </c>
      <c r="M39" s="92">
        <f>$E39*'Fleet ZEV fractions'!J25</f>
        <v>565182.85310935136</v>
      </c>
      <c r="N39" s="93">
        <f>E39-Q39</f>
        <v>77070.3890603662</v>
      </c>
      <c r="O39" s="92">
        <f>$E39*'Fleet ZEV fractions'!K25</f>
        <v>522151.88588398031</v>
      </c>
      <c r="P39" s="92">
        <f>$E39*'Fleet ZEV fractions'!L25</f>
        <v>43030.967225371081</v>
      </c>
      <c r="Q39" s="95">
        <f>$E39*'Fleet ZEV fractions'!M25</f>
        <v>565182.85310935136</v>
      </c>
    </row>
    <row r="40" spans="1:17">
      <c r="A40">
        <v>2034</v>
      </c>
      <c r="B40">
        <v>20</v>
      </c>
      <c r="C40" s="3">
        <f>C24+4*(C44-C24)/5</f>
        <v>5142408.5502874954</v>
      </c>
      <c r="D40" s="3">
        <f t="shared" si="8"/>
        <v>325838.26733466901</v>
      </c>
      <c r="E40" s="3"/>
      <c r="F40" s="85"/>
      <c r="G40" s="3"/>
      <c r="H40" s="3"/>
      <c r="I40" s="3"/>
      <c r="J40" s="85"/>
      <c r="K40" s="3"/>
      <c r="L40" s="3"/>
      <c r="M40" s="3"/>
      <c r="N40" s="85"/>
      <c r="O40" s="3"/>
      <c r="P40" s="3"/>
      <c r="Q40" s="86"/>
    </row>
    <row r="41" spans="1:17">
      <c r="A41">
        <v>2034</v>
      </c>
      <c r="B41">
        <v>30</v>
      </c>
      <c r="C41" s="3">
        <f t="shared" ref="C41:C43" si="11">C25+4*(C45-C25)/5</f>
        <v>6331565.1374625275</v>
      </c>
      <c r="D41" s="3">
        <f t="shared" si="8"/>
        <v>322938.34050494153</v>
      </c>
      <c r="E41" s="3">
        <f>D40+D41</f>
        <v>648776.60783961054</v>
      </c>
      <c r="F41" s="85"/>
      <c r="G41" s="3"/>
      <c r="H41" s="3"/>
      <c r="I41" s="3"/>
      <c r="J41" s="85"/>
      <c r="K41" s="3"/>
      <c r="L41" s="3"/>
      <c r="M41" s="3"/>
      <c r="N41" s="85"/>
      <c r="O41" s="3"/>
      <c r="P41" s="3"/>
      <c r="Q41" s="86"/>
    </row>
    <row r="42" spans="1:17">
      <c r="A42">
        <v>2034</v>
      </c>
      <c r="B42">
        <v>41</v>
      </c>
      <c r="C42" s="3">
        <f t="shared" si="11"/>
        <v>256528.18437513703</v>
      </c>
      <c r="D42" s="3">
        <f t="shared" si="8"/>
        <v>13586.194785906639</v>
      </c>
      <c r="E42" s="3"/>
      <c r="F42" s="85"/>
      <c r="G42" s="3"/>
      <c r="H42" s="3"/>
      <c r="I42" s="3"/>
      <c r="J42" s="85"/>
      <c r="K42" s="3"/>
      <c r="L42" s="3"/>
      <c r="M42" s="3"/>
      <c r="N42" s="85"/>
      <c r="O42" s="3"/>
      <c r="P42" s="3"/>
      <c r="Q42" s="86"/>
    </row>
    <row r="43" spans="1:17">
      <c r="A43" s="91">
        <v>2034</v>
      </c>
      <c r="B43" s="91" t="s">
        <v>133</v>
      </c>
      <c r="C43" s="92">
        <f t="shared" si="11"/>
        <v>11730501.87212516</v>
      </c>
      <c r="D43" s="92">
        <f t="shared" si="8"/>
        <v>666509.24503415392</v>
      </c>
      <c r="E43" s="92">
        <f>E41</f>
        <v>648776.60783961054</v>
      </c>
      <c r="F43" s="93">
        <f>E43-I43</f>
        <v>537187.03129119752</v>
      </c>
      <c r="G43" s="92">
        <f>$E43*'Fleet ZEV fractions'!B26</f>
        <v>107696.91690137536</v>
      </c>
      <c r="H43" s="92">
        <f>$E43*'Fleet ZEV fractions'!C26</f>
        <v>3892.6596470376635</v>
      </c>
      <c r="I43" s="92">
        <f>$E43*'Fleet ZEV fractions'!D26</f>
        <v>111589.57654841302</v>
      </c>
      <c r="J43" s="93">
        <f>E43-M43</f>
        <v>38926.596470376709</v>
      </c>
      <c r="K43" s="92">
        <f>$E43*'Fleet ZEV fractions'!H26</f>
        <v>536538.2546833579</v>
      </c>
      <c r="L43" s="92">
        <f>$E43*'Fleet ZEV fractions'!I26</f>
        <v>73311.756685875996</v>
      </c>
      <c r="M43" s="92">
        <f>$E43*'Fleet ZEV fractions'!J26</f>
        <v>609850.01136923383</v>
      </c>
      <c r="N43" s="93">
        <f>E43-Q43</f>
        <v>38926.596470376709</v>
      </c>
      <c r="O43" s="92">
        <f>$E43*'Fleet ZEV fractions'!K26</f>
        <v>536538.2546833579</v>
      </c>
      <c r="P43" s="92">
        <f>$E43*'Fleet ZEV fractions'!L26</f>
        <v>73311.756685875996</v>
      </c>
      <c r="Q43" s="95">
        <f>$E43*'Fleet ZEV fractions'!M26</f>
        <v>609850.01136923383</v>
      </c>
    </row>
    <row r="44" spans="1:17">
      <c r="A44">
        <v>2035</v>
      </c>
      <c r="B44">
        <v>20</v>
      </c>
      <c r="C44" s="3">
        <f>'Combined MOVES output'!AE28</f>
        <v>5172293.2085521072</v>
      </c>
      <c r="D44" s="3">
        <f t="shared" ref="D44:D51" si="12">C44*U18</f>
        <v>330324.67187698203</v>
      </c>
      <c r="E44" s="3"/>
      <c r="F44" s="85"/>
      <c r="G44" s="3"/>
      <c r="H44" s="3"/>
      <c r="I44" s="89"/>
      <c r="J44" s="85"/>
      <c r="K44" s="3"/>
      <c r="L44" s="3"/>
      <c r="M44" s="89"/>
      <c r="N44" s="85"/>
      <c r="O44" s="3"/>
      <c r="P44" s="3"/>
      <c r="Q44" s="90"/>
    </row>
    <row r="45" spans="1:17">
      <c r="A45">
        <v>2035</v>
      </c>
      <c r="B45">
        <v>30</v>
      </c>
      <c r="C45" s="3">
        <f>'Combined MOVES output'!AE29</f>
        <v>6385004.0294794003</v>
      </c>
      <c r="D45" s="3">
        <f t="shared" si="12"/>
        <v>324994.04983028537</v>
      </c>
      <c r="E45" s="3">
        <f>D44+D45</f>
        <v>655318.72170726745</v>
      </c>
      <c r="F45" s="85"/>
      <c r="G45" s="3"/>
      <c r="H45" s="3"/>
      <c r="I45" s="89"/>
      <c r="J45" s="85"/>
      <c r="K45" s="3"/>
      <c r="L45" s="3"/>
      <c r="M45" s="89"/>
      <c r="N45" s="85"/>
      <c r="O45" s="3"/>
      <c r="P45" s="3"/>
      <c r="Q45" s="90"/>
    </row>
    <row r="46" spans="1:17">
      <c r="A46">
        <v>2035</v>
      </c>
      <c r="B46">
        <v>41</v>
      </c>
      <c r="C46" s="3">
        <f>'Combined MOVES output'!AE30</f>
        <v>254964.01420610404</v>
      </c>
      <c r="D46" s="3">
        <f t="shared" si="12"/>
        <v>13539.996344074207</v>
      </c>
      <c r="E46" s="3"/>
      <c r="F46" s="85"/>
      <c r="G46" s="3"/>
      <c r="H46" s="3"/>
      <c r="I46" s="89"/>
      <c r="J46" s="85"/>
      <c r="K46" s="3"/>
      <c r="L46" s="3"/>
      <c r="M46" s="89"/>
      <c r="N46" s="85"/>
      <c r="O46" s="3"/>
      <c r="P46" s="3"/>
      <c r="Q46" s="90"/>
    </row>
    <row r="47" spans="1:17">
      <c r="A47" s="91">
        <v>2035</v>
      </c>
      <c r="B47" s="91" t="s">
        <v>133</v>
      </c>
      <c r="C47" s="92">
        <f>'Combined MOVES output'!AE31</f>
        <v>11812261.252237611</v>
      </c>
      <c r="D47" s="92">
        <f t="shared" si="12"/>
        <v>673700.81876473967</v>
      </c>
      <c r="E47" s="92">
        <f>E45</f>
        <v>655318.72170726745</v>
      </c>
      <c r="F47" s="93">
        <f>E47-I47</f>
        <v>542603.90157361748</v>
      </c>
      <c r="G47" s="94">
        <f>$E47*'Fleet ZEV fractions'!B27</f>
        <v>108782.9078034064</v>
      </c>
      <c r="H47" s="94">
        <f>$E47*'Fleet ZEV fractions'!C27</f>
        <v>3931.9123302436046</v>
      </c>
      <c r="I47" s="94">
        <f>$E47*'Fleet ZEV fractions'!D27</f>
        <v>112714.82013365001</v>
      </c>
      <c r="J47" s="93">
        <f>E47-M47</f>
        <v>0</v>
      </c>
      <c r="K47" s="92">
        <f>$E47*'Fleet ZEV fractions'!H27</f>
        <v>541948.58285191015</v>
      </c>
      <c r="L47" s="92">
        <f>$E47*'Fleet ZEV fractions'!I27</f>
        <v>113370.13885535726</v>
      </c>
      <c r="M47" s="92">
        <f>$E47*'Fleet ZEV fractions'!J27</f>
        <v>655318.72170726745</v>
      </c>
      <c r="N47" s="93">
        <f>E47-Q47</f>
        <v>0</v>
      </c>
      <c r="O47" s="92">
        <f>$E47*'Fleet ZEV fractions'!K27</f>
        <v>541948.58285191015</v>
      </c>
      <c r="P47" s="92">
        <f>$E47*'Fleet ZEV fractions'!L27</f>
        <v>113370.13885535726</v>
      </c>
      <c r="Q47" s="95">
        <f>$E47*'Fleet ZEV fractions'!M27</f>
        <v>655318.72170726745</v>
      </c>
    </row>
    <row r="48" spans="1:17">
      <c r="A48">
        <v>2040</v>
      </c>
      <c r="B48">
        <v>20</v>
      </c>
      <c r="C48" s="3">
        <f>'Combined MOVES output'!AE33</f>
        <v>5385673.4237676412</v>
      </c>
      <c r="D48" s="3">
        <f t="shared" si="12"/>
        <v>340209.70659117005</v>
      </c>
      <c r="E48" s="3"/>
      <c r="F48" s="85"/>
      <c r="G48" s="3"/>
      <c r="H48" s="3"/>
      <c r="I48" s="89"/>
      <c r="J48" s="85"/>
      <c r="K48" s="3"/>
      <c r="L48" s="3"/>
      <c r="M48" s="89"/>
      <c r="N48" s="85"/>
      <c r="O48" s="3"/>
      <c r="P48" s="3"/>
      <c r="Q48" s="90"/>
    </row>
    <row r="49" spans="1:17">
      <c r="A49">
        <v>2040</v>
      </c>
      <c r="B49">
        <v>30</v>
      </c>
      <c r="C49" s="3">
        <f>'Combined MOVES output'!AE34</f>
        <v>6582542.1248250157</v>
      </c>
      <c r="D49" s="3">
        <f t="shared" si="12"/>
        <v>336594.19820614089</v>
      </c>
      <c r="E49" s="3">
        <f>D48+D49</f>
        <v>676803.90479731094</v>
      </c>
      <c r="F49" s="85"/>
      <c r="G49" s="3"/>
      <c r="H49" s="3"/>
      <c r="I49" s="89"/>
      <c r="J49" s="85"/>
      <c r="K49" s="3"/>
      <c r="L49" s="3"/>
      <c r="M49" s="89"/>
      <c r="N49" s="85"/>
      <c r="O49" s="3"/>
      <c r="P49" s="3"/>
      <c r="Q49" s="90"/>
    </row>
    <row r="50" spans="1:17">
      <c r="A50">
        <v>2040</v>
      </c>
      <c r="B50">
        <v>41</v>
      </c>
      <c r="C50" s="3">
        <f>'Combined MOVES output'!AE35</f>
        <v>246829.64578247099</v>
      </c>
      <c r="D50" s="3">
        <f t="shared" si="12"/>
        <v>13371.986585561943</v>
      </c>
      <c r="E50" s="3"/>
      <c r="F50" s="85"/>
      <c r="G50" s="3"/>
      <c r="H50" s="3"/>
      <c r="I50" s="89"/>
      <c r="J50" s="85"/>
      <c r="K50" s="3"/>
      <c r="L50" s="3"/>
      <c r="M50" s="89"/>
      <c r="N50" s="85"/>
      <c r="O50" s="3"/>
      <c r="P50" s="3"/>
      <c r="Q50" s="90"/>
    </row>
    <row r="51" spans="1:17" ht="16" thickBot="1">
      <c r="A51" s="91">
        <v>2040</v>
      </c>
      <c r="B51" s="91" t="s">
        <v>133</v>
      </c>
      <c r="C51" s="92">
        <f>'Combined MOVES output'!AE36</f>
        <v>12215045.194375128</v>
      </c>
      <c r="D51" s="92">
        <f t="shared" si="12"/>
        <v>697436.84670204099</v>
      </c>
      <c r="E51" s="92">
        <f>E49</f>
        <v>676803.90479731094</v>
      </c>
      <c r="F51" s="93">
        <f>E51-I51</f>
        <v>560393.6331721734</v>
      </c>
      <c r="G51" s="98">
        <f>$E51*'Fleet ZEV fractions'!B32</f>
        <v>112349.44819635362</v>
      </c>
      <c r="H51" s="98">
        <f>$E51*'Fleet ZEV fractions'!C32</f>
        <v>4060.8234287838659</v>
      </c>
      <c r="I51" s="98">
        <f>$E51*'Fleet ZEV fractions'!D32</f>
        <v>116410.27162513749</v>
      </c>
      <c r="J51" s="96">
        <f>E51-M51</f>
        <v>0</v>
      </c>
      <c r="K51" s="97">
        <f>$E51*'Fleet ZEV fractions'!H32</f>
        <v>559716.8292673761</v>
      </c>
      <c r="L51" s="97">
        <f>$E51*'Fleet ZEV fractions'!I32</f>
        <v>117087.07552993478</v>
      </c>
      <c r="M51" s="97">
        <f>$E51*'Fleet ZEV fractions'!J32</f>
        <v>676803.90479731094</v>
      </c>
      <c r="N51" s="96">
        <f>E51-Q51</f>
        <v>0</v>
      </c>
      <c r="O51" s="97">
        <f>$E51*'Fleet ZEV fractions'!K32</f>
        <v>559716.8292673761</v>
      </c>
      <c r="P51" s="97">
        <f>$E51*'Fleet ZEV fractions'!L32</f>
        <v>117087.07552993478</v>
      </c>
      <c r="Q51" s="101">
        <f>$E51*'Fleet ZEV fractions'!M32</f>
        <v>676803.90479731094</v>
      </c>
    </row>
    <row r="52" spans="1:17">
      <c r="N52" s="250" t="s">
        <v>138</v>
      </c>
    </row>
    <row r="53" spans="1:17">
      <c r="N53" s="250" t="s">
        <v>502</v>
      </c>
    </row>
  </sheetData>
  <sheetProtection algorithmName="SHA-512" hashValue="pdGgE7uWngABiK7xr+kLRpaE9QusrEWseESEM8oPE/YjZoEj9SSxkq1N4l/eh7dLvdyJW8G0omKMnCiR6cG7DA==" saltValue="OeSJprG7M7mHx+7au+F2EA==" spinCount="100000" sheet="1" objects="1" scenarios="1"/>
  <mergeCells count="3">
    <mergeCell ref="F2:I2"/>
    <mergeCell ref="J2:M2"/>
    <mergeCell ref="N2:Q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BA47"/>
  <sheetViews>
    <sheetView workbookViewId="0">
      <selection activeCell="E7" sqref="E7"/>
    </sheetView>
  </sheetViews>
  <sheetFormatPr baseColWidth="10" defaultColWidth="8.83203125" defaultRowHeight="15"/>
  <cols>
    <col min="3" max="3" width="12" bestFit="1" customWidth="1"/>
    <col min="4" max="4" width="15.6640625" customWidth="1"/>
    <col min="5" max="6" width="11.6640625" customWidth="1"/>
    <col min="7" max="7" width="12.83203125" customWidth="1"/>
    <col min="8" max="9" width="12.5" customWidth="1"/>
    <col min="11" max="11" width="14.5" customWidth="1"/>
    <col min="12" max="12" width="15.33203125" customWidth="1"/>
    <col min="13" max="14" width="11.6640625" customWidth="1"/>
    <col min="18" max="18" width="16.6640625" bestFit="1" customWidth="1"/>
    <col min="19" max="19" width="11.6640625" customWidth="1"/>
    <col min="20" max="20" width="12.6640625" customWidth="1"/>
    <col min="21" max="22" width="14.6640625" customWidth="1"/>
    <col min="23" max="23" width="10.33203125" customWidth="1"/>
    <col min="24" max="24" width="13.6640625" customWidth="1"/>
    <col min="25" max="25" width="11" customWidth="1"/>
    <col min="26" max="32" width="13.33203125" customWidth="1"/>
    <col min="33" max="33" width="13.1640625" bestFit="1" customWidth="1"/>
    <col min="34" max="35" width="8.83203125" customWidth="1"/>
    <col min="36" max="36" width="12" customWidth="1"/>
    <col min="37" max="46" width="8.83203125" customWidth="1"/>
  </cols>
  <sheetData>
    <row r="1" spans="1:53">
      <c r="A1" s="2" t="s">
        <v>4</v>
      </c>
      <c r="P1" s="2"/>
      <c r="U1" s="6"/>
      <c r="V1" s="6"/>
    </row>
    <row r="2" spans="1:53">
      <c r="A2" t="s">
        <v>5</v>
      </c>
    </row>
    <row r="3" spans="1:53">
      <c r="A3" t="s">
        <v>113</v>
      </c>
    </row>
    <row r="4" spans="1:53">
      <c r="A4" t="s">
        <v>114</v>
      </c>
    </row>
    <row r="5" spans="1:53">
      <c r="A5" t="s">
        <v>205</v>
      </c>
      <c r="AH5" s="277" t="s">
        <v>46</v>
      </c>
      <c r="AI5" s="277"/>
    </row>
    <row r="6" spans="1:53">
      <c r="C6" s="3"/>
      <c r="P6" s="116" t="str">
        <f>'County Scale Output 2017-2040'!A3</f>
        <v>yearID</v>
      </c>
      <c r="Q6" s="81" t="str">
        <f>'County Scale Output 2017-2040'!B3</f>
        <v>regClassID</v>
      </c>
      <c r="R6" s="81" t="str">
        <f>'County Scale Output 2017-2040'!C3</f>
        <v>NOx</v>
      </c>
      <c r="S6" s="81" t="str">
        <f>'County Scale Output 2017-2040'!D3</f>
        <v>CH4</v>
      </c>
      <c r="T6" s="81" t="str">
        <f>'County Scale Output 2017-2040'!E3</f>
        <v>N2O</v>
      </c>
      <c r="U6" s="81" t="str">
        <f>'County Scale Output 2017-2040'!F3</f>
        <v>CO2</v>
      </c>
      <c r="V6" s="81" t="s">
        <v>47</v>
      </c>
      <c r="W6" s="81" t="str">
        <f>'County Scale Output 2017-2040'!G3</f>
        <v>Energy</v>
      </c>
      <c r="X6" s="81" t="str">
        <f>'County Scale Output 2017-2040'!H3</f>
        <v>PM25 Exh</v>
      </c>
      <c r="Y6" s="81" t="str">
        <f>'County Scale Output 2017-2040'!I3</f>
        <v>PM25 BW</v>
      </c>
      <c r="Z6" s="81" t="str">
        <f>'County Scale Output 2017-2040'!J3</f>
        <v>PM25 TW</v>
      </c>
      <c r="AA6" s="81" t="s">
        <v>24</v>
      </c>
      <c r="AB6" s="81" t="s">
        <v>115</v>
      </c>
      <c r="AC6" s="81" t="s">
        <v>116</v>
      </c>
      <c r="AD6" s="81" t="s">
        <v>117</v>
      </c>
      <c r="AE6" s="81" t="str">
        <f>'County Scale Output 2017-2040'!N3</f>
        <v>POP</v>
      </c>
      <c r="AF6" s="117" t="str">
        <f>'County Scale Output 2017-2040'!O3</f>
        <v>VMT</v>
      </c>
      <c r="AH6" t="s">
        <v>26</v>
      </c>
      <c r="AI6" t="s">
        <v>21</v>
      </c>
      <c r="AJ6" t="s">
        <v>47</v>
      </c>
    </row>
    <row r="7" spans="1:53">
      <c r="A7" s="116" t="s">
        <v>0</v>
      </c>
      <c r="B7" s="81" t="s">
        <v>1</v>
      </c>
      <c r="C7" s="81" t="s">
        <v>2</v>
      </c>
      <c r="D7" s="81" t="s">
        <v>47</v>
      </c>
      <c r="E7" s="81" t="s">
        <v>599</v>
      </c>
      <c r="F7" s="81" t="s">
        <v>24</v>
      </c>
      <c r="G7" s="81" t="s">
        <v>115</v>
      </c>
      <c r="H7" s="81" t="s">
        <v>116</v>
      </c>
      <c r="I7" s="81" t="s">
        <v>117</v>
      </c>
      <c r="J7" s="81" t="s">
        <v>74</v>
      </c>
      <c r="K7" s="117" t="s">
        <v>75</v>
      </c>
      <c r="L7" s="206" t="s">
        <v>3</v>
      </c>
      <c r="M7" s="206" t="s">
        <v>26</v>
      </c>
      <c r="N7" s="206" t="s">
        <v>21</v>
      </c>
      <c r="O7" s="29"/>
      <c r="P7" s="107">
        <f>'County Scale Output 2017-2040'!A4</f>
        <v>2017</v>
      </c>
      <c r="Q7" s="108">
        <f>'County Scale Output 2017-2040'!B4</f>
        <v>20</v>
      </c>
      <c r="R7" s="109">
        <f>'County Scale Output 2017-2040'!C4</f>
        <v>12350473896.101101</v>
      </c>
      <c r="S7" s="109">
        <f>'County Scale Output 2017-2040'!D4</f>
        <v>1059108146.02157</v>
      </c>
      <c r="T7" s="109">
        <f>'County Scale Output 2017-2040'!E4</f>
        <v>349532540.85779101</v>
      </c>
      <c r="U7" s="109">
        <f>'County Scale Output 2017-2040'!F4</f>
        <v>17566856283652.199</v>
      </c>
      <c r="V7" s="109">
        <f>AJ7</f>
        <v>17697494684478.359</v>
      </c>
      <c r="W7" s="109">
        <f>'County Scale Output 2017-2040'!G4</f>
        <v>231746646.53983399</v>
      </c>
      <c r="X7" s="109">
        <f>'County Scale Output 2017-2040'!H4</f>
        <v>250911037.39423299</v>
      </c>
      <c r="Y7" s="109">
        <f>'County Scale Output 2017-2040'!I4</f>
        <v>149438234.73377499</v>
      </c>
      <c r="Z7" s="109">
        <f>'County Scale Output 2017-2040'!J4</f>
        <v>62198646.380609401</v>
      </c>
      <c r="AA7" s="109">
        <f>X7+Y7+Z7</f>
        <v>462547918.5086174</v>
      </c>
      <c r="AB7" s="109">
        <f>'County Scale Output 2017-2040'!K4</f>
        <v>14440393884.299101</v>
      </c>
      <c r="AC7" s="109">
        <f>'County Scale Output 2017-2040'!L4</f>
        <v>260096591.302425</v>
      </c>
      <c r="AD7" s="109">
        <f>'County Scale Output 2017-2040'!M4</f>
        <v>1325179031.4776299</v>
      </c>
      <c r="AE7" s="109">
        <f>'County Scale Output 2017-2040'!N4</f>
        <v>4551230.5235927776</v>
      </c>
      <c r="AF7" s="110">
        <f>'County Scale Output 2017-2040'!O4</f>
        <v>46181074207.873779</v>
      </c>
      <c r="AH7">
        <v>25</v>
      </c>
      <c r="AI7">
        <v>298</v>
      </c>
      <c r="AJ7">
        <f>U7+(S7*AH7)+(T7*AI7)</f>
        <v>17697494684478.359</v>
      </c>
      <c r="AM7" s="6"/>
    </row>
    <row r="8" spans="1:53">
      <c r="A8">
        <v>2020</v>
      </c>
      <c r="B8" s="33" t="s">
        <v>109</v>
      </c>
      <c r="C8" s="3">
        <f>R16</f>
        <v>29559063792.717384</v>
      </c>
      <c r="D8" s="3">
        <f>V16</f>
        <v>50160957562785.664</v>
      </c>
      <c r="E8" s="3">
        <f>W17*(1-J27)</f>
        <v>569199285.05412686</v>
      </c>
      <c r="F8" s="3">
        <f t="shared" ref="F8:K8" si="0">AA16</f>
        <v>1534649263.4799309</v>
      </c>
      <c r="G8" s="3">
        <f t="shared" si="0"/>
        <v>26798066042.889225</v>
      </c>
      <c r="H8" s="3">
        <f t="shared" si="0"/>
        <v>620785879.24948215</v>
      </c>
      <c r="I8" s="3">
        <f t="shared" si="0"/>
        <v>3118998858.2021351</v>
      </c>
      <c r="J8" s="3">
        <f t="shared" si="0"/>
        <v>10588523.611117907</v>
      </c>
      <c r="K8" s="35">
        <f t="shared" si="0"/>
        <v>118900431062.56226</v>
      </c>
      <c r="L8" s="205"/>
      <c r="M8" s="205"/>
      <c r="N8" s="205"/>
      <c r="P8" s="107">
        <f>'County Scale Output 2017-2040'!A5</f>
        <v>2017</v>
      </c>
      <c r="Q8" s="108">
        <f>'County Scale Output 2017-2040'!B5</f>
        <v>30</v>
      </c>
      <c r="R8" s="109">
        <f>'County Scale Output 2017-2040'!C5</f>
        <v>17970959929.264198</v>
      </c>
      <c r="S8" s="109">
        <f>'County Scale Output 2017-2040'!D5</f>
        <v>1228448911.22071</v>
      </c>
      <c r="T8" s="109">
        <f>'County Scale Output 2017-2040'!E5</f>
        <v>605978092.21267498</v>
      </c>
      <c r="U8" s="109">
        <f>'County Scale Output 2017-2040'!F5</f>
        <v>30047378499569.199</v>
      </c>
      <c r="V8" s="109">
        <f t="shared" ref="V8:V10" si="1">AJ8</f>
        <v>30258671193829.098</v>
      </c>
      <c r="W8" s="109">
        <f>'County Scale Output 2017-2040'!G5</f>
        <v>396248401.95337898</v>
      </c>
      <c r="X8" s="109">
        <f>'County Scale Output 2017-2040'!H5</f>
        <v>315916865.874982</v>
      </c>
      <c r="Y8" s="109">
        <f>'County Scale Output 2017-2040'!I5</f>
        <v>226538775.616916</v>
      </c>
      <c r="Z8" s="109">
        <f>'County Scale Output 2017-2040'!J5</f>
        <v>85411850.600171998</v>
      </c>
      <c r="AA8" s="109">
        <f t="shared" ref="AA8:AA10" si="2">X8+Y8+Z8</f>
        <v>627867492.0920701</v>
      </c>
      <c r="AB8" s="109">
        <f>'County Scale Output 2017-2040'!K5</f>
        <v>15131728608.774401</v>
      </c>
      <c r="AC8" s="109">
        <f>'County Scale Output 2017-2040'!L5</f>
        <v>445776236.44833702</v>
      </c>
      <c r="AD8" s="109">
        <f>'County Scale Output 2017-2040'!M5</f>
        <v>1748764242.6194301</v>
      </c>
      <c r="AE8" s="109">
        <f>'County Scale Output 2017-2040'!N5</f>
        <v>5228224.2343764501</v>
      </c>
      <c r="AF8" s="110">
        <f>'County Scale Output 2017-2040'!O5</f>
        <v>63481322741.874512</v>
      </c>
      <c r="AH8">
        <v>25</v>
      </c>
      <c r="AI8">
        <v>298</v>
      </c>
      <c r="AJ8">
        <f>U8+(S8*AH8)+(T8*AI8)</f>
        <v>30258671193829.098</v>
      </c>
      <c r="AN8" s="6"/>
    </row>
    <row r="9" spans="1:53">
      <c r="A9">
        <v>2025</v>
      </c>
      <c r="B9" s="33" t="s">
        <v>109</v>
      </c>
      <c r="C9" s="3">
        <f>R21</f>
        <v>15396852724.303795</v>
      </c>
      <c r="D9" s="3">
        <f>V21</f>
        <v>45373305522676.289</v>
      </c>
      <c r="E9" s="3">
        <f>W22*(1-J32)</f>
        <v>537050465.39282691</v>
      </c>
      <c r="F9" s="3">
        <f t="shared" ref="F9:K9" si="3">AA21</f>
        <v>1255720494.2722042</v>
      </c>
      <c r="G9" s="3">
        <f t="shared" si="3"/>
        <v>20736712681.301468</v>
      </c>
      <c r="H9" s="3">
        <f t="shared" si="3"/>
        <v>613086806.33650136</v>
      </c>
      <c r="I9" s="3">
        <f t="shared" si="3"/>
        <v>2971345057.1066537</v>
      </c>
      <c r="J9" s="3">
        <f t="shared" si="3"/>
        <v>10995993.98139663</v>
      </c>
      <c r="K9" s="35">
        <f t="shared" si="3"/>
        <v>123384867457.25221</v>
      </c>
      <c r="L9" s="205">
        <f>U21</f>
        <v>45112604379348.562</v>
      </c>
      <c r="M9" s="205">
        <f>S21</f>
        <v>1559700700.0666974</v>
      </c>
      <c r="N9" s="205">
        <f>T21</f>
        <v>743988677.26863849</v>
      </c>
      <c r="P9" s="107">
        <f>'County Scale Output 2017-2040'!A6</f>
        <v>2017</v>
      </c>
      <c r="Q9" s="108">
        <f>'County Scale Output 2017-2040'!B6</f>
        <v>41</v>
      </c>
      <c r="R9" s="109">
        <f>'County Scale Output 2017-2040'!C6</f>
        <v>17708358692</v>
      </c>
      <c r="S9" s="109">
        <f>'County Scale Output 2017-2040'!D6</f>
        <v>444877640.0625</v>
      </c>
      <c r="T9" s="109">
        <f>'County Scale Output 2017-2040'!E6</f>
        <v>139214171.75</v>
      </c>
      <c r="U9" s="109">
        <f>'County Scale Output 2017-2040'!F6</f>
        <v>5172977605632</v>
      </c>
      <c r="V9" s="109">
        <f t="shared" si="1"/>
        <v>5225585369815.0625</v>
      </c>
      <c r="W9" s="109">
        <f>'County Scale Output 2017-2040'!G6</f>
        <v>67348825.71875</v>
      </c>
      <c r="X9" s="109">
        <f>'County Scale Output 2017-2040'!H6</f>
        <v>713414101.0625</v>
      </c>
      <c r="Y9" s="109">
        <f>'County Scale Output 2017-2040'!I6</f>
        <v>25990176.160156202</v>
      </c>
      <c r="Z9" s="109">
        <f>'County Scale Output 2017-2040'!J6</f>
        <v>12273949.5585938</v>
      </c>
      <c r="AA9" s="109">
        <f t="shared" si="2"/>
        <v>751678226.78125</v>
      </c>
      <c r="AB9" s="109">
        <f>'County Scale Output 2017-2040'!K6</f>
        <v>4720208073</v>
      </c>
      <c r="AC9" s="109">
        <f>'County Scale Output 2017-2040'!L6</f>
        <v>60112365.65625</v>
      </c>
      <c r="AD9" s="109">
        <f>'County Scale Output 2017-2040'!M6</f>
        <v>276989472.4375</v>
      </c>
      <c r="AE9" s="109">
        <f>'County Scale Output 2017-2040'!N6</f>
        <v>564586.63098144508</v>
      </c>
      <c r="AF9" s="110">
        <f>'County Scale Output 2017-2040'!O6</f>
        <v>6547372276</v>
      </c>
      <c r="AH9">
        <v>25</v>
      </c>
      <c r="AI9">
        <v>298</v>
      </c>
      <c r="AJ9">
        <f>U9+(S9*AH9)+(T9*AI9)</f>
        <v>5225585369815.0625</v>
      </c>
      <c r="AN9" s="6"/>
    </row>
    <row r="10" spans="1:53">
      <c r="A10">
        <v>2026</v>
      </c>
      <c r="B10" s="33" t="s">
        <v>109</v>
      </c>
      <c r="C10">
        <f t="shared" ref="C10:K10" si="4">C9+(C14-C9)/5</f>
        <v>13758119628.180546</v>
      </c>
      <c r="D10" s="3">
        <f t="shared" si="4"/>
        <v>44601229957306.539</v>
      </c>
      <c r="E10" s="3">
        <f t="shared" si="4"/>
        <v>532097058.75099254</v>
      </c>
      <c r="F10">
        <f t="shared" si="4"/>
        <v>1215721815.2598913</v>
      </c>
      <c r="G10">
        <f t="shared" si="4"/>
        <v>19733176389.20071</v>
      </c>
      <c r="H10" s="3">
        <f t="shared" si="4"/>
        <v>611868753.22161865</v>
      </c>
      <c r="I10">
        <f t="shared" si="4"/>
        <v>2948735022.9552751</v>
      </c>
      <c r="J10">
        <f t="shared" si="4"/>
        <v>11077488.055452375</v>
      </c>
      <c r="K10" s="82">
        <f t="shared" si="4"/>
        <v>124281754736.1902</v>
      </c>
      <c r="L10" s="205">
        <f t="shared" ref="L10:N10" si="5">L9+(L14-L9)/5</f>
        <v>44347288531696.812</v>
      </c>
      <c r="M10" s="205">
        <f t="shared" si="5"/>
        <v>1500584101.6545627</v>
      </c>
      <c r="N10" s="205">
        <f t="shared" si="5"/>
        <v>726264506.94081593</v>
      </c>
      <c r="P10" s="111">
        <f>P9</f>
        <v>2017</v>
      </c>
      <c r="Q10" s="112" t="s">
        <v>109</v>
      </c>
      <c r="R10" s="113">
        <f t="shared" ref="R10:Z10" si="6">SUM(R7:R9)</f>
        <v>48029792517.365295</v>
      </c>
      <c r="S10" s="113">
        <f t="shared" si="6"/>
        <v>2732434697.30478</v>
      </c>
      <c r="T10" s="113">
        <f t="shared" si="6"/>
        <v>1094724804.820466</v>
      </c>
      <c r="U10" s="113">
        <f t="shared" si="6"/>
        <v>52787212388853.398</v>
      </c>
      <c r="V10" s="114">
        <f t="shared" si="1"/>
        <v>53181751248122.516</v>
      </c>
      <c r="W10" s="113">
        <f t="shared" si="6"/>
        <v>695343874.21196294</v>
      </c>
      <c r="X10" s="137">
        <f t="shared" si="6"/>
        <v>1280242004.3317151</v>
      </c>
      <c r="Y10" s="113">
        <f t="shared" si="6"/>
        <v>401967186.51084715</v>
      </c>
      <c r="Z10" s="113">
        <f t="shared" si="6"/>
        <v>159884446.53937522</v>
      </c>
      <c r="AA10" s="114">
        <f t="shared" si="2"/>
        <v>1842093637.3819375</v>
      </c>
      <c r="AB10" s="113">
        <f>SUM(AB7:AB9)</f>
        <v>34292330566.073502</v>
      </c>
      <c r="AC10" s="113">
        <f t="shared" ref="AC10:AD10" si="7">SUM(AC7:AC9)</f>
        <v>765985193.40701199</v>
      </c>
      <c r="AD10" s="113">
        <f t="shared" si="7"/>
        <v>3350932746.5345602</v>
      </c>
      <c r="AE10" s="113">
        <f>SUM(AE7:AE9)</f>
        <v>10344041.388950672</v>
      </c>
      <c r="AF10" s="115">
        <f>SUM(AF7:AF9)</f>
        <v>116209769225.74829</v>
      </c>
      <c r="AJ10">
        <f>SUM(AJ7:AJ9)</f>
        <v>53181751248122.516</v>
      </c>
      <c r="AM10" s="2" t="s">
        <v>79</v>
      </c>
    </row>
    <row r="11" spans="1:53">
      <c r="A11">
        <v>2027</v>
      </c>
      <c r="B11" s="33" t="s">
        <v>109</v>
      </c>
      <c r="C11">
        <f t="shared" ref="C11:K11" si="8">C9+(C14-C9)/5*2</f>
        <v>12119386532.057297</v>
      </c>
      <c r="D11" s="3">
        <f t="shared" si="8"/>
        <v>43829154391936.789</v>
      </c>
      <c r="E11" s="3">
        <f t="shared" si="8"/>
        <v>527143652.10915816</v>
      </c>
      <c r="F11">
        <f t="shared" si="8"/>
        <v>1175723136.2475784</v>
      </c>
      <c r="G11">
        <f t="shared" si="8"/>
        <v>18729640097.099953</v>
      </c>
      <c r="H11" s="3">
        <f t="shared" si="8"/>
        <v>610650700.10673594</v>
      </c>
      <c r="I11">
        <f t="shared" si="8"/>
        <v>2926124988.8038964</v>
      </c>
      <c r="J11">
        <f t="shared" si="8"/>
        <v>11158982.129508119</v>
      </c>
      <c r="K11" s="82">
        <f t="shared" si="8"/>
        <v>125178642015.12819</v>
      </c>
      <c r="L11" s="205">
        <f t="shared" ref="L11:N11" si="9">L9+(L14-L9)/5*2</f>
        <v>43581972684045.055</v>
      </c>
      <c r="M11" s="205">
        <f t="shared" si="9"/>
        <v>1441467503.2424281</v>
      </c>
      <c r="N11" s="205">
        <f t="shared" si="9"/>
        <v>708540336.61299336</v>
      </c>
      <c r="P11" s="38"/>
      <c r="R11" s="3"/>
      <c r="S11" s="3"/>
      <c r="T11" s="3"/>
      <c r="U11" s="3"/>
      <c r="V11" s="3"/>
      <c r="W11" s="3"/>
      <c r="X11" s="3"/>
      <c r="Y11" s="3"/>
      <c r="Z11" s="3"/>
      <c r="AA11" s="3"/>
      <c r="AB11" s="3"/>
      <c r="AC11" s="3"/>
      <c r="AD11" s="3"/>
      <c r="AE11" s="3"/>
      <c r="AF11" s="3"/>
      <c r="AH11" s="277"/>
      <c r="AI11" s="277"/>
      <c r="AM11" s="6"/>
    </row>
    <row r="12" spans="1:53">
      <c r="A12">
        <v>2028</v>
      </c>
      <c r="B12" s="33" t="s">
        <v>109</v>
      </c>
      <c r="C12">
        <f t="shared" ref="C12:K12" si="10">C9+(C14-C9)/5*3</f>
        <v>10480653435.934048</v>
      </c>
      <c r="D12" s="3">
        <f t="shared" si="10"/>
        <v>43057078826567.047</v>
      </c>
      <c r="E12" s="3">
        <f t="shared" si="10"/>
        <v>522190245.46732378</v>
      </c>
      <c r="F12">
        <f t="shared" si="10"/>
        <v>1135724457.2352657</v>
      </c>
      <c r="G12">
        <f t="shared" si="10"/>
        <v>17726103804.999195</v>
      </c>
      <c r="H12" s="3">
        <f t="shared" si="10"/>
        <v>609432646.99185312</v>
      </c>
      <c r="I12">
        <f t="shared" si="10"/>
        <v>2903514954.6525173</v>
      </c>
      <c r="J12">
        <f t="shared" si="10"/>
        <v>11240476.203563865</v>
      </c>
      <c r="K12" s="82">
        <f t="shared" si="10"/>
        <v>126075529294.06619</v>
      </c>
      <c r="L12" s="205">
        <f t="shared" ref="L12:N12" si="11">L9+(L14-L9)/5*3</f>
        <v>42816656836393.305</v>
      </c>
      <c r="M12" s="205">
        <f t="shared" si="11"/>
        <v>1382350904.8302932</v>
      </c>
      <c r="N12" s="205">
        <f t="shared" si="11"/>
        <v>690816166.28517079</v>
      </c>
      <c r="P12" s="6"/>
      <c r="AH12" t="s">
        <v>26</v>
      </c>
      <c r="AI12" t="s">
        <v>21</v>
      </c>
      <c r="AJ12" t="s">
        <v>47</v>
      </c>
      <c r="AM12" t="str">
        <f>'Output Interpolation'!AC8</f>
        <v>yearID</v>
      </c>
      <c r="AN12" t="str">
        <f>'Output Interpolation'!AD8</f>
        <v>regCalssID</v>
      </c>
      <c r="AO12" t="str">
        <f>'Output Interpolation'!AE8</f>
        <v>NOx</v>
      </c>
      <c r="AP12" t="str">
        <f>'Output Interpolation'!AF8</f>
        <v>CH4</v>
      </c>
      <c r="AQ12" t="str">
        <f>'Output Interpolation'!AG8</f>
        <v>N2O</v>
      </c>
      <c r="AR12" t="str">
        <f>'Output Interpolation'!AH8</f>
        <v>CO2</v>
      </c>
      <c r="AS12" t="str">
        <f>'Output Interpolation'!AI8</f>
        <v>Energy</v>
      </c>
      <c r="AT12" t="str">
        <f>'Output Interpolation'!AJ8</f>
        <v>PM25 Exh</v>
      </c>
      <c r="AU12" t="str">
        <f>'Output Interpolation'!AN8</f>
        <v>PM25 BW</v>
      </c>
      <c r="AV12" t="str">
        <f>'Output Interpolation'!AO8</f>
        <v>PM25 TW</v>
      </c>
      <c r="AW12" t="str">
        <f>'Output Interpolation'!AK8</f>
        <v>VOC</v>
      </c>
      <c r="AX12" t="str">
        <f>'Output Interpolation'!AL8</f>
        <v>SO2</v>
      </c>
      <c r="AY12" t="str">
        <f>'Output Interpolation'!AM8</f>
        <v>NH3</v>
      </c>
      <c r="AZ12" t="str">
        <f>'Output Interpolation'!AP8</f>
        <v>POP</v>
      </c>
      <c r="BA12" t="str">
        <f>'Output Interpolation'!AQ8</f>
        <v>VMT</v>
      </c>
    </row>
    <row r="13" spans="1:53">
      <c r="A13">
        <v>2029</v>
      </c>
      <c r="B13" s="33" t="s">
        <v>109</v>
      </c>
      <c r="C13">
        <f t="shared" ref="C13:K13" si="12">C9+(C14-C9)/5*4</f>
        <v>8841920339.8107986</v>
      </c>
      <c r="D13" s="3">
        <f t="shared" si="12"/>
        <v>42285003261197.297</v>
      </c>
      <c r="E13" s="3">
        <f t="shared" si="12"/>
        <v>517236838.8254894</v>
      </c>
      <c r="F13">
        <f t="shared" si="12"/>
        <v>1095725778.2229528</v>
      </c>
      <c r="G13">
        <f t="shared" si="12"/>
        <v>16722567512.898438</v>
      </c>
      <c r="H13" s="3">
        <f t="shared" si="12"/>
        <v>608214593.87697041</v>
      </c>
      <c r="I13">
        <f t="shared" si="12"/>
        <v>2880904920.5011387</v>
      </c>
      <c r="J13">
        <f t="shared" si="12"/>
        <v>11321970.27761961</v>
      </c>
      <c r="K13" s="82">
        <f t="shared" si="12"/>
        <v>126972416573.00418</v>
      </c>
      <c r="L13" s="205">
        <f t="shared" ref="L13:N13" si="13">L9+(L14-L9)/5*4</f>
        <v>42051340988741.547</v>
      </c>
      <c r="M13" s="205">
        <f t="shared" si="13"/>
        <v>1323234306.4181585</v>
      </c>
      <c r="N13" s="205">
        <f t="shared" si="13"/>
        <v>673091995.95734823</v>
      </c>
      <c r="P13">
        <f t="shared" ref="P13:P15" si="14">AM13</f>
        <v>2020</v>
      </c>
      <c r="Q13">
        <f t="shared" ref="Q13:Q15" si="15">AN13</f>
        <v>20</v>
      </c>
      <c r="R13" s="31">
        <f t="shared" ref="R13:U15" si="16">R7-AO13*(R7-R23)</f>
        <v>7924595054.6507092</v>
      </c>
      <c r="S13" s="31">
        <f t="shared" si="16"/>
        <v>775536370.88872123</v>
      </c>
      <c r="T13" s="31">
        <f t="shared" si="16"/>
        <v>296539503.59073913</v>
      </c>
      <c r="U13" s="31">
        <f t="shared" si="16"/>
        <v>16535295540199.625</v>
      </c>
      <c r="V13" s="3">
        <f>AJ13</f>
        <v>16643052721541.885</v>
      </c>
      <c r="W13" s="31">
        <f t="shared" ref="W13:X15" si="17">W7-AS13*(W7-W23)</f>
        <v>209554362.5422447</v>
      </c>
      <c r="X13" s="43">
        <f t="shared" si="17"/>
        <v>201944902.28896397</v>
      </c>
      <c r="Y13" s="43">
        <f t="shared" ref="Y13:Z15" si="18">IF(Y7&lt;Y23,Y7+AU13*(Y23-Y7),Y7+AU13*(Y7-Y23))</f>
        <v>152447532.12545523</v>
      </c>
      <c r="Z13" s="43">
        <f t="shared" si="18"/>
        <v>63482926.873619147</v>
      </c>
      <c r="AA13" s="3">
        <f>X13+Y13+Z13</f>
        <v>417875361.28803831</v>
      </c>
      <c r="AB13" s="31">
        <f>AB7-AW13*(AB7-AB23)</f>
        <v>11701547687.845119</v>
      </c>
      <c r="AC13" s="31">
        <f t="shared" ref="AC13:AD13" si="19">AC7-AX13*(AC7-AC23)</f>
        <v>204620975.76908907</v>
      </c>
      <c r="AD13" s="31">
        <f t="shared" si="19"/>
        <v>1215128028.1275434</v>
      </c>
      <c r="AE13" s="43">
        <f>IF(AE7&lt;AE23,AE7+AZ13*(AE23-AE7),AE7+AZ13*(AE7-AE23))</f>
        <v>4660070.3836626867</v>
      </c>
      <c r="AF13" s="43">
        <f>IF(AF7&lt;AF23,AF7+BA13*(AF23-AF7),AF7+BA13*(AF7-AF23))</f>
        <v>47144056935.854141</v>
      </c>
      <c r="AH13">
        <v>25</v>
      </c>
      <c r="AI13">
        <v>298</v>
      </c>
      <c r="AJ13">
        <f>U13+(S13*AH13)+(T13*AI13)</f>
        <v>16643052721541.885</v>
      </c>
      <c r="AM13">
        <f>'Output Interpolation'!AC9</f>
        <v>2020</v>
      </c>
      <c r="AN13">
        <f>'Output Interpolation'!AD9</f>
        <v>20</v>
      </c>
      <c r="AO13">
        <f>'Output Interpolation'!AE9</f>
        <v>0.4483199610317703</v>
      </c>
      <c r="AP13">
        <f>'Output Interpolation'!AF9</f>
        <v>0.51286577957841695</v>
      </c>
      <c r="AQ13">
        <f>'Output Interpolation'!AG9</f>
        <v>0.41460403420562542</v>
      </c>
      <c r="AR13">
        <f>'Output Interpolation'!AH9</f>
        <v>0.25203002231361732</v>
      </c>
      <c r="AS13">
        <f>'Output Interpolation'!AI9</f>
        <v>0.44531884351231649</v>
      </c>
      <c r="AT13">
        <f>'Output Interpolation'!AJ9</f>
        <v>0.58734029848460068</v>
      </c>
      <c r="AU13">
        <f>'Output Interpolation'!AN9</f>
        <v>0.23076923076923078</v>
      </c>
      <c r="AV13">
        <f>'Output Interpolation'!AO9</f>
        <v>0.23076923076923078</v>
      </c>
      <c r="AW13">
        <f>'Output Interpolation'!AK9</f>
        <v>0.39035841836815344</v>
      </c>
      <c r="AX13">
        <f>'Output Interpolation'!AL9</f>
        <v>0.91796253623305624</v>
      </c>
      <c r="AY13">
        <f>'Output Interpolation'!AM9</f>
        <v>0.55058537888698</v>
      </c>
      <c r="AZ13">
        <f>'Output Interpolation'!AP9</f>
        <v>0.23076923076923078</v>
      </c>
      <c r="BA13">
        <f>'Output Interpolation'!AQ9</f>
        <v>0.23076923076923078</v>
      </c>
    </row>
    <row r="14" spans="1:53">
      <c r="A14">
        <v>2030</v>
      </c>
      <c r="B14" s="33" t="s">
        <v>109</v>
      </c>
      <c r="C14" s="3">
        <f>R26</f>
        <v>7203187243.6875496</v>
      </c>
      <c r="D14" s="3">
        <f>V26</f>
        <v>41512927695827.547</v>
      </c>
      <c r="E14" s="3">
        <f>W27*(1-J37)</f>
        <v>512283432.18365502</v>
      </c>
      <c r="F14" s="3">
        <f t="shared" ref="F14:K14" si="20">AA26</f>
        <v>1055727099.21064</v>
      </c>
      <c r="G14" s="3">
        <f t="shared" si="20"/>
        <v>15719031220.79768</v>
      </c>
      <c r="H14" s="3">
        <f t="shared" si="20"/>
        <v>606996540.7620877</v>
      </c>
      <c r="I14" s="3">
        <f t="shared" si="20"/>
        <v>2858294886.3497601</v>
      </c>
      <c r="J14" s="3">
        <f t="shared" si="20"/>
        <v>11403464.351675354</v>
      </c>
      <c r="K14" s="35">
        <f t="shared" si="20"/>
        <v>127869303851.94217</v>
      </c>
      <c r="L14" s="205">
        <f>U26</f>
        <v>41286025141089.797</v>
      </c>
      <c r="M14" s="205">
        <f>S26</f>
        <v>1264117708.0060239</v>
      </c>
      <c r="N14" s="205">
        <f>T26</f>
        <v>655367825.62952566</v>
      </c>
      <c r="P14">
        <f t="shared" si="14"/>
        <v>2020</v>
      </c>
      <c r="Q14">
        <f t="shared" si="15"/>
        <v>30</v>
      </c>
      <c r="R14" s="31">
        <f t="shared" si="16"/>
        <v>11204144217.88879</v>
      </c>
      <c r="S14" s="31">
        <f t="shared" si="16"/>
        <v>926673031.32895064</v>
      </c>
      <c r="T14" s="31">
        <f t="shared" si="16"/>
        <v>518153187.86075246</v>
      </c>
      <c r="U14" s="31">
        <f t="shared" si="16"/>
        <v>28636686221445.527</v>
      </c>
      <c r="V14" s="3">
        <f t="shared" ref="V14:V16" si="21">AJ14</f>
        <v>28814262697211.254</v>
      </c>
      <c r="W14" s="31">
        <f t="shared" si="17"/>
        <v>361241303.65524888</v>
      </c>
      <c r="X14" s="43">
        <f t="shared" si="17"/>
        <v>287998149.58662468</v>
      </c>
      <c r="Y14" s="43">
        <f t="shared" si="18"/>
        <v>235302693.85092685</v>
      </c>
      <c r="Z14" s="43">
        <f t="shared" si="18"/>
        <v>88735149.602321446</v>
      </c>
      <c r="AA14" s="3">
        <f t="shared" ref="AA14:AA16" si="22">X14+Y14+Z14</f>
        <v>612035993.03987288</v>
      </c>
      <c r="AB14" s="31">
        <f>AB8-AW14*(AB8-AB24)</f>
        <v>11937615450.048931</v>
      </c>
      <c r="AC14" s="31">
        <f t="shared" ref="AC14:AD14" si="23">AC8-AX14*(AC8-AC24)</f>
        <v>382970652.38507587</v>
      </c>
      <c r="AD14" s="31">
        <f t="shared" si="23"/>
        <v>1677198128.2184877</v>
      </c>
      <c r="AE14" s="43">
        <f>IF(AE8&lt;AE24,AE8+AZ14*(AE24-AE8),AE8+AZ14*(AE8-AE24))</f>
        <v>5433513.1578422775</v>
      </c>
      <c r="AF14" s="43">
        <f>IF(AF8&lt;AF24,AF8+BA14*(AF24-AF8),AF8+BA14*(AF8-AF24))</f>
        <v>65957174816.092735</v>
      </c>
      <c r="AH14">
        <v>25</v>
      </c>
      <c r="AI14">
        <v>298</v>
      </c>
      <c r="AJ14">
        <f>U14+(S14*AH14)+(T14*AI14)</f>
        <v>28814262697211.254</v>
      </c>
      <c r="AM14">
        <f>'Output Interpolation'!AC10</f>
        <v>2020</v>
      </c>
      <c r="AN14">
        <f>'Output Interpolation'!AD10</f>
        <v>30</v>
      </c>
      <c r="AO14">
        <f>'Output Interpolation'!AE10</f>
        <v>0.45705357233017613</v>
      </c>
      <c r="AP14">
        <f>'Output Interpolation'!AF10</f>
        <v>0.51452877790705687</v>
      </c>
      <c r="AQ14">
        <f>'Output Interpolation'!AG10</f>
        <v>0.4219413209618092</v>
      </c>
      <c r="AR14">
        <f>'Output Interpolation'!AH10</f>
        <v>0.30626193796835816</v>
      </c>
      <c r="AS14">
        <f>'Output Interpolation'!AI10</f>
        <v>0.58330453486964651</v>
      </c>
      <c r="AT14">
        <f>'Output Interpolation'!AJ10</f>
        <v>0.31852697753536452</v>
      </c>
      <c r="AU14">
        <f>'Output Interpolation'!AN10</f>
        <v>0.23076923076923078</v>
      </c>
      <c r="AV14">
        <f>'Output Interpolation'!AO10</f>
        <v>0.23076923076923075</v>
      </c>
      <c r="AW14">
        <f>'Output Interpolation'!AK10</f>
        <v>0.42081489308370812</v>
      </c>
      <c r="AX14">
        <f>'Output Interpolation'!AL10</f>
        <v>0.9274486228142913</v>
      </c>
      <c r="AY14">
        <f>'Output Interpolation'!AM10</f>
        <v>0.49278632035197351</v>
      </c>
      <c r="AZ14">
        <f>'Output Interpolation'!AP10</f>
        <v>0.23076923076923078</v>
      </c>
      <c r="BA14">
        <f>'Output Interpolation'!AQ10</f>
        <v>0.23076923076923081</v>
      </c>
    </row>
    <row r="15" spans="1:53">
      <c r="A15">
        <v>2031</v>
      </c>
      <c r="B15" s="33" t="s">
        <v>109</v>
      </c>
      <c r="C15">
        <f t="shared" ref="C15:K15" si="24">C14+(C19-C14)/5</f>
        <v>6680828093.3323107</v>
      </c>
      <c r="D15" s="3">
        <f t="shared" si="24"/>
        <v>41328602735268.227</v>
      </c>
      <c r="E15" s="3">
        <f t="shared" si="24"/>
        <v>510209663.98495835</v>
      </c>
      <c r="F15">
        <f t="shared" si="24"/>
        <v>1041320599.5684437</v>
      </c>
      <c r="G15">
        <f t="shared" si="24"/>
        <v>15549820693.191164</v>
      </c>
      <c r="H15" s="3">
        <f t="shared" si="24"/>
        <v>606142114.4609853</v>
      </c>
      <c r="I15">
        <f t="shared" si="24"/>
        <v>2847452055.5966606</v>
      </c>
      <c r="J15">
        <f t="shared" si="24"/>
        <v>11485223.731787805</v>
      </c>
      <c r="K15" s="82">
        <f t="shared" si="24"/>
        <v>128647696161.59174</v>
      </c>
      <c r="L15" s="224">
        <f t="shared" ref="L15:N15" si="25">L14+(L19-L14)/5</f>
        <v>41103366031027.391</v>
      </c>
      <c r="M15" s="205">
        <f t="shared" si="25"/>
        <v>1233112634.499573</v>
      </c>
      <c r="N15" s="205">
        <f t="shared" si="25"/>
        <v>652378820.06156528</v>
      </c>
      <c r="P15">
        <f t="shared" si="14"/>
        <v>2020</v>
      </c>
      <c r="Q15">
        <f t="shared" si="15"/>
        <v>41</v>
      </c>
      <c r="R15" s="31">
        <f t="shared" si="16"/>
        <v>10430324520.177887</v>
      </c>
      <c r="S15" s="31">
        <f t="shared" si="16"/>
        <v>289884161.27410877</v>
      </c>
      <c r="T15" s="31">
        <f t="shared" si="16"/>
        <v>101606917.86757387</v>
      </c>
      <c r="U15" s="31">
        <f t="shared" si="16"/>
        <v>4666116178476.1309</v>
      </c>
      <c r="V15" s="3">
        <f t="shared" si="21"/>
        <v>4703642144032.5205</v>
      </c>
      <c r="W15" s="31">
        <f t="shared" si="17"/>
        <v>43424205.990627512</v>
      </c>
      <c r="X15" s="43">
        <f t="shared" si="17"/>
        <v>462001105.8724221</v>
      </c>
      <c r="Y15" s="43">
        <f t="shared" si="18"/>
        <v>29062186.083233126</v>
      </c>
      <c r="Z15" s="43">
        <f t="shared" si="18"/>
        <v>13674617.196364243</v>
      </c>
      <c r="AA15" s="3">
        <f t="shared" si="22"/>
        <v>504737909.15201944</v>
      </c>
      <c r="AB15" s="31">
        <f>AB9-AW15*(AB9-AB25)</f>
        <v>3158902904.9951735</v>
      </c>
      <c r="AC15" s="31">
        <f t="shared" ref="AC15:AD15" si="26">AC9-AX15*(AC9-AC25)</f>
        <v>33194251.095317267</v>
      </c>
      <c r="AD15" s="31">
        <f t="shared" si="26"/>
        <v>226672701.85610402</v>
      </c>
      <c r="AE15" s="43">
        <f>IF(AE9&lt;AE25,AE9+AZ15*(AE25-AE9),AE9-AZ15*(AE9-AE25))</f>
        <v>494940.06961294293</v>
      </c>
      <c r="AF15" s="43">
        <f>IF(AF9&lt;AF25,AF9+BA15*(AF25-AF9),AF9-BA15*(AF9-AF25))</f>
        <v>5799199310.6153851</v>
      </c>
      <c r="AH15">
        <v>25</v>
      </c>
      <c r="AI15">
        <v>298</v>
      </c>
      <c r="AJ15">
        <f>U15+(S15*AH15)+(T15*AI15)</f>
        <v>4703642144032.5205</v>
      </c>
      <c r="AM15">
        <f>'Output Interpolation'!AC11</f>
        <v>2020</v>
      </c>
      <c r="AN15">
        <f>'Output Interpolation'!AD11</f>
        <v>41</v>
      </c>
      <c r="AO15">
        <f>'Output Interpolation'!AE11</f>
        <v>0.45067568062372892</v>
      </c>
      <c r="AP15">
        <f>'Output Interpolation'!AF11</f>
        <v>0.47126007272087744</v>
      </c>
      <c r="AQ15">
        <f>'Output Interpolation'!AG11</f>
        <v>0.36372012957778582</v>
      </c>
      <c r="AR15">
        <f>'Output Interpolation'!AH11</f>
        <v>0.18089161361484146</v>
      </c>
      <c r="AS15">
        <f>'Output Interpolation'!AI11</f>
        <v>0.6575904992778896</v>
      </c>
      <c r="AT15">
        <f>'Output Interpolation'!AJ11</f>
        <v>0.37695948315588396</v>
      </c>
      <c r="AU15">
        <f>'Output Interpolation'!AN11</f>
        <v>0.23076923076923075</v>
      </c>
      <c r="AV15">
        <f>'Output Interpolation'!AO11</f>
        <v>0.23076923076923078</v>
      </c>
      <c r="AW15">
        <f>'Output Interpolation'!AK11</f>
        <v>0.3935970437925202</v>
      </c>
      <c r="AX15">
        <f>'Output Interpolation'!AL11</f>
        <v>0.87292841050729808</v>
      </c>
      <c r="AY15">
        <f>'Output Interpolation'!AM11</f>
        <v>0.34106038646273501</v>
      </c>
      <c r="AZ15">
        <f>'Output Interpolation'!AP11</f>
        <v>0.23076923076923075</v>
      </c>
      <c r="BA15">
        <f>'Output Interpolation'!AQ11</f>
        <v>0.23076923076923078</v>
      </c>
    </row>
    <row r="16" spans="1:53">
      <c r="A16">
        <v>2032</v>
      </c>
      <c r="B16" s="33" t="s">
        <v>109</v>
      </c>
      <c r="C16">
        <f t="shared" ref="C16:K16" si="27">C14+(C19-C14)/5*2</f>
        <v>6158468942.9770718</v>
      </c>
      <c r="D16" s="3">
        <f t="shared" si="27"/>
        <v>41144277774708.906</v>
      </c>
      <c r="E16" s="3">
        <f t="shared" si="27"/>
        <v>508135895.78626168</v>
      </c>
      <c r="F16">
        <f t="shared" si="27"/>
        <v>1026914099.9262474</v>
      </c>
      <c r="G16">
        <f t="shared" si="27"/>
        <v>15380610165.584648</v>
      </c>
      <c r="H16" s="3">
        <f t="shared" si="27"/>
        <v>605287688.1598829</v>
      </c>
      <c r="I16">
        <f t="shared" si="27"/>
        <v>2836609224.8435616</v>
      </c>
      <c r="J16">
        <f t="shared" si="27"/>
        <v>11566983.111900257</v>
      </c>
      <c r="K16" s="82">
        <f t="shared" si="27"/>
        <v>129426088471.2413</v>
      </c>
      <c r="L16" s="224">
        <f t="shared" ref="L16:N16" si="28">L14+(L19-L14)/5*2</f>
        <v>40920706920964.984</v>
      </c>
      <c r="M16" s="205">
        <f t="shared" si="28"/>
        <v>1202107560.9931223</v>
      </c>
      <c r="N16" s="205">
        <f t="shared" si="28"/>
        <v>649389814.49360502</v>
      </c>
      <c r="P16">
        <v>2020</v>
      </c>
      <c r="Q16" s="8" t="s">
        <v>109</v>
      </c>
      <c r="R16" s="31">
        <f t="shared" ref="R16:Z16" si="29">SUM(R13:R15)</f>
        <v>29559063792.717384</v>
      </c>
      <c r="S16" s="31">
        <f t="shared" si="29"/>
        <v>1992093563.4917808</v>
      </c>
      <c r="T16" s="31">
        <f t="shared" si="29"/>
        <v>916299609.31906545</v>
      </c>
      <c r="U16" s="31">
        <f t="shared" si="29"/>
        <v>49838097940121.289</v>
      </c>
      <c r="V16" s="3">
        <f t="shared" si="21"/>
        <v>50160957562785.664</v>
      </c>
      <c r="W16" s="31">
        <f t="shared" si="29"/>
        <v>614219872.18812108</v>
      </c>
      <c r="X16" s="43">
        <f t="shared" si="29"/>
        <v>951944157.74801075</v>
      </c>
      <c r="Y16" s="31">
        <f t="shared" si="29"/>
        <v>416812412.05961519</v>
      </c>
      <c r="Z16" s="31">
        <f t="shared" si="29"/>
        <v>165892693.67230484</v>
      </c>
      <c r="AA16" s="3">
        <f t="shared" si="22"/>
        <v>1534649263.4799309</v>
      </c>
      <c r="AB16" s="31">
        <f t="shared" ref="AB16:AD16" si="30">SUM(AB13:AB15)</f>
        <v>26798066042.889225</v>
      </c>
      <c r="AC16" s="31">
        <f t="shared" si="30"/>
        <v>620785879.24948215</v>
      </c>
      <c r="AD16" s="31">
        <f t="shared" si="30"/>
        <v>3118998858.2021351</v>
      </c>
      <c r="AE16" s="31">
        <f>SUM(AE13:AE15)</f>
        <v>10588523.611117907</v>
      </c>
      <c r="AF16" s="43">
        <f>SUM(AF13:AF15)</f>
        <v>118900431062.56226</v>
      </c>
      <c r="AG16" s="205">
        <f>AE13+AE14</f>
        <v>10093583.541504964</v>
      </c>
      <c r="AJ16">
        <f>SUM(AJ13:AJ15)</f>
        <v>50160957562785.664</v>
      </c>
    </row>
    <row r="17" spans="1:53">
      <c r="A17">
        <v>2033</v>
      </c>
      <c r="B17" s="33" t="s">
        <v>109</v>
      </c>
      <c r="C17">
        <f t="shared" ref="C17:K17" si="31">C14+(C19-C14)/5*3</f>
        <v>5636109792.6218328</v>
      </c>
      <c r="D17" s="3">
        <f t="shared" si="31"/>
        <v>40959952814149.594</v>
      </c>
      <c r="E17" s="3">
        <f t="shared" si="31"/>
        <v>506062127.587565</v>
      </c>
      <c r="F17">
        <f t="shared" si="31"/>
        <v>1012507600.2840511</v>
      </c>
      <c r="G17">
        <f t="shared" si="31"/>
        <v>15211399637.978134</v>
      </c>
      <c r="H17" s="3">
        <f t="shared" si="31"/>
        <v>604433261.85878062</v>
      </c>
      <c r="I17">
        <f t="shared" si="31"/>
        <v>2825766394.0904622</v>
      </c>
      <c r="J17">
        <f t="shared" si="31"/>
        <v>11648742.492012708</v>
      </c>
      <c r="K17" s="82">
        <f t="shared" si="31"/>
        <v>130204480780.89087</v>
      </c>
      <c r="L17" s="224">
        <f t="shared" ref="L17:N17" si="32">L14+(L19-L14)/5*3</f>
        <v>40738047810902.586</v>
      </c>
      <c r="M17" s="205">
        <f t="shared" si="32"/>
        <v>1171102487.4866714</v>
      </c>
      <c r="N17" s="205">
        <f t="shared" si="32"/>
        <v>646400808.92564464</v>
      </c>
      <c r="P17" s="6"/>
      <c r="R17" s="3"/>
      <c r="S17" s="3"/>
      <c r="T17" s="3"/>
      <c r="U17" s="3"/>
      <c r="V17" s="3"/>
      <c r="W17" s="3">
        <f>W16-W15</f>
        <v>570795666.19749355</v>
      </c>
      <c r="X17" s="3"/>
      <c r="Y17" s="3"/>
      <c r="Z17" s="3"/>
      <c r="AA17" s="3"/>
      <c r="AB17" s="3"/>
      <c r="AC17" s="3"/>
      <c r="AD17" s="3"/>
      <c r="AE17" s="31">
        <f>AE13+AE14</f>
        <v>10093583.541504964</v>
      </c>
      <c r="AF17" s="31"/>
      <c r="AG17" s="206">
        <f>AG16/AE16</f>
        <v>0.95325693290297264</v>
      </c>
      <c r="AM17" t="str">
        <f>'Output Interpolation'!AC13</f>
        <v>yearID</v>
      </c>
      <c r="AN17" t="str">
        <f>'Output Interpolation'!AD13</f>
        <v>regCalssID</v>
      </c>
      <c r="AO17" t="str">
        <f>'Output Interpolation'!AE13</f>
        <v>NOx</v>
      </c>
      <c r="AP17" t="str">
        <f>'Output Interpolation'!AF13</f>
        <v>CH4</v>
      </c>
      <c r="AQ17" t="str">
        <f>'Output Interpolation'!AG13</f>
        <v>N2O</v>
      </c>
      <c r="AR17" t="str">
        <f>'Output Interpolation'!AH13</f>
        <v>CO2</v>
      </c>
      <c r="AS17" t="str">
        <f>'Output Interpolation'!AI13</f>
        <v>Energy</v>
      </c>
      <c r="AT17" t="str">
        <f>'Output Interpolation'!AJ13</f>
        <v>PM25 Exh</v>
      </c>
      <c r="AU17" t="str">
        <f>'Output Interpolation'!AN13</f>
        <v>PM25 BW</v>
      </c>
      <c r="AV17" t="str">
        <f>'Output Interpolation'!AO13</f>
        <v>PM25 TW</v>
      </c>
      <c r="AW17" t="str">
        <f>'Output Interpolation'!AK13</f>
        <v>VOC</v>
      </c>
      <c r="AX17" t="str">
        <f>'Output Interpolation'!AL13</f>
        <v>SO2</v>
      </c>
      <c r="AY17" t="str">
        <f>'Output Interpolation'!AM13</f>
        <v>NH3</v>
      </c>
      <c r="AZ17" t="str">
        <f>'Output Interpolation'!AP13</f>
        <v>POP</v>
      </c>
      <c r="BA17" t="str">
        <f>'Output Interpolation'!AQ13</f>
        <v>VMT</v>
      </c>
    </row>
    <row r="18" spans="1:53">
      <c r="A18">
        <v>2034</v>
      </c>
      <c r="B18" s="33" t="s">
        <v>109</v>
      </c>
      <c r="C18">
        <f t="shared" ref="C18:K18" si="33">C14+(C19-C14)/5*4</f>
        <v>5113750642.2665939</v>
      </c>
      <c r="D18" s="3">
        <f t="shared" si="33"/>
        <v>40775627853590.273</v>
      </c>
      <c r="E18" s="3">
        <f t="shared" si="33"/>
        <v>503988359.38886833</v>
      </c>
      <c r="F18" s="3">
        <f t="shared" si="33"/>
        <v>998101100.64185476</v>
      </c>
      <c r="G18">
        <f t="shared" si="33"/>
        <v>15042189110.371618</v>
      </c>
      <c r="H18" s="3">
        <f t="shared" si="33"/>
        <v>603578835.55767822</v>
      </c>
      <c r="I18">
        <f t="shared" si="33"/>
        <v>2814923563.3373632</v>
      </c>
      <c r="J18">
        <f t="shared" si="33"/>
        <v>11730501.87212516</v>
      </c>
      <c r="K18" s="82">
        <f t="shared" si="33"/>
        <v>130982873090.54044</v>
      </c>
      <c r="L18" s="224">
        <f t="shared" ref="L18:N18" si="34">L14+(L19-L14)/5*4</f>
        <v>40555388700840.18</v>
      </c>
      <c r="M18" s="205">
        <f t="shared" si="34"/>
        <v>1140097413.9802208</v>
      </c>
      <c r="N18" s="205">
        <f t="shared" si="34"/>
        <v>643411803.35768437</v>
      </c>
      <c r="P18">
        <v>2025</v>
      </c>
      <c r="Q18">
        <v>20</v>
      </c>
      <c r="R18" s="3">
        <f t="shared" ref="R18:U20" si="35">R13-AO18*(R7-R23)</f>
        <v>4378245090.2560425</v>
      </c>
      <c r="S18" s="3">
        <f t="shared" si="35"/>
        <v>616190891.61053884</v>
      </c>
      <c r="T18" s="3">
        <f t="shared" si="35"/>
        <v>246602867.98280799</v>
      </c>
      <c r="U18" s="3">
        <f t="shared" si="35"/>
        <v>14833912936951.492</v>
      </c>
      <c r="V18" s="3">
        <f>AJ18</f>
        <v>14922805363900.633</v>
      </c>
      <c r="W18" s="3">
        <f t="shared" ref="W18:X20" si="36">W13-AS18*(W7-W23)</f>
        <v>194196826.26555914</v>
      </c>
      <c r="X18" s="3">
        <f t="shared" si="36"/>
        <v>177783013.93350309</v>
      </c>
      <c r="Y18" s="43">
        <f t="shared" ref="Y18:Z20" si="37">IF(Y7&lt;Y23,Y7+AU18*(Y23-Y7),Y7+AU18*(Y7-Y23))</f>
        <v>157463027.77825561</v>
      </c>
      <c r="Z18" s="43">
        <f t="shared" si="37"/>
        <v>65623394.361968726</v>
      </c>
      <c r="AA18" s="3">
        <f>X18+Y18+Z18</f>
        <v>400869436.07372749</v>
      </c>
      <c r="AB18" s="3">
        <f>AB13-AW18*(AB7-AB23)</f>
        <v>9534855450.7798347</v>
      </c>
      <c r="AC18" s="3">
        <f t="shared" ref="AC18:AD18" si="38">AC13-AX18*(AC7-AC23)</f>
        <v>201882134.36942664</v>
      </c>
      <c r="AD18" s="3">
        <f t="shared" si="38"/>
        <v>1173153312.3964458</v>
      </c>
      <c r="AE18" s="43">
        <f>IF(AE7&lt;AE23,AE7+AZ18*(AE23-AE7),AE7+AZ18*(AE7-AE23))</f>
        <v>4841470.1504458673</v>
      </c>
      <c r="AF18" s="43">
        <f>IF(AF7&lt;AF23,AF7+BA18*(AF23-AF7),AF7+BA18*(AF7-AF23))</f>
        <v>48749028149.154747</v>
      </c>
      <c r="AH18">
        <v>25</v>
      </c>
      <c r="AI18">
        <v>298</v>
      </c>
      <c r="AJ18">
        <f>U18+(S18*AH18)+(T18*AI18)</f>
        <v>14922805363900.633</v>
      </c>
      <c r="AM18">
        <f>'Output Interpolation'!AC14</f>
        <v>2025</v>
      </c>
      <c r="AN18">
        <f>'Output Interpolation'!AD14</f>
        <v>20</v>
      </c>
      <c r="AO18">
        <f>'Output Interpolation'!AE14</f>
        <v>0.35922797139232476</v>
      </c>
      <c r="AP18">
        <f>'Output Interpolation'!AF14</f>
        <v>0.28819103528203988</v>
      </c>
      <c r="AQ18">
        <f>'Output Interpolation'!AG14</f>
        <v>0.39069152563136961</v>
      </c>
      <c r="AR18">
        <f>'Output Interpolation'!AH14</f>
        <v>0.4156803156598034</v>
      </c>
      <c r="AS18">
        <f>'Output Interpolation'!AI14</f>
        <v>0.30817018629875947</v>
      </c>
      <c r="AT18">
        <f>'Output Interpolation'!AJ14</f>
        <v>0.289817660473696</v>
      </c>
      <c r="AU18">
        <f>'Output Interpolation'!AN14</f>
        <v>0.61538461538461542</v>
      </c>
      <c r="AV18">
        <f>'Output Interpolation'!AO14</f>
        <v>0.61538461538461542</v>
      </c>
      <c r="AW18">
        <f>'Output Interpolation'!AK14</f>
        <v>0.30881126360670103</v>
      </c>
      <c r="AX18">
        <f>'Output Interpolation'!AL14</f>
        <v>4.5319980200371764E-2</v>
      </c>
      <c r="AY18">
        <f>'Output Interpolation'!AM14</f>
        <v>0.20999958256592871</v>
      </c>
      <c r="AZ18">
        <f>'Output Interpolation'!AP14</f>
        <v>0.61538461538461542</v>
      </c>
      <c r="BA18">
        <f>'Output Interpolation'!AQ14</f>
        <v>0.61538461538461542</v>
      </c>
    </row>
    <row r="19" spans="1:53">
      <c r="A19">
        <v>2035</v>
      </c>
      <c r="B19" s="33" t="s">
        <v>109</v>
      </c>
      <c r="C19" s="3">
        <f>R31</f>
        <v>4591391491.911355</v>
      </c>
      <c r="D19" s="3">
        <f>V31</f>
        <v>40591302893030.953</v>
      </c>
      <c r="E19" s="3">
        <f>W32*(1-J42)</f>
        <v>501914591.19017166</v>
      </c>
      <c r="F19" s="3">
        <f t="shared" ref="F19:K19" si="39">AA31</f>
        <v>983694600.99965847</v>
      </c>
      <c r="G19" s="3">
        <f t="shared" si="39"/>
        <v>14872978582.765102</v>
      </c>
      <c r="H19" s="3">
        <f t="shared" si="39"/>
        <v>602724409.25657582</v>
      </c>
      <c r="I19" s="3">
        <f t="shared" si="39"/>
        <v>2804080732.5842638</v>
      </c>
      <c r="J19" s="3">
        <f t="shared" si="39"/>
        <v>11812261.252237611</v>
      </c>
      <c r="K19" s="35">
        <f t="shared" si="39"/>
        <v>131761265400.19</v>
      </c>
      <c r="L19" s="224">
        <f>U31</f>
        <v>40372729590777.773</v>
      </c>
      <c r="M19" s="205">
        <f>S31</f>
        <v>1109092340.4737699</v>
      </c>
      <c r="N19" s="205">
        <f>T31</f>
        <v>640422797.78972399</v>
      </c>
      <c r="P19">
        <v>2025</v>
      </c>
      <c r="Q19">
        <v>30</v>
      </c>
      <c r="R19" s="3">
        <f t="shared" si="35"/>
        <v>6292730128.1317339</v>
      </c>
      <c r="S19" s="3">
        <f t="shared" si="35"/>
        <v>758919072.04558444</v>
      </c>
      <c r="T19" s="3">
        <f t="shared" si="35"/>
        <v>439057479.47849798</v>
      </c>
      <c r="U19" s="3">
        <f t="shared" si="35"/>
        <v>26774816848692.383</v>
      </c>
      <c r="V19" s="3">
        <f t="shared" ref="V19:V21" si="40">AJ19</f>
        <v>26924628954378.117</v>
      </c>
      <c r="W19" s="3">
        <f t="shared" si="36"/>
        <v>346669445.67975312</v>
      </c>
      <c r="X19" s="3">
        <f t="shared" si="36"/>
        <v>255265587.96982852</v>
      </c>
      <c r="Y19" s="43">
        <f t="shared" si="37"/>
        <v>249909224.24094492</v>
      </c>
      <c r="Z19" s="43">
        <f t="shared" si="37"/>
        <v>94273981.272570521</v>
      </c>
      <c r="AA19" s="3">
        <f t="shared" ref="AA19:AA21" si="41">X19+Y19+Z19</f>
        <v>599448793.48334396</v>
      </c>
      <c r="AB19" s="3">
        <f>AB14-AW19*(AB8-AB24)</f>
        <v>9449518288.614172</v>
      </c>
      <c r="AC19" s="3">
        <f t="shared" ref="AC19:AD19" si="42">AC14-AX19*(AC8-AC24)</f>
        <v>380104394.57579994</v>
      </c>
      <c r="AD19" s="3">
        <f t="shared" si="42"/>
        <v>1636223110.9285145</v>
      </c>
      <c r="AE19" s="43">
        <f>IF(AE8&lt;AE24,AE8+AZ19*(AE24-AE8),AE8+AZ19*(AE8-AE24))</f>
        <v>5775661.363618657</v>
      </c>
      <c r="AF19" s="43">
        <f>IF(AF8&lt;AF24,AF8+BA19*(AF24-AF8),AF8+BA19*(AF8-AF24))</f>
        <v>70083594939.78978</v>
      </c>
      <c r="AG19">
        <f>AE18/(AE18+AE19)</f>
        <v>0.45600547982591788</v>
      </c>
      <c r="AH19">
        <v>25</v>
      </c>
      <c r="AI19">
        <v>298</v>
      </c>
      <c r="AJ19">
        <f>U19+(S19*AH19)+(T19*AI19)</f>
        <v>26924628954378.117</v>
      </c>
      <c r="AM19">
        <f>'Output Interpolation'!AC15</f>
        <v>2025</v>
      </c>
      <c r="AN19">
        <f>'Output Interpolation'!AD15</f>
        <v>30</v>
      </c>
      <c r="AO19">
        <f>'Output Interpolation'!AE15</f>
        <v>0.33173348450181955</v>
      </c>
      <c r="AP19">
        <f>'Output Interpolation'!AF15</f>
        <v>0.2860210023746752</v>
      </c>
      <c r="AQ19">
        <f>'Output Interpolation'!AG15</f>
        <v>0.38000323397434971</v>
      </c>
      <c r="AR19">
        <f>'Output Interpolation'!AH15</f>
        <v>0.40421269130482879</v>
      </c>
      <c r="AS19">
        <f>'Output Interpolation'!AI15</f>
        <v>0.2428030671435894</v>
      </c>
      <c r="AT19">
        <f>'Output Interpolation'!AJ15</f>
        <v>0.37344854294522517</v>
      </c>
      <c r="AU19">
        <f>'Output Interpolation'!AN15</f>
        <v>0.61538461538461542</v>
      </c>
      <c r="AV19">
        <f>'Output Interpolation'!AO15</f>
        <v>0.61538461538461542</v>
      </c>
      <c r="AW19">
        <f>'Output Interpolation'!AK15</f>
        <v>0.32779938873199954</v>
      </c>
      <c r="AX19">
        <f>'Output Interpolation'!AL15</f>
        <v>4.2325963487037301E-2</v>
      </c>
      <c r="AY19">
        <f>'Output Interpolation'!AM15</f>
        <v>0.28214369559818603</v>
      </c>
      <c r="AZ19">
        <f>'Output Interpolation'!AP15</f>
        <v>0.61538461538461542</v>
      </c>
      <c r="BA19">
        <f>'Output Interpolation'!AQ15</f>
        <v>0.61538461538461542</v>
      </c>
    </row>
    <row r="20" spans="1:53">
      <c r="A20">
        <v>2036</v>
      </c>
      <c r="B20" s="33" t="s">
        <v>109</v>
      </c>
      <c r="C20">
        <f t="shared" ref="C20:K20" si="43">C19+(C24-C19)/5</f>
        <v>4538529142.2826643</v>
      </c>
      <c r="D20" s="3">
        <f t="shared" si="43"/>
        <v>40714797444426.516</v>
      </c>
      <c r="E20" s="3">
        <f t="shared" si="43"/>
        <v>503689031.37985212</v>
      </c>
      <c r="F20" s="3">
        <f t="shared" si="43"/>
        <v>976028792.86557388</v>
      </c>
      <c r="G20">
        <f t="shared" si="43"/>
        <v>14734749058.664021</v>
      </c>
      <c r="H20" s="3">
        <f t="shared" si="43"/>
        <v>602811007.63105845</v>
      </c>
      <c r="I20">
        <f t="shared" si="43"/>
        <v>2838569643.1448913</v>
      </c>
      <c r="J20">
        <f t="shared" si="43"/>
        <v>11892818.040665114</v>
      </c>
      <c r="K20" s="82">
        <f t="shared" si="43"/>
        <v>132781102304.84137</v>
      </c>
      <c r="L20" s="224">
        <f t="shared" ref="L20:N20" si="44">L19+(L24-L19)/5</f>
        <v>40494363643238</v>
      </c>
      <c r="M20" s="205">
        <f t="shared" si="44"/>
        <v>1107799743.1509426</v>
      </c>
      <c r="N20" s="205">
        <f t="shared" si="44"/>
        <v>646774522.1803472</v>
      </c>
      <c r="P20">
        <v>2025</v>
      </c>
      <c r="Q20">
        <v>41</v>
      </c>
      <c r="R20" s="3">
        <f t="shared" si="35"/>
        <v>4725877505.9160194</v>
      </c>
      <c r="S20" s="3">
        <f t="shared" si="35"/>
        <v>184590736.41057426</v>
      </c>
      <c r="T20" s="3">
        <f t="shared" si="35"/>
        <v>58328329.807332538</v>
      </c>
      <c r="U20" s="3">
        <f t="shared" si="35"/>
        <v>3503874593704.6885</v>
      </c>
      <c r="V20" s="3">
        <f t="shared" si="40"/>
        <v>3525871204397.5376</v>
      </c>
      <c r="W20" s="3">
        <f t="shared" si="36"/>
        <v>37102332.222629398</v>
      </c>
      <c r="X20" s="3">
        <f t="shared" si="36"/>
        <v>205210998.8341231</v>
      </c>
      <c r="Y20" s="43">
        <f t="shared" si="37"/>
        <v>34182202.621694662</v>
      </c>
      <c r="Z20" s="43">
        <f t="shared" si="37"/>
        <v>16009063.259314982</v>
      </c>
      <c r="AA20" s="3">
        <f t="shared" si="41"/>
        <v>255402264.71513274</v>
      </c>
      <c r="AB20" s="3">
        <f>AB15-AW20*(AB9-AB25)</f>
        <v>1752338941.9074619</v>
      </c>
      <c r="AC20" s="3">
        <f t="shared" ref="AC20:AD20" si="45">AC15-AX20*(AC9-AC25)</f>
        <v>31100277.391274843</v>
      </c>
      <c r="AD20" s="3">
        <f t="shared" si="45"/>
        <v>161968633.78169328</v>
      </c>
      <c r="AE20" s="43">
        <f>IF(AE9&lt;AE25,AE9+AZ20*(AE25-AE9),AE9-AZ20*(AE9-AE25))</f>
        <v>378862.46733210597</v>
      </c>
      <c r="AF20" s="43">
        <f>IF(AF9&lt;AF25,AF9+BA20*(AF25-AF9),AF9-BA20*(AF9-AF25))</f>
        <v>4552244368.3076925</v>
      </c>
      <c r="AH20">
        <v>25</v>
      </c>
      <c r="AI20">
        <v>298</v>
      </c>
      <c r="AJ20">
        <f>U20+(S20*AH20)+(T20*AI20)</f>
        <v>3525871204397.5376</v>
      </c>
      <c r="AM20">
        <f>'Output Interpolation'!AC16</f>
        <v>2025</v>
      </c>
      <c r="AN20">
        <f>'Output Interpolation'!AD16</f>
        <v>41</v>
      </c>
      <c r="AO20">
        <f>'Output Interpolation'!AE16</f>
        <v>0.35323488184321511</v>
      </c>
      <c r="AP20">
        <f>'Output Interpolation'!AF16</f>
        <v>0.32014628903171638</v>
      </c>
      <c r="AQ20">
        <f>'Output Interpolation'!AG16</f>
        <v>0.4185706753922413</v>
      </c>
      <c r="AR20">
        <f>'Output Interpolation'!AH16</f>
        <v>0.41478744369893489</v>
      </c>
      <c r="AS20">
        <f>'Output Interpolation'!AI16</f>
        <v>0.1737625999790933</v>
      </c>
      <c r="AT20">
        <f>'Output Interpolation'!AJ16</f>
        <v>0.38502172871182405</v>
      </c>
      <c r="AU20">
        <f>'Output Interpolation'!AN16</f>
        <v>0.61538461538461542</v>
      </c>
      <c r="AV20">
        <f>'Output Interpolation'!AO16</f>
        <v>0.61538461538461542</v>
      </c>
      <c r="AW20">
        <f>'Output Interpolation'!AK16</f>
        <v>0.35458757783007822</v>
      </c>
      <c r="AX20">
        <f>'Output Interpolation'!AL16</f>
        <v>6.7905541191459126E-2</v>
      </c>
      <c r="AY20">
        <f>'Output Interpolation'!AM16</f>
        <v>0.43858129621953551</v>
      </c>
      <c r="AZ20">
        <f>'Output Interpolation'!AP16</f>
        <v>0.61538461538461542</v>
      </c>
      <c r="BA20">
        <f>'Output Interpolation'!AQ16</f>
        <v>0.61538461538461542</v>
      </c>
    </row>
    <row r="21" spans="1:53">
      <c r="A21">
        <v>2037</v>
      </c>
      <c r="B21" s="33" t="s">
        <v>109</v>
      </c>
      <c r="C21">
        <f t="shared" ref="C21:K21" si="46">C19+(C24-C19)/5*2</f>
        <v>4485666792.6539736</v>
      </c>
      <c r="D21" s="3">
        <f t="shared" si="46"/>
        <v>40838291995822.078</v>
      </c>
      <c r="E21" s="3">
        <f t="shared" si="46"/>
        <v>505463471.56953257</v>
      </c>
      <c r="F21" s="3">
        <f t="shared" si="46"/>
        <v>968362984.73148918</v>
      </c>
      <c r="G21">
        <f t="shared" si="46"/>
        <v>14596519534.562937</v>
      </c>
      <c r="H21" s="3">
        <f t="shared" si="46"/>
        <v>602897606.00554109</v>
      </c>
      <c r="I21">
        <f t="shared" si="46"/>
        <v>2873058553.7055182</v>
      </c>
      <c r="J21">
        <f t="shared" si="46"/>
        <v>11973374.829092618</v>
      </c>
      <c r="K21" s="82">
        <f t="shared" si="46"/>
        <v>133800939209.49274</v>
      </c>
      <c r="L21" s="224">
        <f t="shared" ref="L21:N21" si="47">L19+(L24-L19)/5*2</f>
        <v>40615997695698.227</v>
      </c>
      <c r="M21" s="205">
        <f t="shared" si="47"/>
        <v>1106507145.8281152</v>
      </c>
      <c r="N21" s="205">
        <f t="shared" si="47"/>
        <v>653126246.57097054</v>
      </c>
      <c r="P21">
        <v>2025</v>
      </c>
      <c r="Q21" s="8" t="s">
        <v>109</v>
      </c>
      <c r="R21" s="3">
        <f t="shared" ref="R21:Z21" si="48">SUM(R18:R20)</f>
        <v>15396852724.303795</v>
      </c>
      <c r="S21" s="3">
        <f t="shared" si="48"/>
        <v>1559700700.0666974</v>
      </c>
      <c r="T21" s="3">
        <f t="shared" si="48"/>
        <v>743988677.26863849</v>
      </c>
      <c r="U21" s="3">
        <f t="shared" si="48"/>
        <v>45112604379348.562</v>
      </c>
      <c r="V21" s="3">
        <f t="shared" si="40"/>
        <v>45373305522676.289</v>
      </c>
      <c r="W21" s="3">
        <f t="shared" si="48"/>
        <v>577968604.16794169</v>
      </c>
      <c r="X21" s="3">
        <f t="shared" si="48"/>
        <v>638259600.73745477</v>
      </c>
      <c r="Y21" s="3">
        <f t="shared" si="48"/>
        <v>441554454.64089525</v>
      </c>
      <c r="Z21" s="3">
        <f t="shared" si="48"/>
        <v>175906438.89385423</v>
      </c>
      <c r="AA21" s="3">
        <f t="shared" si="41"/>
        <v>1255720494.2722042</v>
      </c>
      <c r="AB21" s="3">
        <f t="shared" ref="AB21:AD21" si="49">SUM(AB18:AB20)</f>
        <v>20736712681.301468</v>
      </c>
      <c r="AC21" s="3">
        <f t="shared" si="49"/>
        <v>613086806.33650136</v>
      </c>
      <c r="AD21" s="3">
        <f t="shared" si="49"/>
        <v>2971345057.1066537</v>
      </c>
      <c r="AE21" s="3">
        <f>SUM(AE18:AE20)</f>
        <v>10995993.98139663</v>
      </c>
      <c r="AF21" s="3">
        <f>SUM(AF18:AF20)</f>
        <v>123384867457.25221</v>
      </c>
      <c r="AJ21">
        <f>SUM(AJ18:AJ20)</f>
        <v>45373305522676.289</v>
      </c>
    </row>
    <row r="22" spans="1:53">
      <c r="A22">
        <v>2038</v>
      </c>
      <c r="B22" s="33" t="s">
        <v>109</v>
      </c>
      <c r="C22">
        <f t="shared" ref="C22:K22" si="50">C19+(C24-C19)/5*3</f>
        <v>4432804443.0252819</v>
      </c>
      <c r="D22" s="3">
        <f t="shared" si="50"/>
        <v>40961786547217.633</v>
      </c>
      <c r="E22" s="3">
        <f t="shared" si="50"/>
        <v>507237911.75921297</v>
      </c>
      <c r="F22" s="3">
        <f t="shared" si="50"/>
        <v>960697176.5974046</v>
      </c>
      <c r="G22">
        <f t="shared" si="50"/>
        <v>14458290010.461855</v>
      </c>
      <c r="H22" s="3">
        <f t="shared" si="50"/>
        <v>602984204.38002372</v>
      </c>
      <c r="I22">
        <f t="shared" si="50"/>
        <v>2907547464.2661457</v>
      </c>
      <c r="J22">
        <f t="shared" si="50"/>
        <v>12053931.61752012</v>
      </c>
      <c r="K22" s="82">
        <f t="shared" si="50"/>
        <v>134820776114.14409</v>
      </c>
      <c r="L22" s="224">
        <f t="shared" ref="L22:N22" si="51">L19+(L24-L19)/5*3</f>
        <v>40737631748158.453</v>
      </c>
      <c r="M22" s="205">
        <f t="shared" si="51"/>
        <v>1105214548.5052876</v>
      </c>
      <c r="N22" s="205">
        <f t="shared" si="51"/>
        <v>659477970.96159375</v>
      </c>
      <c r="R22" s="3"/>
      <c r="S22" s="3"/>
      <c r="T22" s="3"/>
      <c r="U22" s="3"/>
      <c r="V22" s="3"/>
      <c r="W22" s="3">
        <f>W21-W20</f>
        <v>540866271.94531226</v>
      </c>
      <c r="X22" s="3"/>
      <c r="Y22" s="3"/>
      <c r="Z22" s="3"/>
      <c r="AA22" s="3"/>
      <c r="AB22" s="3"/>
      <c r="AC22" s="3"/>
      <c r="AD22" s="3"/>
      <c r="AE22" s="3"/>
      <c r="AF22" s="3"/>
    </row>
    <row r="23" spans="1:53">
      <c r="A23">
        <v>2039</v>
      </c>
      <c r="B23" s="33" t="s">
        <v>109</v>
      </c>
      <c r="C23">
        <f t="shared" ref="C23:K23" si="52">C19+(C24-C19)/5*4</f>
        <v>4379942093.3965912</v>
      </c>
      <c r="D23" s="3">
        <f t="shared" si="52"/>
        <v>41085281098613.195</v>
      </c>
      <c r="E23" s="3">
        <f t="shared" si="52"/>
        <v>509012351.94889343</v>
      </c>
      <c r="F23" s="3">
        <f t="shared" si="52"/>
        <v>953031368.4633199</v>
      </c>
      <c r="G23">
        <f t="shared" si="52"/>
        <v>14320060486.360771</v>
      </c>
      <c r="H23" s="3">
        <f t="shared" si="52"/>
        <v>603070802.75450635</v>
      </c>
      <c r="I23">
        <f t="shared" si="52"/>
        <v>2942036374.8267727</v>
      </c>
      <c r="J23">
        <f t="shared" si="52"/>
        <v>12134488.405947624</v>
      </c>
      <c r="K23" s="82">
        <f t="shared" si="52"/>
        <v>135840613018.79546</v>
      </c>
      <c r="L23" s="224">
        <f t="shared" ref="L23:N23" si="53">L19+(L24-L19)/5*4</f>
        <v>40859265800618.68</v>
      </c>
      <c r="M23" s="205">
        <f t="shared" si="53"/>
        <v>1103921951.1824603</v>
      </c>
      <c r="N23" s="205">
        <f t="shared" si="53"/>
        <v>665829695.35221708</v>
      </c>
      <c r="P23" s="18">
        <f>'County Scale Output 2017-2040'!A9</f>
        <v>2030</v>
      </c>
      <c r="Q23" s="38">
        <f>'County Scale Output 2017-2040'!B9</f>
        <v>20</v>
      </c>
      <c r="R23" s="40">
        <f>'County Scale Output 2017-2040'!C9</f>
        <v>2478330725.7086701</v>
      </c>
      <c r="S23" s="40">
        <f>'County Scale Output 2017-2040'!D9</f>
        <v>506191990.51993197</v>
      </c>
      <c r="T23" s="40">
        <f>'County Scale Output 2017-2040'!E9</f>
        <v>221716521.48743999</v>
      </c>
      <c r="U23" s="40">
        <f>'County Scale Output 2017-2040'!F9</f>
        <v>13473848895155.699</v>
      </c>
      <c r="V23" s="40">
        <f>AJ23</f>
        <v>13552575218321.955</v>
      </c>
      <c r="W23" s="40">
        <f>'County Scale Output 2017-2040'!G9</f>
        <v>181912052.02199501</v>
      </c>
      <c r="X23" s="40">
        <f>'County Scale Output 2017-2040'!H9</f>
        <v>167541761.98165399</v>
      </c>
      <c r="Y23" s="40">
        <f>'County Scale Output 2017-2040'!I9</f>
        <v>162478523.43105599</v>
      </c>
      <c r="Z23" s="40">
        <f>'County Scale Output 2017-2040'!J9</f>
        <v>67763861.850318298</v>
      </c>
      <c r="AA23" s="40">
        <f>X23+Y23+Z23</f>
        <v>397784147.26302826</v>
      </c>
      <c r="AB23" s="40">
        <f>'County Scale Output 2017-2040'!K9</f>
        <v>7424159399.3265495</v>
      </c>
      <c r="AC23" s="40">
        <f>'County Scale Output 2017-2040'!L9</f>
        <v>199663171.262229</v>
      </c>
      <c r="AD23" s="40">
        <f>'County Scale Output 2017-2040'!M9</f>
        <v>1125299035.4403999</v>
      </c>
      <c r="AE23" s="40">
        <f>'County Scale Output 2017-2040'!N9</f>
        <v>5022869.9172290489</v>
      </c>
      <c r="AF23" s="41">
        <f>'County Scale Output 2017-2040'!O9</f>
        <v>50353999362.455353</v>
      </c>
      <c r="AH23">
        <v>25</v>
      </c>
      <c r="AI23">
        <v>298</v>
      </c>
      <c r="AJ23">
        <f>U23+(S23*AH23)+(T23*AI23)</f>
        <v>13552575218321.955</v>
      </c>
    </row>
    <row r="24" spans="1:53">
      <c r="A24" s="66">
        <v>2040</v>
      </c>
      <c r="B24" s="136" t="s">
        <v>109</v>
      </c>
      <c r="C24" s="32">
        <f>R36</f>
        <v>4327079743.7679005</v>
      </c>
      <c r="D24" s="32">
        <f>V36</f>
        <v>41208775650008.758</v>
      </c>
      <c r="E24" s="32">
        <f>W37*(1-J47)</f>
        <v>510786792.13857388</v>
      </c>
      <c r="F24" s="32">
        <f t="shared" ref="F24:K24" si="54">AA36</f>
        <v>945365560.32923532</v>
      </c>
      <c r="G24" s="32">
        <f t="shared" si="54"/>
        <v>14181830962.259689</v>
      </c>
      <c r="H24" s="32">
        <f t="shared" si="54"/>
        <v>603157401.12898898</v>
      </c>
      <c r="I24" s="32">
        <f t="shared" si="54"/>
        <v>2976525285.3874002</v>
      </c>
      <c r="J24" s="32">
        <f t="shared" si="54"/>
        <v>12215045.194375128</v>
      </c>
      <c r="K24" s="36">
        <f t="shared" si="54"/>
        <v>136860449923.44682</v>
      </c>
      <c r="L24" s="205">
        <f>U36</f>
        <v>40980899853078.906</v>
      </c>
      <c r="M24" s="205">
        <f>S36</f>
        <v>1102629353.859633</v>
      </c>
      <c r="N24" s="205">
        <f>T36</f>
        <v>672181419.74284029</v>
      </c>
      <c r="P24" s="19">
        <f>'County Scale Output 2017-2040'!A10</f>
        <v>2030</v>
      </c>
      <c r="Q24">
        <f>'County Scale Output 2017-2040'!B10</f>
        <v>30</v>
      </c>
      <c r="R24" s="3">
        <f>'County Scale Output 2017-2040'!C10</f>
        <v>3165658929.4788799</v>
      </c>
      <c r="S24" s="3">
        <f>'County Scale Output 2017-2040'!D10</f>
        <v>641939676.26734197</v>
      </c>
      <c r="T24" s="3">
        <f>'County Scale Output 2017-2040'!E10</f>
        <v>397833262.61474198</v>
      </c>
      <c r="U24" s="3">
        <f>'County Scale Output 2017-2040'!F10</f>
        <v>25441215920302.102</v>
      </c>
      <c r="V24" s="3">
        <f t="shared" ref="V24:V26" si="55">AJ24</f>
        <v>25575818724467.977</v>
      </c>
      <c r="W24" s="3">
        <f>'County Scale Output 2017-2040'!G10</f>
        <v>336233270.56758702</v>
      </c>
      <c r="X24" s="3">
        <f>'County Scale Output 2017-2040'!H10</f>
        <v>228267409.918751</v>
      </c>
      <c r="Y24" s="3">
        <f>'County Scale Output 2017-2040'!I10</f>
        <v>264515754.630963</v>
      </c>
      <c r="Z24" s="3">
        <f>'County Scale Output 2017-2040'!J10</f>
        <v>99812812.942819595</v>
      </c>
      <c r="AA24" s="3">
        <f t="shared" ref="AA24:AA26" si="56">X24+Y24+Z24</f>
        <v>592595977.49253356</v>
      </c>
      <c r="AB24" s="3">
        <f>'County Scale Output 2017-2040'!K10</f>
        <v>7541424151.3461304</v>
      </c>
      <c r="AC24" s="3">
        <f>'County Scale Output 2017-2040'!L10</f>
        <v>378057569.86313999</v>
      </c>
      <c r="AD24" s="3">
        <f>'County Scale Output 2017-2040'!M10</f>
        <v>1603536764.8156099</v>
      </c>
      <c r="AE24" s="3">
        <f>'County Scale Output 2017-2040'!N10</f>
        <v>6117809.5693950355</v>
      </c>
      <c r="AF24" s="35">
        <f>'County Scale Output 2017-2040'!O10</f>
        <v>74210015063.486816</v>
      </c>
      <c r="AG24">
        <f>AE23/(AE23+AE24)</f>
        <v>0.45085848877168527</v>
      </c>
      <c r="AH24">
        <v>25</v>
      </c>
      <c r="AI24">
        <v>298</v>
      </c>
      <c r="AJ24">
        <f>U24+(S24*AH24)+(T24*AI24)</f>
        <v>25575818724467.977</v>
      </c>
    </row>
    <row r="25" spans="1:53">
      <c r="P25" s="19">
        <f>'County Scale Output 2017-2040'!A11</f>
        <v>2030</v>
      </c>
      <c r="Q25" s="8">
        <v>41</v>
      </c>
      <c r="R25" s="3">
        <f>'County Scale Output 2017-2040'!C11</f>
        <v>1559197588.5</v>
      </c>
      <c r="S25" s="3">
        <f>'County Scale Output 2017-2040'!D11</f>
        <v>115986041.21875</v>
      </c>
      <c r="T25" s="3">
        <f>'County Scale Output 2017-2040'!E11</f>
        <v>35818041.527343802</v>
      </c>
      <c r="U25" s="3">
        <f>'County Scale Output 2017-2040'!F11</f>
        <v>2370960325632</v>
      </c>
      <c r="V25" s="3">
        <f t="shared" si="55"/>
        <v>2384533753037.6172</v>
      </c>
      <c r="W25" s="3">
        <f>'County Scale Output 2017-2040'!G11</f>
        <v>30966579.0859375</v>
      </c>
      <c r="X25" s="3">
        <f>'County Scale Output 2017-2040'!H11</f>
        <v>46464451.5</v>
      </c>
      <c r="Y25" s="3">
        <f>'County Scale Output 2017-2040'!I11</f>
        <v>12678133.1601562</v>
      </c>
      <c r="Z25" s="3">
        <f>'County Scale Output 2017-2040'!J11</f>
        <v>6204389.7949218797</v>
      </c>
      <c r="AA25" s="3">
        <f t="shared" si="56"/>
        <v>65346974.45507808</v>
      </c>
      <c r="AB25" s="3">
        <f>'County Scale Output 2017-2040'!K11</f>
        <v>753447670.125</v>
      </c>
      <c r="AC25" s="3">
        <f>'County Scale Output 2017-2040'!L11</f>
        <v>29275799.636718798</v>
      </c>
      <c r="AD25" s="3">
        <f>'County Scale Output 2017-2040'!M11</f>
        <v>129459086.09375</v>
      </c>
      <c r="AE25" s="3">
        <f>'County Scale Output 2017-2040'!N11</f>
        <v>262784.86505126901</v>
      </c>
      <c r="AF25" s="35">
        <f>'County Scale Output 2017-2040'!O11</f>
        <v>3305289426</v>
      </c>
      <c r="AH25">
        <v>25</v>
      </c>
      <c r="AI25">
        <v>298</v>
      </c>
      <c r="AJ25">
        <f>U25+(S25*AH25)+(T25*AI25)</f>
        <v>2384533753037.6172</v>
      </c>
    </row>
    <row r="26" spans="1:53">
      <c r="A26" t="s">
        <v>206</v>
      </c>
      <c r="I26" t="str">
        <f>'Fleet ZEV fractions'!AF38</f>
        <v>State MOVES output ZEV VMT fraction by year (interpolated):</v>
      </c>
      <c r="P26" s="20">
        <v>2030</v>
      </c>
      <c r="Q26" s="67" t="s">
        <v>109</v>
      </c>
      <c r="R26" s="32">
        <f t="shared" ref="R26:Z26" si="57">SUM(R23:R25)</f>
        <v>7203187243.6875496</v>
      </c>
      <c r="S26" s="32">
        <f t="shared" si="57"/>
        <v>1264117708.0060239</v>
      </c>
      <c r="T26" s="32">
        <f t="shared" si="57"/>
        <v>655367825.62952566</v>
      </c>
      <c r="U26" s="32">
        <f t="shared" si="57"/>
        <v>41286025141089.797</v>
      </c>
      <c r="V26" s="32">
        <f t="shared" si="55"/>
        <v>41512927695827.547</v>
      </c>
      <c r="W26" s="32">
        <f t="shared" si="57"/>
        <v>549111901.67551947</v>
      </c>
      <c r="X26" s="32">
        <f t="shared" si="57"/>
        <v>442273623.40040499</v>
      </c>
      <c r="Y26" s="32">
        <f t="shared" si="57"/>
        <v>439672411.22217518</v>
      </c>
      <c r="Z26" s="32">
        <f t="shared" si="57"/>
        <v>173781064.58805978</v>
      </c>
      <c r="AA26" s="32">
        <f t="shared" si="56"/>
        <v>1055727099.21064</v>
      </c>
      <c r="AB26" s="32">
        <f>SUM(AB23:AB25)</f>
        <v>15719031220.79768</v>
      </c>
      <c r="AC26" s="32">
        <f t="shared" ref="AC26:AD26" si="58">SUM(AC23:AC25)</f>
        <v>606996540.7620877</v>
      </c>
      <c r="AD26" s="32">
        <f t="shared" si="58"/>
        <v>2858294886.3497601</v>
      </c>
      <c r="AE26" s="32">
        <f>SUM(AE23:AE25)</f>
        <v>11403464.351675354</v>
      </c>
      <c r="AF26" s="36">
        <f>SUM(AF23:AF25)</f>
        <v>127869303851.94217</v>
      </c>
      <c r="AJ26">
        <f>SUM(AJ23:AJ25)</f>
        <v>41512927695827.547</v>
      </c>
    </row>
    <row r="27" spans="1:53">
      <c r="I27">
        <f>'Fleet ZEV fractions'!AF39</f>
        <v>2020</v>
      </c>
      <c r="J27">
        <f>'Fleet ZEV fractions'!AG39</f>
        <v>2.7967646531049592E-3</v>
      </c>
      <c r="P27" s="6"/>
      <c r="R27" s="3"/>
      <c r="S27" s="3"/>
      <c r="T27" s="3"/>
      <c r="U27" s="3"/>
      <c r="V27" s="3"/>
      <c r="W27" s="3">
        <f>W26-W25</f>
        <v>518145322.58958197</v>
      </c>
      <c r="X27" s="3"/>
      <c r="Y27" s="3"/>
      <c r="Z27" s="3"/>
      <c r="AA27" s="3"/>
      <c r="AB27" s="3"/>
      <c r="AC27" s="3"/>
      <c r="AD27" s="3"/>
      <c r="AE27" s="3"/>
      <c r="AF27" s="3"/>
      <c r="AM27" t="str">
        <f>'Output Interpolation'!AC23</f>
        <v>yearID</v>
      </c>
      <c r="AN27" t="str">
        <f>'Output Interpolation'!AD23</f>
        <v>regCalssID</v>
      </c>
      <c r="AO27" t="str">
        <f>'Output Interpolation'!AE23</f>
        <v>NOx</v>
      </c>
      <c r="AP27" t="str">
        <f>'Output Interpolation'!AF23</f>
        <v>CH4</v>
      </c>
      <c r="AQ27" t="str">
        <f>'Output Interpolation'!AG23</f>
        <v>N2O</v>
      </c>
      <c r="AR27" t="str">
        <f>'Output Interpolation'!AH23</f>
        <v>CO2</v>
      </c>
      <c r="AS27" t="str">
        <f>'Output Interpolation'!AI23</f>
        <v>Energy</v>
      </c>
      <c r="AT27" t="str">
        <f>'Output Interpolation'!AJ23</f>
        <v>PM25 Exh</v>
      </c>
      <c r="AU27" t="str">
        <f>'Output Interpolation'!AN23</f>
        <v>PM25 BW</v>
      </c>
      <c r="AV27" t="str">
        <f>'Output Interpolation'!AO23</f>
        <v>PM25 TW</v>
      </c>
      <c r="AW27" t="str">
        <f>'Output Interpolation'!AK23</f>
        <v>VOC</v>
      </c>
      <c r="AX27" t="str">
        <f>'Output Interpolation'!AL23</f>
        <v>SO2</v>
      </c>
      <c r="AY27" t="str">
        <f>'Output Interpolation'!AM23</f>
        <v>NH3</v>
      </c>
      <c r="AZ27" t="str">
        <f>'Output Interpolation'!AP23</f>
        <v>POP</v>
      </c>
      <c r="BA27" t="str">
        <f>'Output Interpolation'!AQ23</f>
        <v>VMT</v>
      </c>
    </row>
    <row r="28" spans="1:53">
      <c r="A28" t="s">
        <v>0</v>
      </c>
      <c r="B28" t="s">
        <v>1</v>
      </c>
      <c r="C28" t="s">
        <v>24</v>
      </c>
      <c r="D28" t="s">
        <v>207</v>
      </c>
      <c r="E28" t="s">
        <v>208</v>
      </c>
      <c r="I28">
        <f>'Fleet ZEV fractions'!AF40</f>
        <v>2021</v>
      </c>
      <c r="J28">
        <f>'Fleet ZEV fractions'!AG40</f>
        <v>3.9322916156908378E-3</v>
      </c>
      <c r="P28">
        <v>2035</v>
      </c>
      <c r="Q28">
        <v>20</v>
      </c>
      <c r="R28" s="3">
        <f t="shared" ref="R28:U30" si="59">AO28*(R23+R33)</f>
        <v>1637408104.3167539</v>
      </c>
      <c r="S28" s="3">
        <f t="shared" si="59"/>
        <v>438265494.21318579</v>
      </c>
      <c r="T28" s="3">
        <f t="shared" si="59"/>
        <v>216655960.24427912</v>
      </c>
      <c r="U28" s="3">
        <f t="shared" si="59"/>
        <v>12899108420208.84</v>
      </c>
      <c r="V28" s="3">
        <f>AJ28</f>
        <v>12974628533716.965</v>
      </c>
      <c r="W28" s="3">
        <f t="shared" ref="W28:Z30" si="60">AS28*(W23+W33)</f>
        <v>174811758.55484346</v>
      </c>
      <c r="X28" s="3">
        <f t="shared" si="60"/>
        <v>137769047.76691067</v>
      </c>
      <c r="Y28" s="3">
        <f t="shared" si="60"/>
        <v>166381391.38404611</v>
      </c>
      <c r="Z28" s="3">
        <f t="shared" si="60"/>
        <v>69444031.724651441</v>
      </c>
      <c r="AA28" s="3">
        <f>X28+Y28+Z28</f>
        <v>373594470.87560821</v>
      </c>
      <c r="AB28" s="3">
        <f>AW28*(AB23+AB33)</f>
        <v>6950234370.5204353</v>
      </c>
      <c r="AC28" s="3">
        <f t="shared" ref="AC28:AD28" si="61">AX28*(AC23+AC33)</f>
        <v>194313293.55667186</v>
      </c>
      <c r="AD28" s="3">
        <f t="shared" si="61"/>
        <v>1102136238.3862762</v>
      </c>
      <c r="AE28" s="3">
        <f t="shared" ref="AE28:AF30" si="62">AZ28*(AE23+AE33)</f>
        <v>5172293.2085521072</v>
      </c>
      <c r="AF28" s="3">
        <f t="shared" si="62"/>
        <v>51616840785.292793</v>
      </c>
      <c r="AH28">
        <v>25</v>
      </c>
      <c r="AI28">
        <v>298</v>
      </c>
      <c r="AJ28">
        <f>U28+(S28*AH28)+(T28*AI28)</f>
        <v>12974628533716.965</v>
      </c>
      <c r="AM28">
        <f>'Output Interpolation'!AC24</f>
        <v>2035</v>
      </c>
      <c r="AN28">
        <f>'Output Interpolation'!AD24</f>
        <v>20</v>
      </c>
      <c r="AO28">
        <f>'Output Interpolation'!AE24</f>
        <v>0.40466496579702849</v>
      </c>
      <c r="AP28">
        <f>'Output Interpolation'!AF24</f>
        <v>0.46813838832409682</v>
      </c>
      <c r="AQ28">
        <f>'Output Interpolation'!AG24</f>
        <v>0.48593653995525105</v>
      </c>
      <c r="AR28">
        <f>'Output Interpolation'!AH24</f>
        <v>0.48677956189803773</v>
      </c>
      <c r="AS28">
        <f>'Output Interpolation'!AI24</f>
        <v>0.4867665475633407</v>
      </c>
      <c r="AT28">
        <f>'Output Interpolation'!AJ24</f>
        <v>0.48681128534794865</v>
      </c>
      <c r="AU28">
        <f>'Output Interpolation'!AN24</f>
        <v>0.4948519242168119</v>
      </c>
      <c r="AV28">
        <f>'Output Interpolation'!AO24</f>
        <v>0.49484973568165097</v>
      </c>
      <c r="AW28">
        <f>'Output Interpolation'!AK24</f>
        <v>0.4948519242168119</v>
      </c>
      <c r="AX28">
        <f>'Output Interpolation'!AL24</f>
        <v>0.49484973568165097</v>
      </c>
      <c r="AY28">
        <f>'Output Interpolation'!AM24</f>
        <v>0.4859242139493784</v>
      </c>
      <c r="AZ28">
        <f>'Output Interpolation'!AP24</f>
        <v>0.49692767173094404</v>
      </c>
      <c r="BA28">
        <f>'Output Interpolation'!AQ24</f>
        <v>0.49485033881967416</v>
      </c>
    </row>
    <row r="29" spans="1:53">
      <c r="A29">
        <v>2020</v>
      </c>
      <c r="B29" t="s">
        <v>109</v>
      </c>
      <c r="C29" s="3">
        <f>F8</f>
        <v>1534649263.4799309</v>
      </c>
      <c r="D29" s="3">
        <f>X16</f>
        <v>951944157.74801075</v>
      </c>
      <c r="E29" s="42">
        <f>D29/C29</f>
        <v>0.6203007947167074</v>
      </c>
      <c r="I29">
        <f>'Fleet ZEV fractions'!AF41</f>
        <v>2022</v>
      </c>
      <c r="J29">
        <f>'Fleet ZEV fractions'!AG41</f>
        <v>4.500055096983778E-3</v>
      </c>
      <c r="P29">
        <v>2035</v>
      </c>
      <c r="Q29">
        <v>30</v>
      </c>
      <c r="R29" s="3">
        <f t="shared" si="59"/>
        <v>1998363126.4559622</v>
      </c>
      <c r="S29" s="3">
        <f t="shared" si="59"/>
        <v>568733025.30800307</v>
      </c>
      <c r="T29" s="3">
        <f t="shared" si="59"/>
        <v>392582476.75347286</v>
      </c>
      <c r="U29" s="3">
        <f t="shared" si="59"/>
        <v>25232926461865</v>
      </c>
      <c r="V29" s="3">
        <f t="shared" ref="V29:V31" si="63">AJ29</f>
        <v>25364134365570.234</v>
      </c>
      <c r="W29" s="3">
        <f t="shared" si="60"/>
        <v>333544211.97406828</v>
      </c>
      <c r="X29" s="3">
        <f t="shared" si="60"/>
        <v>187102108.73517731</v>
      </c>
      <c r="Y29" s="3">
        <f t="shared" si="60"/>
        <v>273718040.40288311</v>
      </c>
      <c r="Z29" s="3">
        <f t="shared" si="60"/>
        <v>103352664.27578707</v>
      </c>
      <c r="AA29" s="3">
        <f t="shared" ref="AA29:AA31" si="64">X29+Y29+Z29</f>
        <v>564172813.41384757</v>
      </c>
      <c r="AB29" s="3">
        <f>AW29*(AB24+AB34)</f>
        <v>7274037865.6009045</v>
      </c>
      <c r="AC29" s="3">
        <f t="shared" ref="AC29:AD29" si="65">AX29*(AC24+AC34)</f>
        <v>380194853.96103638</v>
      </c>
      <c r="AD29" s="3">
        <f t="shared" si="65"/>
        <v>1589981028.9569774</v>
      </c>
      <c r="AE29" s="3">
        <f t="shared" si="62"/>
        <v>6385004.0294794003</v>
      </c>
      <c r="AF29" s="3">
        <f t="shared" si="62"/>
        <v>76860147063.528168</v>
      </c>
      <c r="AG29">
        <f>AE28/(AE28+AE29)</f>
        <v>0.44753484331368437</v>
      </c>
      <c r="AH29">
        <v>25</v>
      </c>
      <c r="AI29">
        <v>298</v>
      </c>
      <c r="AJ29">
        <f>U29+(S29*AH29)+(T29*AI29)</f>
        <v>25364134365570.234</v>
      </c>
      <c r="AM29">
        <f>'Output Interpolation'!AC25</f>
        <v>2035</v>
      </c>
      <c r="AN29">
        <f>'Output Interpolation'!AD25</f>
        <v>30</v>
      </c>
      <c r="AO29">
        <f>'Output Interpolation'!AE25</f>
        <v>0.37882360916746161</v>
      </c>
      <c r="AP29">
        <f>'Output Interpolation'!AF25</f>
        <v>0.46717151858981887</v>
      </c>
      <c r="AQ29">
        <f>'Output Interpolation'!AG25</f>
        <v>0.48217742110871881</v>
      </c>
      <c r="AR29">
        <f>'Output Interpolation'!AH25</f>
        <v>0.49263831869986913</v>
      </c>
      <c r="AS29">
        <f>'Output Interpolation'!AI25</f>
        <v>0.49262793371865476</v>
      </c>
      <c r="AT29">
        <f>'Output Interpolation'!AJ25</f>
        <v>0.49064184372831993</v>
      </c>
      <c r="AU29">
        <f>'Output Interpolation'!AN25</f>
        <v>0.49957277524093813</v>
      </c>
      <c r="AV29">
        <f>'Output Interpolation'!AO25</f>
        <v>0.49957285911762156</v>
      </c>
      <c r="AW29">
        <f>'Output Interpolation'!AK25</f>
        <v>0.49957277524093813</v>
      </c>
      <c r="AX29">
        <f>'Output Interpolation'!AL25</f>
        <v>0.49957285911762156</v>
      </c>
      <c r="AY29">
        <f>'Output Interpolation'!AM25</f>
        <v>0.48032496973298089</v>
      </c>
      <c r="AZ29">
        <f>'Output Interpolation'!AP25</f>
        <v>0.50274230062347214</v>
      </c>
      <c r="BA29">
        <f>'Output Interpolation'!AQ25</f>
        <v>0.49957302611586185</v>
      </c>
    </row>
    <row r="30" spans="1:53">
      <c r="A30">
        <v>2025</v>
      </c>
      <c r="B30" t="s">
        <v>109</v>
      </c>
      <c r="C30" s="3">
        <f t="shared" ref="C30:C45" si="66">F9</f>
        <v>1255720494.2722042</v>
      </c>
      <c r="D30" s="3">
        <f>X21</f>
        <v>638259600.73745477</v>
      </c>
      <c r="E30" s="42">
        <f t="shared" ref="E30:E45" si="67">D30/C30</f>
        <v>0.50828158308221294</v>
      </c>
      <c r="I30">
        <f>'Fleet ZEV fractions'!AF42</f>
        <v>2023</v>
      </c>
      <c r="J30">
        <f>'Fleet ZEV fractions'!AG42</f>
        <v>5.3517003189231865E-3</v>
      </c>
      <c r="P30">
        <v>2035</v>
      </c>
      <c r="Q30">
        <v>41</v>
      </c>
      <c r="R30" s="3">
        <f t="shared" si="59"/>
        <v>955620261.13863873</v>
      </c>
      <c r="S30" s="3">
        <f t="shared" si="59"/>
        <v>102093820.95258108</v>
      </c>
      <c r="T30" s="3">
        <f t="shared" si="59"/>
        <v>31184360.791972093</v>
      </c>
      <c r="U30" s="3">
        <f t="shared" si="59"/>
        <v>2240694708703.9312</v>
      </c>
      <c r="V30" s="3">
        <f t="shared" si="63"/>
        <v>2252539993743.7534</v>
      </c>
      <c r="W30" s="3">
        <f t="shared" si="60"/>
        <v>29267889.130612697</v>
      </c>
      <c r="X30" s="3">
        <f t="shared" si="60"/>
        <v>27147576.143085793</v>
      </c>
      <c r="Y30" s="3">
        <f t="shared" si="60"/>
        <v>12610760.644182164</v>
      </c>
      <c r="Z30" s="3">
        <f t="shared" si="60"/>
        <v>6168979.9229348321</v>
      </c>
      <c r="AA30" s="3">
        <f t="shared" si="64"/>
        <v>45927316.710202783</v>
      </c>
      <c r="AB30" s="3">
        <f>AW30*(AB25+AB35)</f>
        <v>648706346.64376354</v>
      </c>
      <c r="AC30" s="3">
        <f t="shared" ref="AC30:AD30" si="68">AX30*(AC25+AC35)</f>
        <v>28216261.738867462</v>
      </c>
      <c r="AD30" s="3">
        <f t="shared" si="68"/>
        <v>111963465.2410104</v>
      </c>
      <c r="AE30" s="3">
        <f t="shared" si="62"/>
        <v>254964.01420610404</v>
      </c>
      <c r="AF30" s="3">
        <f t="shared" si="62"/>
        <v>3284277551.3690453</v>
      </c>
      <c r="AH30">
        <v>25</v>
      </c>
      <c r="AI30">
        <v>298</v>
      </c>
      <c r="AJ30">
        <f>U30+(S30*AH30)+(T30*AI30)</f>
        <v>2252539993743.7534</v>
      </c>
      <c r="AM30">
        <f>'Output Interpolation'!AC26</f>
        <v>2035</v>
      </c>
      <c r="AN30">
        <f>'Output Interpolation'!AD26</f>
        <v>41</v>
      </c>
      <c r="AO30">
        <f>'Output Interpolation'!AE26</f>
        <v>0.43265096356235516</v>
      </c>
      <c r="AP30">
        <f>'Output Interpolation'!AF26</f>
        <v>0.47894821080404693</v>
      </c>
      <c r="AQ30">
        <f>'Output Interpolation'!AG26</f>
        <v>0.46192140349955219</v>
      </c>
      <c r="AR30">
        <f>'Output Interpolation'!AH26</f>
        <v>0.49266919178282975</v>
      </c>
      <c r="AS30">
        <f>'Output Interpolation'!AI26</f>
        <v>0.49258804555680874</v>
      </c>
      <c r="AT30">
        <f>'Output Interpolation'!AJ26</f>
        <v>0.39991318279305804</v>
      </c>
      <c r="AU30">
        <f>'Output Interpolation'!AN26</f>
        <v>0.50082858307955269</v>
      </c>
      <c r="AV30">
        <f>'Output Interpolation'!AO26</f>
        <v>0.49990912171528912</v>
      </c>
      <c r="AW30">
        <f>'Output Interpolation'!AK26</f>
        <v>0.50082858307955269</v>
      </c>
      <c r="AX30">
        <f>'Output Interpolation'!AL26</f>
        <v>0.49990912171528912</v>
      </c>
      <c r="AY30">
        <f>'Output Interpolation'!AM26</f>
        <v>0.43654378839997365</v>
      </c>
      <c r="AZ30">
        <f>'Output Interpolation'!AP26</f>
        <v>0.50030760267987184</v>
      </c>
      <c r="BA30">
        <f>'Output Interpolation'!AQ26</f>
        <v>0.49988279186178819</v>
      </c>
    </row>
    <row r="31" spans="1:53">
      <c r="A31">
        <v>2026</v>
      </c>
      <c r="B31" t="s">
        <v>109</v>
      </c>
      <c r="C31" s="3">
        <f t="shared" si="66"/>
        <v>1215721815.2598913</v>
      </c>
      <c r="D31" s="3">
        <f>D30+(D35-D30)/5</f>
        <v>599062405.2700448</v>
      </c>
      <c r="E31" s="42">
        <f t="shared" si="67"/>
        <v>0.49276273383477953</v>
      </c>
      <c r="I31">
        <f>'Fleet ZEV fractions'!AF43</f>
        <v>2024</v>
      </c>
      <c r="J31">
        <f>'Fleet ZEV fractions'!AG43</f>
        <v>6.2033455408625959E-3</v>
      </c>
      <c r="P31">
        <v>2035</v>
      </c>
      <c r="Q31" s="8" t="s">
        <v>109</v>
      </c>
      <c r="R31" s="3">
        <f t="shared" ref="R31:Z31" si="69">SUM(R28:R30)</f>
        <v>4591391491.911355</v>
      </c>
      <c r="S31" s="3">
        <f t="shared" si="69"/>
        <v>1109092340.4737699</v>
      </c>
      <c r="T31" s="3">
        <f t="shared" si="69"/>
        <v>640422797.78972399</v>
      </c>
      <c r="U31" s="3">
        <f t="shared" si="69"/>
        <v>40372729590777.773</v>
      </c>
      <c r="V31" s="3">
        <f t="shared" si="63"/>
        <v>40591302893030.953</v>
      </c>
      <c r="W31" s="3">
        <f t="shared" si="69"/>
        <v>537623859.65952444</v>
      </c>
      <c r="X31" s="3">
        <f t="shared" si="69"/>
        <v>352018732.64517373</v>
      </c>
      <c r="Y31" s="3">
        <f t="shared" si="69"/>
        <v>452710192.4311114</v>
      </c>
      <c r="Z31" s="3">
        <f t="shared" si="69"/>
        <v>178965675.92337334</v>
      </c>
      <c r="AA31" s="3">
        <f t="shared" si="64"/>
        <v>983694600.99965847</v>
      </c>
      <c r="AB31" s="3">
        <f t="shared" ref="AB31:AD31" si="70">SUM(AB28:AB30)</f>
        <v>14872978582.765102</v>
      </c>
      <c r="AC31" s="3">
        <f t="shared" si="70"/>
        <v>602724409.25657582</v>
      </c>
      <c r="AD31" s="3">
        <f t="shared" si="70"/>
        <v>2804080732.5842638</v>
      </c>
      <c r="AE31" s="3">
        <f>SUM(AE28:AE30)</f>
        <v>11812261.252237611</v>
      </c>
      <c r="AF31" s="3">
        <f>SUM(AF28:AF30)</f>
        <v>131761265400.19</v>
      </c>
      <c r="AJ31">
        <f>SUM(AJ28:AJ30)</f>
        <v>40591302893030.953</v>
      </c>
    </row>
    <row r="32" spans="1:53">
      <c r="A32">
        <v>2027</v>
      </c>
      <c r="B32" t="s">
        <v>109</v>
      </c>
      <c r="C32" s="3">
        <f t="shared" si="66"/>
        <v>1175723136.2475784</v>
      </c>
      <c r="D32" s="3">
        <f>D30+(D35-D30)/5*2</f>
        <v>559865209.80263484</v>
      </c>
      <c r="E32" s="42">
        <f t="shared" si="67"/>
        <v>0.47618796682822184</v>
      </c>
      <c r="I32">
        <f>'Fleet ZEV fractions'!AF44</f>
        <v>2025</v>
      </c>
      <c r="J32">
        <f>'Fleet ZEV fractions'!AG44</f>
        <v>7.0549907628020053E-3</v>
      </c>
      <c r="P32" s="6"/>
      <c r="R32" s="3"/>
      <c r="S32" s="3"/>
      <c r="T32" s="3"/>
      <c r="U32" s="3"/>
      <c r="V32" s="3"/>
      <c r="W32" s="3">
        <f>W31-W30</f>
        <v>508355970.52891177</v>
      </c>
      <c r="X32" s="3"/>
      <c r="Y32" s="3"/>
      <c r="Z32" s="3"/>
      <c r="AA32" s="3"/>
      <c r="AB32" s="3"/>
      <c r="AC32" s="3"/>
      <c r="AD32" s="3"/>
      <c r="AE32" s="3"/>
      <c r="AF32" s="3"/>
    </row>
    <row r="33" spans="1:36">
      <c r="A33">
        <v>2028</v>
      </c>
      <c r="B33" t="s">
        <v>109</v>
      </c>
      <c r="C33" s="3">
        <f t="shared" si="66"/>
        <v>1135724457.2352657</v>
      </c>
      <c r="D33" s="3">
        <f>D30+(D35-D30)/5*3</f>
        <v>520668014.33522493</v>
      </c>
      <c r="E33" s="42">
        <f t="shared" si="67"/>
        <v>0.45844571807734558</v>
      </c>
      <c r="I33">
        <f>'Fleet ZEV fractions'!AF45</f>
        <v>2026</v>
      </c>
      <c r="J33">
        <f>'Fleet ZEV fractions'!AG45</f>
        <v>7.9066359847414138E-3</v>
      </c>
      <c r="P33" s="18">
        <f>'County Scale Output 2017-2040'!A14</f>
        <v>2040</v>
      </c>
      <c r="Q33" s="38">
        <f>'County Scale Output 2017-2040'!B14</f>
        <v>20</v>
      </c>
      <c r="R33" s="40">
        <f>'County Scale Output 2017-2040'!C14</f>
        <v>1567999554.18525</v>
      </c>
      <c r="S33" s="40">
        <f>'County Scale Output 2017-2040'!D14</f>
        <v>429995908.49460101</v>
      </c>
      <c r="T33" s="40">
        <f>'County Scale Output 2017-2040'!E14</f>
        <v>224135853.113224</v>
      </c>
      <c r="U33" s="40">
        <f>'County Scale Output 2017-2040'!F14</f>
        <v>13025021291408.801</v>
      </c>
      <c r="V33" s="40">
        <f>AJ33</f>
        <v>13102563673348.906</v>
      </c>
      <c r="W33" s="40">
        <f>'County Scale Output 2017-2040'!G14</f>
        <v>177216485.93920499</v>
      </c>
      <c r="X33" s="40">
        <f>'County Scale Output 2017-2040'!H14</f>
        <v>115461224.829632</v>
      </c>
      <c r="Y33" s="40">
        <f>'County Scale Output 2017-2040'!I14</f>
        <v>173746078.801972</v>
      </c>
      <c r="Z33" s="40">
        <f>'County Scale Output 2017-2040'!J14</f>
        <v>72569711.590906098</v>
      </c>
      <c r="AA33" s="40">
        <f>X33+Y33+Z33</f>
        <v>361777015.2225101</v>
      </c>
      <c r="AB33" s="40">
        <f>'County Scale Output 2017-2040'!K14</f>
        <v>6620919603.8931999</v>
      </c>
      <c r="AC33" s="40">
        <f>'County Scale Output 2017-2040'!L14</f>
        <v>193008137.916116</v>
      </c>
      <c r="AD33" s="40">
        <f>'County Scale Output 2017-2040'!M14</f>
        <v>1142824689.9212101</v>
      </c>
      <c r="AE33" s="40">
        <f>'County Scale Output 2017-2040'!N14</f>
        <v>5385673.4237676412</v>
      </c>
      <c r="AF33" s="41">
        <f>'County Scale Output 2017-2040'!O14</f>
        <v>53953983751.005173</v>
      </c>
      <c r="AH33">
        <v>25</v>
      </c>
      <c r="AI33">
        <v>298</v>
      </c>
      <c r="AJ33">
        <f>U33+(S33*AH33)+(T33*AI33)</f>
        <v>13102563673348.906</v>
      </c>
    </row>
    <row r="34" spans="1:36">
      <c r="A34">
        <v>2029</v>
      </c>
      <c r="B34" t="s">
        <v>109</v>
      </c>
      <c r="C34" s="3">
        <f t="shared" si="66"/>
        <v>1095725778.2229528</v>
      </c>
      <c r="D34" s="3">
        <f>D30+(D35-D30)/5*4</f>
        <v>481470818.86781496</v>
      </c>
      <c r="E34" s="42">
        <f t="shared" si="67"/>
        <v>0.43940813334579382</v>
      </c>
      <c r="I34">
        <f>'Fleet ZEV fractions'!AF46</f>
        <v>2027</v>
      </c>
      <c r="J34">
        <f>'Fleet ZEV fractions'!AG46</f>
        <v>8.7582812066808249E-3</v>
      </c>
      <c r="P34" s="19">
        <f>'County Scale Output 2017-2040'!A15</f>
        <v>2040</v>
      </c>
      <c r="Q34">
        <f>'County Scale Output 2017-2040'!B15</f>
        <v>30</v>
      </c>
      <c r="R34" s="3">
        <f>'County Scale Output 2017-2040'!C15</f>
        <v>2109522126.0201499</v>
      </c>
      <c r="S34" s="3">
        <f>'County Scale Output 2017-2040'!D15</f>
        <v>575456938.63065696</v>
      </c>
      <c r="T34" s="3">
        <f>'County Scale Output 2017-2040'!E15</f>
        <v>416353506.75071001</v>
      </c>
      <c r="U34" s="3">
        <f>'County Scale Output 2017-2040'!F15</f>
        <v>25778767390086.102</v>
      </c>
      <c r="V34" s="3">
        <f t="shared" ref="V34:V36" si="71">AJ34</f>
        <v>25917227158563.578</v>
      </c>
      <c r="W34" s="3">
        <f>'County Scale Output 2017-2040'!G15</f>
        <v>340837981.67804599</v>
      </c>
      <c r="X34" s="3">
        <f>'County Scale Output 2017-2040'!H15</f>
        <v>153074114.71236101</v>
      </c>
      <c r="Y34" s="3">
        <f>'County Scale Output 2017-2040'!I15</f>
        <v>283388482.68635702</v>
      </c>
      <c r="Z34" s="3">
        <f>'County Scale Output 2017-2040'!J15</f>
        <v>107069251.183593</v>
      </c>
      <c r="AA34" s="3">
        <f t="shared" ref="AA34:AA36" si="72">X34+Y34+Z34</f>
        <v>543531848.58231103</v>
      </c>
      <c r="AB34" s="3">
        <f>'County Scale Output 2017-2040'!K15</f>
        <v>7019092806.5539904</v>
      </c>
      <c r="AC34" s="3">
        <f>'County Scale Output 2017-2040'!L15</f>
        <v>382982280.52537298</v>
      </c>
      <c r="AD34" s="3">
        <f>'County Scale Output 2017-2040'!M15</f>
        <v>1706682626.5286901</v>
      </c>
      <c r="AE34" s="3">
        <f>'County Scale Output 2017-2040'!N15</f>
        <v>6582542.1248250157</v>
      </c>
      <c r="AF34" s="35">
        <f>'County Scale Output 2017-2040'!O15</f>
        <v>79641660358.44165</v>
      </c>
      <c r="AG34">
        <f>AE33/(AE33+AE34)</f>
        <v>0.44999803035807978</v>
      </c>
      <c r="AH34">
        <v>25</v>
      </c>
      <c r="AI34">
        <v>298</v>
      </c>
      <c r="AJ34">
        <f>U34+(S34*AH34)+(T34*AI34)</f>
        <v>25917227158563.578</v>
      </c>
    </row>
    <row r="35" spans="1:36">
      <c r="A35">
        <v>2030</v>
      </c>
      <c r="B35" t="s">
        <v>109</v>
      </c>
      <c r="C35" s="3">
        <f t="shared" si="66"/>
        <v>1055727099.21064</v>
      </c>
      <c r="D35" s="3">
        <f>X26</f>
        <v>442273623.40040499</v>
      </c>
      <c r="E35" s="42">
        <f t="shared" si="67"/>
        <v>0.41892798217559252</v>
      </c>
      <c r="I35">
        <f>'Fleet ZEV fractions'!AF47</f>
        <v>2028</v>
      </c>
      <c r="J35">
        <f>'Fleet ZEV fractions'!AG47</f>
        <v>9.6099264286202326E-3</v>
      </c>
      <c r="P35" s="19">
        <f>'County Scale Output 2017-2040'!A16</f>
        <v>2040</v>
      </c>
      <c r="Q35">
        <f>'County Scale Output 2017-2040'!B16</f>
        <v>41</v>
      </c>
      <c r="R35" s="3">
        <f>'County Scale Output 2017-2040'!C16</f>
        <v>649558063.5625</v>
      </c>
      <c r="S35" s="3">
        <f>'County Scale Output 2017-2040'!D16</f>
        <v>97176506.734375</v>
      </c>
      <c r="T35" s="3">
        <f>'County Scale Output 2017-2040'!E16</f>
        <v>31692059.878906202</v>
      </c>
      <c r="U35" s="3">
        <f>'County Scale Output 2017-2040'!F16</f>
        <v>2177111171584</v>
      </c>
      <c r="V35" s="3">
        <f t="shared" si="71"/>
        <v>2188984818096.2734</v>
      </c>
      <c r="W35" s="3">
        <f>'County Scale Output 2017-2040'!G16</f>
        <v>28449984.90625</v>
      </c>
      <c r="X35" s="3">
        <f>'County Scale Output 2017-2040'!H16</f>
        <v>21419222.535156202</v>
      </c>
      <c r="Y35" s="3">
        <f>'County Scale Output 2017-2040'!I16</f>
        <v>12501661.025390601</v>
      </c>
      <c r="Z35" s="3">
        <f>'County Scale Output 2017-2040'!J16</f>
        <v>6135812.9638671903</v>
      </c>
      <c r="AA35" s="3">
        <f t="shared" si="72"/>
        <v>40056696.524413988</v>
      </c>
      <c r="AB35" s="3">
        <f>'County Scale Output 2017-2040'!K16</f>
        <v>541818551.8125</v>
      </c>
      <c r="AC35" s="3">
        <f>'County Scale Output 2017-2040'!L16</f>
        <v>27166982.6875</v>
      </c>
      <c r="AD35" s="3">
        <f>'County Scale Output 2017-2040'!M16</f>
        <v>127017968.9375</v>
      </c>
      <c r="AE35" s="3">
        <f>'County Scale Output 2017-2040'!N16</f>
        <v>246829.64578247099</v>
      </c>
      <c r="AF35" s="35">
        <f>'County Scale Output 2017-2040'!O16</f>
        <v>3264805814</v>
      </c>
      <c r="AH35">
        <v>25</v>
      </c>
      <c r="AI35">
        <v>298</v>
      </c>
      <c r="AJ35">
        <f>U35+(S35*AH35)+(T35*AI35)</f>
        <v>2188984818096.2734</v>
      </c>
    </row>
    <row r="36" spans="1:36">
      <c r="A36">
        <v>2031</v>
      </c>
      <c r="B36" t="s">
        <v>109</v>
      </c>
      <c r="C36" s="3">
        <f t="shared" si="66"/>
        <v>1041320599.5684437</v>
      </c>
      <c r="D36" s="3">
        <f>D35+(D40-D35)/5</f>
        <v>424222645.24935871</v>
      </c>
      <c r="E36" s="42">
        <f t="shared" si="67"/>
        <v>0.40738908403921908</v>
      </c>
      <c r="I36">
        <f>'Fleet ZEV fractions'!AF48</f>
        <v>2029</v>
      </c>
      <c r="J36">
        <f>'Fleet ZEV fractions'!AG48</f>
        <v>1.0461571650559642E-2</v>
      </c>
      <c r="P36" s="20">
        <v>2040</v>
      </c>
      <c r="Q36" s="67" t="s">
        <v>109</v>
      </c>
      <c r="R36" s="32">
        <f t="shared" ref="R36:Z36" si="73">SUM(R33:R35)</f>
        <v>4327079743.7679005</v>
      </c>
      <c r="S36" s="32">
        <f t="shared" si="73"/>
        <v>1102629353.859633</v>
      </c>
      <c r="T36" s="32">
        <f t="shared" si="73"/>
        <v>672181419.74284029</v>
      </c>
      <c r="U36" s="32">
        <f t="shared" si="73"/>
        <v>40980899853078.906</v>
      </c>
      <c r="V36" s="32">
        <f t="shared" si="71"/>
        <v>41208775650008.758</v>
      </c>
      <c r="W36" s="32">
        <f t="shared" si="73"/>
        <v>546504452.52350092</v>
      </c>
      <c r="X36" s="32">
        <f t="shared" si="73"/>
        <v>289954562.07714921</v>
      </c>
      <c r="Y36" s="32">
        <f t="shared" si="73"/>
        <v>469636222.51371968</v>
      </c>
      <c r="Z36" s="32">
        <f t="shared" si="73"/>
        <v>185774775.73836631</v>
      </c>
      <c r="AA36" s="32">
        <f t="shared" si="72"/>
        <v>945365560.32923532</v>
      </c>
      <c r="AB36" s="32">
        <f>SUM(AB33:AB35)</f>
        <v>14181830962.259689</v>
      </c>
      <c r="AC36" s="32">
        <f t="shared" ref="AC36:AD36" si="74">SUM(AC33:AC35)</f>
        <v>603157401.12898898</v>
      </c>
      <c r="AD36" s="32">
        <f t="shared" si="74"/>
        <v>2976525285.3874002</v>
      </c>
      <c r="AE36" s="32">
        <f>SUM(AE33:AE35)</f>
        <v>12215045.194375128</v>
      </c>
      <c r="AF36" s="36">
        <f>SUM(AF33:AF35)</f>
        <v>136860449923.44682</v>
      </c>
      <c r="AJ36">
        <f>SUM(AJ33:AJ35)</f>
        <v>41208775650008.758</v>
      </c>
    </row>
    <row r="37" spans="1:36">
      <c r="A37">
        <v>2032</v>
      </c>
      <c r="B37" t="s">
        <v>109</v>
      </c>
      <c r="C37" s="3">
        <f t="shared" si="66"/>
        <v>1026914099.9262474</v>
      </c>
      <c r="D37" s="3">
        <f>D35+(D40-D35)/5*2</f>
        <v>406171667.0983125</v>
      </c>
      <c r="E37" s="42">
        <f t="shared" si="67"/>
        <v>0.39552642925779635</v>
      </c>
      <c r="I37">
        <f>'Fleet ZEV fractions'!AF49</f>
        <v>2030</v>
      </c>
      <c r="J37">
        <f>'Fleet ZEV fractions'!AG49</f>
        <v>1.1313216872499051E-2</v>
      </c>
      <c r="W37" s="3">
        <f>W36-W35</f>
        <v>518054467.61725092</v>
      </c>
    </row>
    <row r="38" spans="1:36">
      <c r="A38">
        <v>2033</v>
      </c>
      <c r="B38" t="s">
        <v>109</v>
      </c>
      <c r="C38" s="3">
        <f t="shared" si="66"/>
        <v>1012507600.2840511</v>
      </c>
      <c r="D38" s="3">
        <f>D35+(D40-D35)/5*3</f>
        <v>388120688.94726622</v>
      </c>
      <c r="E38" s="42">
        <f t="shared" si="67"/>
        <v>0.38332619808323615</v>
      </c>
      <c r="I38">
        <f>'Fleet ZEV fractions'!AF50</f>
        <v>2031</v>
      </c>
      <c r="J38">
        <f>'Fleet ZEV fractions'!AG50</f>
        <v>1.1584773826968832E-2</v>
      </c>
      <c r="AG38">
        <f>(AG19+AG24+AG29+AG34)/4</f>
        <v>0.45109921056734181</v>
      </c>
    </row>
    <row r="39" spans="1:36">
      <c r="A39">
        <v>2034</v>
      </c>
      <c r="B39" t="s">
        <v>109</v>
      </c>
      <c r="C39" s="3">
        <f t="shared" si="66"/>
        <v>998101100.64185476</v>
      </c>
      <c r="D39" s="3">
        <f>D35+(D40-D35)/5*4</f>
        <v>370069710.79621994</v>
      </c>
      <c r="E39" s="42">
        <f t="shared" si="67"/>
        <v>0.37077377287555041</v>
      </c>
      <c r="I39">
        <f>'Fleet ZEV fractions'!AF51</f>
        <v>2032</v>
      </c>
      <c r="J39">
        <f>'Fleet ZEV fractions'!AG51</f>
        <v>1.185633078143861E-2</v>
      </c>
    </row>
    <row r="40" spans="1:36">
      <c r="A40">
        <v>2035</v>
      </c>
      <c r="B40" t="s">
        <v>109</v>
      </c>
      <c r="C40" s="3">
        <f t="shared" si="66"/>
        <v>983694600.99965847</v>
      </c>
      <c r="D40" s="3">
        <f>X31</f>
        <v>352018732.64517373</v>
      </c>
      <c r="E40" s="42">
        <f t="shared" si="67"/>
        <v>0.35785367967603182</v>
      </c>
      <c r="I40">
        <f>'Fleet ZEV fractions'!AF52</f>
        <v>2033</v>
      </c>
      <c r="J40">
        <f>'Fleet ZEV fractions'!AG52</f>
        <v>1.212788773590839E-2</v>
      </c>
    </row>
    <row r="41" spans="1:36">
      <c r="A41">
        <v>2036</v>
      </c>
      <c r="B41" t="s">
        <v>109</v>
      </c>
      <c r="C41" s="3">
        <f t="shared" si="66"/>
        <v>976028792.86557388</v>
      </c>
      <c r="D41" s="3">
        <f>D40+(D45-D40)/5</f>
        <v>339605898.53156883</v>
      </c>
      <c r="E41" s="42">
        <f t="shared" si="67"/>
        <v>0.34794659851632259</v>
      </c>
      <c r="I41">
        <f>'Fleet ZEV fractions'!AF53</f>
        <v>2034</v>
      </c>
      <c r="J41">
        <f>'Fleet ZEV fractions'!AG53</f>
        <v>1.2399444690378169E-2</v>
      </c>
    </row>
    <row r="42" spans="1:36">
      <c r="A42">
        <v>2037</v>
      </c>
      <c r="B42" t="s">
        <v>109</v>
      </c>
      <c r="C42" s="3">
        <f t="shared" si="66"/>
        <v>968362984.73148918</v>
      </c>
      <c r="D42" s="3">
        <f>D40+(D45-D40)/5*2</f>
        <v>327193064.41796392</v>
      </c>
      <c r="E42" s="42">
        <f t="shared" si="67"/>
        <v>0.33788266339887935</v>
      </c>
      <c r="I42">
        <f>'Fleet ZEV fractions'!AF54</f>
        <v>2035</v>
      </c>
      <c r="J42">
        <f>'Fleet ZEV fractions'!AG54</f>
        <v>1.2671001644847949E-2</v>
      </c>
    </row>
    <row r="43" spans="1:36">
      <c r="A43">
        <v>2038</v>
      </c>
      <c r="B43" t="s">
        <v>109</v>
      </c>
      <c r="C43" s="3">
        <f t="shared" si="66"/>
        <v>960697176.5974046</v>
      </c>
      <c r="D43" s="3">
        <f>D40+(D45-D40)/5*3</f>
        <v>314780230.30435902</v>
      </c>
      <c r="E43" s="42">
        <f t="shared" si="67"/>
        <v>0.32765811951196427</v>
      </c>
      <c r="I43">
        <f>'Fleet ZEV fractions'!AF55</f>
        <v>2036</v>
      </c>
      <c r="J43">
        <f>'Fleet ZEV fractions'!AG55</f>
        <v>1.2942558599317729E-2</v>
      </c>
    </row>
    <row r="44" spans="1:36">
      <c r="A44">
        <v>2039</v>
      </c>
      <c r="B44" t="s">
        <v>109</v>
      </c>
      <c r="C44" s="3">
        <f t="shared" si="66"/>
        <v>953031368.4633199</v>
      </c>
      <c r="D44" s="3">
        <f>D40+(D45-D40)/5*4</f>
        <v>302367396.19075412</v>
      </c>
      <c r="E44" s="42">
        <f t="shared" si="67"/>
        <v>0.31726909123494562</v>
      </c>
      <c r="I44">
        <f>'Fleet ZEV fractions'!AF56</f>
        <v>2037</v>
      </c>
      <c r="J44">
        <f>'Fleet ZEV fractions'!AG56</f>
        <v>1.3214115553787507E-2</v>
      </c>
    </row>
    <row r="45" spans="1:36">
      <c r="A45">
        <v>2040</v>
      </c>
      <c r="B45" t="s">
        <v>109</v>
      </c>
      <c r="C45" s="3">
        <f t="shared" si="66"/>
        <v>945365560.32923532</v>
      </c>
      <c r="D45" s="3">
        <f>X36</f>
        <v>289954562.07714921</v>
      </c>
      <c r="E45" s="42">
        <f t="shared" si="67"/>
        <v>0.30671157724020426</v>
      </c>
      <c r="I45">
        <f>'Fleet ZEV fractions'!AF57</f>
        <v>2038</v>
      </c>
      <c r="J45">
        <f>'Fleet ZEV fractions'!AG57</f>
        <v>1.3485672508257288E-2</v>
      </c>
    </row>
    <row r="46" spans="1:36">
      <c r="I46">
        <f>'Fleet ZEV fractions'!AF58</f>
        <v>2039</v>
      </c>
      <c r="J46">
        <f>'Fleet ZEV fractions'!AG58</f>
        <v>1.3757229462727068E-2</v>
      </c>
    </row>
    <row r="47" spans="1:36">
      <c r="I47">
        <f>'Fleet ZEV fractions'!AF59</f>
        <v>2040</v>
      </c>
      <c r="J47">
        <f>'Fleet ZEV fractions'!AG59</f>
        <v>1.4028786417196846E-2</v>
      </c>
    </row>
  </sheetData>
  <sheetProtection algorithmName="SHA-512" hashValue="/RWaa7/mLJPoYndRuJwH9FVoxtWgBRbFVPulT+335pJU8543vwD9Q5rEGzmYwIP0Lt8puORjnZuxKTQMrqHwtg==" saltValue="15JVPAAU2AeIc5X65G5fsg==" spinCount="100000" sheet="1" objects="1" scenarios="1"/>
  <mergeCells count="2">
    <mergeCell ref="AH11:AI11"/>
    <mergeCell ref="AH5:AI5"/>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U32"/>
  <sheetViews>
    <sheetView topLeftCell="B1" workbookViewId="0">
      <selection activeCell="O23" sqref="O23"/>
    </sheetView>
  </sheetViews>
  <sheetFormatPr baseColWidth="10" defaultColWidth="8.83203125" defaultRowHeight="15"/>
  <cols>
    <col min="3" max="3" width="12.1640625" bestFit="1" customWidth="1"/>
    <col min="4" max="4" width="11.6640625" customWidth="1"/>
    <col min="5" max="5" width="11.1640625" bestFit="1" customWidth="1"/>
    <col min="6" max="6" width="15.6640625" customWidth="1"/>
    <col min="7" max="7" width="10.1640625" bestFit="1" customWidth="1"/>
    <col min="8" max="8" width="11.6640625" customWidth="1"/>
    <col min="9" max="9" width="10.1640625" bestFit="1" customWidth="1"/>
    <col min="10" max="10" width="9.33203125" bestFit="1" customWidth="1"/>
    <col min="11" max="11" width="11.5" customWidth="1"/>
    <col min="12" max="12" width="12" customWidth="1"/>
    <col min="13" max="13" width="11.5" customWidth="1"/>
    <col min="14" max="14" width="9.33203125" bestFit="1" customWidth="1"/>
    <col min="15" max="15" width="12" customWidth="1"/>
  </cols>
  <sheetData>
    <row r="1" spans="1:21">
      <c r="A1" s="2" t="s">
        <v>76</v>
      </c>
      <c r="C1" s="6"/>
      <c r="E1" t="s">
        <v>523</v>
      </c>
      <c r="H1" s="6"/>
      <c r="I1" s="6"/>
      <c r="Q1" s="30" t="s">
        <v>459</v>
      </c>
    </row>
    <row r="2" spans="1:21">
      <c r="Q2" t="s">
        <v>457</v>
      </c>
      <c r="R2" t="s">
        <v>0</v>
      </c>
      <c r="S2" t="s">
        <v>31</v>
      </c>
      <c r="T2" t="s">
        <v>458</v>
      </c>
      <c r="U2" t="s">
        <v>75</v>
      </c>
    </row>
    <row r="3" spans="1:21">
      <c r="A3" t="s">
        <v>0</v>
      </c>
      <c r="B3" t="s">
        <v>31</v>
      </c>
      <c r="C3" s="3" t="s">
        <v>2</v>
      </c>
      <c r="D3" s="3" t="s">
        <v>26</v>
      </c>
      <c r="E3" s="3" t="s">
        <v>21</v>
      </c>
      <c r="F3" s="3" t="s">
        <v>3</v>
      </c>
      <c r="G3" s="3" t="s">
        <v>22</v>
      </c>
      <c r="H3" s="3" t="s">
        <v>43</v>
      </c>
      <c r="I3" s="3" t="s">
        <v>44</v>
      </c>
      <c r="J3" s="3" t="s">
        <v>45</v>
      </c>
      <c r="K3" s="3" t="s">
        <v>115</v>
      </c>
      <c r="L3" s="3" t="s">
        <v>116</v>
      </c>
      <c r="M3" s="3" t="s">
        <v>117</v>
      </c>
      <c r="N3" s="3" t="s">
        <v>74</v>
      </c>
      <c r="O3" s="3" t="s">
        <v>75</v>
      </c>
      <c r="Q3">
        <v>36</v>
      </c>
      <c r="R3">
        <v>2017</v>
      </c>
      <c r="S3">
        <v>20</v>
      </c>
      <c r="T3">
        <v>1</v>
      </c>
      <c r="U3">
        <v>45957365728</v>
      </c>
    </row>
    <row r="4" spans="1:21">
      <c r="A4">
        <v>2017</v>
      </c>
      <c r="B4">
        <v>20</v>
      </c>
      <c r="C4" s="3">
        <v>12350473896.101101</v>
      </c>
      <c r="D4" s="3">
        <v>1059108146.02157</v>
      </c>
      <c r="E4" s="3">
        <v>349532540.85779101</v>
      </c>
      <c r="F4" s="3">
        <v>17566856283652.199</v>
      </c>
      <c r="G4" s="3">
        <v>231746646.53983399</v>
      </c>
      <c r="H4" s="3">
        <v>250911037.39423299</v>
      </c>
      <c r="I4" s="3">
        <v>149438234.73377499</v>
      </c>
      <c r="J4" s="3">
        <v>62198646.380609401</v>
      </c>
      <c r="K4" s="3">
        <v>14440393884.299101</v>
      </c>
      <c r="L4" s="3">
        <v>260096591.302425</v>
      </c>
      <c r="M4" s="3">
        <v>1325179031.4776299</v>
      </c>
      <c r="N4" s="3">
        <v>4551230.5235927776</v>
      </c>
      <c r="O4">
        <v>46181074207.873779</v>
      </c>
      <c r="Q4">
        <v>36</v>
      </c>
      <c r="R4">
        <v>2017</v>
      </c>
      <c r="S4">
        <v>20</v>
      </c>
      <c r="T4">
        <v>2</v>
      </c>
      <c r="U4">
        <v>202731291</v>
      </c>
    </row>
    <row r="5" spans="1:21">
      <c r="A5">
        <v>2017</v>
      </c>
      <c r="B5">
        <v>30</v>
      </c>
      <c r="C5" s="3">
        <v>17970959929.264198</v>
      </c>
      <c r="D5" s="3">
        <v>1228448911.22071</v>
      </c>
      <c r="E5" s="3">
        <v>605978092.21267498</v>
      </c>
      <c r="F5" s="3">
        <v>30047378499569.199</v>
      </c>
      <c r="G5" s="3">
        <v>396248401.95337898</v>
      </c>
      <c r="H5" s="3">
        <v>315916865.874982</v>
      </c>
      <c r="I5" s="3">
        <v>226538775.616916</v>
      </c>
      <c r="J5" s="3">
        <v>85411850.600171998</v>
      </c>
      <c r="K5" s="3">
        <v>15131728608.774401</v>
      </c>
      <c r="L5" s="3">
        <v>445776236.44833702</v>
      </c>
      <c r="M5" s="3">
        <v>1748764242.6194301</v>
      </c>
      <c r="N5" s="3">
        <v>5228224.2343764501</v>
      </c>
      <c r="O5">
        <v>63481322741.874512</v>
      </c>
      <c r="Q5">
        <v>36</v>
      </c>
      <c r="R5">
        <v>2017</v>
      </c>
      <c r="S5">
        <v>20</v>
      </c>
      <c r="T5">
        <v>5</v>
      </c>
      <c r="U5">
        <v>349358.94018554699</v>
      </c>
    </row>
    <row r="6" spans="1:21">
      <c r="A6">
        <v>2017</v>
      </c>
      <c r="B6">
        <v>41</v>
      </c>
      <c r="C6" s="3">
        <v>17708358692</v>
      </c>
      <c r="D6" s="3">
        <v>444877640.0625</v>
      </c>
      <c r="E6" s="3">
        <v>139214171.75</v>
      </c>
      <c r="F6" s="3">
        <v>5172977605632</v>
      </c>
      <c r="G6" s="3">
        <v>67348825.71875</v>
      </c>
      <c r="H6" s="3">
        <v>713414101.0625</v>
      </c>
      <c r="I6" s="3">
        <v>25990176.160156202</v>
      </c>
      <c r="J6" s="3">
        <v>12273949.5585938</v>
      </c>
      <c r="K6" s="3">
        <v>4720208073</v>
      </c>
      <c r="L6" s="3">
        <v>60112365.65625</v>
      </c>
      <c r="M6" s="3">
        <v>276989472.4375</v>
      </c>
      <c r="N6" s="3">
        <v>564586.63098144508</v>
      </c>
      <c r="O6">
        <v>6547372276</v>
      </c>
      <c r="Q6">
        <v>36</v>
      </c>
      <c r="R6">
        <v>2017</v>
      </c>
      <c r="S6">
        <v>20</v>
      </c>
      <c r="T6">
        <v>9</v>
      </c>
      <c r="U6">
        <v>20627829.933593798</v>
      </c>
    </row>
    <row r="7" spans="1:21">
      <c r="C7" s="3"/>
      <c r="D7" s="3"/>
      <c r="E7" s="3"/>
      <c r="F7" s="3"/>
      <c r="G7" s="3"/>
      <c r="H7" s="3"/>
      <c r="I7" s="3"/>
      <c r="J7" s="3"/>
      <c r="K7" s="3"/>
      <c r="L7" s="3"/>
      <c r="M7" s="3"/>
      <c r="N7" s="3"/>
      <c r="Q7">
        <v>36</v>
      </c>
      <c r="R7">
        <v>2017</v>
      </c>
      <c r="S7">
        <v>30</v>
      </c>
      <c r="T7">
        <v>1</v>
      </c>
      <c r="U7">
        <v>62969635808</v>
      </c>
    </row>
    <row r="8" spans="1:21">
      <c r="A8" t="s">
        <v>0</v>
      </c>
      <c r="B8" t="s">
        <v>31</v>
      </c>
      <c r="C8" s="3" t="s">
        <v>2</v>
      </c>
      <c r="D8" s="3" t="s">
        <v>26</v>
      </c>
      <c r="E8" s="3" t="s">
        <v>21</v>
      </c>
      <c r="F8" s="3" t="s">
        <v>3</v>
      </c>
      <c r="G8" s="3" t="s">
        <v>22</v>
      </c>
      <c r="H8" s="3" t="s">
        <v>43</v>
      </c>
      <c r="I8" s="3" t="s">
        <v>44</v>
      </c>
      <c r="J8" s="3" t="s">
        <v>45</v>
      </c>
      <c r="K8" s="3" t="s">
        <v>115</v>
      </c>
      <c r="L8" s="3" t="s">
        <v>116</v>
      </c>
      <c r="M8" s="3" t="s">
        <v>117</v>
      </c>
      <c r="N8" s="3" t="s">
        <v>74</v>
      </c>
      <c r="O8" t="s">
        <v>75</v>
      </c>
      <c r="Q8">
        <v>36</v>
      </c>
      <c r="R8">
        <v>2017</v>
      </c>
      <c r="S8">
        <v>30</v>
      </c>
      <c r="T8">
        <v>2</v>
      </c>
      <c r="U8">
        <v>503505353</v>
      </c>
    </row>
    <row r="9" spans="1:21">
      <c r="A9">
        <v>2030</v>
      </c>
      <c r="B9">
        <v>20</v>
      </c>
      <c r="C9" s="3">
        <v>2478330725.7086701</v>
      </c>
      <c r="D9" s="3">
        <v>506191990.51993197</v>
      </c>
      <c r="E9" s="3">
        <v>221716521.48743999</v>
      </c>
      <c r="F9" s="3">
        <v>13473848895155.699</v>
      </c>
      <c r="G9" s="3">
        <v>181912052.02199501</v>
      </c>
      <c r="H9" s="3">
        <v>167541761.98165399</v>
      </c>
      <c r="I9" s="3">
        <v>162478523.43105599</v>
      </c>
      <c r="J9" s="3">
        <v>67763861.850318298</v>
      </c>
      <c r="K9" s="3">
        <v>7424159399.3265495</v>
      </c>
      <c r="L9" s="3">
        <v>199663171.262229</v>
      </c>
      <c r="M9" s="3">
        <v>1125299035.4403999</v>
      </c>
      <c r="N9" s="3">
        <v>5022869.9172290489</v>
      </c>
      <c r="O9">
        <v>50353999362.455353</v>
      </c>
      <c r="Q9">
        <v>36</v>
      </c>
      <c r="R9">
        <v>2017</v>
      </c>
      <c r="S9">
        <v>30</v>
      </c>
      <c r="T9">
        <v>5</v>
      </c>
      <c r="U9">
        <v>706520.00341796898</v>
      </c>
    </row>
    <row r="10" spans="1:21">
      <c r="A10">
        <v>2030</v>
      </c>
      <c r="B10">
        <v>30</v>
      </c>
      <c r="C10" s="3">
        <v>3165658929.4788799</v>
      </c>
      <c r="D10" s="3">
        <v>641939676.26734197</v>
      </c>
      <c r="E10" s="3">
        <v>397833262.61474198</v>
      </c>
      <c r="F10" s="3">
        <v>25441215920302.102</v>
      </c>
      <c r="G10" s="3">
        <v>336233270.56758702</v>
      </c>
      <c r="H10" s="3">
        <v>228267409.918751</v>
      </c>
      <c r="I10" s="3">
        <v>264515754.630963</v>
      </c>
      <c r="J10" s="3">
        <v>99812812.942819595</v>
      </c>
      <c r="K10" s="3">
        <v>7541424151.3461304</v>
      </c>
      <c r="L10" s="3">
        <v>378057569.86313999</v>
      </c>
      <c r="M10" s="3">
        <v>1603536764.8156099</v>
      </c>
      <c r="N10" s="3">
        <v>6117809.5693950355</v>
      </c>
      <c r="O10">
        <v>74210015063.486816</v>
      </c>
      <c r="Q10">
        <v>36</v>
      </c>
      <c r="R10">
        <v>2017</v>
      </c>
      <c r="S10">
        <v>30</v>
      </c>
      <c r="T10">
        <v>9</v>
      </c>
      <c r="U10">
        <v>7475060.87109375</v>
      </c>
    </row>
    <row r="11" spans="1:21">
      <c r="A11">
        <v>2030</v>
      </c>
      <c r="B11">
        <v>41</v>
      </c>
      <c r="C11" s="3">
        <v>1559197588.5</v>
      </c>
      <c r="D11" s="3">
        <v>115986041.21875</v>
      </c>
      <c r="E11" s="3">
        <v>35818041.527343802</v>
      </c>
      <c r="F11" s="3">
        <v>2370960325632</v>
      </c>
      <c r="G11" s="3">
        <v>30966579.0859375</v>
      </c>
      <c r="H11" s="3">
        <v>46464451.5</v>
      </c>
      <c r="I11" s="3">
        <v>12678133.1601562</v>
      </c>
      <c r="J11" s="3">
        <v>6204389.7949218797</v>
      </c>
      <c r="K11" s="3">
        <v>753447670.125</v>
      </c>
      <c r="L11" s="3">
        <v>29275799.636718798</v>
      </c>
      <c r="M11" s="3">
        <v>129459086.09375</v>
      </c>
      <c r="N11" s="3">
        <v>262784.86505126901</v>
      </c>
      <c r="O11">
        <v>3305289426</v>
      </c>
      <c r="Q11">
        <v>36</v>
      </c>
      <c r="R11">
        <v>2017</v>
      </c>
      <c r="S11">
        <v>41</v>
      </c>
      <c r="T11">
        <v>1</v>
      </c>
      <c r="U11">
        <v>3137304230</v>
      </c>
    </row>
    <row r="12" spans="1:21">
      <c r="C12" s="3"/>
      <c r="D12" s="3"/>
      <c r="E12" s="3"/>
      <c r="F12" s="3"/>
      <c r="G12" s="3"/>
      <c r="H12" s="3"/>
      <c r="I12" s="3"/>
      <c r="J12" s="3"/>
      <c r="K12" s="3"/>
      <c r="L12" s="3"/>
      <c r="M12" s="3"/>
      <c r="N12" s="3"/>
      <c r="Q12">
        <v>36</v>
      </c>
      <c r="R12">
        <v>2017</v>
      </c>
      <c r="S12">
        <v>41</v>
      </c>
      <c r="T12">
        <v>2</v>
      </c>
      <c r="U12">
        <v>3410068046</v>
      </c>
    </row>
    <row r="13" spans="1:21">
      <c r="A13" t="s">
        <v>0</v>
      </c>
      <c r="B13" t="s">
        <v>31</v>
      </c>
      <c r="C13" s="3" t="s">
        <v>2</v>
      </c>
      <c r="D13" s="3" t="s">
        <v>26</v>
      </c>
      <c r="E13" s="3" t="s">
        <v>21</v>
      </c>
      <c r="F13" s="3" t="s">
        <v>3</v>
      </c>
      <c r="G13" s="3" t="s">
        <v>22</v>
      </c>
      <c r="H13" s="3" t="s">
        <v>43</v>
      </c>
      <c r="I13" s="3" t="s">
        <v>44</v>
      </c>
      <c r="J13" s="3" t="s">
        <v>45</v>
      </c>
      <c r="K13" s="3" t="s">
        <v>115</v>
      </c>
      <c r="L13" s="3" t="s">
        <v>116</v>
      </c>
      <c r="M13" s="3" t="s">
        <v>117</v>
      </c>
      <c r="N13" s="3" t="s">
        <v>74</v>
      </c>
      <c r="O13" t="s">
        <v>75</v>
      </c>
      <c r="Q13">
        <v>36</v>
      </c>
      <c r="R13">
        <v>2030</v>
      </c>
      <c r="S13">
        <v>20</v>
      </c>
      <c r="T13">
        <v>1</v>
      </c>
      <c r="U13">
        <v>49031043920</v>
      </c>
    </row>
    <row r="14" spans="1:21">
      <c r="A14">
        <v>2040</v>
      </c>
      <c r="B14">
        <v>20</v>
      </c>
      <c r="C14" s="3">
        <v>1567999554.18525</v>
      </c>
      <c r="D14" s="3">
        <v>429995908.49460101</v>
      </c>
      <c r="E14" s="3">
        <v>224135853.113224</v>
      </c>
      <c r="F14" s="3">
        <v>13025021291408.801</v>
      </c>
      <c r="G14" s="3">
        <v>177216485.93920499</v>
      </c>
      <c r="H14" s="3">
        <v>115461224.829632</v>
      </c>
      <c r="I14" s="3">
        <v>173746078.801972</v>
      </c>
      <c r="J14" s="3">
        <v>72569711.590906098</v>
      </c>
      <c r="K14" s="3">
        <v>6620919603.8931999</v>
      </c>
      <c r="L14" s="3">
        <v>193008137.916116</v>
      </c>
      <c r="M14" s="3">
        <v>1142824689.9212101</v>
      </c>
      <c r="N14" s="3">
        <v>5385673.4237676412</v>
      </c>
      <c r="O14">
        <v>53953983751.005173</v>
      </c>
      <c r="Q14">
        <v>36</v>
      </c>
      <c r="R14">
        <v>2030</v>
      </c>
      <c r="S14">
        <v>20</v>
      </c>
      <c r="T14">
        <v>2</v>
      </c>
      <c r="U14">
        <v>41357446.3125</v>
      </c>
    </row>
    <row r="15" spans="1:21">
      <c r="A15">
        <v>2040</v>
      </c>
      <c r="B15">
        <v>30</v>
      </c>
      <c r="C15" s="3">
        <v>2109522126.0201499</v>
      </c>
      <c r="D15" s="3">
        <v>575456938.63065696</v>
      </c>
      <c r="E15" s="3">
        <v>416353506.75071001</v>
      </c>
      <c r="F15" s="3">
        <v>25778767390086.102</v>
      </c>
      <c r="G15" s="3">
        <v>340837981.67804599</v>
      </c>
      <c r="H15" s="3">
        <v>153074114.71236101</v>
      </c>
      <c r="I15" s="3">
        <v>283388482.68635702</v>
      </c>
      <c r="J15" s="3">
        <v>107069251.183593</v>
      </c>
      <c r="K15" s="3">
        <v>7019092806.5539904</v>
      </c>
      <c r="L15" s="3">
        <v>382982280.52537298</v>
      </c>
      <c r="M15" s="3">
        <v>1706682626.5286901</v>
      </c>
      <c r="N15" s="3">
        <v>6582542.1248250157</v>
      </c>
      <c r="O15">
        <v>79641660358.44165</v>
      </c>
      <c r="Q15">
        <v>36</v>
      </c>
      <c r="R15">
        <v>2030</v>
      </c>
      <c r="S15">
        <v>20</v>
      </c>
      <c r="T15">
        <v>5</v>
      </c>
      <c r="U15">
        <v>70036.142852783203</v>
      </c>
    </row>
    <row r="16" spans="1:21">
      <c r="A16">
        <v>2040</v>
      </c>
      <c r="B16">
        <v>41</v>
      </c>
      <c r="C16" s="3">
        <v>649558063.5625</v>
      </c>
      <c r="D16" s="3">
        <v>97176506.734375</v>
      </c>
      <c r="E16" s="3">
        <v>31692059.878906202</v>
      </c>
      <c r="F16" s="3">
        <v>2177111171584</v>
      </c>
      <c r="G16" s="3">
        <v>28449984.90625</v>
      </c>
      <c r="H16" s="3">
        <v>21419222.535156202</v>
      </c>
      <c r="I16" s="3">
        <v>12501661.025390601</v>
      </c>
      <c r="J16" s="3">
        <v>6135812.9638671903</v>
      </c>
      <c r="K16" s="3">
        <v>541818551.8125</v>
      </c>
      <c r="L16" s="3">
        <v>27166982.6875</v>
      </c>
      <c r="M16" s="3">
        <v>127017968.9375</v>
      </c>
      <c r="N16" s="3">
        <v>246829.64578247099</v>
      </c>
      <c r="O16">
        <v>3264805814</v>
      </c>
      <c r="Q16">
        <v>36</v>
      </c>
      <c r="R16">
        <v>2030</v>
      </c>
      <c r="S16">
        <v>20</v>
      </c>
      <c r="T16">
        <v>9</v>
      </c>
      <c r="U16">
        <v>1281527960</v>
      </c>
    </row>
    <row r="17" spans="1:21">
      <c r="F17" s="37"/>
      <c r="Q17">
        <v>36</v>
      </c>
      <c r="R17">
        <v>2030</v>
      </c>
      <c r="S17">
        <v>30</v>
      </c>
      <c r="T17">
        <v>1</v>
      </c>
      <c r="U17">
        <v>73860923488</v>
      </c>
    </row>
    <row r="18" spans="1:21">
      <c r="K18" s="3"/>
      <c r="L18" s="3"/>
      <c r="M18" s="3"/>
      <c r="Q18">
        <v>36</v>
      </c>
      <c r="R18">
        <v>2030</v>
      </c>
      <c r="S18">
        <v>30</v>
      </c>
      <c r="T18">
        <v>2</v>
      </c>
      <c r="U18">
        <v>182861925.375</v>
      </c>
    </row>
    <row r="19" spans="1:21">
      <c r="A19" t="s">
        <v>77</v>
      </c>
      <c r="Q19">
        <v>36</v>
      </c>
      <c r="R19">
        <v>2030</v>
      </c>
      <c r="S19">
        <v>30</v>
      </c>
      <c r="T19">
        <v>5</v>
      </c>
      <c r="U19">
        <v>1144444.29931641</v>
      </c>
    </row>
    <row r="20" spans="1:21">
      <c r="F20" s="37"/>
      <c r="Q20">
        <v>36</v>
      </c>
      <c r="R20">
        <v>2030</v>
      </c>
      <c r="S20">
        <v>30</v>
      </c>
      <c r="T20">
        <v>9</v>
      </c>
      <c r="U20">
        <v>165085205.8125</v>
      </c>
    </row>
    <row r="21" spans="1:21">
      <c r="F21" s="37"/>
      <c r="Q21">
        <v>36</v>
      </c>
      <c r="R21">
        <v>2030</v>
      </c>
      <c r="S21">
        <v>41</v>
      </c>
      <c r="T21">
        <v>1</v>
      </c>
      <c r="U21">
        <v>1763563736</v>
      </c>
    </row>
    <row r="22" spans="1:21">
      <c r="F22" s="37"/>
      <c r="Q22">
        <v>36</v>
      </c>
      <c r="R22">
        <v>2030</v>
      </c>
      <c r="S22">
        <v>41</v>
      </c>
      <c r="T22">
        <v>2</v>
      </c>
      <c r="U22">
        <v>1541725690</v>
      </c>
    </row>
    <row r="23" spans="1:21">
      <c r="F23" s="37"/>
      <c r="Q23">
        <v>36</v>
      </c>
      <c r="R23">
        <v>2040</v>
      </c>
      <c r="S23">
        <v>20</v>
      </c>
      <c r="T23">
        <v>1</v>
      </c>
      <c r="U23">
        <v>52230574432</v>
      </c>
    </row>
    <row r="24" spans="1:21">
      <c r="F24" s="37"/>
      <c r="Q24">
        <v>36</v>
      </c>
      <c r="R24">
        <v>2040</v>
      </c>
      <c r="S24">
        <v>20</v>
      </c>
      <c r="T24">
        <v>2</v>
      </c>
      <c r="U24">
        <v>7166422.046875</v>
      </c>
    </row>
    <row r="25" spans="1:21">
      <c r="F25" s="37"/>
      <c r="Q25">
        <v>36</v>
      </c>
      <c r="R25">
        <v>2040</v>
      </c>
      <c r="S25">
        <v>20</v>
      </c>
      <c r="T25">
        <v>5</v>
      </c>
      <c r="U25">
        <v>47043.958297729499</v>
      </c>
    </row>
    <row r="26" spans="1:21">
      <c r="F26" s="37"/>
      <c r="Q26">
        <v>36</v>
      </c>
      <c r="R26">
        <v>2040</v>
      </c>
      <c r="S26">
        <v>20</v>
      </c>
      <c r="T26">
        <v>9</v>
      </c>
      <c r="U26">
        <v>1716195853</v>
      </c>
    </row>
    <row r="27" spans="1:21">
      <c r="F27" s="37"/>
      <c r="Q27">
        <v>36</v>
      </c>
      <c r="R27">
        <v>2040</v>
      </c>
      <c r="S27">
        <v>30</v>
      </c>
      <c r="T27">
        <v>1</v>
      </c>
      <c r="U27">
        <v>79280272992</v>
      </c>
    </row>
    <row r="28" spans="1:21">
      <c r="C28" s="3"/>
      <c r="D28" s="3"/>
      <c r="E28" s="3"/>
      <c r="F28" s="3"/>
      <c r="G28" s="3"/>
      <c r="H28" s="3"/>
      <c r="I28" s="3"/>
      <c r="J28" s="3"/>
      <c r="K28" s="3"/>
      <c r="L28" s="3"/>
      <c r="M28" s="3"/>
      <c r="N28" s="3"/>
      <c r="O28" s="3"/>
      <c r="Q28">
        <v>36</v>
      </c>
      <c r="R28">
        <v>2040</v>
      </c>
      <c r="S28">
        <v>30</v>
      </c>
      <c r="T28">
        <v>2</v>
      </c>
      <c r="U28">
        <v>156388221.125</v>
      </c>
    </row>
    <row r="29" spans="1:21">
      <c r="Q29">
        <v>36</v>
      </c>
      <c r="R29">
        <v>2040</v>
      </c>
      <c r="S29">
        <v>30</v>
      </c>
      <c r="T29">
        <v>5</v>
      </c>
      <c r="U29">
        <v>1208977.3791503899</v>
      </c>
    </row>
    <row r="30" spans="1:21">
      <c r="Q30">
        <v>36</v>
      </c>
      <c r="R30">
        <v>2040</v>
      </c>
      <c r="S30">
        <v>30</v>
      </c>
      <c r="T30">
        <v>9</v>
      </c>
      <c r="U30">
        <v>203790167.9375</v>
      </c>
    </row>
    <row r="31" spans="1:21">
      <c r="Q31">
        <v>36</v>
      </c>
      <c r="R31">
        <v>2040</v>
      </c>
      <c r="S31">
        <v>41</v>
      </c>
      <c r="T31">
        <v>1</v>
      </c>
      <c r="U31">
        <v>1777019473</v>
      </c>
    </row>
    <row r="32" spans="1:21">
      <c r="Q32">
        <v>36</v>
      </c>
      <c r="R32">
        <v>2040</v>
      </c>
      <c r="S32">
        <v>41</v>
      </c>
      <c r="T32">
        <v>2</v>
      </c>
      <c r="U32">
        <v>1487786341</v>
      </c>
    </row>
  </sheetData>
  <sheetProtection algorithmName="SHA-512" hashValue="v9rJQYnrf1R0OFDCUk1vdwWH7cUBB1PzniJRJ2XVTNrIY7chOuqfNW20ErutLOv+G4E9GOzAssdIlowmcL+OdQ==" saltValue="1CCJY7yz3kPoME0I031iVQ==" spinCount="100000" sheet="1" objects="1" scenarios="1"/>
  <pageMargins left="0.7" right="0.7" top="0.75" bottom="0.75" header="0.3" footer="0.3"/>
  <pageSetup orientation="portrait" horizontalDpi="360" verticalDpi="36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dimension ref="A1:O54"/>
  <sheetViews>
    <sheetView zoomScale="85" zoomScaleNormal="85" workbookViewId="0">
      <selection activeCell="T19" sqref="T19"/>
    </sheetView>
  </sheetViews>
  <sheetFormatPr baseColWidth="10" defaultColWidth="8.83203125" defaultRowHeight="15"/>
  <cols>
    <col min="3" max="3" width="16" style="3" customWidth="1"/>
    <col min="4" max="4" width="12" customWidth="1"/>
    <col min="5" max="5" width="13" customWidth="1"/>
    <col min="6" max="6" width="17.6640625" style="3" customWidth="1"/>
    <col min="7" max="7" width="14.1640625" customWidth="1"/>
    <col min="8" max="8" width="12.33203125" customWidth="1"/>
    <col min="9" max="9" width="13.5" customWidth="1"/>
    <col min="10" max="13" width="13.33203125" customWidth="1"/>
    <col min="15" max="15" width="10" bestFit="1" customWidth="1"/>
  </cols>
  <sheetData>
    <row r="1" spans="1:15">
      <c r="A1" s="2" t="s">
        <v>73</v>
      </c>
      <c r="C1" s="6"/>
      <c r="E1" t="s">
        <v>522</v>
      </c>
      <c r="G1" s="6"/>
      <c r="K1" s="6"/>
    </row>
    <row r="3" spans="1:15">
      <c r="A3" t="s">
        <v>0</v>
      </c>
      <c r="B3" t="s">
        <v>1</v>
      </c>
      <c r="C3" s="3" t="s">
        <v>2</v>
      </c>
      <c r="D3" s="3" t="s">
        <v>26</v>
      </c>
      <c r="E3" s="3" t="s">
        <v>21</v>
      </c>
      <c r="F3" s="3" t="s">
        <v>3</v>
      </c>
      <c r="G3" s="3" t="s">
        <v>22</v>
      </c>
      <c r="H3" s="3" t="s">
        <v>43</v>
      </c>
      <c r="I3" s="3" t="s">
        <v>44</v>
      </c>
      <c r="J3" s="3" t="s">
        <v>45</v>
      </c>
      <c r="K3" s="3" t="s">
        <v>115</v>
      </c>
      <c r="L3" s="3" t="s">
        <v>116</v>
      </c>
      <c r="M3" s="3" t="s">
        <v>117</v>
      </c>
      <c r="N3" s="3" t="s">
        <v>74</v>
      </c>
      <c r="O3" s="3" t="s">
        <v>75</v>
      </c>
    </row>
    <row r="4" spans="1:15">
      <c r="A4">
        <v>2017</v>
      </c>
      <c r="B4">
        <v>20</v>
      </c>
      <c r="C4" s="3">
        <v>12331900000</v>
      </c>
      <c r="D4">
        <v>1123920000</v>
      </c>
      <c r="E4">
        <v>302309000</v>
      </c>
      <c r="F4" s="3">
        <v>16126900000000</v>
      </c>
      <c r="G4">
        <v>2.24358E+17</v>
      </c>
      <c r="H4">
        <v>213546000</v>
      </c>
      <c r="I4">
        <v>129178000</v>
      </c>
      <c r="J4">
        <v>58044100</v>
      </c>
      <c r="K4">
        <v>13657000000</v>
      </c>
      <c r="L4">
        <v>336848000</v>
      </c>
      <c r="M4">
        <v>1268190000</v>
      </c>
      <c r="N4">
        <v>4105960</v>
      </c>
      <c r="O4">
        <v>44802800000</v>
      </c>
    </row>
    <row r="5" spans="1:15">
      <c r="A5">
        <v>2017</v>
      </c>
      <c r="B5">
        <v>30</v>
      </c>
      <c r="C5" s="3">
        <v>27983300000</v>
      </c>
      <c r="D5">
        <v>1696240000</v>
      </c>
      <c r="E5">
        <v>659463000</v>
      </c>
      <c r="F5" s="3">
        <v>25893700000000</v>
      </c>
      <c r="G5">
        <v>3.60255E+17</v>
      </c>
      <c r="H5">
        <v>340378000</v>
      </c>
      <c r="I5">
        <v>169185000</v>
      </c>
      <c r="J5">
        <v>70930400</v>
      </c>
      <c r="K5">
        <v>19668000000</v>
      </c>
      <c r="L5">
        <v>540472000</v>
      </c>
      <c r="M5">
        <v>1706670000</v>
      </c>
      <c r="N5">
        <v>4597960</v>
      </c>
      <c r="O5">
        <v>55294200000</v>
      </c>
    </row>
    <row r="6" spans="1:15">
      <c r="A6">
        <v>2017</v>
      </c>
      <c r="B6">
        <v>41</v>
      </c>
      <c r="C6" s="3">
        <v>14451200000</v>
      </c>
      <c r="D6">
        <v>473256000</v>
      </c>
      <c r="E6">
        <v>134292000</v>
      </c>
      <c r="F6" s="3">
        <v>4065490000000</v>
      </c>
      <c r="G6">
        <v>5.58236E+16</v>
      </c>
      <c r="H6">
        <v>481608000</v>
      </c>
      <c r="I6">
        <v>16846700</v>
      </c>
      <c r="J6">
        <v>9443500</v>
      </c>
      <c r="K6">
        <v>4458510000</v>
      </c>
      <c r="L6">
        <v>46724900</v>
      </c>
      <c r="M6">
        <v>230167000</v>
      </c>
      <c r="N6">
        <v>470936</v>
      </c>
      <c r="O6">
        <v>5363140000</v>
      </c>
    </row>
    <row r="8" spans="1:15">
      <c r="A8" t="s">
        <v>0</v>
      </c>
      <c r="B8" t="s">
        <v>1</v>
      </c>
      <c r="C8" t="s">
        <v>2</v>
      </c>
      <c r="D8" t="s">
        <v>26</v>
      </c>
      <c r="E8" t="s">
        <v>21</v>
      </c>
      <c r="F8" t="s">
        <v>3</v>
      </c>
      <c r="G8" t="s">
        <v>22</v>
      </c>
      <c r="H8" t="s">
        <v>43</v>
      </c>
      <c r="I8" t="s">
        <v>44</v>
      </c>
      <c r="J8" t="s">
        <v>45</v>
      </c>
      <c r="K8" s="3" t="s">
        <v>115</v>
      </c>
      <c r="L8" s="3" t="s">
        <v>116</v>
      </c>
      <c r="M8" s="3" t="s">
        <v>117</v>
      </c>
      <c r="N8" t="s">
        <v>74</v>
      </c>
      <c r="O8" t="s">
        <v>75</v>
      </c>
    </row>
    <row r="9" spans="1:15">
      <c r="A9">
        <v>2020</v>
      </c>
      <c r="B9">
        <v>20</v>
      </c>
      <c r="C9" s="3">
        <v>8227170000</v>
      </c>
      <c r="D9">
        <v>786124000</v>
      </c>
      <c r="E9">
        <v>264865000</v>
      </c>
      <c r="F9" s="3">
        <v>15810200000000</v>
      </c>
      <c r="G9">
        <v>208477000</v>
      </c>
      <c r="H9">
        <v>189673000</v>
      </c>
      <c r="I9">
        <v>135429000</v>
      </c>
      <c r="J9">
        <v>60852900</v>
      </c>
      <c r="K9">
        <v>11394800000</v>
      </c>
      <c r="L9">
        <v>106281000</v>
      </c>
      <c r="M9">
        <v>1183090000</v>
      </c>
      <c r="N9">
        <v>4217010</v>
      </c>
      <c r="O9">
        <v>46970800000</v>
      </c>
    </row>
    <row r="10" spans="1:15">
      <c r="A10">
        <v>2020</v>
      </c>
      <c r="B10">
        <v>30</v>
      </c>
      <c r="C10" s="3">
        <v>17801000000</v>
      </c>
      <c r="D10">
        <v>1148800000</v>
      </c>
      <c r="E10">
        <v>537673000</v>
      </c>
      <c r="F10" s="3">
        <v>25030600000000</v>
      </c>
      <c r="G10">
        <v>330048000</v>
      </c>
      <c r="H10">
        <v>328521000</v>
      </c>
      <c r="I10">
        <v>176589000</v>
      </c>
      <c r="J10">
        <v>74033600</v>
      </c>
      <c r="K10">
        <v>15686700000</v>
      </c>
      <c r="L10">
        <v>167990000</v>
      </c>
      <c r="M10">
        <v>1581290000</v>
      </c>
      <c r="N10">
        <v>4694370</v>
      </c>
      <c r="O10">
        <v>57712700000</v>
      </c>
    </row>
    <row r="11" spans="1:15">
      <c r="A11">
        <v>2020</v>
      </c>
      <c r="B11">
        <v>41</v>
      </c>
      <c r="C11" s="3">
        <v>9035440000</v>
      </c>
      <c r="D11">
        <v>338767000</v>
      </c>
      <c r="E11">
        <v>99814600</v>
      </c>
      <c r="F11" s="3">
        <v>3771780000000</v>
      </c>
      <c r="G11">
        <v>49066500</v>
      </c>
      <c r="H11">
        <v>318006000</v>
      </c>
      <c r="I11">
        <v>16226000</v>
      </c>
      <c r="J11">
        <v>9074920</v>
      </c>
      <c r="K11">
        <v>3075270000</v>
      </c>
      <c r="L11">
        <v>18417600</v>
      </c>
      <c r="M11">
        <v>205112000</v>
      </c>
      <c r="N11">
        <v>446670</v>
      </c>
      <c r="O11">
        <v>5157140000</v>
      </c>
    </row>
    <row r="13" spans="1:15">
      <c r="A13" t="s">
        <v>0</v>
      </c>
      <c r="B13" t="s">
        <v>1</v>
      </c>
      <c r="C13" t="s">
        <v>2</v>
      </c>
      <c r="D13" t="s">
        <v>26</v>
      </c>
      <c r="E13" t="s">
        <v>21</v>
      </c>
      <c r="F13" t="s">
        <v>3</v>
      </c>
      <c r="G13" t="s">
        <v>22</v>
      </c>
      <c r="H13" t="s">
        <v>43</v>
      </c>
      <c r="I13" t="s">
        <v>44</v>
      </c>
      <c r="J13" t="s">
        <v>45</v>
      </c>
      <c r="K13" s="3" t="s">
        <v>115</v>
      </c>
      <c r="L13" s="3" t="s">
        <v>116</v>
      </c>
      <c r="M13" s="3" t="s">
        <v>117</v>
      </c>
      <c r="N13" t="s">
        <v>74</v>
      </c>
      <c r="O13" t="s">
        <v>75</v>
      </c>
    </row>
    <row r="14" spans="1:15">
      <c r="A14">
        <v>2025</v>
      </c>
      <c r="B14">
        <v>20</v>
      </c>
      <c r="C14" s="3">
        <v>4606290000</v>
      </c>
      <c r="D14">
        <v>584305000</v>
      </c>
      <c r="E14">
        <v>222874000</v>
      </c>
      <c r="F14" s="3">
        <v>14460000000000</v>
      </c>
      <c r="G14">
        <v>190669000</v>
      </c>
      <c r="H14">
        <v>178462000</v>
      </c>
      <c r="I14">
        <v>139870000</v>
      </c>
      <c r="J14">
        <v>62848800</v>
      </c>
      <c r="K14">
        <v>9380290000</v>
      </c>
      <c r="L14">
        <v>97179500</v>
      </c>
      <c r="M14">
        <v>1164200000</v>
      </c>
      <c r="N14">
        <v>4378930</v>
      </c>
      <c r="O14">
        <v>48511500000</v>
      </c>
    </row>
    <row r="15" spans="1:15">
      <c r="A15">
        <v>2025</v>
      </c>
      <c r="B15">
        <v>30</v>
      </c>
      <c r="C15" s="3">
        <v>9717230000</v>
      </c>
      <c r="D15">
        <v>819690000</v>
      </c>
      <c r="E15">
        <v>410243000</v>
      </c>
      <c r="F15" s="3">
        <v>22855300000000</v>
      </c>
      <c r="G15">
        <v>301324000</v>
      </c>
      <c r="H15">
        <v>303250000</v>
      </c>
      <c r="I15">
        <v>180206000</v>
      </c>
      <c r="J15">
        <v>75549600</v>
      </c>
      <c r="K15">
        <v>12159300000</v>
      </c>
      <c r="L15">
        <v>152982000</v>
      </c>
      <c r="M15">
        <v>1496800000</v>
      </c>
      <c r="N15">
        <v>4838470</v>
      </c>
      <c r="O15">
        <v>58894500000</v>
      </c>
    </row>
    <row r="16" spans="1:15">
      <c r="A16">
        <v>2025</v>
      </c>
      <c r="B16">
        <v>41</v>
      </c>
      <c r="C16" s="3">
        <v>5190900000</v>
      </c>
      <c r="D16">
        <v>258023000</v>
      </c>
      <c r="E16">
        <v>65634100</v>
      </c>
      <c r="F16" s="3">
        <v>3433360000000</v>
      </c>
      <c r="G16">
        <v>44620100</v>
      </c>
      <c r="H16">
        <v>168669000</v>
      </c>
      <c r="I16">
        <v>16184200</v>
      </c>
      <c r="J16">
        <v>9008170</v>
      </c>
      <c r="K16">
        <v>1970200000</v>
      </c>
      <c r="L16">
        <v>16246300</v>
      </c>
      <c r="M16">
        <v>183035000</v>
      </c>
      <c r="N16">
        <v>431499</v>
      </c>
      <c r="O16">
        <v>5122810000</v>
      </c>
    </row>
    <row r="18" spans="1:15">
      <c r="A18" t="s">
        <v>0</v>
      </c>
      <c r="B18" t="s">
        <v>1</v>
      </c>
      <c r="C18" t="s">
        <v>2</v>
      </c>
      <c r="D18" t="s">
        <v>26</v>
      </c>
      <c r="E18" t="s">
        <v>21</v>
      </c>
      <c r="F18" t="s">
        <v>3</v>
      </c>
      <c r="G18" t="s">
        <v>22</v>
      </c>
      <c r="H18" t="s">
        <v>43</v>
      </c>
      <c r="I18" t="s">
        <v>44</v>
      </c>
      <c r="J18" t="s">
        <v>45</v>
      </c>
      <c r="K18" s="3" t="s">
        <v>115</v>
      </c>
      <c r="L18" s="3" t="s">
        <v>116</v>
      </c>
      <c r="M18" s="3" t="s">
        <v>117</v>
      </c>
      <c r="N18" t="s">
        <v>74</v>
      </c>
      <c r="O18" t="s">
        <v>75</v>
      </c>
    </row>
    <row r="19" spans="1:15">
      <c r="A19">
        <v>2030</v>
      </c>
      <c r="B19">
        <v>20</v>
      </c>
      <c r="C19" s="3">
        <v>2668210000</v>
      </c>
      <c r="D19">
        <v>451974000</v>
      </c>
      <c r="E19">
        <v>209085000</v>
      </c>
      <c r="F19" s="3">
        <v>13718500000000</v>
      </c>
      <c r="G19">
        <v>180874000</v>
      </c>
      <c r="H19">
        <v>181000000</v>
      </c>
      <c r="I19">
        <v>147987000</v>
      </c>
      <c r="J19">
        <v>66495900</v>
      </c>
      <c r="K19">
        <v>7463050000</v>
      </c>
      <c r="L19">
        <v>92028500</v>
      </c>
      <c r="M19">
        <v>1162160000</v>
      </c>
      <c r="N19">
        <v>4558240</v>
      </c>
      <c r="O19">
        <v>51326500000</v>
      </c>
    </row>
    <row r="20" spans="1:15">
      <c r="A20">
        <v>2030</v>
      </c>
      <c r="B20">
        <v>30</v>
      </c>
      <c r="C20" s="3">
        <v>4385910000</v>
      </c>
      <c r="D20">
        <v>580092000</v>
      </c>
      <c r="E20">
        <v>341803000</v>
      </c>
      <c r="F20" s="3">
        <v>21160000000000</v>
      </c>
      <c r="G20">
        <v>278943000</v>
      </c>
      <c r="H20">
        <v>279899000</v>
      </c>
      <c r="I20">
        <v>182185000</v>
      </c>
      <c r="J20">
        <v>76379500</v>
      </c>
      <c r="K20">
        <v>9308990000</v>
      </c>
      <c r="L20">
        <v>141344000</v>
      </c>
      <c r="M20">
        <v>1418990000</v>
      </c>
      <c r="N20">
        <v>4879420</v>
      </c>
      <c r="O20">
        <v>59541500000</v>
      </c>
    </row>
    <row r="21" spans="1:15">
      <c r="A21">
        <v>2030</v>
      </c>
      <c r="B21">
        <v>41</v>
      </c>
      <c r="C21" s="3">
        <v>3222770000</v>
      </c>
      <c r="D21">
        <v>215766000</v>
      </c>
      <c r="E21">
        <v>50271200</v>
      </c>
      <c r="F21" s="3">
        <v>3262260000000</v>
      </c>
      <c r="G21">
        <v>42365800</v>
      </c>
      <c r="H21">
        <v>80992600</v>
      </c>
      <c r="I21">
        <v>16854800</v>
      </c>
      <c r="J21">
        <v>9389800</v>
      </c>
      <c r="K21">
        <v>1251480000</v>
      </c>
      <c r="L21">
        <v>15082200</v>
      </c>
      <c r="M21">
        <v>180041000</v>
      </c>
      <c r="N21">
        <v>427523</v>
      </c>
      <c r="O21">
        <v>5342770000</v>
      </c>
    </row>
    <row r="23" spans="1:15">
      <c r="A23" t="s">
        <v>0</v>
      </c>
      <c r="B23" t="s">
        <v>1</v>
      </c>
      <c r="C23" t="s">
        <v>2</v>
      </c>
      <c r="D23" t="s">
        <v>26</v>
      </c>
      <c r="E23" t="s">
        <v>21</v>
      </c>
      <c r="F23" t="s">
        <v>3</v>
      </c>
      <c r="G23" t="s">
        <v>22</v>
      </c>
      <c r="H23" t="s">
        <v>43</v>
      </c>
      <c r="I23" t="s">
        <v>44</v>
      </c>
      <c r="J23" t="s">
        <v>45</v>
      </c>
      <c r="K23" s="3" t="s">
        <v>115</v>
      </c>
      <c r="L23" s="3" t="s">
        <v>116</v>
      </c>
      <c r="M23" s="3" t="s">
        <v>117</v>
      </c>
      <c r="N23" t="s">
        <v>74</v>
      </c>
      <c r="O23" t="s">
        <v>75</v>
      </c>
    </row>
    <row r="24" spans="1:15">
      <c r="A24">
        <v>2035</v>
      </c>
      <c r="B24">
        <v>20</v>
      </c>
      <c r="C24" s="3">
        <v>1671760000</v>
      </c>
      <c r="D24">
        <v>382661000</v>
      </c>
      <c r="E24">
        <v>209582000</v>
      </c>
      <c r="F24" s="3">
        <v>13651100000000</v>
      </c>
      <c r="G24">
        <v>179961000</v>
      </c>
      <c r="H24">
        <v>179776000</v>
      </c>
      <c r="I24">
        <v>157787000</v>
      </c>
      <c r="J24">
        <v>70899200</v>
      </c>
      <c r="K24">
        <v>6807910000</v>
      </c>
      <c r="L24">
        <v>91332200</v>
      </c>
      <c r="M24">
        <v>1177570000</v>
      </c>
      <c r="N24">
        <v>4783550</v>
      </c>
      <c r="O24">
        <v>54725400000</v>
      </c>
    </row>
    <row r="25" spans="1:15">
      <c r="A25">
        <v>2035</v>
      </c>
      <c r="B25">
        <v>30</v>
      </c>
      <c r="C25" s="3">
        <v>2346960000</v>
      </c>
      <c r="D25">
        <v>457438000</v>
      </c>
      <c r="E25">
        <v>310394000</v>
      </c>
      <c r="F25" s="3">
        <v>19727800000000</v>
      </c>
      <c r="G25">
        <v>260044000</v>
      </c>
      <c r="H25">
        <v>257428000</v>
      </c>
      <c r="I25">
        <v>180079000</v>
      </c>
      <c r="J25">
        <v>75496000</v>
      </c>
      <c r="K25">
        <v>8180770000</v>
      </c>
      <c r="L25">
        <v>131585000</v>
      </c>
      <c r="M25">
        <v>1351470000</v>
      </c>
      <c r="N25">
        <v>4838960</v>
      </c>
      <c r="O25">
        <v>58852600000</v>
      </c>
    </row>
    <row r="26" spans="1:15">
      <c r="A26">
        <v>2035</v>
      </c>
      <c r="B26">
        <v>41</v>
      </c>
      <c r="C26" s="3">
        <v>2113050000</v>
      </c>
      <c r="D26">
        <v>197501000</v>
      </c>
      <c r="E26">
        <v>42190700</v>
      </c>
      <c r="F26" s="3">
        <v>3193260000000</v>
      </c>
      <c r="G26">
        <v>41446900</v>
      </c>
      <c r="H26">
        <v>42010200</v>
      </c>
      <c r="I26">
        <v>17317200</v>
      </c>
      <c r="J26">
        <v>9736530</v>
      </c>
      <c r="K26">
        <v>882396000</v>
      </c>
      <c r="L26">
        <v>14504200</v>
      </c>
      <c r="M26">
        <v>181364000</v>
      </c>
      <c r="N26">
        <v>429389</v>
      </c>
      <c r="O26">
        <v>5544390000</v>
      </c>
    </row>
    <row r="28" spans="1:15">
      <c r="A28" t="s">
        <v>0</v>
      </c>
      <c r="B28" t="s">
        <v>1</v>
      </c>
      <c r="C28" t="s">
        <v>2</v>
      </c>
      <c r="D28" t="s">
        <v>26</v>
      </c>
      <c r="E28" t="s">
        <v>21</v>
      </c>
      <c r="F28" t="s">
        <v>3</v>
      </c>
      <c r="G28" t="s">
        <v>22</v>
      </c>
      <c r="H28" t="s">
        <v>43</v>
      </c>
      <c r="I28" t="s">
        <v>44</v>
      </c>
      <c r="J28" t="s">
        <v>45</v>
      </c>
      <c r="K28" s="3" t="s">
        <v>115</v>
      </c>
      <c r="L28" s="3" t="s">
        <v>116</v>
      </c>
      <c r="M28" s="3" t="s">
        <v>117</v>
      </c>
      <c r="N28" t="s">
        <v>74</v>
      </c>
      <c r="O28" t="s">
        <v>75</v>
      </c>
    </row>
    <row r="29" spans="1:15">
      <c r="A29">
        <v>2040</v>
      </c>
      <c r="B29">
        <v>20</v>
      </c>
      <c r="C29" s="3">
        <v>1463010000</v>
      </c>
      <c r="D29">
        <v>365436000</v>
      </c>
      <c r="E29">
        <v>222210000</v>
      </c>
      <c r="F29" s="3">
        <v>14325200000000</v>
      </c>
      <c r="G29">
        <v>188833000</v>
      </c>
      <c r="H29">
        <v>188293000</v>
      </c>
      <c r="I29">
        <v>170870000</v>
      </c>
      <c r="J29">
        <v>76778300</v>
      </c>
      <c r="K29">
        <v>6547180000</v>
      </c>
      <c r="L29">
        <v>95676700</v>
      </c>
      <c r="M29">
        <v>1269280000</v>
      </c>
      <c r="N29">
        <v>5068010</v>
      </c>
      <c r="O29">
        <v>59263300000</v>
      </c>
    </row>
    <row r="30" spans="1:15">
      <c r="A30">
        <v>2040</v>
      </c>
      <c r="B30">
        <v>30</v>
      </c>
      <c r="C30" s="3">
        <v>1809480000</v>
      </c>
      <c r="D30">
        <v>399073000</v>
      </c>
      <c r="E30">
        <v>301931000</v>
      </c>
      <c r="F30" s="3">
        <v>18885200000000</v>
      </c>
      <c r="G30">
        <v>248928000</v>
      </c>
      <c r="H30">
        <v>244777000</v>
      </c>
      <c r="I30">
        <v>178281000</v>
      </c>
      <c r="J30">
        <v>74741600</v>
      </c>
      <c r="K30">
        <v>7722750000</v>
      </c>
      <c r="L30">
        <v>125883000</v>
      </c>
      <c r="M30">
        <v>1336840000</v>
      </c>
      <c r="N30">
        <v>4745710</v>
      </c>
      <c r="O30">
        <v>58264300000</v>
      </c>
    </row>
    <row r="31" spans="1:15">
      <c r="A31">
        <v>2040</v>
      </c>
      <c r="B31">
        <v>41</v>
      </c>
      <c r="C31" s="3">
        <v>1661190000</v>
      </c>
      <c r="D31">
        <v>196598000</v>
      </c>
      <c r="E31">
        <v>41066200</v>
      </c>
      <c r="F31" s="3">
        <v>3219290000000</v>
      </c>
      <c r="G31">
        <v>41775300</v>
      </c>
      <c r="H31">
        <v>24055700</v>
      </c>
      <c r="I31">
        <v>17722300</v>
      </c>
      <c r="J31">
        <v>10086800</v>
      </c>
      <c r="K31">
        <v>769843000</v>
      </c>
      <c r="L31">
        <v>14506500</v>
      </c>
      <c r="M31">
        <v>185872000</v>
      </c>
      <c r="N31">
        <v>430727</v>
      </c>
      <c r="O31">
        <v>5748610000</v>
      </c>
    </row>
    <row r="33" customFormat="1"/>
    <row r="44" customFormat="1"/>
    <row r="54" spans="1:1">
      <c r="A54" s="6"/>
    </row>
  </sheetData>
  <sheetProtection algorithmName="SHA-512" hashValue="yG2aOxK5+et0qB5UmoiHp591p3pg8ENoS8yd6JV3Dw/17NUanSvE8j5uEx0yDBHUfB/I5U6uNtsHMxFVqQ9WAA==" saltValue="f3uFbgLmVvllwBZcVKp+HQ==" spinCount="100000" sheet="1" objects="1" scenarios="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dimension ref="A1:AT32"/>
  <sheetViews>
    <sheetView workbookViewId="0">
      <selection activeCell="R28" sqref="R28"/>
    </sheetView>
  </sheetViews>
  <sheetFormatPr baseColWidth="10" defaultColWidth="8.83203125" defaultRowHeight="15"/>
  <cols>
    <col min="3" max="3" width="15.5" customWidth="1"/>
    <col min="4" max="4" width="13.33203125" customWidth="1"/>
    <col min="5" max="5" width="9.1640625" customWidth="1"/>
    <col min="6" max="6" width="14.1640625" customWidth="1"/>
    <col min="7" max="13" width="9.1640625" customWidth="1"/>
    <col min="32" max="39" width="9.1640625" customWidth="1"/>
  </cols>
  <sheetData>
    <row r="1" spans="1:46">
      <c r="A1" s="2" t="s">
        <v>73</v>
      </c>
      <c r="D1" s="6"/>
      <c r="AC1" t="s">
        <v>78</v>
      </c>
      <c r="AG1">
        <v>2020</v>
      </c>
    </row>
    <row r="2" spans="1:46">
      <c r="A2" s="2"/>
      <c r="Q2" t="s">
        <v>81</v>
      </c>
      <c r="AG2">
        <v>2025</v>
      </c>
    </row>
    <row r="3" spans="1:46">
      <c r="A3" t="str">
        <f>'Default Output 2017-2040'!A3</f>
        <v>yearID</v>
      </c>
      <c r="B3" t="str">
        <f>'Default Output 2017-2040'!B3</f>
        <v>regCalssID</v>
      </c>
      <c r="C3" t="str">
        <f>'Default Output 2017-2040'!C3</f>
        <v>NOx</v>
      </c>
      <c r="D3" t="str">
        <f>'Default Output 2017-2040'!D3</f>
        <v>CH4</v>
      </c>
      <c r="E3" t="str">
        <f>'Default Output 2017-2040'!E3</f>
        <v>N2O</v>
      </c>
      <c r="F3" t="str">
        <f>'Default Output 2017-2040'!F3</f>
        <v>CO2</v>
      </c>
      <c r="G3" t="str">
        <f>'Default Output 2017-2040'!G3</f>
        <v>Energy</v>
      </c>
      <c r="H3" t="str">
        <f>'Default Output 2017-2040'!H3</f>
        <v>PM25 Exh</v>
      </c>
      <c r="I3" t="str">
        <f>'Default Output 2017-2040'!I3</f>
        <v>PM25 BW</v>
      </c>
      <c r="J3" t="str">
        <f>'Default Output 2017-2040'!J3</f>
        <v>PM25 TW</v>
      </c>
      <c r="K3" s="29" t="s">
        <v>115</v>
      </c>
      <c r="L3" s="29" t="s">
        <v>116</v>
      </c>
      <c r="M3" s="29" t="s">
        <v>117</v>
      </c>
      <c r="N3" t="str">
        <f>'Default Output 2017-2040'!N3</f>
        <v>POP</v>
      </c>
      <c r="O3" t="str">
        <f>'Default Output 2017-2040'!O3</f>
        <v>VMT</v>
      </c>
      <c r="Q3" t="s">
        <v>0</v>
      </c>
      <c r="R3" t="s">
        <v>1</v>
      </c>
      <c r="S3" t="s">
        <v>2</v>
      </c>
      <c r="T3" t="s">
        <v>26</v>
      </c>
      <c r="U3" t="s">
        <v>21</v>
      </c>
      <c r="V3" t="s">
        <v>3</v>
      </c>
      <c r="W3" t="s">
        <v>22</v>
      </c>
      <c r="X3" t="s">
        <v>43</v>
      </c>
      <c r="Y3" s="29" t="s">
        <v>115</v>
      </c>
      <c r="Z3" s="29" t="s">
        <v>116</v>
      </c>
      <c r="AA3" s="29" t="s">
        <v>117</v>
      </c>
      <c r="AG3">
        <v>2035</v>
      </c>
    </row>
    <row r="4" spans="1:46">
      <c r="A4">
        <f>'Default Output 2017-2040'!A4</f>
        <v>2017</v>
      </c>
      <c r="B4">
        <f>'Default Output 2017-2040'!B4</f>
        <v>20</v>
      </c>
      <c r="C4">
        <f>'Default Output 2017-2040'!C4</f>
        <v>12331900000</v>
      </c>
      <c r="D4">
        <f>'Default Output 2017-2040'!D4</f>
        <v>1123920000</v>
      </c>
      <c r="E4">
        <f>'Default Output 2017-2040'!E4</f>
        <v>302309000</v>
      </c>
      <c r="F4">
        <f>'Default Output 2017-2040'!F4</f>
        <v>16126900000000</v>
      </c>
      <c r="G4">
        <v>231746646.53983399</v>
      </c>
      <c r="H4">
        <f>'Default Output 2017-2040'!H4</f>
        <v>213546000</v>
      </c>
      <c r="I4">
        <f>'Default Output 2017-2040'!I4</f>
        <v>129178000</v>
      </c>
      <c r="J4">
        <f>'Default Output 2017-2040'!J4</f>
        <v>58044100</v>
      </c>
      <c r="K4">
        <f>'Default Output 2017-2040'!K4</f>
        <v>13657000000</v>
      </c>
      <c r="L4">
        <f>'Default Output 2017-2040'!L4</f>
        <v>336848000</v>
      </c>
      <c r="M4">
        <f>'Default Output 2017-2040'!M4</f>
        <v>1268190000</v>
      </c>
      <c r="N4">
        <f>'Default Output 2017-2040'!N4</f>
        <v>4105960</v>
      </c>
      <c r="O4">
        <f>'Default Output 2017-2040'!O4</f>
        <v>44802800000</v>
      </c>
      <c r="Q4">
        <v>2017</v>
      </c>
      <c r="R4">
        <v>20</v>
      </c>
      <c r="S4">
        <f t="shared" ref="S4:S6" si="0">C4/$O4</f>
        <v>0.27524842197362664</v>
      </c>
      <c r="T4">
        <f t="shared" ref="T4:T6" si="1">D4/$O4</f>
        <v>2.5085932129241921E-2</v>
      </c>
      <c r="U4">
        <f t="shared" ref="U4:U6" si="2">E4/$O4</f>
        <v>6.7475470283107309E-3</v>
      </c>
      <c r="V4">
        <f t="shared" ref="V4:V6" si="3">F4/$O4</f>
        <v>359.95294936923585</v>
      </c>
      <c r="W4">
        <f t="shared" ref="W4:W6" si="4">G4/$O4</f>
        <v>5.1725929303488623E-3</v>
      </c>
      <c r="X4">
        <f t="shared" ref="X4" si="5">H4/$O4</f>
        <v>4.7663538885962487E-3</v>
      </c>
      <c r="Y4">
        <f>K4/$O4</f>
        <v>0.30482469845634647</v>
      </c>
      <c r="Z4">
        <f t="shared" ref="Z4:AA4" si="6">L4/$O4</f>
        <v>7.5184586677618367E-3</v>
      </c>
      <c r="AA4">
        <f t="shared" si="6"/>
        <v>2.8306043372289234E-2</v>
      </c>
    </row>
    <row r="5" spans="1:46">
      <c r="A5">
        <f>'Default Output 2017-2040'!A5</f>
        <v>2017</v>
      </c>
      <c r="B5">
        <f>'Default Output 2017-2040'!B5</f>
        <v>30</v>
      </c>
      <c r="C5">
        <f>'Default Output 2017-2040'!C5</f>
        <v>27983300000</v>
      </c>
      <c r="D5">
        <f>'Default Output 2017-2040'!D5</f>
        <v>1696240000</v>
      </c>
      <c r="E5">
        <f>'Default Output 2017-2040'!E5</f>
        <v>659463000</v>
      </c>
      <c r="F5">
        <f>'Default Output 2017-2040'!F5</f>
        <v>25893700000000</v>
      </c>
      <c r="G5">
        <v>396248401.95337898</v>
      </c>
      <c r="H5">
        <f>'Default Output 2017-2040'!H5</f>
        <v>340378000</v>
      </c>
      <c r="I5">
        <f>'Default Output 2017-2040'!I5</f>
        <v>169185000</v>
      </c>
      <c r="J5">
        <f>'Default Output 2017-2040'!J5</f>
        <v>70930400</v>
      </c>
      <c r="K5">
        <f>'Default Output 2017-2040'!K5</f>
        <v>19668000000</v>
      </c>
      <c r="L5">
        <f>'Default Output 2017-2040'!L5</f>
        <v>540472000</v>
      </c>
      <c r="M5">
        <f>'Default Output 2017-2040'!M5</f>
        <v>1706670000</v>
      </c>
      <c r="N5">
        <f>'Default Output 2017-2040'!N5</f>
        <v>4597960</v>
      </c>
      <c r="O5">
        <f>'Default Output 2017-2040'!O5</f>
        <v>55294200000</v>
      </c>
      <c r="Q5">
        <v>2017</v>
      </c>
      <c r="R5">
        <v>30</v>
      </c>
      <c r="S5">
        <f t="shared" si="0"/>
        <v>0.50608020371033491</v>
      </c>
      <c r="T5">
        <f t="shared" si="1"/>
        <v>3.067663516245827E-2</v>
      </c>
      <c r="U5">
        <f t="shared" si="2"/>
        <v>1.1926440747854206E-2</v>
      </c>
      <c r="V5">
        <f t="shared" si="3"/>
        <v>468.28962169630813</v>
      </c>
      <c r="W5">
        <f t="shared" si="4"/>
        <v>7.1661838303724258E-3</v>
      </c>
      <c r="X5">
        <f t="shared" ref="X5:X6" si="7">H5/$O5</f>
        <v>6.1557631722676158E-3</v>
      </c>
      <c r="Y5">
        <f t="shared" ref="Y5:Y6" si="8">K5/$O5</f>
        <v>0.35569734257842595</v>
      </c>
      <c r="Z5">
        <f t="shared" ref="Z5:Z6" si="9">L5/$O5</f>
        <v>9.7744790592865071E-3</v>
      </c>
      <c r="AA5">
        <f t="shared" ref="AA5:AA6" si="10">M5/$O5</f>
        <v>3.0865262541098344E-2</v>
      </c>
    </row>
    <row r="6" spans="1:46">
      <c r="A6">
        <f>'Default Output 2017-2040'!A6</f>
        <v>2017</v>
      </c>
      <c r="B6">
        <f>'Default Output 2017-2040'!B6</f>
        <v>41</v>
      </c>
      <c r="C6">
        <f>'Default Output 2017-2040'!C6</f>
        <v>14451200000</v>
      </c>
      <c r="D6">
        <f>'Default Output 2017-2040'!D6</f>
        <v>473256000</v>
      </c>
      <c r="E6">
        <f>'Default Output 2017-2040'!E6</f>
        <v>134292000</v>
      </c>
      <c r="F6">
        <f>'Default Output 2017-2040'!F6</f>
        <v>4065490000000</v>
      </c>
      <c r="G6">
        <v>67348825.71875</v>
      </c>
      <c r="H6">
        <f>'Default Output 2017-2040'!H6</f>
        <v>481608000</v>
      </c>
      <c r="I6">
        <f>'Default Output 2017-2040'!I6</f>
        <v>16846700</v>
      </c>
      <c r="J6">
        <f>'Default Output 2017-2040'!J6</f>
        <v>9443500</v>
      </c>
      <c r="K6">
        <f>'Default Output 2017-2040'!K6</f>
        <v>4458510000</v>
      </c>
      <c r="L6">
        <f>'Default Output 2017-2040'!L6</f>
        <v>46724900</v>
      </c>
      <c r="M6">
        <f>'Default Output 2017-2040'!M6</f>
        <v>230167000</v>
      </c>
      <c r="N6">
        <f>'Default Output 2017-2040'!N6</f>
        <v>470936</v>
      </c>
      <c r="O6">
        <f>'Default Output 2017-2040'!O6</f>
        <v>5363140000</v>
      </c>
      <c r="Q6">
        <v>2017</v>
      </c>
      <c r="R6">
        <v>41</v>
      </c>
      <c r="S6">
        <f t="shared" si="0"/>
        <v>2.6945408846310186</v>
      </c>
      <c r="T6">
        <f t="shared" si="1"/>
        <v>8.8242335646654763E-2</v>
      </c>
      <c r="U6">
        <f t="shared" si="2"/>
        <v>2.5039808768743683E-2</v>
      </c>
      <c r="V6">
        <f t="shared" si="3"/>
        <v>758.04286294968995</v>
      </c>
      <c r="W6">
        <f t="shared" si="4"/>
        <v>1.2557722848694981E-2</v>
      </c>
      <c r="X6">
        <f t="shared" si="7"/>
        <v>8.9799632304955676E-2</v>
      </c>
      <c r="Y6">
        <f t="shared" si="8"/>
        <v>0.83132455986604858</v>
      </c>
      <c r="Z6">
        <f t="shared" si="9"/>
        <v>8.712228284176806E-3</v>
      </c>
      <c r="AA6">
        <f t="shared" si="10"/>
        <v>4.2916463116756232E-2</v>
      </c>
    </row>
    <row r="7" spans="1:46">
      <c r="AE7" s="277" t="s">
        <v>82</v>
      </c>
      <c r="AF7" s="277"/>
      <c r="AG7" s="277"/>
      <c r="AH7" s="277"/>
      <c r="AI7" s="277"/>
      <c r="AJ7" s="277"/>
      <c r="AK7" s="277"/>
      <c r="AL7" s="277"/>
      <c r="AM7" s="277"/>
      <c r="AN7" s="277" t="s">
        <v>80</v>
      </c>
      <c r="AO7" s="277"/>
      <c r="AP7" s="277"/>
      <c r="AQ7" s="277"/>
    </row>
    <row r="8" spans="1:46">
      <c r="A8" t="str">
        <f>'Default Output 2017-2040'!A8</f>
        <v>yearID</v>
      </c>
      <c r="B8" t="str">
        <f>'Default Output 2017-2040'!B8</f>
        <v>regCalssID</v>
      </c>
      <c r="C8" t="str">
        <f>'Default Output 2017-2040'!C8</f>
        <v>NOx</v>
      </c>
      <c r="D8" t="str">
        <f>'Default Output 2017-2040'!D8</f>
        <v>CH4</v>
      </c>
      <c r="E8" t="str">
        <f>'Default Output 2017-2040'!E8</f>
        <v>N2O</v>
      </c>
      <c r="F8" t="str">
        <f>'Default Output 2017-2040'!F8</f>
        <v>CO2</v>
      </c>
      <c r="G8" t="str">
        <f>'Default Output 2017-2040'!G8</f>
        <v>Energy</v>
      </c>
      <c r="H8" t="str">
        <f>'Default Output 2017-2040'!H8</f>
        <v>PM25 Exh</v>
      </c>
      <c r="I8" t="str">
        <f>'Default Output 2017-2040'!I8</f>
        <v>PM25 BW</v>
      </c>
      <c r="J8" t="str">
        <f>'Default Output 2017-2040'!J8</f>
        <v>PM25 TW</v>
      </c>
      <c r="K8" s="29" t="s">
        <v>115</v>
      </c>
      <c r="L8" s="29" t="s">
        <v>116</v>
      </c>
      <c r="M8" s="29" t="s">
        <v>117</v>
      </c>
      <c r="N8" t="str">
        <f>'Default Output 2017-2040'!N8</f>
        <v>POP</v>
      </c>
      <c r="O8" t="str">
        <f>'Default Output 2017-2040'!O8</f>
        <v>VMT</v>
      </c>
      <c r="Q8" t="s">
        <v>0</v>
      </c>
      <c r="R8" t="s">
        <v>1</v>
      </c>
      <c r="S8" t="s">
        <v>2</v>
      </c>
      <c r="T8" t="s">
        <v>26</v>
      </c>
      <c r="U8" t="s">
        <v>21</v>
      </c>
      <c r="V8" t="s">
        <v>3</v>
      </c>
      <c r="W8" t="s">
        <v>22</v>
      </c>
      <c r="X8" t="s">
        <v>43</v>
      </c>
      <c r="Y8" s="29" t="s">
        <v>115</v>
      </c>
      <c r="Z8" s="29" t="s">
        <v>116</v>
      </c>
      <c r="AA8" s="29" t="s">
        <v>117</v>
      </c>
      <c r="AC8" t="str">
        <f t="shared" ref="AC8:AJ8" si="11">A8</f>
        <v>yearID</v>
      </c>
      <c r="AD8" t="str">
        <f t="shared" si="11"/>
        <v>regCalssID</v>
      </c>
      <c r="AE8" t="str">
        <f t="shared" si="11"/>
        <v>NOx</v>
      </c>
      <c r="AF8" t="str">
        <f t="shared" si="11"/>
        <v>CH4</v>
      </c>
      <c r="AG8" t="str">
        <f t="shared" si="11"/>
        <v>N2O</v>
      </c>
      <c r="AH8" t="str">
        <f t="shared" si="11"/>
        <v>CO2</v>
      </c>
      <c r="AI8" t="str">
        <f t="shared" si="11"/>
        <v>Energy</v>
      </c>
      <c r="AJ8" t="str">
        <f t="shared" si="11"/>
        <v>PM25 Exh</v>
      </c>
      <c r="AK8" s="29" t="s">
        <v>115</v>
      </c>
      <c r="AL8" s="29" t="s">
        <v>116</v>
      </c>
      <c r="AM8" s="29" t="s">
        <v>117</v>
      </c>
      <c r="AN8" t="str">
        <f>I8</f>
        <v>PM25 BW</v>
      </c>
      <c r="AO8" t="str">
        <f>J8</f>
        <v>PM25 TW</v>
      </c>
      <c r="AP8" t="str">
        <f t="shared" ref="AP8:AQ8" si="12">N8</f>
        <v>POP</v>
      </c>
      <c r="AQ8" t="str">
        <f t="shared" si="12"/>
        <v>VMT</v>
      </c>
      <c r="AR8" s="6"/>
      <c r="AS8" s="6"/>
      <c r="AT8" s="6"/>
    </row>
    <row r="9" spans="1:46">
      <c r="A9">
        <f>'Default Output 2017-2040'!A9</f>
        <v>2020</v>
      </c>
      <c r="B9">
        <f>'Default Output 2017-2040'!B9</f>
        <v>20</v>
      </c>
      <c r="C9">
        <f>'Default Output 2017-2040'!C9</f>
        <v>8227170000</v>
      </c>
      <c r="D9">
        <f>'Default Output 2017-2040'!D9</f>
        <v>786124000</v>
      </c>
      <c r="E9">
        <f>'Default Output 2017-2040'!E9</f>
        <v>264865000</v>
      </c>
      <c r="F9">
        <f>'Default Output 2017-2040'!F9</f>
        <v>15810200000000</v>
      </c>
      <c r="G9">
        <f>'Default Output 2017-2040'!G9</f>
        <v>208477000</v>
      </c>
      <c r="H9">
        <f>'Default Output 2017-2040'!H9</f>
        <v>189673000</v>
      </c>
      <c r="I9">
        <f>'Default Output 2017-2040'!I9</f>
        <v>135429000</v>
      </c>
      <c r="J9">
        <f>'Default Output 2017-2040'!J9</f>
        <v>60852900</v>
      </c>
      <c r="K9">
        <f>'Default Output 2017-2040'!K9</f>
        <v>11394800000</v>
      </c>
      <c r="L9">
        <f>'Default Output 2017-2040'!L9</f>
        <v>106281000</v>
      </c>
      <c r="M9">
        <f>'Default Output 2017-2040'!M9</f>
        <v>1183090000</v>
      </c>
      <c r="N9">
        <f>'Default Output 2017-2040'!N9</f>
        <v>4217010</v>
      </c>
      <c r="O9">
        <f>'Default Output 2017-2040'!O9</f>
        <v>46970800000</v>
      </c>
      <c r="Q9">
        <v>2020</v>
      </c>
      <c r="R9">
        <v>20</v>
      </c>
      <c r="S9">
        <f t="shared" ref="S9:S11" si="13">C9/$O9</f>
        <v>0.17515498990862408</v>
      </c>
      <c r="T9">
        <f t="shared" ref="T9:X11" si="14">D9/$O9</f>
        <v>1.6736440511977653E-2</v>
      </c>
      <c r="U9">
        <f t="shared" si="14"/>
        <v>5.6389288664446847E-3</v>
      </c>
      <c r="V9">
        <f t="shared" si="14"/>
        <v>336.59635347918282</v>
      </c>
      <c r="W9">
        <f t="shared" si="14"/>
        <v>4.4384383489316764E-3</v>
      </c>
      <c r="X9">
        <f t="shared" si="14"/>
        <v>4.038104524513102E-3</v>
      </c>
      <c r="Y9">
        <f>K9/$O9</f>
        <v>0.24259327071286843</v>
      </c>
      <c r="Z9">
        <f t="shared" ref="Z9:Z11" si="15">L9/$O9</f>
        <v>2.2627036371532954E-3</v>
      </c>
      <c r="AA9">
        <f t="shared" ref="AA9:AA11" si="16">M9/$O9</f>
        <v>2.5187776235448406E-2</v>
      </c>
      <c r="AC9">
        <f t="shared" ref="AC9:AC11" si="17">A9</f>
        <v>2020</v>
      </c>
      <c r="AD9">
        <f t="shared" ref="AD9:AD11" si="18">B9</f>
        <v>20</v>
      </c>
      <c r="AE9">
        <f t="shared" ref="AE9:AJ11" si="19">(S4-S9)/(S4-S19)</f>
        <v>0.4483199610317703</v>
      </c>
      <c r="AF9">
        <f t="shared" si="19"/>
        <v>0.51286577957841695</v>
      </c>
      <c r="AG9">
        <f t="shared" si="19"/>
        <v>0.41460403420562542</v>
      </c>
      <c r="AH9">
        <f t="shared" si="19"/>
        <v>0.25203002231361732</v>
      </c>
      <c r="AI9">
        <f t="shared" si="19"/>
        <v>0.44531884351231649</v>
      </c>
      <c r="AJ9">
        <f t="shared" si="19"/>
        <v>0.58734029848460068</v>
      </c>
      <c r="AK9">
        <f t="shared" ref="AK9" si="20">(Y4-Y9)/(Y4-Y19)</f>
        <v>0.39035841836815344</v>
      </c>
      <c r="AL9">
        <f t="shared" ref="AL9" si="21">(Z4-Z9)/(Z4-Z19)</f>
        <v>0.91796253623305624</v>
      </c>
      <c r="AM9">
        <f t="shared" ref="AM9" si="22">(AA4-AA9)/(AA4-AA19)</f>
        <v>0.55058537888698</v>
      </c>
      <c r="AN9">
        <f>(3/13)*('County Scale Output 2017-2040'!I9-'County Scale Output 2017-2040'!I4)/('County Scale Output 2017-2040'!I9-'County Scale Output 2017-2040'!I4)</f>
        <v>0.23076923076923078</v>
      </c>
      <c r="AO9">
        <f>(3/13)*('County Scale Output 2017-2040'!J9-'County Scale Output 2017-2040'!J4)/('County Scale Output 2017-2040'!J9-'County Scale Output 2017-2040'!J4)</f>
        <v>0.23076923076923078</v>
      </c>
      <c r="AP9">
        <f>(3/13)*('County Scale Output 2017-2040'!N9-'County Scale Output 2017-2040'!N4)/('County Scale Output 2017-2040'!N9-'County Scale Output 2017-2040'!N4)</f>
        <v>0.23076923076923078</v>
      </c>
      <c r="AQ9">
        <f>(3/13)*('County Scale Output 2017-2040'!O9-'County Scale Output 2017-2040'!O4)/('County Scale Output 2017-2040'!O9-'County Scale Output 2017-2040'!O4)</f>
        <v>0.23076923076923078</v>
      </c>
    </row>
    <row r="10" spans="1:46">
      <c r="A10">
        <f>'Default Output 2017-2040'!A10</f>
        <v>2020</v>
      </c>
      <c r="B10">
        <f>'Default Output 2017-2040'!B10</f>
        <v>30</v>
      </c>
      <c r="C10">
        <f>'Default Output 2017-2040'!C10</f>
        <v>17801000000</v>
      </c>
      <c r="D10">
        <f>'Default Output 2017-2040'!D10</f>
        <v>1148800000</v>
      </c>
      <c r="E10">
        <f>'Default Output 2017-2040'!E10</f>
        <v>537673000</v>
      </c>
      <c r="F10">
        <f>'Default Output 2017-2040'!F10</f>
        <v>25030600000000</v>
      </c>
      <c r="G10">
        <f>'Default Output 2017-2040'!G10</f>
        <v>330048000</v>
      </c>
      <c r="H10">
        <f>'Default Output 2017-2040'!H10</f>
        <v>328521000</v>
      </c>
      <c r="I10">
        <f>'Default Output 2017-2040'!I10</f>
        <v>176589000</v>
      </c>
      <c r="J10">
        <f>'Default Output 2017-2040'!J10</f>
        <v>74033600</v>
      </c>
      <c r="K10">
        <f>'Default Output 2017-2040'!K10</f>
        <v>15686700000</v>
      </c>
      <c r="L10">
        <f>'Default Output 2017-2040'!L10</f>
        <v>167990000</v>
      </c>
      <c r="M10">
        <f>'Default Output 2017-2040'!M10</f>
        <v>1581290000</v>
      </c>
      <c r="N10">
        <f>'Default Output 2017-2040'!N10</f>
        <v>4694370</v>
      </c>
      <c r="O10">
        <f>'Default Output 2017-2040'!O10</f>
        <v>57712700000</v>
      </c>
      <c r="Q10">
        <v>2020</v>
      </c>
      <c r="R10">
        <v>30</v>
      </c>
      <c r="S10">
        <f t="shared" si="13"/>
        <v>0.30844164282731529</v>
      </c>
      <c r="T10">
        <f t="shared" si="14"/>
        <v>1.9905497403517769E-2</v>
      </c>
      <c r="U10">
        <f t="shared" si="14"/>
        <v>9.3163723062688105E-3</v>
      </c>
      <c r="V10">
        <f t="shared" si="14"/>
        <v>433.71043115293514</v>
      </c>
      <c r="W10">
        <f t="shared" si="14"/>
        <v>5.7188105910830718E-3</v>
      </c>
      <c r="X10">
        <f t="shared" si="14"/>
        <v>5.6923519433330965E-3</v>
      </c>
      <c r="Y10">
        <f t="shared" ref="Y10:Y11" si="23">K10/$O10</f>
        <v>0.27180672538280137</v>
      </c>
      <c r="Z10">
        <f t="shared" si="15"/>
        <v>2.9107977966721364E-3</v>
      </c>
      <c r="AA10">
        <f t="shared" si="16"/>
        <v>2.7399341912611955E-2</v>
      </c>
      <c r="AC10">
        <f t="shared" si="17"/>
        <v>2020</v>
      </c>
      <c r="AD10">
        <f t="shared" si="18"/>
        <v>30</v>
      </c>
      <c r="AE10">
        <f t="shared" si="19"/>
        <v>0.45705357233017613</v>
      </c>
      <c r="AF10">
        <f t="shared" si="19"/>
        <v>0.51452877790705687</v>
      </c>
      <c r="AG10">
        <f t="shared" si="19"/>
        <v>0.4219413209618092</v>
      </c>
      <c r="AH10">
        <f t="shared" si="19"/>
        <v>0.30626193796835816</v>
      </c>
      <c r="AI10">
        <f t="shared" si="19"/>
        <v>0.58330453486964651</v>
      </c>
      <c r="AJ10">
        <f t="shared" si="19"/>
        <v>0.31852697753536452</v>
      </c>
      <c r="AK10">
        <f t="shared" ref="AK10:AK11" si="24">(Y5-Y10)/(Y5-Y20)</f>
        <v>0.42081489308370812</v>
      </c>
      <c r="AL10">
        <f t="shared" ref="AL10:AL11" si="25">(Z5-Z10)/(Z5-Z20)</f>
        <v>0.9274486228142913</v>
      </c>
      <c r="AM10">
        <f t="shared" ref="AM10:AM11" si="26">(AA5-AA10)/(AA5-AA20)</f>
        <v>0.49278632035197351</v>
      </c>
      <c r="AN10">
        <f>(3/13)*('County Scale Output 2017-2040'!I10-'County Scale Output 2017-2040'!I5)/('County Scale Output 2017-2040'!I10-'County Scale Output 2017-2040'!I5)</f>
        <v>0.23076923076923078</v>
      </c>
      <c r="AO10">
        <f>(3/13)*('County Scale Output 2017-2040'!J10-'County Scale Output 2017-2040'!J5)/('County Scale Output 2017-2040'!J10-'County Scale Output 2017-2040'!J5)</f>
        <v>0.23076923076923075</v>
      </c>
      <c r="AP10">
        <f>(3/13)*('County Scale Output 2017-2040'!N10-'County Scale Output 2017-2040'!N5)/('County Scale Output 2017-2040'!N10-'County Scale Output 2017-2040'!N5)</f>
        <v>0.23076923076923078</v>
      </c>
      <c r="AQ10">
        <f>(3/13)*('County Scale Output 2017-2040'!O10-'County Scale Output 2017-2040'!O5)/('County Scale Output 2017-2040'!O10-'County Scale Output 2017-2040'!O5)</f>
        <v>0.23076923076923081</v>
      </c>
    </row>
    <row r="11" spans="1:46">
      <c r="A11">
        <f>'Default Output 2017-2040'!A11</f>
        <v>2020</v>
      </c>
      <c r="B11">
        <f>'Default Output 2017-2040'!B11</f>
        <v>41</v>
      </c>
      <c r="C11">
        <f>'Default Output 2017-2040'!C11</f>
        <v>9035440000</v>
      </c>
      <c r="D11">
        <f>'Default Output 2017-2040'!D11</f>
        <v>338767000</v>
      </c>
      <c r="E11">
        <f>'Default Output 2017-2040'!E11</f>
        <v>99814600</v>
      </c>
      <c r="F11">
        <f>'Default Output 2017-2040'!F11</f>
        <v>3771780000000</v>
      </c>
      <c r="G11">
        <f>'Default Output 2017-2040'!G11</f>
        <v>49066500</v>
      </c>
      <c r="H11">
        <f>'Default Output 2017-2040'!H11</f>
        <v>318006000</v>
      </c>
      <c r="I11">
        <f>'Default Output 2017-2040'!I11</f>
        <v>16226000</v>
      </c>
      <c r="J11">
        <f>'Default Output 2017-2040'!J11</f>
        <v>9074920</v>
      </c>
      <c r="K11">
        <f>'Default Output 2017-2040'!K11</f>
        <v>3075270000</v>
      </c>
      <c r="L11">
        <f>'Default Output 2017-2040'!L11</f>
        <v>18417600</v>
      </c>
      <c r="M11">
        <f>'Default Output 2017-2040'!M11</f>
        <v>205112000</v>
      </c>
      <c r="N11">
        <f>'Default Output 2017-2040'!N11</f>
        <v>446670</v>
      </c>
      <c r="O11">
        <f>'Default Output 2017-2040'!O11</f>
        <v>5157140000</v>
      </c>
      <c r="Q11">
        <v>2020</v>
      </c>
      <c r="R11">
        <v>41</v>
      </c>
      <c r="S11">
        <f t="shared" si="13"/>
        <v>1.7520253473824638</v>
      </c>
      <c r="T11">
        <f t="shared" si="14"/>
        <v>6.568892835951709E-2</v>
      </c>
      <c r="U11">
        <f t="shared" si="14"/>
        <v>1.9354642301740888E-2</v>
      </c>
      <c r="V11">
        <f t="shared" si="14"/>
        <v>731.37048829389937</v>
      </c>
      <c r="W11">
        <f t="shared" si="14"/>
        <v>9.5142850494654013E-3</v>
      </c>
      <c r="X11">
        <f t="shared" si="14"/>
        <v>6.1663247458862855E-2</v>
      </c>
      <c r="Y11">
        <f t="shared" si="23"/>
        <v>0.59631307274962475</v>
      </c>
      <c r="Z11">
        <f t="shared" si="15"/>
        <v>3.5712817569428018E-3</v>
      </c>
      <c r="AA11">
        <f t="shared" si="16"/>
        <v>3.9772432006887536E-2</v>
      </c>
      <c r="AC11">
        <f t="shared" si="17"/>
        <v>2020</v>
      </c>
      <c r="AD11">
        <f t="shared" si="18"/>
        <v>41</v>
      </c>
      <c r="AE11">
        <f t="shared" si="19"/>
        <v>0.45067568062372892</v>
      </c>
      <c r="AF11">
        <f t="shared" si="19"/>
        <v>0.47126007272087744</v>
      </c>
      <c r="AG11">
        <f t="shared" si="19"/>
        <v>0.36372012957778582</v>
      </c>
      <c r="AH11">
        <f t="shared" si="19"/>
        <v>0.18089161361484146</v>
      </c>
      <c r="AI11">
        <f t="shared" si="19"/>
        <v>0.6575904992778896</v>
      </c>
      <c r="AJ11">
        <f t="shared" si="19"/>
        <v>0.37695948315588396</v>
      </c>
      <c r="AK11">
        <f t="shared" si="24"/>
        <v>0.3935970437925202</v>
      </c>
      <c r="AL11">
        <f t="shared" si="25"/>
        <v>0.87292841050729808</v>
      </c>
      <c r="AM11">
        <f t="shared" si="26"/>
        <v>0.34106038646273501</v>
      </c>
      <c r="AN11">
        <f>(3/13)*('County Scale Output 2017-2040'!I11-'County Scale Output 2017-2040'!I6)/('County Scale Output 2017-2040'!I11-'County Scale Output 2017-2040'!I6)</f>
        <v>0.23076923076923075</v>
      </c>
      <c r="AO11">
        <f>(3/13)*('County Scale Output 2017-2040'!J11-'County Scale Output 2017-2040'!J6)/('County Scale Output 2017-2040'!J11-'County Scale Output 2017-2040'!J6)</f>
        <v>0.23076923076923078</v>
      </c>
      <c r="AP11">
        <f>(3/13)*('County Scale Output 2017-2040'!N11-'County Scale Output 2017-2040'!N6)/('County Scale Output 2017-2040'!N11-'County Scale Output 2017-2040'!N6)</f>
        <v>0.23076923076923075</v>
      </c>
      <c r="AQ11">
        <f>(3/13)*('County Scale Output 2017-2040'!O11-'County Scale Output 2017-2040'!O6)/('County Scale Output 2017-2040'!O11-'County Scale Output 2017-2040'!O6)</f>
        <v>0.23076923076923078</v>
      </c>
    </row>
    <row r="13" spans="1:46">
      <c r="A13" t="str">
        <f>'Default Output 2017-2040'!A13</f>
        <v>yearID</v>
      </c>
      <c r="B13" t="str">
        <f>'Default Output 2017-2040'!B13</f>
        <v>regCalssID</v>
      </c>
      <c r="C13" t="str">
        <f>'Default Output 2017-2040'!C13</f>
        <v>NOx</v>
      </c>
      <c r="D13" t="str">
        <f>'Default Output 2017-2040'!D13</f>
        <v>CH4</v>
      </c>
      <c r="E13" t="str">
        <f>'Default Output 2017-2040'!E13</f>
        <v>N2O</v>
      </c>
      <c r="F13" t="str">
        <f>'Default Output 2017-2040'!F13</f>
        <v>CO2</v>
      </c>
      <c r="G13" t="str">
        <f>'Default Output 2017-2040'!G13</f>
        <v>Energy</v>
      </c>
      <c r="H13" t="str">
        <f>'Default Output 2017-2040'!H13</f>
        <v>PM25 Exh</v>
      </c>
      <c r="I13" t="str">
        <f>'Default Output 2017-2040'!I13</f>
        <v>PM25 BW</v>
      </c>
      <c r="J13" t="str">
        <f>'Default Output 2017-2040'!J13</f>
        <v>PM25 TW</v>
      </c>
      <c r="K13" s="29" t="s">
        <v>115</v>
      </c>
      <c r="L13" s="29" t="s">
        <v>116</v>
      </c>
      <c r="M13" s="29" t="s">
        <v>117</v>
      </c>
      <c r="N13" t="str">
        <f>'Default Output 2017-2040'!N13</f>
        <v>POP</v>
      </c>
      <c r="O13" t="str">
        <f>'Default Output 2017-2040'!O13</f>
        <v>VMT</v>
      </c>
      <c r="Q13" t="s">
        <v>0</v>
      </c>
      <c r="R13" t="s">
        <v>1</v>
      </c>
      <c r="S13" t="s">
        <v>2</v>
      </c>
      <c r="T13" t="s">
        <v>26</v>
      </c>
      <c r="U13" t="s">
        <v>21</v>
      </c>
      <c r="V13" t="s">
        <v>3</v>
      </c>
      <c r="W13" t="s">
        <v>22</v>
      </c>
      <c r="X13" t="s">
        <v>43</v>
      </c>
      <c r="Y13" s="29" t="s">
        <v>115</v>
      </c>
      <c r="Z13" s="29" t="s">
        <v>116</v>
      </c>
      <c r="AA13" s="29" t="s">
        <v>117</v>
      </c>
      <c r="AC13" t="str">
        <f t="shared" ref="AC13:AJ13" si="27">A13</f>
        <v>yearID</v>
      </c>
      <c r="AD13" t="str">
        <f t="shared" si="27"/>
        <v>regCalssID</v>
      </c>
      <c r="AE13" t="str">
        <f t="shared" si="27"/>
        <v>NOx</v>
      </c>
      <c r="AF13" t="str">
        <f t="shared" si="27"/>
        <v>CH4</v>
      </c>
      <c r="AG13" t="str">
        <f t="shared" si="27"/>
        <v>N2O</v>
      </c>
      <c r="AH13" t="str">
        <f t="shared" si="27"/>
        <v>CO2</v>
      </c>
      <c r="AI13" t="str">
        <f t="shared" si="27"/>
        <v>Energy</v>
      </c>
      <c r="AJ13" t="str">
        <f t="shared" si="27"/>
        <v>PM25 Exh</v>
      </c>
      <c r="AK13" s="29" t="s">
        <v>115</v>
      </c>
      <c r="AL13" s="29" t="s">
        <v>116</v>
      </c>
      <c r="AM13" s="29" t="s">
        <v>117</v>
      </c>
      <c r="AN13" t="str">
        <f>I13</f>
        <v>PM25 BW</v>
      </c>
      <c r="AO13" t="str">
        <f>J13</f>
        <v>PM25 TW</v>
      </c>
      <c r="AP13" t="str">
        <f t="shared" ref="AP13:AQ13" si="28">N13</f>
        <v>POP</v>
      </c>
      <c r="AQ13" t="str">
        <f t="shared" si="28"/>
        <v>VMT</v>
      </c>
    </row>
    <row r="14" spans="1:46">
      <c r="A14">
        <f>'Default Output 2017-2040'!A14</f>
        <v>2025</v>
      </c>
      <c r="B14">
        <f>'Default Output 2017-2040'!B14</f>
        <v>20</v>
      </c>
      <c r="C14">
        <f>'Default Output 2017-2040'!C14</f>
        <v>4606290000</v>
      </c>
      <c r="D14">
        <f>'Default Output 2017-2040'!D14</f>
        <v>584305000</v>
      </c>
      <c r="E14">
        <f>'Default Output 2017-2040'!E14</f>
        <v>222874000</v>
      </c>
      <c r="F14">
        <f>'Default Output 2017-2040'!F14</f>
        <v>14460000000000</v>
      </c>
      <c r="G14">
        <f>'Default Output 2017-2040'!G14</f>
        <v>190669000</v>
      </c>
      <c r="H14">
        <f>'Default Output 2017-2040'!H14</f>
        <v>178462000</v>
      </c>
      <c r="I14">
        <f>'Default Output 2017-2040'!I14</f>
        <v>139870000</v>
      </c>
      <c r="J14">
        <f>'Default Output 2017-2040'!J14</f>
        <v>62848800</v>
      </c>
      <c r="K14">
        <f>'Default Output 2017-2040'!K14</f>
        <v>9380290000</v>
      </c>
      <c r="L14">
        <f>'Default Output 2017-2040'!L14</f>
        <v>97179500</v>
      </c>
      <c r="M14">
        <f>'Default Output 2017-2040'!M14</f>
        <v>1164200000</v>
      </c>
      <c r="N14">
        <f>'Default Output 2017-2040'!N14</f>
        <v>4378930</v>
      </c>
      <c r="O14">
        <f>'Default Output 2017-2040'!O14</f>
        <v>48511500000</v>
      </c>
      <c r="Q14">
        <v>2025</v>
      </c>
      <c r="R14">
        <v>20</v>
      </c>
      <c r="S14">
        <f t="shared" ref="S14:S16" si="29">C14/$O14</f>
        <v>9.4952537027302802E-2</v>
      </c>
      <c r="T14">
        <f t="shared" ref="T14:X16" si="30">D14/$O14</f>
        <v>1.2044669820558011E-2</v>
      </c>
      <c r="U14">
        <f t="shared" si="30"/>
        <v>4.5942508477371342E-3</v>
      </c>
      <c r="V14">
        <f t="shared" si="30"/>
        <v>298.07365263906496</v>
      </c>
      <c r="W14">
        <f t="shared" si="30"/>
        <v>3.9303876400441137E-3</v>
      </c>
      <c r="X14">
        <f t="shared" si="30"/>
        <v>3.6787565834905125E-3</v>
      </c>
      <c r="Y14">
        <f>K14/$O14</f>
        <v>0.19336219246982675</v>
      </c>
      <c r="Z14">
        <f t="shared" ref="Z14:Z16" si="31">L14/$O14</f>
        <v>2.0032260391865844E-3</v>
      </c>
      <c r="AA14">
        <f t="shared" ref="AA14:AA16" si="32">M14/$O14</f>
        <v>2.3998433361161788E-2</v>
      </c>
      <c r="AC14">
        <f t="shared" ref="AC14:AD16" si="33">A14</f>
        <v>2025</v>
      </c>
      <c r="AD14">
        <f t="shared" si="33"/>
        <v>20</v>
      </c>
      <c r="AE14">
        <f t="shared" ref="AE14:AJ16" si="34">(S9-S14)/(S4-S19)</f>
        <v>0.35922797139232476</v>
      </c>
      <c r="AF14">
        <f t="shared" si="34"/>
        <v>0.28819103528203988</v>
      </c>
      <c r="AG14">
        <f t="shared" si="34"/>
        <v>0.39069152563136961</v>
      </c>
      <c r="AH14">
        <f t="shared" si="34"/>
        <v>0.4156803156598034</v>
      </c>
      <c r="AI14">
        <f t="shared" si="34"/>
        <v>0.30817018629875947</v>
      </c>
      <c r="AJ14">
        <f t="shared" si="34"/>
        <v>0.289817660473696</v>
      </c>
      <c r="AK14">
        <f t="shared" ref="AK14" si="35">(Y9-Y14)/(Y4-Y19)</f>
        <v>0.30881126360670103</v>
      </c>
      <c r="AL14">
        <f t="shared" ref="AL14" si="36">(Z9-Z14)/(Z4-Z19)</f>
        <v>4.5319980200371764E-2</v>
      </c>
      <c r="AM14">
        <f t="shared" ref="AM14" si="37">(AA9-AA14)/(AA4-AA19)</f>
        <v>0.20999958256592871</v>
      </c>
      <c r="AN14">
        <f>(8/13)*('County Scale Output 2017-2040'!I14-'County Scale Output 2017-2040'!I9)/('County Scale Output 2017-2040'!I14-'County Scale Output 2017-2040'!I9)</f>
        <v>0.61538461538461542</v>
      </c>
      <c r="AO14">
        <f>(8/13)*('County Scale Output 2017-2040'!J14-'County Scale Output 2017-2040'!J9)/('County Scale Output 2017-2040'!J14-'County Scale Output 2017-2040'!J9)</f>
        <v>0.61538461538461542</v>
      </c>
      <c r="AP14">
        <f>(8/13)*('County Scale Output 2017-2040'!N14-'County Scale Output 2017-2040'!N9)/('County Scale Output 2017-2040'!N14-'County Scale Output 2017-2040'!N9)</f>
        <v>0.61538461538461542</v>
      </c>
      <c r="AQ14">
        <f>(8/13)*('County Scale Output 2017-2040'!O14-'County Scale Output 2017-2040'!O9)/('County Scale Output 2017-2040'!O14-'County Scale Output 2017-2040'!O9)</f>
        <v>0.61538461538461542</v>
      </c>
    </row>
    <row r="15" spans="1:46">
      <c r="A15">
        <f>'Default Output 2017-2040'!A15</f>
        <v>2025</v>
      </c>
      <c r="B15">
        <f>'Default Output 2017-2040'!B15</f>
        <v>30</v>
      </c>
      <c r="C15">
        <f>'Default Output 2017-2040'!C15</f>
        <v>9717230000</v>
      </c>
      <c r="D15">
        <f>'Default Output 2017-2040'!D15</f>
        <v>819690000</v>
      </c>
      <c r="E15">
        <f>'Default Output 2017-2040'!E15</f>
        <v>410243000</v>
      </c>
      <c r="F15">
        <f>'Default Output 2017-2040'!F15</f>
        <v>22855300000000</v>
      </c>
      <c r="G15">
        <f>'Default Output 2017-2040'!G15</f>
        <v>301324000</v>
      </c>
      <c r="H15">
        <f>'Default Output 2017-2040'!H15</f>
        <v>303250000</v>
      </c>
      <c r="I15">
        <f>'Default Output 2017-2040'!I15</f>
        <v>180206000</v>
      </c>
      <c r="J15">
        <f>'Default Output 2017-2040'!J15</f>
        <v>75549600</v>
      </c>
      <c r="K15">
        <f>'Default Output 2017-2040'!K15</f>
        <v>12159300000</v>
      </c>
      <c r="L15">
        <f>'Default Output 2017-2040'!L15</f>
        <v>152982000</v>
      </c>
      <c r="M15">
        <f>'Default Output 2017-2040'!M15</f>
        <v>1496800000</v>
      </c>
      <c r="N15">
        <f>'Default Output 2017-2040'!N15</f>
        <v>4838470</v>
      </c>
      <c r="O15">
        <f>'Default Output 2017-2040'!O15</f>
        <v>58894500000</v>
      </c>
      <c r="Q15">
        <v>2025</v>
      </c>
      <c r="R15">
        <v>30</v>
      </c>
      <c r="S15">
        <f t="shared" si="29"/>
        <v>0.16499384492609667</v>
      </c>
      <c r="T15">
        <f t="shared" si="30"/>
        <v>1.3917938007793597E-2</v>
      </c>
      <c r="U15">
        <f t="shared" si="30"/>
        <v>6.9657268505548056E-3</v>
      </c>
      <c r="V15">
        <f t="shared" si="30"/>
        <v>388.07189126319093</v>
      </c>
      <c r="W15">
        <f t="shared" si="30"/>
        <v>5.1163351416515972E-3</v>
      </c>
      <c r="X15">
        <f t="shared" si="30"/>
        <v>5.149037686031803E-3</v>
      </c>
      <c r="Y15">
        <f t="shared" ref="Y15:Y16" si="38">K15/$O15</f>
        <v>0.20645900720780377</v>
      </c>
      <c r="Z15">
        <f t="shared" si="31"/>
        <v>2.5975600438071468E-3</v>
      </c>
      <c r="AA15">
        <f t="shared" si="32"/>
        <v>2.5414936878655901E-2</v>
      </c>
      <c r="AC15">
        <f t="shared" si="33"/>
        <v>2025</v>
      </c>
      <c r="AD15">
        <f t="shared" si="33"/>
        <v>30</v>
      </c>
      <c r="AE15">
        <f t="shared" si="34"/>
        <v>0.33173348450181955</v>
      </c>
      <c r="AF15">
        <f t="shared" si="34"/>
        <v>0.2860210023746752</v>
      </c>
      <c r="AG15">
        <f t="shared" si="34"/>
        <v>0.38000323397434971</v>
      </c>
      <c r="AH15">
        <f t="shared" si="34"/>
        <v>0.40421269130482879</v>
      </c>
      <c r="AI15">
        <f t="shared" si="34"/>
        <v>0.2428030671435894</v>
      </c>
      <c r="AJ15">
        <f t="shared" si="34"/>
        <v>0.37344854294522517</v>
      </c>
      <c r="AK15">
        <f t="shared" ref="AK15:AK16" si="39">(Y10-Y15)/(Y5-Y20)</f>
        <v>0.32779938873199954</v>
      </c>
      <c r="AL15">
        <f t="shared" ref="AL15:AL16" si="40">(Z10-Z15)/(Z5-Z20)</f>
        <v>4.2325963487037301E-2</v>
      </c>
      <c r="AM15">
        <f t="shared" ref="AM15:AM16" si="41">(AA10-AA15)/(AA5-AA20)</f>
        <v>0.28214369559818603</v>
      </c>
      <c r="AN15">
        <f>(8/13)*('County Scale Output 2017-2040'!I15-'County Scale Output 2017-2040'!I10)/('County Scale Output 2017-2040'!I15-'County Scale Output 2017-2040'!I10)</f>
        <v>0.61538461538461542</v>
      </c>
      <c r="AO15">
        <f>(8/13)*('County Scale Output 2017-2040'!J15-'County Scale Output 2017-2040'!J10)/('County Scale Output 2017-2040'!J15-'County Scale Output 2017-2040'!J10)</f>
        <v>0.61538461538461542</v>
      </c>
      <c r="AP15">
        <f>(8/13)*('County Scale Output 2017-2040'!N15-'County Scale Output 2017-2040'!N10)/('County Scale Output 2017-2040'!N15-'County Scale Output 2017-2040'!N10)</f>
        <v>0.61538461538461542</v>
      </c>
      <c r="AQ15">
        <f>(8/13)*('County Scale Output 2017-2040'!O15-'County Scale Output 2017-2040'!O10)/('County Scale Output 2017-2040'!O15-'County Scale Output 2017-2040'!O10)</f>
        <v>0.61538461538461542</v>
      </c>
    </row>
    <row r="16" spans="1:46">
      <c r="A16">
        <f>'Default Output 2017-2040'!A16</f>
        <v>2025</v>
      </c>
      <c r="B16">
        <f>'Default Output 2017-2040'!B16</f>
        <v>41</v>
      </c>
      <c r="C16">
        <f>'Default Output 2017-2040'!C16</f>
        <v>5190900000</v>
      </c>
      <c r="D16">
        <f>'Default Output 2017-2040'!D16</f>
        <v>258023000</v>
      </c>
      <c r="E16">
        <f>'Default Output 2017-2040'!E16</f>
        <v>65634100</v>
      </c>
      <c r="F16">
        <f>'Default Output 2017-2040'!F16</f>
        <v>3433360000000</v>
      </c>
      <c r="G16">
        <f>'Default Output 2017-2040'!G16</f>
        <v>44620100</v>
      </c>
      <c r="H16">
        <f>'Default Output 2017-2040'!H16</f>
        <v>168669000</v>
      </c>
      <c r="I16">
        <f>'Default Output 2017-2040'!I16</f>
        <v>16184200</v>
      </c>
      <c r="J16">
        <f>'Default Output 2017-2040'!J16</f>
        <v>9008170</v>
      </c>
      <c r="K16">
        <f>'Default Output 2017-2040'!K16</f>
        <v>1970200000</v>
      </c>
      <c r="L16">
        <f>'Default Output 2017-2040'!L16</f>
        <v>16246300</v>
      </c>
      <c r="M16">
        <f>'Default Output 2017-2040'!M16</f>
        <v>183035000</v>
      </c>
      <c r="N16">
        <f>'Default Output 2017-2040'!N16</f>
        <v>431499</v>
      </c>
      <c r="O16">
        <f>'Default Output 2017-2040'!O16</f>
        <v>5122810000</v>
      </c>
      <c r="Q16">
        <v>2025</v>
      </c>
      <c r="R16">
        <v>41</v>
      </c>
      <c r="S16">
        <f t="shared" si="29"/>
        <v>1.0132915333576689</v>
      </c>
      <c r="T16">
        <f t="shared" si="30"/>
        <v>5.0367474101128094E-2</v>
      </c>
      <c r="U16">
        <f t="shared" si="30"/>
        <v>1.2812128499788203E-2</v>
      </c>
      <c r="V16">
        <f t="shared" si="30"/>
        <v>670.21029474058184</v>
      </c>
      <c r="W16">
        <f t="shared" si="30"/>
        <v>8.7100829427599301E-3</v>
      </c>
      <c r="X16">
        <f t="shared" si="30"/>
        <v>3.292509384497961E-2</v>
      </c>
      <c r="Y16">
        <f t="shared" si="38"/>
        <v>0.38459361170919865</v>
      </c>
      <c r="Z16">
        <f t="shared" si="31"/>
        <v>3.1713649344793189E-3</v>
      </c>
      <c r="AA16">
        <f t="shared" si="32"/>
        <v>3.5729414130135612E-2</v>
      </c>
      <c r="AC16">
        <f t="shared" si="33"/>
        <v>2025</v>
      </c>
      <c r="AD16">
        <f t="shared" si="33"/>
        <v>41</v>
      </c>
      <c r="AE16">
        <f t="shared" si="34"/>
        <v>0.35323488184321511</v>
      </c>
      <c r="AF16">
        <f t="shared" si="34"/>
        <v>0.32014628903171638</v>
      </c>
      <c r="AG16">
        <f t="shared" si="34"/>
        <v>0.4185706753922413</v>
      </c>
      <c r="AH16">
        <f t="shared" si="34"/>
        <v>0.41478744369893489</v>
      </c>
      <c r="AI16">
        <f t="shared" si="34"/>
        <v>0.1737625999790933</v>
      </c>
      <c r="AJ16">
        <f t="shared" si="34"/>
        <v>0.38502172871182405</v>
      </c>
      <c r="AK16">
        <f t="shared" si="39"/>
        <v>0.35458757783007822</v>
      </c>
      <c r="AL16">
        <f t="shared" si="40"/>
        <v>6.7905541191459126E-2</v>
      </c>
      <c r="AM16">
        <f t="shared" si="41"/>
        <v>0.43858129621953551</v>
      </c>
      <c r="AN16">
        <f>(8/13)*('County Scale Output 2017-2040'!I16-'County Scale Output 2017-2040'!I11)/('County Scale Output 2017-2040'!I16-'County Scale Output 2017-2040'!I11)</f>
        <v>0.61538461538461542</v>
      </c>
      <c r="AO16">
        <f>(8/13)*('County Scale Output 2017-2040'!J16-'County Scale Output 2017-2040'!J11)/('County Scale Output 2017-2040'!J16-'County Scale Output 2017-2040'!J11)</f>
        <v>0.61538461538461542</v>
      </c>
      <c r="AP16">
        <f>(8/13)*('County Scale Output 2017-2040'!N16-'County Scale Output 2017-2040'!N11)/('County Scale Output 2017-2040'!N16-'County Scale Output 2017-2040'!N11)</f>
        <v>0.61538461538461542</v>
      </c>
      <c r="AQ16">
        <f>(8/13)*('County Scale Output 2017-2040'!O16-'County Scale Output 2017-2040'!O11)/('County Scale Output 2017-2040'!O16-'County Scale Output 2017-2040'!O11)</f>
        <v>0.61538461538461542</v>
      </c>
    </row>
    <row r="18" spans="1:43">
      <c r="A18" t="str">
        <f>'Default Output 2017-2040'!A18</f>
        <v>yearID</v>
      </c>
      <c r="B18" t="str">
        <f>'Default Output 2017-2040'!B18</f>
        <v>regCalssID</v>
      </c>
      <c r="C18" t="str">
        <f>'Default Output 2017-2040'!C18</f>
        <v>NOx</v>
      </c>
      <c r="D18" t="str">
        <f>'Default Output 2017-2040'!D18</f>
        <v>CH4</v>
      </c>
      <c r="E18" t="str">
        <f>'Default Output 2017-2040'!E18</f>
        <v>N2O</v>
      </c>
      <c r="F18" t="str">
        <f>'Default Output 2017-2040'!F18</f>
        <v>CO2</v>
      </c>
      <c r="G18" t="str">
        <f>'Default Output 2017-2040'!G18</f>
        <v>Energy</v>
      </c>
      <c r="H18" t="str">
        <f>'Default Output 2017-2040'!H18</f>
        <v>PM25 Exh</v>
      </c>
      <c r="I18" t="str">
        <f>'Default Output 2017-2040'!I18</f>
        <v>PM25 BW</v>
      </c>
      <c r="J18" t="str">
        <f>'Default Output 2017-2040'!J18</f>
        <v>PM25 TW</v>
      </c>
      <c r="K18" s="29" t="s">
        <v>115</v>
      </c>
      <c r="L18" s="29" t="s">
        <v>116</v>
      </c>
      <c r="M18" s="29" t="s">
        <v>117</v>
      </c>
      <c r="N18" t="str">
        <f>'Default Output 2017-2040'!N18</f>
        <v>POP</v>
      </c>
      <c r="O18" t="str">
        <f>'Default Output 2017-2040'!O18</f>
        <v>VMT</v>
      </c>
      <c r="Q18" t="s">
        <v>0</v>
      </c>
      <c r="R18" t="s">
        <v>1</v>
      </c>
      <c r="S18" t="s">
        <v>2</v>
      </c>
      <c r="T18" t="s">
        <v>26</v>
      </c>
      <c r="U18" t="s">
        <v>21</v>
      </c>
      <c r="V18" t="s">
        <v>3</v>
      </c>
      <c r="W18" t="s">
        <v>22</v>
      </c>
      <c r="X18" t="s">
        <v>43</v>
      </c>
      <c r="Y18" s="29" t="s">
        <v>115</v>
      </c>
      <c r="Z18" s="29" t="s">
        <v>116</v>
      </c>
      <c r="AA18" s="29" t="s">
        <v>117</v>
      </c>
    </row>
    <row r="19" spans="1:43">
      <c r="A19">
        <f>'Default Output 2017-2040'!A19</f>
        <v>2030</v>
      </c>
      <c r="B19">
        <f>'Default Output 2017-2040'!B19</f>
        <v>20</v>
      </c>
      <c r="C19">
        <f>'Default Output 2017-2040'!C19</f>
        <v>2668210000</v>
      </c>
      <c r="D19">
        <f>'Default Output 2017-2040'!D19</f>
        <v>451974000</v>
      </c>
      <c r="E19">
        <f>'Default Output 2017-2040'!E19</f>
        <v>209085000</v>
      </c>
      <c r="F19">
        <f>'Default Output 2017-2040'!F19</f>
        <v>13718500000000</v>
      </c>
      <c r="G19">
        <f>'Default Output 2017-2040'!G19</f>
        <v>180874000</v>
      </c>
      <c r="H19">
        <f>'Default Output 2017-2040'!H19</f>
        <v>181000000</v>
      </c>
      <c r="I19">
        <f>'Default Output 2017-2040'!I19</f>
        <v>147987000</v>
      </c>
      <c r="J19">
        <f>'Default Output 2017-2040'!J19</f>
        <v>66495900</v>
      </c>
      <c r="K19">
        <f>'Default Output 2017-2040'!K19</f>
        <v>7463050000</v>
      </c>
      <c r="L19">
        <f>'Default Output 2017-2040'!L19</f>
        <v>92028500</v>
      </c>
      <c r="M19">
        <f>'Default Output 2017-2040'!M19</f>
        <v>1162160000</v>
      </c>
      <c r="N19">
        <f>'Default Output 2017-2040'!N19</f>
        <v>4558240</v>
      </c>
      <c r="O19">
        <f>'Default Output 2017-2040'!O19</f>
        <v>51326500000</v>
      </c>
      <c r="Q19">
        <v>2030</v>
      </c>
      <c r="R19">
        <v>20</v>
      </c>
      <c r="S19">
        <f t="shared" ref="S19:S21" si="42">C19/$O19</f>
        <v>5.1985036969206942E-2</v>
      </c>
      <c r="T19">
        <f t="shared" ref="T19:X21" si="43">D19/$O19</f>
        <v>8.8058605203939488E-3</v>
      </c>
      <c r="U19">
        <f t="shared" si="43"/>
        <v>4.073626684071581E-3</v>
      </c>
      <c r="V19">
        <f t="shared" si="43"/>
        <v>267.27908585233746</v>
      </c>
      <c r="W19">
        <f t="shared" si="43"/>
        <v>3.5239885828957751E-3</v>
      </c>
      <c r="X19">
        <f t="shared" si="43"/>
        <v>3.5264434551352617E-3</v>
      </c>
      <c r="Y19">
        <f>K19/$O19</f>
        <v>0.14540344656269177</v>
      </c>
      <c r="Z19">
        <f t="shared" ref="Z19:Z21" si="44">L19/$O19</f>
        <v>1.7930016658061626E-3</v>
      </c>
      <c r="AA19">
        <f t="shared" ref="AA19:AA21" si="45">M19/$O19</f>
        <v>2.264249461779003E-2</v>
      </c>
    </row>
    <row r="20" spans="1:43">
      <c r="A20">
        <f>'Default Output 2017-2040'!A20</f>
        <v>2030</v>
      </c>
      <c r="B20">
        <f>'Default Output 2017-2040'!B20</f>
        <v>30</v>
      </c>
      <c r="C20">
        <f>'Default Output 2017-2040'!C20</f>
        <v>4385910000</v>
      </c>
      <c r="D20">
        <f>'Default Output 2017-2040'!D20</f>
        <v>580092000</v>
      </c>
      <c r="E20">
        <f>'Default Output 2017-2040'!E20</f>
        <v>341803000</v>
      </c>
      <c r="F20">
        <f>'Default Output 2017-2040'!F20</f>
        <v>21160000000000</v>
      </c>
      <c r="G20">
        <f>'Default Output 2017-2040'!G20</f>
        <v>278943000</v>
      </c>
      <c r="H20">
        <f>'Default Output 2017-2040'!H20</f>
        <v>279899000</v>
      </c>
      <c r="I20">
        <f>'Default Output 2017-2040'!I20</f>
        <v>182185000</v>
      </c>
      <c r="J20">
        <f>'Default Output 2017-2040'!J20</f>
        <v>76379500</v>
      </c>
      <c r="K20">
        <f>'Default Output 2017-2040'!K20</f>
        <v>9308990000</v>
      </c>
      <c r="L20">
        <f>'Default Output 2017-2040'!L20</f>
        <v>141344000</v>
      </c>
      <c r="M20">
        <f>'Default Output 2017-2040'!M20</f>
        <v>1418990000</v>
      </c>
      <c r="N20">
        <f>'Default Output 2017-2040'!N20</f>
        <v>4879420</v>
      </c>
      <c r="O20">
        <f>'Default Output 2017-2040'!O20</f>
        <v>59541500000</v>
      </c>
      <c r="Q20">
        <v>2030</v>
      </c>
      <c r="R20">
        <v>30</v>
      </c>
      <c r="S20">
        <f t="shared" si="42"/>
        <v>7.366139583315838E-2</v>
      </c>
      <c r="T20">
        <f t="shared" si="43"/>
        <v>9.7426500843949184E-3</v>
      </c>
      <c r="U20">
        <f t="shared" si="43"/>
        <v>5.7405842983465315E-3</v>
      </c>
      <c r="V20">
        <f t="shared" si="43"/>
        <v>355.38238035655803</v>
      </c>
      <c r="W20">
        <f t="shared" si="43"/>
        <v>4.6848500625614065E-3</v>
      </c>
      <c r="X20">
        <f t="shared" si="43"/>
        <v>4.700906090709841E-3</v>
      </c>
      <c r="Y20">
        <f t="shared" ref="Y20:Y21" si="46">K20/$O20</f>
        <v>0.15634456639486743</v>
      </c>
      <c r="Z20">
        <f t="shared" si="44"/>
        <v>2.3738736847408949E-3</v>
      </c>
      <c r="AA20">
        <f t="shared" si="45"/>
        <v>2.383194914471419E-2</v>
      </c>
    </row>
    <row r="21" spans="1:43">
      <c r="A21">
        <f>'Default Output 2017-2040'!A21</f>
        <v>2030</v>
      </c>
      <c r="B21">
        <f>'Default Output 2017-2040'!B21</f>
        <v>41</v>
      </c>
      <c r="C21">
        <f>'Default Output 2017-2040'!C21</f>
        <v>3222770000</v>
      </c>
      <c r="D21">
        <f>'Default Output 2017-2040'!D21</f>
        <v>215766000</v>
      </c>
      <c r="E21">
        <f>'Default Output 2017-2040'!E21</f>
        <v>50271200</v>
      </c>
      <c r="F21">
        <f>'Default Output 2017-2040'!F21</f>
        <v>3262260000000</v>
      </c>
      <c r="G21">
        <f>'Default Output 2017-2040'!G21</f>
        <v>42365800</v>
      </c>
      <c r="H21">
        <f>'Default Output 2017-2040'!H21</f>
        <v>80992600</v>
      </c>
      <c r="I21">
        <f>'Default Output 2017-2040'!I21</f>
        <v>16854800</v>
      </c>
      <c r="J21">
        <f>'Default Output 2017-2040'!J21</f>
        <v>9389800</v>
      </c>
      <c r="K21">
        <f>'Default Output 2017-2040'!K21</f>
        <v>1251480000</v>
      </c>
      <c r="L21">
        <f>'Default Output 2017-2040'!L21</f>
        <v>15082200</v>
      </c>
      <c r="M21">
        <f>'Default Output 2017-2040'!M21</f>
        <v>180041000</v>
      </c>
      <c r="N21">
        <f>'Default Output 2017-2040'!N21</f>
        <v>427523</v>
      </c>
      <c r="O21">
        <f>'Default Output 2017-2040'!O21</f>
        <v>5342770000</v>
      </c>
      <c r="Q21">
        <v>2030</v>
      </c>
      <c r="R21">
        <v>41</v>
      </c>
      <c r="S21">
        <f t="shared" si="42"/>
        <v>0.60320208431207034</v>
      </c>
      <c r="T21">
        <f t="shared" si="43"/>
        <v>4.038466937562351E-2</v>
      </c>
      <c r="U21">
        <f t="shared" si="43"/>
        <v>9.4092015939297412E-3</v>
      </c>
      <c r="V21">
        <f t="shared" si="43"/>
        <v>610.59338133589881</v>
      </c>
      <c r="W21">
        <f t="shared" si="43"/>
        <v>7.9295571398357041E-3</v>
      </c>
      <c r="X21">
        <f t="shared" si="43"/>
        <v>1.5159290031201044E-2</v>
      </c>
      <c r="Y21">
        <f t="shared" si="46"/>
        <v>0.23423804505902368</v>
      </c>
      <c r="Z21">
        <f t="shared" si="44"/>
        <v>2.8229176999945722E-3</v>
      </c>
      <c r="AA21">
        <f t="shared" si="45"/>
        <v>3.3698062989797425E-2</v>
      </c>
    </row>
    <row r="22" spans="1:43">
      <c r="AE22" s="277" t="s">
        <v>80</v>
      </c>
      <c r="AF22" s="277"/>
      <c r="AG22" s="277"/>
      <c r="AH22" s="277"/>
      <c r="AI22" s="277"/>
      <c r="AJ22" s="277"/>
      <c r="AK22" s="277"/>
      <c r="AL22" s="277"/>
      <c r="AM22" s="277"/>
      <c r="AN22" s="277"/>
      <c r="AO22" s="277"/>
      <c r="AP22" s="277"/>
      <c r="AQ22" s="277"/>
    </row>
    <row r="23" spans="1:43">
      <c r="A23" t="str">
        <f>'Default Output 2017-2040'!A23</f>
        <v>yearID</v>
      </c>
      <c r="B23" t="str">
        <f>'Default Output 2017-2040'!B23</f>
        <v>regCalssID</v>
      </c>
      <c r="C23" t="str">
        <f>'Default Output 2017-2040'!C23</f>
        <v>NOx</v>
      </c>
      <c r="D23" t="str">
        <f>'Default Output 2017-2040'!D23</f>
        <v>CH4</v>
      </c>
      <c r="E23" t="str">
        <f>'Default Output 2017-2040'!E23</f>
        <v>N2O</v>
      </c>
      <c r="F23" t="str">
        <f>'Default Output 2017-2040'!F23</f>
        <v>CO2</v>
      </c>
      <c r="G23" t="str">
        <f>'Default Output 2017-2040'!G23</f>
        <v>Energy</v>
      </c>
      <c r="H23" t="str">
        <f>'Default Output 2017-2040'!H23</f>
        <v>PM25 Exh</v>
      </c>
      <c r="I23" t="str">
        <f>'Default Output 2017-2040'!I23</f>
        <v>PM25 BW</v>
      </c>
      <c r="J23" t="str">
        <f>'Default Output 2017-2040'!J23</f>
        <v>PM25 TW</v>
      </c>
      <c r="K23" s="29" t="s">
        <v>115</v>
      </c>
      <c r="L23" s="29" t="s">
        <v>116</v>
      </c>
      <c r="M23" s="29" t="s">
        <v>117</v>
      </c>
      <c r="N23" t="str">
        <f>'Default Output 2017-2040'!N23</f>
        <v>POP</v>
      </c>
      <c r="O23" t="str">
        <f>'Default Output 2017-2040'!O23</f>
        <v>VMT</v>
      </c>
      <c r="AC23" t="str">
        <f t="shared" ref="AC23:AJ23" si="47">A23</f>
        <v>yearID</v>
      </c>
      <c r="AD23" t="str">
        <f t="shared" si="47"/>
        <v>regCalssID</v>
      </c>
      <c r="AE23" t="str">
        <f t="shared" si="47"/>
        <v>NOx</v>
      </c>
      <c r="AF23" t="str">
        <f t="shared" si="47"/>
        <v>CH4</v>
      </c>
      <c r="AG23" t="str">
        <f t="shared" si="47"/>
        <v>N2O</v>
      </c>
      <c r="AH23" t="str">
        <f t="shared" si="47"/>
        <v>CO2</v>
      </c>
      <c r="AI23" t="str">
        <f t="shared" si="47"/>
        <v>Energy</v>
      </c>
      <c r="AJ23" t="str">
        <f t="shared" si="47"/>
        <v>PM25 Exh</v>
      </c>
      <c r="AK23" s="29" t="s">
        <v>115</v>
      </c>
      <c r="AL23" s="29" t="s">
        <v>116</v>
      </c>
      <c r="AM23" s="29" t="s">
        <v>117</v>
      </c>
      <c r="AN23" t="str">
        <f>I23</f>
        <v>PM25 BW</v>
      </c>
      <c r="AO23" t="str">
        <f>J23</f>
        <v>PM25 TW</v>
      </c>
      <c r="AP23" t="str">
        <f t="shared" ref="AP23:AQ23" si="48">N23</f>
        <v>POP</v>
      </c>
      <c r="AQ23" t="str">
        <f t="shared" si="48"/>
        <v>VMT</v>
      </c>
    </row>
    <row r="24" spans="1:43">
      <c r="A24">
        <f>'Default Output 2017-2040'!A24</f>
        <v>2035</v>
      </c>
      <c r="B24">
        <f>'Default Output 2017-2040'!B24</f>
        <v>20</v>
      </c>
      <c r="C24">
        <f>'Default Output 2017-2040'!C24</f>
        <v>1671760000</v>
      </c>
      <c r="D24">
        <f>'Default Output 2017-2040'!D24</f>
        <v>382661000</v>
      </c>
      <c r="E24">
        <f>'Default Output 2017-2040'!E24</f>
        <v>209582000</v>
      </c>
      <c r="F24">
        <f>'Default Output 2017-2040'!F24</f>
        <v>13651100000000</v>
      </c>
      <c r="G24">
        <f>'Default Output 2017-2040'!G24</f>
        <v>179961000</v>
      </c>
      <c r="H24">
        <f>'Default Output 2017-2040'!H24</f>
        <v>179776000</v>
      </c>
      <c r="I24">
        <f>'Default Output 2017-2040'!I24</f>
        <v>157787000</v>
      </c>
      <c r="J24">
        <f>'Default Output 2017-2040'!J24</f>
        <v>70899200</v>
      </c>
      <c r="K24">
        <f>'Default Output 2017-2040'!K24</f>
        <v>6807910000</v>
      </c>
      <c r="L24">
        <f>'Default Output 2017-2040'!L24</f>
        <v>91332200</v>
      </c>
      <c r="M24">
        <f>'Default Output 2017-2040'!M24</f>
        <v>1177570000</v>
      </c>
      <c r="N24">
        <f>'Default Output 2017-2040'!N24</f>
        <v>4783550</v>
      </c>
      <c r="O24">
        <f>'Default Output 2017-2040'!O24</f>
        <v>54725400000</v>
      </c>
      <c r="AC24">
        <f t="shared" ref="AC24:AD26" si="49">A24</f>
        <v>2035</v>
      </c>
      <c r="AD24">
        <f t="shared" si="49"/>
        <v>20</v>
      </c>
      <c r="AE24">
        <f t="shared" ref="AE24:AJ26" si="50">C24/(C19+C29)</f>
        <v>0.40466496579702849</v>
      </c>
      <c r="AF24">
        <f t="shared" si="50"/>
        <v>0.46813838832409682</v>
      </c>
      <c r="AG24">
        <f t="shared" si="50"/>
        <v>0.48593653995525105</v>
      </c>
      <c r="AH24">
        <f t="shared" si="50"/>
        <v>0.48677956189803773</v>
      </c>
      <c r="AI24">
        <f t="shared" si="50"/>
        <v>0.4867665475633407</v>
      </c>
      <c r="AJ24">
        <f t="shared" si="50"/>
        <v>0.48681128534794865</v>
      </c>
      <c r="AK24">
        <f t="shared" ref="AK24" si="51">I24/(I19+I29)</f>
        <v>0.4948519242168119</v>
      </c>
      <c r="AL24">
        <f t="shared" ref="AL24" si="52">J24/(J19+J29)</f>
        <v>0.49484973568165097</v>
      </c>
      <c r="AM24">
        <f t="shared" ref="AM24" si="53">K24/(K19+K29)</f>
        <v>0.4859242139493784</v>
      </c>
      <c r="AN24">
        <f t="shared" ref="AN24:AO26" si="54">I24/(I19+I29)</f>
        <v>0.4948519242168119</v>
      </c>
      <c r="AO24">
        <f t="shared" si="54"/>
        <v>0.49484973568165097</v>
      </c>
      <c r="AP24">
        <f t="shared" ref="AP24:AQ26" si="55">N24/(N19+N29)</f>
        <v>0.49692767173094404</v>
      </c>
      <c r="AQ24">
        <f t="shared" si="55"/>
        <v>0.49485033881967416</v>
      </c>
    </row>
    <row r="25" spans="1:43">
      <c r="A25">
        <f>'Default Output 2017-2040'!A25</f>
        <v>2035</v>
      </c>
      <c r="B25">
        <f>'Default Output 2017-2040'!B25</f>
        <v>30</v>
      </c>
      <c r="C25">
        <f>'Default Output 2017-2040'!C25</f>
        <v>2346960000</v>
      </c>
      <c r="D25">
        <f>'Default Output 2017-2040'!D25</f>
        <v>457438000</v>
      </c>
      <c r="E25">
        <f>'Default Output 2017-2040'!E25</f>
        <v>310394000</v>
      </c>
      <c r="F25">
        <f>'Default Output 2017-2040'!F25</f>
        <v>19727800000000</v>
      </c>
      <c r="G25">
        <f>'Default Output 2017-2040'!G25</f>
        <v>260044000</v>
      </c>
      <c r="H25">
        <f>'Default Output 2017-2040'!H25</f>
        <v>257428000</v>
      </c>
      <c r="I25">
        <f>'Default Output 2017-2040'!I25</f>
        <v>180079000</v>
      </c>
      <c r="J25">
        <f>'Default Output 2017-2040'!J25</f>
        <v>75496000</v>
      </c>
      <c r="K25">
        <f>'Default Output 2017-2040'!K25</f>
        <v>8180770000</v>
      </c>
      <c r="L25">
        <f>'Default Output 2017-2040'!L25</f>
        <v>131585000</v>
      </c>
      <c r="M25">
        <f>'Default Output 2017-2040'!M25</f>
        <v>1351470000</v>
      </c>
      <c r="N25">
        <f>'Default Output 2017-2040'!N25</f>
        <v>4838960</v>
      </c>
      <c r="O25">
        <f>'Default Output 2017-2040'!O25</f>
        <v>58852600000</v>
      </c>
      <c r="AC25">
        <f t="shared" si="49"/>
        <v>2035</v>
      </c>
      <c r="AD25">
        <f t="shared" si="49"/>
        <v>30</v>
      </c>
      <c r="AE25">
        <f t="shared" si="50"/>
        <v>0.37882360916746161</v>
      </c>
      <c r="AF25">
        <f t="shared" si="50"/>
        <v>0.46717151858981887</v>
      </c>
      <c r="AG25">
        <f t="shared" si="50"/>
        <v>0.48217742110871881</v>
      </c>
      <c r="AH25">
        <f t="shared" si="50"/>
        <v>0.49263831869986913</v>
      </c>
      <c r="AI25">
        <f t="shared" si="50"/>
        <v>0.49262793371865476</v>
      </c>
      <c r="AJ25">
        <f t="shared" ref="AJ25:AJ26" si="56">H25/(H20+H30)</f>
        <v>0.49064184372831993</v>
      </c>
      <c r="AK25">
        <f t="shared" ref="AK25:AK26" si="57">I25/(I20+I30)</f>
        <v>0.49957277524093813</v>
      </c>
      <c r="AL25">
        <f t="shared" ref="AL25:AL26" si="58">J25/(J20+J30)</f>
        <v>0.49957285911762156</v>
      </c>
      <c r="AM25">
        <f t="shared" ref="AM25:AM26" si="59">K25/(K20+K30)</f>
        <v>0.48032496973298089</v>
      </c>
      <c r="AN25">
        <f t="shared" si="54"/>
        <v>0.49957277524093813</v>
      </c>
      <c r="AO25">
        <f t="shared" si="54"/>
        <v>0.49957285911762156</v>
      </c>
      <c r="AP25">
        <f t="shared" si="55"/>
        <v>0.50274230062347214</v>
      </c>
      <c r="AQ25">
        <f t="shared" si="55"/>
        <v>0.49957302611586185</v>
      </c>
    </row>
    <row r="26" spans="1:43">
      <c r="A26">
        <f>'Default Output 2017-2040'!A26</f>
        <v>2035</v>
      </c>
      <c r="B26">
        <f>'Default Output 2017-2040'!B26</f>
        <v>41</v>
      </c>
      <c r="C26">
        <f>'Default Output 2017-2040'!C26</f>
        <v>2113050000</v>
      </c>
      <c r="D26">
        <f>'Default Output 2017-2040'!D26</f>
        <v>197501000</v>
      </c>
      <c r="E26">
        <f>'Default Output 2017-2040'!E26</f>
        <v>42190700</v>
      </c>
      <c r="F26">
        <f>'Default Output 2017-2040'!F26</f>
        <v>3193260000000</v>
      </c>
      <c r="G26">
        <f>'Default Output 2017-2040'!G26</f>
        <v>41446900</v>
      </c>
      <c r="H26">
        <f>'Default Output 2017-2040'!H26</f>
        <v>42010200</v>
      </c>
      <c r="I26">
        <f>'Default Output 2017-2040'!I26</f>
        <v>17317200</v>
      </c>
      <c r="J26">
        <f>'Default Output 2017-2040'!J26</f>
        <v>9736530</v>
      </c>
      <c r="K26">
        <f>'Default Output 2017-2040'!K26</f>
        <v>882396000</v>
      </c>
      <c r="L26">
        <f>'Default Output 2017-2040'!L26</f>
        <v>14504200</v>
      </c>
      <c r="M26">
        <f>'Default Output 2017-2040'!M26</f>
        <v>181364000</v>
      </c>
      <c r="N26">
        <f>'Default Output 2017-2040'!N26</f>
        <v>429389</v>
      </c>
      <c r="O26">
        <f>'Default Output 2017-2040'!O26</f>
        <v>5544390000</v>
      </c>
      <c r="AC26">
        <f t="shared" si="49"/>
        <v>2035</v>
      </c>
      <c r="AD26">
        <f t="shared" si="49"/>
        <v>41</v>
      </c>
      <c r="AE26">
        <f t="shared" si="50"/>
        <v>0.43265096356235516</v>
      </c>
      <c r="AF26">
        <f t="shared" si="50"/>
        <v>0.47894821080404693</v>
      </c>
      <c r="AG26">
        <f t="shared" si="50"/>
        <v>0.46192140349955219</v>
      </c>
      <c r="AH26">
        <f t="shared" si="50"/>
        <v>0.49266919178282975</v>
      </c>
      <c r="AI26">
        <f t="shared" si="50"/>
        <v>0.49258804555680874</v>
      </c>
      <c r="AJ26">
        <f t="shared" si="56"/>
        <v>0.39991318279305804</v>
      </c>
      <c r="AK26">
        <f t="shared" si="57"/>
        <v>0.50082858307955269</v>
      </c>
      <c r="AL26">
        <f t="shared" si="58"/>
        <v>0.49990912171528912</v>
      </c>
      <c r="AM26">
        <f t="shared" si="59"/>
        <v>0.43654378839997365</v>
      </c>
      <c r="AN26">
        <f t="shared" si="54"/>
        <v>0.50082858307955269</v>
      </c>
      <c r="AO26">
        <f t="shared" si="54"/>
        <v>0.49990912171528912</v>
      </c>
      <c r="AP26">
        <f t="shared" si="55"/>
        <v>0.50030760267987184</v>
      </c>
      <c r="AQ26">
        <f t="shared" si="55"/>
        <v>0.49988279186178819</v>
      </c>
    </row>
    <row r="28" spans="1:43">
      <c r="A28" t="str">
        <f>'Default Output 2017-2040'!A28</f>
        <v>yearID</v>
      </c>
      <c r="B28" t="str">
        <f>'Default Output 2017-2040'!B28</f>
        <v>regCalssID</v>
      </c>
      <c r="C28" t="str">
        <f>'Default Output 2017-2040'!C28</f>
        <v>NOx</v>
      </c>
      <c r="D28" t="str">
        <f>'Default Output 2017-2040'!D28</f>
        <v>CH4</v>
      </c>
      <c r="E28" t="str">
        <f>'Default Output 2017-2040'!E28</f>
        <v>N2O</v>
      </c>
      <c r="F28" t="str">
        <f>'Default Output 2017-2040'!F28</f>
        <v>CO2</v>
      </c>
      <c r="G28" t="str">
        <f>'Default Output 2017-2040'!G28</f>
        <v>Energy</v>
      </c>
      <c r="H28" t="str">
        <f>'Default Output 2017-2040'!H28</f>
        <v>PM25 Exh</v>
      </c>
      <c r="I28" t="str">
        <f>'Default Output 2017-2040'!I28</f>
        <v>PM25 BW</v>
      </c>
      <c r="J28" t="str">
        <f>'Default Output 2017-2040'!J28</f>
        <v>PM25 TW</v>
      </c>
      <c r="K28" s="29" t="s">
        <v>115</v>
      </c>
      <c r="L28" s="29" t="s">
        <v>116</v>
      </c>
      <c r="M28" s="29" t="s">
        <v>117</v>
      </c>
      <c r="N28" t="str">
        <f>'Default Output 2017-2040'!N28</f>
        <v>POP</v>
      </c>
      <c r="O28" t="str">
        <f>'Default Output 2017-2040'!O28</f>
        <v>VMT</v>
      </c>
    </row>
    <row r="29" spans="1:43">
      <c r="A29">
        <f>'Default Output 2017-2040'!A29</f>
        <v>2040</v>
      </c>
      <c r="B29">
        <f>'Default Output 2017-2040'!B29</f>
        <v>20</v>
      </c>
      <c r="C29">
        <f>'Default Output 2017-2040'!C29</f>
        <v>1463010000</v>
      </c>
      <c r="D29">
        <f>'Default Output 2017-2040'!D29</f>
        <v>365436000</v>
      </c>
      <c r="E29">
        <f>'Default Output 2017-2040'!E29</f>
        <v>222210000</v>
      </c>
      <c r="F29">
        <f>'Default Output 2017-2040'!F29</f>
        <v>14325200000000</v>
      </c>
      <c r="G29">
        <f>'Default Output 2017-2040'!G29</f>
        <v>188833000</v>
      </c>
      <c r="H29">
        <f>'Default Output 2017-2040'!H29</f>
        <v>188293000</v>
      </c>
      <c r="I29">
        <f>'Default Output 2017-2040'!I29</f>
        <v>170870000</v>
      </c>
      <c r="J29">
        <f>'Default Output 2017-2040'!J29</f>
        <v>76778300</v>
      </c>
      <c r="K29">
        <f>'Default Output 2017-2040'!K29</f>
        <v>6547180000</v>
      </c>
      <c r="L29">
        <f>'Default Output 2017-2040'!L29</f>
        <v>95676700</v>
      </c>
      <c r="M29">
        <f>'Default Output 2017-2040'!M29</f>
        <v>1269280000</v>
      </c>
      <c r="N29">
        <f>'Default Output 2017-2040'!N29</f>
        <v>5068010</v>
      </c>
      <c r="O29">
        <f>'Default Output 2017-2040'!O29</f>
        <v>59263300000</v>
      </c>
    </row>
    <row r="30" spans="1:43">
      <c r="A30">
        <f>'Default Output 2017-2040'!A30</f>
        <v>2040</v>
      </c>
      <c r="B30">
        <f>'Default Output 2017-2040'!B30</f>
        <v>30</v>
      </c>
      <c r="C30">
        <f>'Default Output 2017-2040'!C30</f>
        <v>1809480000</v>
      </c>
      <c r="D30">
        <f>'Default Output 2017-2040'!D30</f>
        <v>399073000</v>
      </c>
      <c r="E30">
        <f>'Default Output 2017-2040'!E30</f>
        <v>301931000</v>
      </c>
      <c r="F30">
        <f>'Default Output 2017-2040'!F30</f>
        <v>18885200000000</v>
      </c>
      <c r="G30">
        <f>'Default Output 2017-2040'!G30</f>
        <v>248928000</v>
      </c>
      <c r="H30">
        <f>'Default Output 2017-2040'!H30</f>
        <v>244777000</v>
      </c>
      <c r="I30">
        <f>'Default Output 2017-2040'!I30</f>
        <v>178281000</v>
      </c>
      <c r="J30">
        <f>'Default Output 2017-2040'!J30</f>
        <v>74741600</v>
      </c>
      <c r="K30">
        <f>'Default Output 2017-2040'!K30</f>
        <v>7722750000</v>
      </c>
      <c r="L30">
        <f>'Default Output 2017-2040'!L30</f>
        <v>125883000</v>
      </c>
      <c r="M30">
        <f>'Default Output 2017-2040'!M30</f>
        <v>1336840000</v>
      </c>
      <c r="N30">
        <f>'Default Output 2017-2040'!N30</f>
        <v>4745710</v>
      </c>
      <c r="O30">
        <f>'Default Output 2017-2040'!O30</f>
        <v>58264300000</v>
      </c>
    </row>
    <row r="31" spans="1:43">
      <c r="A31">
        <f>'Default Output 2017-2040'!A31</f>
        <v>2040</v>
      </c>
      <c r="B31">
        <f>'Default Output 2017-2040'!B31</f>
        <v>41</v>
      </c>
      <c r="C31">
        <f>'Default Output 2017-2040'!C31</f>
        <v>1661190000</v>
      </c>
      <c r="D31">
        <f>'Default Output 2017-2040'!D31</f>
        <v>196598000</v>
      </c>
      <c r="E31">
        <f>'Default Output 2017-2040'!E31</f>
        <v>41066200</v>
      </c>
      <c r="F31">
        <f>'Default Output 2017-2040'!F31</f>
        <v>3219290000000</v>
      </c>
      <c r="G31">
        <f>'Default Output 2017-2040'!G31</f>
        <v>41775300</v>
      </c>
      <c r="H31">
        <f>'Default Output 2017-2040'!H31</f>
        <v>24055700</v>
      </c>
      <c r="I31">
        <f>'Default Output 2017-2040'!I31</f>
        <v>17722300</v>
      </c>
      <c r="J31">
        <f>'Default Output 2017-2040'!J31</f>
        <v>10086800</v>
      </c>
      <c r="K31">
        <f>'Default Output 2017-2040'!K31</f>
        <v>769843000</v>
      </c>
      <c r="L31">
        <f>'Default Output 2017-2040'!L31</f>
        <v>14506500</v>
      </c>
      <c r="M31">
        <f>'Default Output 2017-2040'!M31</f>
        <v>185872000</v>
      </c>
      <c r="N31">
        <f>'Default Output 2017-2040'!N31</f>
        <v>430727</v>
      </c>
      <c r="O31">
        <f>'Default Output 2017-2040'!O31</f>
        <v>5748610000</v>
      </c>
    </row>
    <row r="32" spans="1:43">
      <c r="AE32" s="33"/>
      <c r="AF32" s="33"/>
      <c r="AG32" s="33"/>
      <c r="AH32" s="33"/>
      <c r="AI32" s="33"/>
      <c r="AJ32" s="33"/>
      <c r="AK32" s="33"/>
      <c r="AL32" s="33"/>
      <c r="AM32" s="33"/>
      <c r="AN32" s="33"/>
      <c r="AO32" s="33"/>
      <c r="AP32" s="33"/>
      <c r="AQ32" s="33"/>
    </row>
  </sheetData>
  <sheetProtection algorithmName="SHA-512" hashValue="3vAkPs2JkXh9bWFGpsB+jnk3i7zq6F4SjW1Rao/EEXMTf1isIVBuQVGQpy7sPy8GClwATQjWb1atSpKVOLsQWw==" saltValue="IafanmonameCP+8WrhoEWw==" spinCount="100000" sheet="1" objects="1" scenarios="1"/>
  <mergeCells count="3">
    <mergeCell ref="AN7:AQ7"/>
    <mergeCell ref="AE22:AQ22"/>
    <mergeCell ref="AE7:AM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35"/>
  <sheetViews>
    <sheetView workbookViewId="0">
      <selection activeCell="J44" sqref="J44"/>
    </sheetView>
  </sheetViews>
  <sheetFormatPr baseColWidth="10" defaultColWidth="8.83203125" defaultRowHeight="15"/>
  <cols>
    <col min="1" max="1" width="10.33203125" customWidth="1"/>
    <col min="2" max="2" width="10.5" customWidth="1"/>
    <col min="3" max="3" width="20.5" customWidth="1"/>
    <col min="4" max="4" width="12.33203125" customWidth="1"/>
    <col min="5" max="5" width="9.1640625" customWidth="1"/>
  </cols>
  <sheetData>
    <row r="1" spans="1:2">
      <c r="A1" s="2" t="s">
        <v>27</v>
      </c>
    </row>
    <row r="3" spans="1:2">
      <c r="A3" t="s">
        <v>301</v>
      </c>
    </row>
    <row r="4" spans="1:2">
      <c r="A4" t="s">
        <v>174</v>
      </c>
    </row>
    <row r="5" spans="1:2">
      <c r="A5" t="s">
        <v>173</v>
      </c>
    </row>
    <row r="6" spans="1:2">
      <c r="A6" t="s">
        <v>175</v>
      </c>
    </row>
    <row r="8" spans="1:2">
      <c r="A8" s="2" t="s">
        <v>28</v>
      </c>
      <c r="B8" t="s">
        <v>477</v>
      </c>
    </row>
    <row r="9" spans="1:2">
      <c r="A9" s="2"/>
    </row>
    <row r="10" spans="1:2">
      <c r="A10" s="5" t="s">
        <v>18</v>
      </c>
    </row>
    <row r="11" spans="1:2">
      <c r="A11" s="5"/>
      <c r="B11" t="s">
        <v>478</v>
      </c>
    </row>
    <row r="12" spans="1:2">
      <c r="A12" s="5"/>
      <c r="B12" t="s">
        <v>83</v>
      </c>
    </row>
    <row r="13" spans="1:2">
      <c r="A13" s="5"/>
      <c r="B13" t="s">
        <v>481</v>
      </c>
    </row>
    <row r="14" spans="1:2">
      <c r="A14" s="5" t="s">
        <v>48</v>
      </c>
    </row>
    <row r="15" spans="1:2">
      <c r="A15" s="5"/>
      <c r="B15" t="s">
        <v>479</v>
      </c>
    </row>
    <row r="16" spans="1:2">
      <c r="A16" s="5"/>
      <c r="B16" t="s">
        <v>480</v>
      </c>
    </row>
    <row r="17" spans="1:4">
      <c r="A17" s="5" t="s">
        <v>176</v>
      </c>
    </row>
    <row r="18" spans="1:4">
      <c r="A18" s="5"/>
      <c r="B18" t="s">
        <v>181</v>
      </c>
    </row>
    <row r="19" spans="1:4">
      <c r="A19" s="5"/>
      <c r="B19" t="s">
        <v>182</v>
      </c>
    </row>
    <row r="20" spans="1:4" s="29" customFormat="1">
      <c r="A20" s="174"/>
      <c r="B20" s="29" t="s">
        <v>406</v>
      </c>
    </row>
    <row r="21" spans="1:4">
      <c r="A21" s="5"/>
      <c r="B21" t="s">
        <v>183</v>
      </c>
    </row>
    <row r="22" spans="1:4">
      <c r="A22" s="5" t="s">
        <v>177</v>
      </c>
    </row>
    <row r="23" spans="1:4">
      <c r="A23" s="5"/>
      <c r="B23" t="s">
        <v>184</v>
      </c>
    </row>
    <row r="25" spans="1:4">
      <c r="A25" t="s">
        <v>179</v>
      </c>
    </row>
    <row r="26" spans="1:4">
      <c r="A26" t="s">
        <v>180</v>
      </c>
    </row>
    <row r="27" spans="1:4">
      <c r="A27" s="6"/>
    </row>
    <row r="28" spans="1:4">
      <c r="A28" s="2" t="s">
        <v>30</v>
      </c>
    </row>
    <row r="30" spans="1:4">
      <c r="B30" s="2" t="s">
        <v>31</v>
      </c>
      <c r="C30" s="2" t="s">
        <v>32</v>
      </c>
      <c r="D30" s="2" t="s">
        <v>29</v>
      </c>
    </row>
    <row r="31" spans="1:4">
      <c r="B31">
        <v>20</v>
      </c>
      <c r="C31" t="s">
        <v>33</v>
      </c>
      <c r="D31" t="s">
        <v>34</v>
      </c>
    </row>
    <row r="32" spans="1:4">
      <c r="B32">
        <v>30</v>
      </c>
      <c r="C32" t="s">
        <v>35</v>
      </c>
      <c r="D32" t="s">
        <v>36</v>
      </c>
    </row>
    <row r="33" spans="1:4">
      <c r="B33">
        <v>41</v>
      </c>
      <c r="C33" t="s">
        <v>37</v>
      </c>
      <c r="D33" t="s">
        <v>482</v>
      </c>
    </row>
    <row r="35" spans="1:4">
      <c r="A35" t="s">
        <v>38</v>
      </c>
    </row>
  </sheetData>
  <sheetProtection algorithmName="SHA-512" hashValue="Mr5Q4ESHN4rxyDbvBOewh9VPiaxchGGeRDth05PI4Vl4+IH4AYLL3xUvsfFP967BuuL2o5zmueOhBVcZSWiQig==" saltValue="rRPWiEBdp4obNlJ0bKoZ4g==" spinCount="100000" sheet="1" objects="1" scenarios="1"/>
  <pageMargins left="0.7" right="0.7" top="0.75" bottom="0.75" header="0.3" footer="0.3"/>
  <pageSetup orientation="portrait" horizontalDpi="360" verticalDpi="36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0">
    <pageSetUpPr fitToPage="1"/>
  </sheetPr>
  <dimension ref="A1:V128"/>
  <sheetViews>
    <sheetView workbookViewId="0">
      <selection activeCell="K115" sqref="K114:K115"/>
    </sheetView>
  </sheetViews>
  <sheetFormatPr baseColWidth="10" defaultColWidth="8.83203125" defaultRowHeight="15"/>
  <cols>
    <col min="2" max="5" width="9" bestFit="1" customWidth="1"/>
    <col min="6" max="6" width="11.5" bestFit="1" customWidth="1"/>
    <col min="7" max="8" width="9" bestFit="1" customWidth="1"/>
    <col min="9" max="9" width="11.5" bestFit="1" customWidth="1"/>
    <col min="11" max="14" width="9" bestFit="1" customWidth="1"/>
    <col min="15" max="15" width="9.5" bestFit="1" customWidth="1"/>
    <col min="19" max="19" width="13" customWidth="1"/>
  </cols>
  <sheetData>
    <row r="1" spans="1:22">
      <c r="A1" s="2" t="s">
        <v>495</v>
      </c>
      <c r="B1" s="70"/>
      <c r="C1" s="29"/>
      <c r="D1" s="29"/>
      <c r="E1" s="29"/>
      <c r="F1" s="29"/>
      <c r="G1" s="29"/>
      <c r="H1" s="29"/>
      <c r="I1" s="29"/>
      <c r="J1" s="2" t="s">
        <v>515</v>
      </c>
      <c r="K1" s="62"/>
      <c r="M1" s="30"/>
      <c r="Q1" s="2" t="s">
        <v>39</v>
      </c>
      <c r="V1" s="1">
        <v>0.28760000000000002</v>
      </c>
    </row>
    <row r="2" spans="1:22">
      <c r="A2" s="29" t="s">
        <v>497</v>
      </c>
      <c r="C2" s="29"/>
      <c r="D2" s="29"/>
      <c r="E2" s="29"/>
      <c r="F2" s="29"/>
      <c r="G2" s="29"/>
      <c r="H2" s="29"/>
      <c r="I2" s="29"/>
      <c r="J2" s="29" t="s">
        <v>2</v>
      </c>
      <c r="K2" s="29" t="s">
        <v>212</v>
      </c>
      <c r="L2" t="s">
        <v>115</v>
      </c>
      <c r="M2" s="29" t="s">
        <v>116</v>
      </c>
      <c r="Q2" t="s">
        <v>41</v>
      </c>
    </row>
    <row r="3" spans="1:22">
      <c r="A3" s="29" t="s">
        <v>496</v>
      </c>
      <c r="B3" s="29"/>
      <c r="C3" s="29"/>
      <c r="D3" s="29"/>
      <c r="E3" s="29"/>
      <c r="F3" s="29"/>
      <c r="G3" s="29"/>
      <c r="H3" s="29"/>
      <c r="I3" s="236" t="s">
        <v>542</v>
      </c>
      <c r="J3" s="221">
        <f>D119</f>
        <v>9.0219143240665005</v>
      </c>
      <c r="K3" s="221">
        <f>D120</f>
        <v>0.94182418965856729</v>
      </c>
      <c r="L3" s="60">
        <f>D118</f>
        <v>2.2408995221443595</v>
      </c>
      <c r="M3" s="60">
        <f>D121</f>
        <v>2.9254521568730887</v>
      </c>
      <c r="Q3" t="s">
        <v>40</v>
      </c>
    </row>
    <row r="4" spans="1:22">
      <c r="C4" s="29"/>
      <c r="D4" s="29"/>
      <c r="E4" s="29"/>
      <c r="F4" s="102"/>
      <c r="G4" s="102"/>
      <c r="H4" s="102"/>
      <c r="I4" s="236" t="s">
        <v>543</v>
      </c>
      <c r="J4" s="60">
        <f>E119</f>
        <v>0.39707327111225321</v>
      </c>
      <c r="K4" s="221">
        <f>E120</f>
        <v>0.18735969036007524</v>
      </c>
      <c r="L4" s="60">
        <f>E118</f>
        <v>1.936075648492201</v>
      </c>
      <c r="M4" s="60">
        <f>E121</f>
        <v>0.31434940557875063</v>
      </c>
      <c r="Q4" t="s">
        <v>305</v>
      </c>
    </row>
    <row r="5" spans="1:22">
      <c r="B5" s="29"/>
      <c r="C5" s="29"/>
      <c r="D5" s="29"/>
      <c r="E5" s="29"/>
      <c r="F5" s="29"/>
      <c r="G5" s="29"/>
      <c r="H5" s="29"/>
      <c r="I5" s="236" t="s">
        <v>544</v>
      </c>
      <c r="J5" s="221">
        <f>I119</f>
        <v>0.14084814286092234</v>
      </c>
      <c r="K5" s="60">
        <f>J120</f>
        <v>6.9711265056816685E-2</v>
      </c>
      <c r="L5" s="60">
        <f>J118</f>
        <v>8.7483491732512159E-2</v>
      </c>
      <c r="M5" s="60">
        <f>J121</f>
        <v>0.34408997681304587</v>
      </c>
    </row>
    <row r="6" spans="1:22">
      <c r="B6" s="2" t="s">
        <v>67</v>
      </c>
      <c r="I6" s="236" t="s">
        <v>545</v>
      </c>
      <c r="J6" s="221"/>
      <c r="K6" s="60"/>
      <c r="L6" s="60">
        <f>K125</f>
        <v>19.749000000000002</v>
      </c>
      <c r="M6" s="60"/>
    </row>
    <row r="7" spans="1:22">
      <c r="B7">
        <v>2020</v>
      </c>
      <c r="I7" s="236" t="s">
        <v>221</v>
      </c>
      <c r="J7" s="221">
        <f>SUM(J3:J6)</f>
        <v>9.559835738039677</v>
      </c>
      <c r="K7" s="221">
        <f t="shared" ref="K7:M7" si="0">SUM(K3:K6)</f>
        <v>1.198895145075459</v>
      </c>
      <c r="L7" s="221">
        <f t="shared" si="0"/>
        <v>24.013458662369075</v>
      </c>
      <c r="M7" s="221">
        <f t="shared" si="0"/>
        <v>3.5838915392648851</v>
      </c>
    </row>
    <row r="8" spans="1:22">
      <c r="B8" t="s">
        <v>8</v>
      </c>
      <c r="C8" t="s">
        <v>10</v>
      </c>
      <c r="D8" t="s">
        <v>14</v>
      </c>
      <c r="E8" t="s">
        <v>15</v>
      </c>
      <c r="F8" t="s">
        <v>16</v>
      </c>
      <c r="G8" t="s">
        <v>115</v>
      </c>
      <c r="H8" t="s">
        <v>116</v>
      </c>
      <c r="I8" t="s">
        <v>47</v>
      </c>
      <c r="K8" s="2" t="s">
        <v>283</v>
      </c>
      <c r="S8" s="298" t="s">
        <v>127</v>
      </c>
    </row>
    <row r="9" spans="1:22">
      <c r="A9">
        <v>2020</v>
      </c>
      <c r="B9" s="3">
        <f>K10*$K14</f>
        <v>22.909471741564523</v>
      </c>
      <c r="C9" s="3">
        <f t="shared" ref="C9" si="1">L10*$K14</f>
        <v>2.6049514360862709</v>
      </c>
      <c r="D9" s="3">
        <f t="shared" ref="D9" si="2">M10*$K14</f>
        <v>4.6077816397123579</v>
      </c>
      <c r="E9" s="3">
        <f t="shared" ref="E9" si="3">N10*$K14</f>
        <v>0.38333502706301714</v>
      </c>
      <c r="F9" s="3">
        <f t="shared" ref="F9" si="4">O10*$K14</f>
        <v>57307.592772092918</v>
      </c>
      <c r="G9" s="3">
        <f t="shared" ref="G9" si="5">P10*$K14</f>
        <v>2.0319344883961348</v>
      </c>
      <c r="H9" s="3">
        <f t="shared" ref="H9" si="6">Q10*$K14</f>
        <v>5.7758249240872965</v>
      </c>
      <c r="I9" s="3">
        <f>F9+D9*K$18+E9*L$18</f>
        <v>57537.021151150504</v>
      </c>
      <c r="K9" t="s">
        <v>8</v>
      </c>
      <c r="L9" t="s">
        <v>10</v>
      </c>
      <c r="M9" t="s">
        <v>14</v>
      </c>
      <c r="N9" t="s">
        <v>15</v>
      </c>
      <c r="O9" t="s">
        <v>16</v>
      </c>
      <c r="P9" t="s">
        <v>115</v>
      </c>
      <c r="Q9" t="s">
        <v>116</v>
      </c>
      <c r="S9" s="298"/>
    </row>
    <row r="10" spans="1:22">
      <c r="A10">
        <v>2025</v>
      </c>
      <c r="B10" s="3">
        <f t="shared" ref="B10:H10" si="7">B9</f>
        <v>22.909471741564523</v>
      </c>
      <c r="C10" s="3">
        <f t="shared" si="7"/>
        <v>2.6049514360862709</v>
      </c>
      <c r="D10" s="3">
        <f t="shared" si="7"/>
        <v>4.6077816397123579</v>
      </c>
      <c r="E10" s="3">
        <f t="shared" si="7"/>
        <v>0.38333502706301714</v>
      </c>
      <c r="F10" s="3">
        <f t="shared" si="7"/>
        <v>57307.592772092918</v>
      </c>
      <c r="G10" s="3">
        <f t="shared" si="7"/>
        <v>2.0319344883961348</v>
      </c>
      <c r="H10" s="3">
        <f t="shared" si="7"/>
        <v>5.7758249240872965</v>
      </c>
      <c r="I10" s="3">
        <f t="shared" ref="I10:I25" si="8">F10+D10*K$18+E10*L$18</f>
        <v>57537.021151150504</v>
      </c>
      <c r="K10" s="3">
        <f>'Regional GREET factors'!A79</f>
        <v>52.225578979749955</v>
      </c>
      <c r="L10" s="3">
        <f>'Regional GREET factors'!B79</f>
        <v>5.9383777373142461</v>
      </c>
      <c r="M10" s="3">
        <f>'Regional GREET factors'!C79</f>
        <v>10.504129761736948</v>
      </c>
      <c r="N10" s="3">
        <f>'Regional GREET factors'!D79</f>
        <v>0.87386972329275525</v>
      </c>
      <c r="O10" s="3">
        <f>'Regional GREET factors'!E79</f>
        <v>130641.25817568479</v>
      </c>
      <c r="P10" s="3">
        <f>'Regional GREET factors'!F79</f>
        <v>4.6320996093890345</v>
      </c>
      <c r="Q10" s="3">
        <f>'Regional GREET factors'!G79</f>
        <v>13.166859722865418</v>
      </c>
      <c r="S10" s="298"/>
    </row>
    <row r="11" spans="1:22">
      <c r="A11">
        <v>2026</v>
      </c>
      <c r="B11" s="3">
        <f>B10+(B15-B10)/5</f>
        <v>20.549746927178113</v>
      </c>
      <c r="C11" s="3">
        <f t="shared" ref="C11:H11" si="9">C10+(C15-C10)/5</f>
        <v>2.3366358409758048</v>
      </c>
      <c r="D11" s="3">
        <f t="shared" si="9"/>
        <v>4.1331702301975604</v>
      </c>
      <c r="E11" s="3">
        <f t="shared" si="9"/>
        <v>0.34385069561320281</v>
      </c>
      <c r="F11" s="3">
        <f t="shared" si="9"/>
        <v>51404.787581185272</v>
      </c>
      <c r="G11" s="3">
        <f t="shared" si="9"/>
        <v>1.8226408701248444</v>
      </c>
      <c r="H11" s="3">
        <f t="shared" si="9"/>
        <v>5.1809025465366769</v>
      </c>
      <c r="I11" s="3">
        <f t="shared" si="8"/>
        <v>51610.584344232942</v>
      </c>
    </row>
    <row r="12" spans="1:22">
      <c r="A12">
        <v>2027</v>
      </c>
      <c r="B12" s="3">
        <f>B10+(B15-B10)/5*2</f>
        <v>18.190022112791702</v>
      </c>
      <c r="C12" s="3">
        <f t="shared" ref="C12:H12" si="10">C10+(C15-C10)/5*2</f>
        <v>2.0683202458653387</v>
      </c>
      <c r="D12" s="3">
        <f t="shared" si="10"/>
        <v>3.6585588206827628</v>
      </c>
      <c r="E12" s="3">
        <f t="shared" si="10"/>
        <v>0.30436636416338853</v>
      </c>
      <c r="F12" s="3">
        <f t="shared" si="10"/>
        <v>45501.982390277626</v>
      </c>
      <c r="G12" s="3">
        <f t="shared" si="10"/>
        <v>1.6133472518535541</v>
      </c>
      <c r="H12" s="3">
        <f t="shared" si="10"/>
        <v>4.5859801689860564</v>
      </c>
      <c r="I12" s="3">
        <f t="shared" si="8"/>
        <v>45684.147537315388</v>
      </c>
      <c r="K12" s="2" t="s">
        <v>293</v>
      </c>
    </row>
    <row r="13" spans="1:22">
      <c r="A13">
        <v>2028</v>
      </c>
      <c r="B13" s="3">
        <f>B10+(B15-B10)/5*3</f>
        <v>15.830297298405288</v>
      </c>
      <c r="C13" s="3">
        <f t="shared" ref="C13:H13" si="11">C10+(C15-C10)/5*3</f>
        <v>1.8000046507548724</v>
      </c>
      <c r="D13" s="3">
        <f t="shared" si="11"/>
        <v>3.1839474111679658</v>
      </c>
      <c r="E13" s="3">
        <f t="shared" si="11"/>
        <v>0.26488203271357424</v>
      </c>
      <c r="F13" s="3">
        <f t="shared" si="11"/>
        <v>39599.177199369988</v>
      </c>
      <c r="G13" s="3">
        <f t="shared" si="11"/>
        <v>1.404053633582264</v>
      </c>
      <c r="H13" s="3">
        <f t="shared" si="11"/>
        <v>3.9910577914354368</v>
      </c>
      <c r="I13" s="3">
        <f t="shared" si="8"/>
        <v>39757.710730397834</v>
      </c>
      <c r="K13">
        <v>2020</v>
      </c>
      <c r="L13">
        <v>2025</v>
      </c>
      <c r="M13">
        <v>2030</v>
      </c>
      <c r="N13">
        <v>2035</v>
      </c>
      <c r="O13">
        <v>2040</v>
      </c>
    </row>
    <row r="14" spans="1:22">
      <c r="A14">
        <v>2029</v>
      </c>
      <c r="B14" s="3">
        <f>B10+(B15-B10)/5*4</f>
        <v>13.470572484018877</v>
      </c>
      <c r="C14" s="3">
        <f t="shared" ref="C14:H14" si="12">C10+(C15-C10)/5*4</f>
        <v>1.5316890556444063</v>
      </c>
      <c r="D14" s="3">
        <f t="shared" si="12"/>
        <v>2.7093360016531682</v>
      </c>
      <c r="E14" s="3">
        <f t="shared" si="12"/>
        <v>0.22539770126375991</v>
      </c>
      <c r="F14" s="3">
        <f t="shared" si="12"/>
        <v>33696.372008462342</v>
      </c>
      <c r="G14" s="3">
        <f t="shared" si="12"/>
        <v>1.1947600153109736</v>
      </c>
      <c r="H14" s="3">
        <f t="shared" si="12"/>
        <v>3.3961354138848172</v>
      </c>
      <c r="I14" s="3">
        <f t="shared" si="8"/>
        <v>33831.273923480272</v>
      </c>
      <c r="K14" s="9">
        <f>1-'State grid data'!C9</f>
        <v>0.43866381549254796</v>
      </c>
      <c r="L14" s="9">
        <f>1-'State grid data'!D9</f>
        <v>0.41334600787919507</v>
      </c>
      <c r="M14" s="9">
        <f>1-'State grid data'!E9</f>
        <v>0.21274723778439308</v>
      </c>
      <c r="N14" s="9">
        <f>1-'State grid data'!F9</f>
        <v>0.17017304141185807</v>
      </c>
      <c r="O14" s="9">
        <f>1-'State grid data'!G9</f>
        <v>0</v>
      </c>
      <c r="P14" s="9"/>
      <c r="Q14" s="9"/>
    </row>
    <row r="15" spans="1:22">
      <c r="A15">
        <v>2030</v>
      </c>
      <c r="B15" s="3">
        <f t="shared" ref="B15" si="13">K10*$M14</f>
        <v>11.110847669632465</v>
      </c>
      <c r="C15" s="3">
        <f t="shared" ref="C15" si="14">L10*$M14</f>
        <v>1.2633734605339402</v>
      </c>
      <c r="D15" s="3">
        <f t="shared" ref="D15" si="15">M10*$M14</f>
        <v>2.2347245921383707</v>
      </c>
      <c r="E15" s="3">
        <f t="shared" ref="E15" si="16">N10*$M14</f>
        <v>0.1859133698139456</v>
      </c>
      <c r="F15" s="3">
        <f t="shared" ref="F15" si="17">O10*$M14</f>
        <v>27793.5668175547</v>
      </c>
      <c r="G15" s="3">
        <f t="shared" ref="G15" si="18">P10*$M14</f>
        <v>0.98546639703968331</v>
      </c>
      <c r="H15" s="3">
        <f t="shared" ref="H15" si="19">Q10*$M14</f>
        <v>2.8012130363341972</v>
      </c>
      <c r="I15" s="3">
        <f t="shared" si="8"/>
        <v>27904.837116562714</v>
      </c>
    </row>
    <row r="16" spans="1:22">
      <c r="A16">
        <v>2031</v>
      </c>
      <c r="B16" s="3">
        <f>B15+(B20-B15)/5</f>
        <v>10.666155258601822</v>
      </c>
      <c r="C16" s="3">
        <f t="shared" ref="C16:H16" si="20">C15+(C20-C15)/5</f>
        <v>1.2128091285493987</v>
      </c>
      <c r="D16" s="3">
        <f t="shared" si="20"/>
        <v>2.1452836154986152</v>
      </c>
      <c r="E16" s="3">
        <f t="shared" si="20"/>
        <v>0.17847250957324987</v>
      </c>
      <c r="F16" s="3">
        <f t="shared" si="20"/>
        <v>26681.177501569371</v>
      </c>
      <c r="G16" s="3">
        <f t="shared" si="20"/>
        <v>0.94602481336222899</v>
      </c>
      <c r="H16" s="3">
        <f t="shared" si="20"/>
        <v>2.6890993420440181</v>
      </c>
      <c r="I16" s="3">
        <f t="shared" si="8"/>
        <v>26787.994399809664</v>
      </c>
      <c r="K16" s="301" t="s">
        <v>166</v>
      </c>
      <c r="L16" s="302"/>
    </row>
    <row r="17" spans="1:19">
      <c r="A17">
        <v>2032</v>
      </c>
      <c r="B17" s="3">
        <f>B15+(B20-B15)/5*2</f>
        <v>10.22146284757118</v>
      </c>
      <c r="C17" s="3">
        <f t="shared" ref="C17:H17" si="21">C15+(C20-C15)/5*2</f>
        <v>1.1622447965648575</v>
      </c>
      <c r="D17" s="3">
        <f t="shared" si="21"/>
        <v>2.0558426388588593</v>
      </c>
      <c r="E17" s="3">
        <f t="shared" si="21"/>
        <v>0.17103164933255416</v>
      </c>
      <c r="F17" s="3">
        <f t="shared" si="21"/>
        <v>25568.788185584039</v>
      </c>
      <c r="G17" s="3">
        <f t="shared" si="21"/>
        <v>0.90658322968477467</v>
      </c>
      <c r="H17" s="3">
        <f t="shared" si="21"/>
        <v>2.5769856477538395</v>
      </c>
      <c r="I17" s="3">
        <f t="shared" si="8"/>
        <v>25671.151683056611</v>
      </c>
      <c r="K17" s="19" t="s">
        <v>14</v>
      </c>
      <c r="L17" s="82" t="s">
        <v>15</v>
      </c>
    </row>
    <row r="18" spans="1:19">
      <c r="A18">
        <v>2033</v>
      </c>
      <c r="B18" s="3">
        <f>B15+(B20-B15)/5*3</f>
        <v>9.7767704365405379</v>
      </c>
      <c r="C18" s="3">
        <f t="shared" ref="C18:H18" si="22">C15+(C20-C15)/5*3</f>
        <v>1.111680464580316</v>
      </c>
      <c r="D18" s="3">
        <f t="shared" si="22"/>
        <v>1.9664016622191038</v>
      </c>
      <c r="E18" s="3">
        <f t="shared" si="22"/>
        <v>0.16359078909185842</v>
      </c>
      <c r="F18" s="3">
        <f t="shared" si="22"/>
        <v>24456.39886959871</v>
      </c>
      <c r="G18" s="3">
        <f t="shared" si="22"/>
        <v>0.86714164600732035</v>
      </c>
      <c r="H18" s="3">
        <f t="shared" si="22"/>
        <v>2.4648719534636605</v>
      </c>
      <c r="I18" s="3">
        <f t="shared" si="8"/>
        <v>24554.308966303561</v>
      </c>
      <c r="K18" s="131">
        <v>25</v>
      </c>
      <c r="L18" s="132">
        <v>298</v>
      </c>
    </row>
    <row r="19" spans="1:19">
      <c r="A19">
        <v>2034</v>
      </c>
      <c r="B19" s="3">
        <f>B15+(B20-B15)/5*4</f>
        <v>9.3320780255098956</v>
      </c>
      <c r="C19" s="3">
        <f t="shared" ref="C19:H19" si="23">C15+(C20-C15)/5*4</f>
        <v>1.0611161325957748</v>
      </c>
      <c r="D19" s="3">
        <f t="shared" si="23"/>
        <v>1.8769606855793481</v>
      </c>
      <c r="E19" s="3">
        <f t="shared" si="23"/>
        <v>0.15614992885116272</v>
      </c>
      <c r="F19" s="3">
        <f t="shared" si="23"/>
        <v>23344.009553613381</v>
      </c>
      <c r="G19" s="3">
        <f t="shared" si="23"/>
        <v>0.82770006232986604</v>
      </c>
      <c r="H19" s="3">
        <f t="shared" si="23"/>
        <v>2.3527582591734819</v>
      </c>
      <c r="I19" s="3">
        <f t="shared" si="8"/>
        <v>23437.466249550514</v>
      </c>
    </row>
    <row r="20" spans="1:19">
      <c r="A20">
        <v>2035</v>
      </c>
      <c r="B20" s="3">
        <f t="shared" ref="B20" si="24">K10*$N14</f>
        <v>8.8873856144792533</v>
      </c>
      <c r="C20" s="3">
        <f t="shared" ref="C20" si="25">L10*$N14</f>
        <v>1.0105518006112333</v>
      </c>
      <c r="D20" s="3">
        <f t="shared" ref="D20" si="26">M10*$N14</f>
        <v>1.7875197089395924</v>
      </c>
      <c r="E20" s="3">
        <f t="shared" ref="E20" si="27">N10*$N14</f>
        <v>0.14870906861046698</v>
      </c>
      <c r="F20" s="3">
        <f t="shared" ref="F20" si="28">O10*$N14</f>
        <v>22231.620237628049</v>
      </c>
      <c r="G20" s="3">
        <f t="shared" ref="G20" si="29">P10*$N14</f>
        <v>0.78825847865241172</v>
      </c>
      <c r="H20" s="3">
        <f t="shared" ref="H20" si="30">Q10*$N14</f>
        <v>2.2406445648833029</v>
      </c>
      <c r="I20" s="3">
        <f t="shared" si="8"/>
        <v>22320.623532797461</v>
      </c>
    </row>
    <row r="21" spans="1:19">
      <c r="A21">
        <v>2036</v>
      </c>
      <c r="B21" s="3">
        <f>B20+(B25-B20)/5</f>
        <v>7.1099084915834023</v>
      </c>
      <c r="C21" s="3">
        <f t="shared" ref="C21:H21" si="31">C20+(C25-C20)/5</f>
        <v>0.80844144048898658</v>
      </c>
      <c r="D21" s="3">
        <f t="shared" si="31"/>
        <v>1.430015767151674</v>
      </c>
      <c r="E21" s="3">
        <f t="shared" si="31"/>
        <v>0.11896725488837359</v>
      </c>
      <c r="F21" s="3">
        <f t="shared" si="31"/>
        <v>17785.296190102439</v>
      </c>
      <c r="G21" s="3">
        <f t="shared" si="31"/>
        <v>0.6306067829219294</v>
      </c>
      <c r="H21" s="3">
        <f t="shared" si="31"/>
        <v>1.7925156519066423</v>
      </c>
      <c r="I21" s="3">
        <f t="shared" si="8"/>
        <v>17856.498826237967</v>
      </c>
    </row>
    <row r="22" spans="1:19">
      <c r="A22">
        <v>2037</v>
      </c>
      <c r="B22" s="3">
        <f>B20+(B25-B20)/5*2</f>
        <v>5.3324313686875522</v>
      </c>
      <c r="C22" s="3">
        <f t="shared" ref="C22:H22" si="32">C20+(C25-C20)/5*2</f>
        <v>0.60633108036673999</v>
      </c>
      <c r="D22" s="3">
        <f t="shared" si="32"/>
        <v>1.0725118253637556</v>
      </c>
      <c r="E22" s="3">
        <f t="shared" si="32"/>
        <v>8.9225441166280187E-2</v>
      </c>
      <c r="F22" s="3">
        <f t="shared" si="32"/>
        <v>13338.972142576829</v>
      </c>
      <c r="G22" s="3">
        <f t="shared" si="32"/>
        <v>0.47295508719144702</v>
      </c>
      <c r="H22" s="3">
        <f t="shared" si="32"/>
        <v>1.3443867389299817</v>
      </c>
      <c r="I22" s="3">
        <f t="shared" si="8"/>
        <v>13392.374119678474</v>
      </c>
    </row>
    <row r="23" spans="1:19">
      <c r="A23">
        <v>2038</v>
      </c>
      <c r="B23" s="3">
        <f>B20+(B25-B20)/5*3</f>
        <v>3.554954245791702</v>
      </c>
      <c r="C23" s="3">
        <f t="shared" ref="C23:H23" si="33">C20+(C25-C20)/5*3</f>
        <v>0.4042207202444934</v>
      </c>
      <c r="D23" s="3">
        <f t="shared" si="33"/>
        <v>0.71500788357583689</v>
      </c>
      <c r="E23" s="3">
        <f t="shared" si="33"/>
        <v>5.9483627444186782E-2</v>
      </c>
      <c r="F23" s="3">
        <f t="shared" si="33"/>
        <v>8892.6480950512196</v>
      </c>
      <c r="G23" s="3">
        <f t="shared" si="33"/>
        <v>0.31530339146096464</v>
      </c>
      <c r="H23" s="3">
        <f t="shared" si="33"/>
        <v>0.89625782595332115</v>
      </c>
      <c r="I23" s="3">
        <f t="shared" si="8"/>
        <v>8928.2494131189833</v>
      </c>
    </row>
    <row r="24" spans="1:19">
      <c r="A24">
        <v>2039</v>
      </c>
      <c r="B24" s="3">
        <f>B20+(B25-B20)/5*4</f>
        <v>1.777477122895851</v>
      </c>
      <c r="C24" s="3">
        <f t="shared" ref="C24:H24" si="34">C20+(C25-C20)/5*4</f>
        <v>0.2021103601222467</v>
      </c>
      <c r="D24" s="3">
        <f t="shared" si="34"/>
        <v>0.35750394178791844</v>
      </c>
      <c r="E24" s="3">
        <f t="shared" si="34"/>
        <v>2.9741813722093391E-2</v>
      </c>
      <c r="F24" s="3">
        <f t="shared" si="34"/>
        <v>4446.3240475256098</v>
      </c>
      <c r="G24" s="3">
        <f t="shared" si="34"/>
        <v>0.15765169573048232</v>
      </c>
      <c r="H24" s="3">
        <f t="shared" si="34"/>
        <v>0.44812891297666058</v>
      </c>
      <c r="I24" s="3">
        <f t="shared" si="8"/>
        <v>4464.1247065594916</v>
      </c>
    </row>
    <row r="25" spans="1:19">
      <c r="A25">
        <v>2040</v>
      </c>
      <c r="B25" s="3">
        <f t="shared" ref="B25" si="35">K10*$O14</f>
        <v>0</v>
      </c>
      <c r="C25" s="3">
        <f t="shared" ref="C25" si="36">L10*$O14</f>
        <v>0</v>
      </c>
      <c r="D25" s="3">
        <f t="shared" ref="D25" si="37">M10*$O14</f>
        <v>0</v>
      </c>
      <c r="E25" s="3">
        <f t="shared" ref="E25" si="38">N10*$O14</f>
        <v>0</v>
      </c>
      <c r="F25" s="3">
        <f t="shared" ref="F25" si="39">O10*$O14</f>
        <v>0</v>
      </c>
      <c r="G25" s="3">
        <f t="shared" ref="G25" si="40">P10*$O14</f>
        <v>0</v>
      </c>
      <c r="H25" s="3">
        <f t="shared" ref="H25" si="41">Q10*$O14</f>
        <v>0</v>
      </c>
      <c r="I25" s="3">
        <f t="shared" si="8"/>
        <v>0</v>
      </c>
    </row>
    <row r="27" spans="1:19">
      <c r="B27" s="2" t="s">
        <v>69</v>
      </c>
      <c r="K27" t="s">
        <v>25</v>
      </c>
    </row>
    <row r="28" spans="1:19">
      <c r="B28">
        <v>2020</v>
      </c>
    </row>
    <row r="29" spans="1:19">
      <c r="B29" t="s">
        <v>8</v>
      </c>
      <c r="C29" t="s">
        <v>10</v>
      </c>
      <c r="D29" t="s">
        <v>14</v>
      </c>
      <c r="E29" t="s">
        <v>15</v>
      </c>
      <c r="F29" t="s">
        <v>16</v>
      </c>
      <c r="G29" t="s">
        <v>115</v>
      </c>
      <c r="H29" t="s">
        <v>116</v>
      </c>
      <c r="I29" t="s">
        <v>47</v>
      </c>
      <c r="K29" s="2" t="s">
        <v>289</v>
      </c>
      <c r="S29" s="298" t="s">
        <v>127</v>
      </c>
    </row>
    <row r="30" spans="1:19">
      <c r="A30">
        <v>2020</v>
      </c>
      <c r="B30" s="3">
        <f>K31*$K35</f>
        <v>41.621643261785309</v>
      </c>
      <c r="C30" s="3">
        <f t="shared" ref="C30" si="42">L31*$K35</f>
        <v>4.1948549606362828</v>
      </c>
      <c r="D30" s="3">
        <f t="shared" ref="D30" si="43">M31*$K35</f>
        <v>7.3321405094602055</v>
      </c>
      <c r="E30" s="3">
        <f t="shared" ref="E30" si="44">N31*$K35</f>
        <v>1.1421509566496804</v>
      </c>
      <c r="F30" s="3">
        <f t="shared" ref="F30" si="45">O31*$K35</f>
        <v>78723.523940163417</v>
      </c>
      <c r="G30" s="3">
        <f t="shared" ref="G30" si="46">P31*$K35</f>
        <v>1.4760487799615836</v>
      </c>
      <c r="H30" s="3">
        <f t="shared" ref="H30" si="47">Q31*$K35</f>
        <v>37.308994445516561</v>
      </c>
      <c r="I30" s="3">
        <f t="shared" ref="I30:I46" si="48">F30+D30*K$102+E30*L$102</f>
        <v>79247.188437981516</v>
      </c>
      <c r="K30" t="s">
        <v>8</v>
      </c>
      <c r="L30" t="s">
        <v>10</v>
      </c>
      <c r="M30" t="s">
        <v>14</v>
      </c>
      <c r="N30" t="s">
        <v>15</v>
      </c>
      <c r="O30" t="s">
        <v>16</v>
      </c>
      <c r="P30" t="s">
        <v>115</v>
      </c>
      <c r="Q30" t="s">
        <v>116</v>
      </c>
      <c r="S30" s="298"/>
    </row>
    <row r="31" spans="1:19">
      <c r="A31">
        <v>2025</v>
      </c>
      <c r="B31" s="3">
        <f t="shared" ref="B31:H31" si="49">B30</f>
        <v>41.621643261785309</v>
      </c>
      <c r="C31" s="3">
        <f t="shared" si="49"/>
        <v>4.1948549606362828</v>
      </c>
      <c r="D31" s="3">
        <f t="shared" si="49"/>
        <v>7.3321405094602055</v>
      </c>
      <c r="E31" s="3">
        <f t="shared" si="49"/>
        <v>1.1421509566496804</v>
      </c>
      <c r="F31" s="3">
        <f t="shared" si="49"/>
        <v>78723.523940163417</v>
      </c>
      <c r="G31" s="3">
        <f t="shared" si="49"/>
        <v>1.4760487799615836</v>
      </c>
      <c r="H31" s="3">
        <f t="shared" si="49"/>
        <v>37.308994445516561</v>
      </c>
      <c r="I31" s="3">
        <f t="shared" si="48"/>
        <v>79247.188437981516</v>
      </c>
      <c r="K31" s="3">
        <f>'Regional GREET factors'!A99</f>
        <v>94.882782194038484</v>
      </c>
      <c r="L31" s="3">
        <f>'Regional GREET factors'!B99</f>
        <v>9.5628014267056525</v>
      </c>
      <c r="M31" s="3">
        <f>'Regional GREET factors'!C99</f>
        <v>16.714714664184022</v>
      </c>
      <c r="N31" s="3">
        <f>'Regional GREET factors'!D99</f>
        <v>2.6037045142810125</v>
      </c>
      <c r="O31" s="3">
        <f>'Regional GREET factors'!E99</f>
        <v>179462.08727467008</v>
      </c>
      <c r="P31" s="3">
        <f>'Regional GREET factors'!F99</f>
        <v>3.3648747123220577</v>
      </c>
      <c r="Q31" s="3">
        <f>'Regional GREET factors'!G99</f>
        <v>85.051451995475489</v>
      </c>
      <c r="S31" s="298"/>
    </row>
    <row r="32" spans="1:19">
      <c r="A32">
        <v>2026</v>
      </c>
      <c r="B32" s="3">
        <f>B31+(B36-B31)/5</f>
        <v>37.334524574444224</v>
      </c>
      <c r="C32" s="3">
        <f t="shared" ref="C32:H32" si="50">C31+(C36-C31)/5</f>
        <v>3.7627758863114824</v>
      </c>
      <c r="D32" s="3">
        <f t="shared" si="50"/>
        <v>6.5769142826000522</v>
      </c>
      <c r="E32" s="3">
        <f t="shared" si="50"/>
        <v>1.0245069540037524</v>
      </c>
      <c r="F32" s="3">
        <f t="shared" si="50"/>
        <v>70614.83182307228</v>
      </c>
      <c r="G32" s="3">
        <f t="shared" si="50"/>
        <v>1.3240125840766812</v>
      </c>
      <c r="H32" s="3">
        <f t="shared" si="50"/>
        <v>33.466087852731114</v>
      </c>
      <c r="I32" s="3">
        <f t="shared" si="48"/>
        <v>71084.557752430395</v>
      </c>
    </row>
    <row r="33" spans="1:17">
      <c r="A33">
        <v>2027</v>
      </c>
      <c r="B33" s="3">
        <f>B31+(B36-B31)/5*2</f>
        <v>33.047405887103139</v>
      </c>
      <c r="C33" s="3">
        <f t="shared" ref="C33:H33" si="51">C31+(C36-C31)/5*2</f>
        <v>3.330696811986682</v>
      </c>
      <c r="D33" s="3">
        <f t="shared" si="51"/>
        <v>5.8216880557398998</v>
      </c>
      <c r="E33" s="3">
        <f t="shared" si="51"/>
        <v>0.90686295135782435</v>
      </c>
      <c r="F33" s="3">
        <f t="shared" si="51"/>
        <v>62506.139705981142</v>
      </c>
      <c r="G33" s="3">
        <f t="shared" si="51"/>
        <v>1.1719763881917791</v>
      </c>
      <c r="H33" s="3">
        <f t="shared" si="51"/>
        <v>29.623181259945664</v>
      </c>
      <c r="I33" s="3">
        <f t="shared" si="48"/>
        <v>62921.927066879267</v>
      </c>
      <c r="K33" s="2" t="s">
        <v>293</v>
      </c>
    </row>
    <row r="34" spans="1:17">
      <c r="A34">
        <v>2028</v>
      </c>
      <c r="B34" s="3">
        <f>B31+(B36-B31)/5*3</f>
        <v>28.760287199762054</v>
      </c>
      <c r="C34" s="3">
        <f t="shared" ref="C34:H34" si="52">C31+(C36-C31)/5*3</f>
        <v>2.8986177376618816</v>
      </c>
      <c r="D34" s="3">
        <f t="shared" si="52"/>
        <v>5.0664618288797465</v>
      </c>
      <c r="E34" s="3">
        <f t="shared" si="52"/>
        <v>0.78921894871189624</v>
      </c>
      <c r="F34" s="3">
        <f t="shared" si="52"/>
        <v>54397.447588890012</v>
      </c>
      <c r="G34" s="3">
        <f t="shared" si="52"/>
        <v>1.0199401923068767</v>
      </c>
      <c r="H34" s="3">
        <f t="shared" si="52"/>
        <v>25.780274667160214</v>
      </c>
      <c r="I34" s="3">
        <f t="shared" si="48"/>
        <v>54759.296381328153</v>
      </c>
      <c r="K34">
        <v>2020</v>
      </c>
      <c r="L34">
        <v>2025</v>
      </c>
      <c r="M34">
        <v>2030</v>
      </c>
      <c r="N34">
        <v>2035</v>
      </c>
      <c r="O34">
        <v>2040</v>
      </c>
    </row>
    <row r="35" spans="1:17">
      <c r="A35">
        <v>2029</v>
      </c>
      <c r="B35" s="3">
        <f>B31+(B36-B31)/5*4</f>
        <v>24.473168512420969</v>
      </c>
      <c r="C35" s="3">
        <f t="shared" ref="C35:H35" si="53">C31+(C36-C31)/5*4</f>
        <v>2.4665386633370812</v>
      </c>
      <c r="D35" s="3">
        <f t="shared" si="53"/>
        <v>4.3112356020195932</v>
      </c>
      <c r="E35" s="3">
        <f t="shared" si="53"/>
        <v>0.67157494606596824</v>
      </c>
      <c r="F35" s="3">
        <f t="shared" si="53"/>
        <v>46288.755471798875</v>
      </c>
      <c r="G35" s="3">
        <f t="shared" si="53"/>
        <v>0.86790399642197436</v>
      </c>
      <c r="H35" s="3">
        <f t="shared" si="53"/>
        <v>21.937368074374767</v>
      </c>
      <c r="I35" s="3">
        <f t="shared" si="48"/>
        <v>46596.665695777025</v>
      </c>
      <c r="K35" s="9">
        <f>1-'State grid data'!C9</f>
        <v>0.43866381549254796</v>
      </c>
      <c r="L35" s="9">
        <f>1-'State grid data'!D9</f>
        <v>0.41334600787919507</v>
      </c>
      <c r="M35" s="9">
        <f>1-'State grid data'!E9</f>
        <v>0.21274723778439308</v>
      </c>
      <c r="N35" s="9">
        <f>1-'State grid data'!F9</f>
        <v>0.17017304141185807</v>
      </c>
      <c r="O35" s="9">
        <f>1-'State grid data'!G9</f>
        <v>0</v>
      </c>
      <c r="P35" s="9"/>
      <c r="Q35" s="9"/>
    </row>
    <row r="36" spans="1:17">
      <c r="A36">
        <v>2030</v>
      </c>
      <c r="B36" s="3">
        <f t="shared" ref="B36" si="54">K31*$M35</f>
        <v>20.186049825079884</v>
      </c>
      <c r="C36" s="3">
        <f t="shared" ref="C36" si="55">L31*$M35</f>
        <v>2.0344595890122807</v>
      </c>
      <c r="D36" s="3">
        <f t="shared" ref="D36" si="56">M31*$M35</f>
        <v>3.5560093751594404</v>
      </c>
      <c r="E36" s="3">
        <f t="shared" ref="E36" si="57">N31*$M35</f>
        <v>0.55393094342004023</v>
      </c>
      <c r="F36" s="3">
        <f t="shared" ref="F36" si="58">O31*$M35</f>
        <v>38180.063354707738</v>
      </c>
      <c r="G36" s="3">
        <f t="shared" ref="G36" si="59">P31*$M35</f>
        <v>0.71586780053707211</v>
      </c>
      <c r="H36" s="3">
        <f t="shared" ref="H36" si="60">Q31*$M35</f>
        <v>18.094461481589317</v>
      </c>
      <c r="I36" s="3">
        <f t="shared" si="48"/>
        <v>38434.035010225896</v>
      </c>
    </row>
    <row r="37" spans="1:17">
      <c r="A37">
        <v>2031</v>
      </c>
      <c r="B37" s="3">
        <f>B36+(B41-B36)/5</f>
        <v>19.378138184779591</v>
      </c>
      <c r="C37" s="3">
        <f t="shared" ref="C37:H37" si="61">C36+(C41-C36)/5</f>
        <v>1.9530338718498559</v>
      </c>
      <c r="D37" s="3">
        <f t="shared" si="61"/>
        <v>3.4136862662746683</v>
      </c>
      <c r="E37" s="3">
        <f t="shared" si="61"/>
        <v>0.53176081796262908</v>
      </c>
      <c r="F37" s="3">
        <f t="shared" si="61"/>
        <v>36651.972525696372</v>
      </c>
      <c r="G37" s="3">
        <f t="shared" si="61"/>
        <v>0.68721643318279679</v>
      </c>
      <c r="H37" s="3">
        <f t="shared" si="61"/>
        <v>17.370262037784396</v>
      </c>
      <c r="I37" s="3">
        <f t="shared" si="48"/>
        <v>36895.779406106099</v>
      </c>
      <c r="K37" s="301" t="s">
        <v>166</v>
      </c>
      <c r="L37" s="302"/>
    </row>
    <row r="38" spans="1:17">
      <c r="A38">
        <v>2032</v>
      </c>
      <c r="B38" s="3">
        <f>B36+(B41-B36)/5*2</f>
        <v>18.570226544479297</v>
      </c>
      <c r="C38" s="3">
        <f t="shared" ref="C38:H38" si="62">C36+(C41-C36)/5*2</f>
        <v>1.871608154687431</v>
      </c>
      <c r="D38" s="3">
        <f t="shared" si="62"/>
        <v>3.2713631573898958</v>
      </c>
      <c r="E38" s="3">
        <f t="shared" si="62"/>
        <v>0.50959069250521793</v>
      </c>
      <c r="F38" s="3">
        <f t="shared" si="62"/>
        <v>35123.881696685014</v>
      </c>
      <c r="G38" s="3">
        <f t="shared" si="62"/>
        <v>0.65856506582852148</v>
      </c>
      <c r="H38" s="3">
        <f t="shared" si="62"/>
        <v>16.646062593979472</v>
      </c>
      <c r="I38" s="3">
        <f t="shared" si="48"/>
        <v>35357.523801986317</v>
      </c>
      <c r="K38" s="19" t="s">
        <v>14</v>
      </c>
      <c r="L38" s="82" t="s">
        <v>15</v>
      </c>
    </row>
    <row r="39" spans="1:17">
      <c r="A39">
        <v>2033</v>
      </c>
      <c r="B39" s="3">
        <f>B36+(B41-B36)/5*3</f>
        <v>17.762314904179007</v>
      </c>
      <c r="C39" s="3">
        <f t="shared" ref="C39:H39" si="63">C36+(C41-C36)/5*3</f>
        <v>1.7901824375250062</v>
      </c>
      <c r="D39" s="3">
        <f t="shared" si="63"/>
        <v>3.1290400485051237</v>
      </c>
      <c r="E39" s="3">
        <f t="shared" si="63"/>
        <v>0.48742056704780679</v>
      </c>
      <c r="F39" s="3">
        <f t="shared" si="63"/>
        <v>33595.790867673648</v>
      </c>
      <c r="G39" s="3">
        <f t="shared" si="63"/>
        <v>0.62991369847424616</v>
      </c>
      <c r="H39" s="3">
        <f t="shared" si="63"/>
        <v>15.921863150174552</v>
      </c>
      <c r="I39" s="3">
        <f t="shared" si="48"/>
        <v>33819.26819786652</v>
      </c>
      <c r="K39" s="131">
        <v>25</v>
      </c>
      <c r="L39" s="132">
        <v>298</v>
      </c>
    </row>
    <row r="40" spans="1:17">
      <c r="A40">
        <v>2034</v>
      </c>
      <c r="B40" s="3">
        <f>B36+(B41-B36)/5*4</f>
        <v>16.954403263878714</v>
      </c>
      <c r="C40" s="3">
        <f t="shared" ref="C40:H40" si="64">C36+(C41-C36)/5*4</f>
        <v>1.7087567203625813</v>
      </c>
      <c r="D40" s="3">
        <f t="shared" si="64"/>
        <v>2.9867169396203517</v>
      </c>
      <c r="E40" s="3">
        <f t="shared" si="64"/>
        <v>0.46525044159039569</v>
      </c>
      <c r="F40" s="3">
        <f t="shared" si="64"/>
        <v>32067.700038662282</v>
      </c>
      <c r="G40" s="3">
        <f t="shared" si="64"/>
        <v>0.60126233111997085</v>
      </c>
      <c r="H40" s="3">
        <f t="shared" si="64"/>
        <v>15.197663706369632</v>
      </c>
      <c r="I40" s="3">
        <f t="shared" si="48"/>
        <v>32281.012593746731</v>
      </c>
    </row>
    <row r="41" spans="1:17">
      <c r="A41">
        <v>2035</v>
      </c>
      <c r="B41" s="3">
        <f t="shared" ref="B41" si="65">K31*$N35</f>
        <v>16.14649162357842</v>
      </c>
      <c r="C41" s="3">
        <f t="shared" ref="C41" si="66">L31*$N35</f>
        <v>1.6273310032001564</v>
      </c>
      <c r="D41" s="3">
        <f t="shared" ref="D41" si="67">M31*$N35</f>
        <v>2.8443938307355792</v>
      </c>
      <c r="E41" s="3">
        <f t="shared" ref="E41" si="68">N31*$N35</f>
        <v>0.44308031613298454</v>
      </c>
      <c r="F41" s="3">
        <f t="shared" ref="F41" si="69">O31*$N35</f>
        <v>30539.60920965092</v>
      </c>
      <c r="G41" s="3">
        <f t="shared" ref="G41" si="70">P31*$N35</f>
        <v>0.57261096376569554</v>
      </c>
      <c r="H41" s="3">
        <f t="shared" ref="H41" si="71">Q31*$N35</f>
        <v>14.473464262564709</v>
      </c>
      <c r="I41" s="3">
        <f t="shared" si="48"/>
        <v>30742.756989626942</v>
      </c>
    </row>
    <row r="42" spans="1:17">
      <c r="A42">
        <v>2036</v>
      </c>
      <c r="B42" s="3">
        <f>B41+(B46-B41)/5</f>
        <v>12.917193298862736</v>
      </c>
      <c r="C42" s="3">
        <f t="shared" ref="C42:H42" si="72">C41+(C46-C41)/5</f>
        <v>1.3018648025601252</v>
      </c>
      <c r="D42" s="3">
        <f t="shared" si="72"/>
        <v>2.2755150645884634</v>
      </c>
      <c r="E42" s="3">
        <f t="shared" si="72"/>
        <v>0.35446425290638761</v>
      </c>
      <c r="F42" s="3">
        <f t="shared" si="72"/>
        <v>24431.687367720737</v>
      </c>
      <c r="G42" s="3">
        <f t="shared" si="72"/>
        <v>0.45808877101255641</v>
      </c>
      <c r="H42" s="3">
        <f t="shared" si="72"/>
        <v>11.578771410051768</v>
      </c>
      <c r="I42" s="3">
        <f t="shared" si="48"/>
        <v>24594.20559170155</v>
      </c>
    </row>
    <row r="43" spans="1:17">
      <c r="A43">
        <v>2037</v>
      </c>
      <c r="B43" s="3">
        <f>B41+(B46-B41)/5*2</f>
        <v>9.6878949741470528</v>
      </c>
      <c r="C43" s="3">
        <f t="shared" ref="C43:H43" si="73">C41+(C46-C41)/5*2</f>
        <v>0.97639860192009387</v>
      </c>
      <c r="D43" s="3">
        <f t="shared" si="73"/>
        <v>1.7066362984413475</v>
      </c>
      <c r="E43" s="3">
        <f t="shared" si="73"/>
        <v>0.26584818967979074</v>
      </c>
      <c r="F43" s="3">
        <f t="shared" si="73"/>
        <v>18323.76552579055</v>
      </c>
      <c r="G43" s="3">
        <f t="shared" si="73"/>
        <v>0.34356657825941733</v>
      </c>
      <c r="H43" s="3">
        <f t="shared" si="73"/>
        <v>8.6840785575388253</v>
      </c>
      <c r="I43" s="3">
        <f t="shared" si="48"/>
        <v>18445.654193776161</v>
      </c>
    </row>
    <row r="44" spans="1:17">
      <c r="A44">
        <v>2038</v>
      </c>
      <c r="B44" s="3">
        <f>B41+(B46-B41)/5*3</f>
        <v>6.4585966494313674</v>
      </c>
      <c r="C44" s="3">
        <f t="shared" ref="C44:H44" si="74">C41+(C46-C41)/5*3</f>
        <v>0.65093240128006258</v>
      </c>
      <c r="D44" s="3">
        <f t="shared" si="74"/>
        <v>1.1377575322942315</v>
      </c>
      <c r="E44" s="3">
        <f t="shared" si="74"/>
        <v>0.17723212645319381</v>
      </c>
      <c r="F44" s="3">
        <f t="shared" si="74"/>
        <v>12215.843683860367</v>
      </c>
      <c r="G44" s="3">
        <f t="shared" si="74"/>
        <v>0.22904438550627826</v>
      </c>
      <c r="H44" s="3">
        <f t="shared" si="74"/>
        <v>5.7893857050258841</v>
      </c>
      <c r="I44" s="3">
        <f t="shared" si="48"/>
        <v>12297.102795850773</v>
      </c>
    </row>
    <row r="45" spans="1:17">
      <c r="A45">
        <v>2039</v>
      </c>
      <c r="B45" s="3">
        <f>B41+(B46-B41)/5*4</f>
        <v>3.2292983247156837</v>
      </c>
      <c r="C45" s="3">
        <f t="shared" ref="C45:H45" si="75">C41+(C46-C41)/5*4</f>
        <v>0.32546620064003129</v>
      </c>
      <c r="D45" s="3">
        <f t="shared" si="75"/>
        <v>0.56887876614711574</v>
      </c>
      <c r="E45" s="3">
        <f t="shared" si="75"/>
        <v>8.8616063226596931E-2</v>
      </c>
      <c r="F45" s="3">
        <f t="shared" si="75"/>
        <v>6107.9218419301833</v>
      </c>
      <c r="G45" s="3">
        <f t="shared" si="75"/>
        <v>0.11452219275313913</v>
      </c>
      <c r="H45" s="3">
        <f t="shared" si="75"/>
        <v>2.8946928525129412</v>
      </c>
      <c r="I45" s="3">
        <f t="shared" si="48"/>
        <v>6148.5513979253865</v>
      </c>
    </row>
    <row r="46" spans="1:17">
      <c r="A46">
        <v>2040</v>
      </c>
      <c r="B46" s="3">
        <f t="shared" ref="B46" si="76">K31*$O35</f>
        <v>0</v>
      </c>
      <c r="C46" s="3">
        <f t="shared" ref="C46" si="77">L31*$O35</f>
        <v>0</v>
      </c>
      <c r="D46" s="3">
        <f t="shared" ref="D46" si="78">M31*$O35</f>
        <v>0</v>
      </c>
      <c r="E46" s="3">
        <f t="shared" ref="E46" si="79">N31*$O35</f>
        <v>0</v>
      </c>
      <c r="F46" s="3">
        <f t="shared" ref="F46" si="80">O31*$O35</f>
        <v>0</v>
      </c>
      <c r="G46" s="3">
        <f t="shared" ref="G46" si="81">P31*$O35</f>
        <v>0</v>
      </c>
      <c r="H46" s="3">
        <f t="shared" ref="H46" si="82">Q31*$O35</f>
        <v>0</v>
      </c>
      <c r="I46" s="3">
        <f t="shared" si="48"/>
        <v>0</v>
      </c>
    </row>
    <row r="48" spans="1:17">
      <c r="B48" s="2" t="s">
        <v>68</v>
      </c>
      <c r="K48" t="s">
        <v>25</v>
      </c>
    </row>
    <row r="49" spans="1:19">
      <c r="B49">
        <v>2020</v>
      </c>
    </row>
    <row r="50" spans="1:19">
      <c r="B50" t="s">
        <v>8</v>
      </c>
      <c r="C50" t="s">
        <v>10</v>
      </c>
      <c r="D50" t="s">
        <v>14</v>
      </c>
      <c r="E50" t="s">
        <v>15</v>
      </c>
      <c r="F50" t="s">
        <v>16</v>
      </c>
      <c r="G50" t="s">
        <v>115</v>
      </c>
      <c r="H50" t="s">
        <v>116</v>
      </c>
      <c r="I50" t="s">
        <v>47</v>
      </c>
      <c r="K50" s="2" t="s">
        <v>286</v>
      </c>
      <c r="S50" s="298" t="s">
        <v>127</v>
      </c>
    </row>
    <row r="51" spans="1:19">
      <c r="A51">
        <v>2020</v>
      </c>
      <c r="B51" s="3">
        <f>K52*$K56</f>
        <v>35.075222269264721</v>
      </c>
      <c r="C51" s="3">
        <f t="shared" ref="C51" si="83">L52*$K56</f>
        <v>4.5828872471399702</v>
      </c>
      <c r="D51" s="3">
        <f t="shared" ref="D51" si="84">M52*$K56</f>
        <v>7.4869881683925872</v>
      </c>
      <c r="E51" s="3">
        <f t="shared" ref="E51" si="85">N52*$K56</f>
        <v>1.1882977944647415</v>
      </c>
      <c r="F51" s="3">
        <f t="shared" ref="F51" si="86">O52*$K56</f>
        <v>80644.208802019828</v>
      </c>
      <c r="G51" s="3">
        <f t="shared" ref="G51" si="87">P52*$K56</f>
        <v>0.99826142971908083</v>
      </c>
      <c r="H51" s="3">
        <f t="shared" ref="H51" si="88">Q52*$K56</f>
        <v>36.373309796687167</v>
      </c>
      <c r="I51" s="3">
        <f t="shared" ref="I51:I67" si="89">F51+D51*K$102+E51*L$102</f>
        <v>81185.49624898014</v>
      </c>
      <c r="K51" t="s">
        <v>8</v>
      </c>
      <c r="L51" t="s">
        <v>10</v>
      </c>
      <c r="M51" t="s">
        <v>14</v>
      </c>
      <c r="N51" t="s">
        <v>15</v>
      </c>
      <c r="O51" t="s">
        <v>16</v>
      </c>
      <c r="P51" t="s">
        <v>115</v>
      </c>
      <c r="Q51" t="s">
        <v>116</v>
      </c>
      <c r="S51" s="298"/>
    </row>
    <row r="52" spans="1:19">
      <c r="A52">
        <v>2025</v>
      </c>
      <c r="B52" s="3">
        <f t="shared" ref="B52:H52" si="90">B51</f>
        <v>35.075222269264721</v>
      </c>
      <c r="C52" s="3">
        <f t="shared" si="90"/>
        <v>4.5828872471399702</v>
      </c>
      <c r="D52" s="3">
        <f t="shared" si="90"/>
        <v>7.4869881683925872</v>
      </c>
      <c r="E52" s="3">
        <f t="shared" si="90"/>
        <v>1.1882977944647415</v>
      </c>
      <c r="F52" s="3">
        <f t="shared" si="90"/>
        <v>80644.208802019828</v>
      </c>
      <c r="G52" s="3">
        <f t="shared" si="90"/>
        <v>0.99826142971908083</v>
      </c>
      <c r="H52" s="3">
        <f t="shared" si="90"/>
        <v>36.373309796687167</v>
      </c>
      <c r="I52" s="3">
        <f t="shared" si="89"/>
        <v>81185.49624898014</v>
      </c>
      <c r="K52" s="3">
        <f>'Regional GREET factors'!A119</f>
        <v>79.959233085776546</v>
      </c>
      <c r="L52" s="3">
        <f>'Regional GREET factors'!B119</f>
        <v>10.447379257835832</v>
      </c>
      <c r="M52" s="3">
        <f>'Regional GREET factors'!C119</f>
        <v>17.067713141522557</v>
      </c>
      <c r="N52" s="3">
        <f>'Regional GREET factors'!D119</f>
        <v>2.7089031565789776</v>
      </c>
      <c r="O52" s="3">
        <f>'Regional GREET factors'!E119</f>
        <v>183840.57666454554</v>
      </c>
      <c r="P52" s="3">
        <f>'Regional GREET factors'!F119</f>
        <v>2.2756867433850134</v>
      </c>
      <c r="Q52" s="3">
        <f>'Regional GREET factors'!G119</f>
        <v>82.918418415354978</v>
      </c>
      <c r="S52" s="298"/>
    </row>
    <row r="53" spans="1:19">
      <c r="A53">
        <v>2026</v>
      </c>
      <c r="B53" s="3">
        <f>B52+(B57-B52)/5</f>
        <v>31.46239901028326</v>
      </c>
      <c r="C53" s="3">
        <f t="shared" ref="C53:H53" si="91">C52+(C57-C52)/5</f>
        <v>4.1108400135500833</v>
      </c>
      <c r="D53" s="3">
        <f t="shared" si="91"/>
        <v>6.7158122999451315</v>
      </c>
      <c r="E53" s="3">
        <f t="shared" si="91"/>
        <v>1.0659005683693135</v>
      </c>
      <c r="F53" s="3">
        <f t="shared" si="91"/>
        <v>72337.682017230269</v>
      </c>
      <c r="G53" s="3">
        <f t="shared" si="91"/>
        <v>0.89543835751880918</v>
      </c>
      <c r="H53" s="3">
        <f t="shared" si="91"/>
        <v>32.626780733213195</v>
      </c>
      <c r="I53" s="3">
        <f t="shared" si="89"/>
        <v>72823.215694102953</v>
      </c>
    </row>
    <row r="54" spans="1:19">
      <c r="A54">
        <v>2027</v>
      </c>
      <c r="B54" s="3">
        <f>B52+(B57-B52)/5*2</f>
        <v>27.849575751301799</v>
      </c>
      <c r="C54" s="3">
        <f t="shared" ref="C54:H54" si="92">C52+(C57-C52)/5*2</f>
        <v>3.6387927799601965</v>
      </c>
      <c r="D54" s="3">
        <f t="shared" si="92"/>
        <v>5.9446364314976758</v>
      </c>
      <c r="E54" s="3">
        <f t="shared" si="92"/>
        <v>0.94350334227388521</v>
      </c>
      <c r="F54" s="3">
        <f t="shared" si="92"/>
        <v>64031.155232440702</v>
      </c>
      <c r="G54" s="3">
        <f t="shared" si="92"/>
        <v>0.79261528531853753</v>
      </c>
      <c r="H54" s="3">
        <f t="shared" si="92"/>
        <v>28.880251669739231</v>
      </c>
      <c r="I54" s="3">
        <f t="shared" si="89"/>
        <v>64460.935139225759</v>
      </c>
      <c r="K54" s="2" t="s">
        <v>293</v>
      </c>
    </row>
    <row r="55" spans="1:19">
      <c r="A55">
        <v>2028</v>
      </c>
      <c r="B55" s="3">
        <f>B52+(B57-B52)/5*3</f>
        <v>24.236752492320335</v>
      </c>
      <c r="C55" s="3">
        <f t="shared" ref="C55:H55" si="93">C52+(C57-C52)/5*3</f>
        <v>3.1667455463703096</v>
      </c>
      <c r="D55" s="3">
        <f t="shared" si="93"/>
        <v>5.1734605630502211</v>
      </c>
      <c r="E55" s="3">
        <f t="shared" si="93"/>
        <v>0.82110611617845708</v>
      </c>
      <c r="F55" s="3">
        <f t="shared" si="93"/>
        <v>55724.628447651136</v>
      </c>
      <c r="G55" s="3">
        <f t="shared" si="93"/>
        <v>0.68979221311826588</v>
      </c>
      <c r="H55" s="3">
        <f t="shared" si="93"/>
        <v>25.133722606265259</v>
      </c>
      <c r="I55" s="3">
        <f t="shared" si="89"/>
        <v>56098.654584348573</v>
      </c>
      <c r="K55">
        <v>2020</v>
      </c>
      <c r="L55">
        <v>2025</v>
      </c>
      <c r="M55">
        <v>2030</v>
      </c>
      <c r="N55">
        <v>2035</v>
      </c>
      <c r="O55">
        <v>2040</v>
      </c>
    </row>
    <row r="56" spans="1:19">
      <c r="A56">
        <v>2029</v>
      </c>
      <c r="B56" s="3">
        <f>B52+(B57-B52)/5*4</f>
        <v>20.623929233338874</v>
      </c>
      <c r="C56" s="3">
        <f t="shared" ref="C56:H56" si="94">C52+(C57-C52)/5*4</f>
        <v>2.6946983127804227</v>
      </c>
      <c r="D56" s="3">
        <f t="shared" si="94"/>
        <v>4.4022846946027654</v>
      </c>
      <c r="E56" s="3">
        <f t="shared" si="94"/>
        <v>0.69870889008302894</v>
      </c>
      <c r="F56" s="3">
        <f t="shared" si="94"/>
        <v>47418.101662861576</v>
      </c>
      <c r="G56" s="3">
        <f t="shared" si="94"/>
        <v>0.58696914091799424</v>
      </c>
      <c r="H56" s="3">
        <f t="shared" si="94"/>
        <v>21.387193542791291</v>
      </c>
      <c r="I56" s="3">
        <f t="shared" si="89"/>
        <v>47736.374029471386</v>
      </c>
      <c r="K56" s="9">
        <f>1-'State grid data'!C9</f>
        <v>0.43866381549254796</v>
      </c>
      <c r="L56" s="9">
        <f>1-'State grid data'!D9</f>
        <v>0.41334600787919507</v>
      </c>
      <c r="M56" s="9">
        <f>1-'State grid data'!E9</f>
        <v>0.21274723778439308</v>
      </c>
      <c r="N56" s="9">
        <f>1-'State grid data'!F9</f>
        <v>0.17017304141185807</v>
      </c>
      <c r="O56" s="9">
        <f>1-'State grid data'!G9</f>
        <v>0</v>
      </c>
      <c r="P56" s="9"/>
      <c r="Q56" s="9"/>
    </row>
    <row r="57" spans="1:19">
      <c r="A57">
        <v>2030</v>
      </c>
      <c r="B57" s="3">
        <f t="shared" ref="B57" si="95">K52*$M56</f>
        <v>17.011105974357413</v>
      </c>
      <c r="C57" s="3">
        <f t="shared" ref="C57" si="96">L52*$M56</f>
        <v>2.2226510791905358</v>
      </c>
      <c r="D57" s="3">
        <f t="shared" ref="D57" si="97">M52*$M56</f>
        <v>3.6311088261553102</v>
      </c>
      <c r="E57" s="3">
        <f t="shared" ref="E57" si="98">N52*$M56</f>
        <v>0.57631166398760081</v>
      </c>
      <c r="F57" s="3">
        <f t="shared" ref="F57" si="99">O52*$M56</f>
        <v>39111.574878072017</v>
      </c>
      <c r="G57" s="3">
        <f t="shared" ref="G57" si="100">P52*$M56</f>
        <v>0.48414606871772259</v>
      </c>
      <c r="H57" s="3">
        <f t="shared" ref="H57" si="101">Q52*$M56</f>
        <v>17.640664479317323</v>
      </c>
      <c r="I57" s="3">
        <f t="shared" si="89"/>
        <v>39374.093474594207</v>
      </c>
    </row>
    <row r="58" spans="1:19">
      <c r="A58">
        <v>2031</v>
      </c>
      <c r="B58" s="3">
        <f>B57+(B62-B57)/5</f>
        <v>16.330265956119185</v>
      </c>
      <c r="C58" s="3">
        <f t="shared" ref="C58:H58" si="102">C57+(C62-C57)/5</f>
        <v>2.1336933239702454</v>
      </c>
      <c r="D58" s="3">
        <f t="shared" si="102"/>
        <v>3.4857799919718544</v>
      </c>
      <c r="E58" s="3">
        <f t="shared" si="102"/>
        <v>0.55324578899912613</v>
      </c>
      <c r="F58" s="3">
        <f t="shared" si="102"/>
        <v>37546.201915640726</v>
      </c>
      <c r="G58" s="3">
        <f t="shared" si="102"/>
        <v>0.46476896185867295</v>
      </c>
      <c r="H58" s="3">
        <f t="shared" si="102"/>
        <v>16.934627473614253</v>
      </c>
      <c r="I58" s="3">
        <f t="shared" si="89"/>
        <v>37798.213660561763</v>
      </c>
      <c r="K58" s="301" t="s">
        <v>166</v>
      </c>
      <c r="L58" s="302"/>
    </row>
    <row r="59" spans="1:19">
      <c r="A59">
        <v>2032</v>
      </c>
      <c r="B59" s="3">
        <f>B57+(B62-B57)/5*2</f>
        <v>15.649425937880954</v>
      </c>
      <c r="C59" s="3">
        <f t="shared" ref="C59:H59" si="103">C57+(C62-C57)/5*2</f>
        <v>2.0447355687499553</v>
      </c>
      <c r="D59" s="3">
        <f t="shared" si="103"/>
        <v>3.3404511577883991</v>
      </c>
      <c r="E59" s="3">
        <f t="shared" si="103"/>
        <v>0.53017991401065145</v>
      </c>
      <c r="F59" s="3">
        <f t="shared" si="103"/>
        <v>35980.828953209442</v>
      </c>
      <c r="G59" s="3">
        <f t="shared" si="103"/>
        <v>0.4453918549996233</v>
      </c>
      <c r="H59" s="3">
        <f t="shared" si="103"/>
        <v>16.228590467911186</v>
      </c>
      <c r="I59" s="3">
        <f t="shared" si="89"/>
        <v>36222.333846529327</v>
      </c>
      <c r="K59" s="19" t="s">
        <v>14</v>
      </c>
      <c r="L59" s="82" t="s">
        <v>15</v>
      </c>
    </row>
    <row r="60" spans="1:19">
      <c r="A60">
        <v>2033</v>
      </c>
      <c r="B60" s="3">
        <f>B57+(B62-B57)/5*3</f>
        <v>14.968585919642724</v>
      </c>
      <c r="C60" s="3">
        <f t="shared" ref="C60:H60" si="104">C57+(C62-C57)/5*3</f>
        <v>1.9557778135296648</v>
      </c>
      <c r="D60" s="3">
        <f t="shared" si="104"/>
        <v>3.1951223236049433</v>
      </c>
      <c r="E60" s="3">
        <f t="shared" si="104"/>
        <v>0.50711403902217678</v>
      </c>
      <c r="F60" s="3">
        <f t="shared" si="104"/>
        <v>34415.455990778151</v>
      </c>
      <c r="G60" s="3">
        <f t="shared" si="104"/>
        <v>0.42601474814057361</v>
      </c>
      <c r="H60" s="3">
        <f t="shared" si="104"/>
        <v>15.522553462208116</v>
      </c>
      <c r="I60" s="3">
        <f t="shared" si="89"/>
        <v>34646.454032496884</v>
      </c>
      <c r="K60" s="131">
        <v>25</v>
      </c>
      <c r="L60" s="132">
        <v>298</v>
      </c>
    </row>
    <row r="61" spans="1:19">
      <c r="A61">
        <v>2034</v>
      </c>
      <c r="B61" s="3">
        <f>B57+(B62-B57)/5*4</f>
        <v>14.287745901404495</v>
      </c>
      <c r="C61" s="3">
        <f t="shared" ref="C61:H61" si="105">C57+(C62-C57)/5*4</f>
        <v>1.8668200583093744</v>
      </c>
      <c r="D61" s="3">
        <f t="shared" si="105"/>
        <v>3.0497934894214875</v>
      </c>
      <c r="E61" s="3">
        <f t="shared" si="105"/>
        <v>0.4840481640337021</v>
      </c>
      <c r="F61" s="3">
        <f t="shared" si="105"/>
        <v>32850.083028346868</v>
      </c>
      <c r="G61" s="3">
        <f t="shared" si="105"/>
        <v>0.40663764128152396</v>
      </c>
      <c r="H61" s="3">
        <f t="shared" si="105"/>
        <v>14.816516456505045</v>
      </c>
      <c r="I61" s="3">
        <f t="shared" si="89"/>
        <v>33070.574218464448</v>
      </c>
    </row>
    <row r="62" spans="1:19">
      <c r="A62">
        <v>2035</v>
      </c>
      <c r="B62" s="3">
        <f t="shared" ref="B62" si="106">K52*$N56</f>
        <v>13.606905883166265</v>
      </c>
      <c r="C62" s="3">
        <f t="shared" ref="C62" si="107">L52*$N56</f>
        <v>1.7778623030890841</v>
      </c>
      <c r="D62" s="3">
        <f t="shared" ref="D62" si="108">M52*$N56</f>
        <v>2.9044646552380322</v>
      </c>
      <c r="E62" s="3">
        <f t="shared" ref="E62" si="109">N52*$N56</f>
        <v>0.46098228904522742</v>
      </c>
      <c r="F62" s="3">
        <f t="shared" ref="F62" si="110">O52*$N56</f>
        <v>31284.710065915577</v>
      </c>
      <c r="G62" s="3">
        <f t="shared" ref="G62" si="111">P52*$N56</f>
        <v>0.38726053442247432</v>
      </c>
      <c r="H62" s="3">
        <f t="shared" ref="H62" si="112">Q52*$N56</f>
        <v>14.110479450801977</v>
      </c>
      <c r="I62" s="3">
        <f t="shared" si="89"/>
        <v>31494.694404432004</v>
      </c>
    </row>
    <row r="63" spans="1:19">
      <c r="A63">
        <v>2036</v>
      </c>
      <c r="B63" s="3">
        <f>B62+(B67-B62)/5</f>
        <v>10.885524706533012</v>
      </c>
      <c r="C63" s="3">
        <f t="shared" ref="C63:H63" si="113">C62+(C67-C62)/5</f>
        <v>1.4222898424712673</v>
      </c>
      <c r="D63" s="3">
        <f t="shared" si="113"/>
        <v>2.3235717241904257</v>
      </c>
      <c r="E63" s="3">
        <f t="shared" si="113"/>
        <v>0.36878583123618192</v>
      </c>
      <c r="F63" s="3">
        <f t="shared" si="113"/>
        <v>25027.768052732463</v>
      </c>
      <c r="G63" s="3">
        <f t="shared" si="113"/>
        <v>0.30980842753797944</v>
      </c>
      <c r="H63" s="3">
        <f t="shared" si="113"/>
        <v>11.288383560641581</v>
      </c>
      <c r="I63" s="3">
        <f t="shared" si="89"/>
        <v>25195.755523545606</v>
      </c>
    </row>
    <row r="64" spans="1:19">
      <c r="A64">
        <v>2037</v>
      </c>
      <c r="B64" s="3">
        <f>B62+(B67-B62)/5*2</f>
        <v>8.1641435298997589</v>
      </c>
      <c r="C64" s="3">
        <f t="shared" ref="C64:H64" si="114">C62+(C67-C62)/5*2</f>
        <v>1.0667173818534503</v>
      </c>
      <c r="D64" s="3">
        <f t="shared" si="114"/>
        <v>1.7426787931428194</v>
      </c>
      <c r="E64" s="3">
        <f t="shared" si="114"/>
        <v>0.27658937342713646</v>
      </c>
      <c r="F64" s="3">
        <f t="shared" si="114"/>
        <v>18770.826039549345</v>
      </c>
      <c r="G64" s="3">
        <f t="shared" si="114"/>
        <v>0.2323563206534846</v>
      </c>
      <c r="H64" s="3">
        <f t="shared" si="114"/>
        <v>8.4662876704811865</v>
      </c>
      <c r="I64" s="3">
        <f t="shared" si="89"/>
        <v>18896.816642659203</v>
      </c>
    </row>
    <row r="65" spans="1:19">
      <c r="A65">
        <v>2038</v>
      </c>
      <c r="B65" s="3">
        <f>B62+(B67-B62)/5*3</f>
        <v>5.4427623532665059</v>
      </c>
      <c r="C65" s="3">
        <f t="shared" ref="C65:H65" si="115">C62+(C67-C62)/5*3</f>
        <v>0.71114492123563355</v>
      </c>
      <c r="D65" s="3">
        <f t="shared" si="115"/>
        <v>1.1617858620952131</v>
      </c>
      <c r="E65" s="3">
        <f t="shared" si="115"/>
        <v>0.18439291561809101</v>
      </c>
      <c r="F65" s="3">
        <f t="shared" si="115"/>
        <v>12513.884026366228</v>
      </c>
      <c r="G65" s="3">
        <f t="shared" si="115"/>
        <v>0.15490421376898975</v>
      </c>
      <c r="H65" s="3">
        <f t="shared" si="115"/>
        <v>5.6441917803207904</v>
      </c>
      <c r="I65" s="3">
        <f t="shared" si="89"/>
        <v>12597.877761772799</v>
      </c>
    </row>
    <row r="66" spans="1:19">
      <c r="A66">
        <v>2039</v>
      </c>
      <c r="B66" s="3">
        <f>B62+(B67-B62)/5*4</f>
        <v>2.721381176633253</v>
      </c>
      <c r="C66" s="3">
        <f t="shared" ref="C66:H66" si="116">C62+(C67-C62)/5*4</f>
        <v>0.35557246061781678</v>
      </c>
      <c r="D66" s="3">
        <f t="shared" si="116"/>
        <v>0.58089293104760653</v>
      </c>
      <c r="E66" s="3">
        <f t="shared" si="116"/>
        <v>9.2196457809045507E-2</v>
      </c>
      <c r="F66" s="3">
        <f t="shared" si="116"/>
        <v>6256.9420131831139</v>
      </c>
      <c r="G66" s="3">
        <f t="shared" si="116"/>
        <v>7.7452106884494887E-2</v>
      </c>
      <c r="H66" s="3">
        <f t="shared" si="116"/>
        <v>2.8220958901603961</v>
      </c>
      <c r="I66" s="3">
        <f t="shared" si="89"/>
        <v>6298.9388808863996</v>
      </c>
    </row>
    <row r="67" spans="1:19">
      <c r="A67">
        <v>2040</v>
      </c>
      <c r="B67" s="3">
        <f t="shared" ref="B67" si="117">K52*$O56</f>
        <v>0</v>
      </c>
      <c r="C67" s="3">
        <f t="shared" ref="C67" si="118">L52*$O56</f>
        <v>0</v>
      </c>
      <c r="D67" s="3">
        <f t="shared" ref="D67" si="119">M52*$O56</f>
        <v>0</v>
      </c>
      <c r="E67" s="3">
        <f t="shared" ref="E67" si="120">N52*$O56</f>
        <v>0</v>
      </c>
      <c r="F67" s="3">
        <f t="shared" ref="F67" si="121">O52*$O56</f>
        <v>0</v>
      </c>
      <c r="G67" s="3">
        <f t="shared" ref="G67" si="122">P52*$O56</f>
        <v>0</v>
      </c>
      <c r="H67" s="3">
        <f t="shared" ref="H67" si="123">Q52*$O56</f>
        <v>0</v>
      </c>
      <c r="I67" s="3">
        <f t="shared" si="89"/>
        <v>0</v>
      </c>
    </row>
    <row r="69" spans="1:19">
      <c r="B69" s="2" t="s">
        <v>494</v>
      </c>
      <c r="K69" t="s">
        <v>25</v>
      </c>
    </row>
    <row r="70" spans="1:19">
      <c r="B70">
        <v>2020</v>
      </c>
    </row>
    <row r="71" spans="1:19">
      <c r="B71" t="s">
        <v>8</v>
      </c>
      <c r="C71" t="s">
        <v>10</v>
      </c>
      <c r="D71" t="s">
        <v>14</v>
      </c>
      <c r="E71" t="s">
        <v>15</v>
      </c>
      <c r="F71" t="s">
        <v>16</v>
      </c>
      <c r="G71" t="s">
        <v>115</v>
      </c>
      <c r="H71" t="s">
        <v>116</v>
      </c>
      <c r="I71" t="s">
        <v>47</v>
      </c>
      <c r="K71" s="2" t="s">
        <v>108</v>
      </c>
      <c r="S71" s="298" t="s">
        <v>127</v>
      </c>
    </row>
    <row r="72" spans="1:19">
      <c r="A72">
        <v>2020</v>
      </c>
      <c r="B72" s="3">
        <f>K73*$K77</f>
        <v>67.66215420630391</v>
      </c>
      <c r="C72" s="3">
        <f t="shared" ref="C72" si="124">L73*$K77</f>
        <v>6.3860569996728005</v>
      </c>
      <c r="D72" s="3">
        <f t="shared" ref="D72" si="125">M73*$K77</f>
        <v>10.753850957032483</v>
      </c>
      <c r="E72" s="3">
        <f t="shared" ref="E72" si="126">N73*$K77</f>
        <v>1.5881474951870087</v>
      </c>
      <c r="F72" s="3">
        <f t="shared" ref="F72" si="127">O73*$K77</f>
        <v>106948.86374412103</v>
      </c>
      <c r="G72" s="3">
        <f t="shared" ref="G72" si="128">P73*$K77</f>
        <v>1.7773860842834843</v>
      </c>
      <c r="H72" s="3">
        <f t="shared" ref="H72" si="129">Q73*$K77</f>
        <v>35.676677732867724</v>
      </c>
      <c r="I72" s="3">
        <f t="shared" ref="I72:I88" si="130">F72+D72*K$102+E72*L$102</f>
        <v>107690.97797161256</v>
      </c>
      <c r="K72" t="s">
        <v>8</v>
      </c>
      <c r="L72" t="s">
        <v>10</v>
      </c>
      <c r="M72" t="s">
        <v>14</v>
      </c>
      <c r="N72" t="s">
        <v>15</v>
      </c>
      <c r="O72" t="s">
        <v>16</v>
      </c>
      <c r="P72" t="s">
        <v>115</v>
      </c>
      <c r="Q72" t="s">
        <v>116</v>
      </c>
      <c r="S72" s="298"/>
    </row>
    <row r="73" spans="1:19">
      <c r="A73">
        <v>2025</v>
      </c>
      <c r="B73" s="3">
        <f>K73*$L77</f>
        <v>63.756982768863303</v>
      </c>
      <c r="C73" s="3">
        <f t="shared" ref="C73:H73" si="131">L73*$L77</f>
        <v>6.0174809812836836</v>
      </c>
      <c r="D73" s="3">
        <f t="shared" si="131"/>
        <v>10.133184469355328</v>
      </c>
      <c r="E73" s="3">
        <f t="shared" si="131"/>
        <v>1.4964863840474327</v>
      </c>
      <c r="F73" s="3">
        <f t="shared" si="131"/>
        <v>100776.23071374439</v>
      </c>
      <c r="G73" s="3">
        <f t="shared" si="131"/>
        <v>1.6748029275532836</v>
      </c>
      <c r="H73" s="3">
        <f t="shared" si="131"/>
        <v>33.617571804310273</v>
      </c>
      <c r="I73" s="3">
        <f t="shared" si="130"/>
        <v>101475.5132679244</v>
      </c>
      <c r="K73" s="3">
        <f>'Regional GREET factors'!A59</f>
        <v>154.24603492843454</v>
      </c>
      <c r="L73" s="3">
        <f>'Regional GREET factors'!B59</f>
        <v>14.557975319897993</v>
      </c>
      <c r="M73" s="3">
        <f>'Regional GREET factors'!C59</f>
        <v>24.515017143498973</v>
      </c>
      <c r="N73" s="3">
        <f>'Regional GREET factors'!D59</f>
        <v>3.6204205569218835</v>
      </c>
      <c r="O73" s="3">
        <f>'Regional GREET factors'!E59</f>
        <v>243805.98528290939</v>
      </c>
      <c r="P73" s="3">
        <f>'Regional GREET factors'!F59</f>
        <v>4.0518183207971452</v>
      </c>
      <c r="Q73" s="3">
        <f>'Regional GREET factors'!G59</f>
        <v>81.330341078642718</v>
      </c>
      <c r="S73" s="298"/>
    </row>
    <row r="74" spans="1:19">
      <c r="A74">
        <v>2026</v>
      </c>
      <c r="B74" s="3">
        <f>B73+(B78-B73)/5</f>
        <v>57.568669789134532</v>
      </c>
      <c r="C74" s="3">
        <f t="shared" ref="C74:H74" si="132">C73+(C78-C73)/5</f>
        <v>5.43341859243528</v>
      </c>
      <c r="D74" s="3">
        <f t="shared" si="132"/>
        <v>9.1496480117875514</v>
      </c>
      <c r="E74" s="3">
        <f t="shared" si="132"/>
        <v>1.3512360018585392</v>
      </c>
      <c r="F74" s="3">
        <f t="shared" si="132"/>
        <v>90994.794555843779</v>
      </c>
      <c r="G74" s="3">
        <f t="shared" si="132"/>
        <v>1.5122449731933849</v>
      </c>
      <c r="H74" s="3">
        <f t="shared" si="132"/>
        <v>30.354618525956976</v>
      </c>
      <c r="I74" s="3">
        <f t="shared" si="130"/>
        <v>91626.204084692319</v>
      </c>
    </row>
    <row r="75" spans="1:19">
      <c r="A75">
        <v>2027</v>
      </c>
      <c r="B75" s="3">
        <f>B73+(B78-B73)/5*2</f>
        <v>51.380356809405768</v>
      </c>
      <c r="C75" s="3">
        <f t="shared" ref="C75:H75" si="133">C73+(C78-C73)/5*2</f>
        <v>4.8493562035868756</v>
      </c>
      <c r="D75" s="3">
        <f t="shared" si="133"/>
        <v>8.1661115542197766</v>
      </c>
      <c r="E75" s="3">
        <f t="shared" si="133"/>
        <v>1.2059856196696455</v>
      </c>
      <c r="F75" s="3">
        <f t="shared" si="133"/>
        <v>81213.358397943171</v>
      </c>
      <c r="G75" s="3">
        <f t="shared" si="133"/>
        <v>1.3496870188334864</v>
      </c>
      <c r="H75" s="3">
        <f t="shared" si="133"/>
        <v>27.091665247603682</v>
      </c>
      <c r="I75" s="3">
        <f t="shared" si="130"/>
        <v>81776.894901460226</v>
      </c>
      <c r="K75" s="2" t="s">
        <v>293</v>
      </c>
    </row>
    <row r="76" spans="1:19">
      <c r="A76">
        <v>2028</v>
      </c>
      <c r="B76" s="3">
        <f>B73+(B78-B73)/5*3</f>
        <v>45.192043829676997</v>
      </c>
      <c r="C76" s="3">
        <f t="shared" ref="C76:H76" si="134">C73+(C78-C73)/5*3</f>
        <v>4.265293814738472</v>
      </c>
      <c r="D76" s="3">
        <f t="shared" si="134"/>
        <v>7.1825750966520001</v>
      </c>
      <c r="E76" s="3">
        <f t="shared" si="134"/>
        <v>1.0607352374807519</v>
      </c>
      <c r="F76" s="3">
        <f t="shared" si="134"/>
        <v>71431.922240042579</v>
      </c>
      <c r="G76" s="3">
        <f t="shared" si="134"/>
        <v>1.1871290644735879</v>
      </c>
      <c r="H76" s="3">
        <f t="shared" si="134"/>
        <v>23.828711969250385</v>
      </c>
      <c r="I76" s="3">
        <f t="shared" si="130"/>
        <v>71927.585718228147</v>
      </c>
      <c r="K76">
        <v>2020</v>
      </c>
      <c r="L76">
        <v>2025</v>
      </c>
      <c r="M76">
        <v>2030</v>
      </c>
      <c r="N76">
        <v>2035</v>
      </c>
      <c r="O76">
        <v>2040</v>
      </c>
    </row>
    <row r="77" spans="1:19">
      <c r="A77">
        <v>2029</v>
      </c>
      <c r="B77" s="3">
        <f>B73+(B78-B73)/5*4</f>
        <v>39.003730849948226</v>
      </c>
      <c r="C77" s="3">
        <f t="shared" ref="C77:H77" si="135">C73+(C78-C73)/5*4</f>
        <v>3.6812314258900685</v>
      </c>
      <c r="D77" s="3">
        <f t="shared" si="135"/>
        <v>6.1990386390842245</v>
      </c>
      <c r="E77" s="3">
        <f t="shared" si="135"/>
        <v>0.91548485529185841</v>
      </c>
      <c r="F77" s="3">
        <f t="shared" si="135"/>
        <v>61650.486082141972</v>
      </c>
      <c r="G77" s="3">
        <f t="shared" si="135"/>
        <v>1.0245711101136892</v>
      </c>
      <c r="H77" s="3">
        <f t="shared" si="135"/>
        <v>20.565758690897091</v>
      </c>
      <c r="I77" s="3">
        <f t="shared" si="130"/>
        <v>62078.276534996054</v>
      </c>
      <c r="K77" s="9">
        <f>1-'State grid data'!C9</f>
        <v>0.43866381549254796</v>
      </c>
      <c r="L77" s="9">
        <f>1-'State grid data'!D9</f>
        <v>0.41334600787919507</v>
      </c>
      <c r="M77" s="9">
        <f>1-'State grid data'!E9</f>
        <v>0.21274723778439308</v>
      </c>
      <c r="N77" s="9">
        <f>1-'State grid data'!F9</f>
        <v>0.17017304141185807</v>
      </c>
      <c r="O77" s="9">
        <f>1-'State grid data'!G9</f>
        <v>0</v>
      </c>
      <c r="P77" s="9"/>
      <c r="Q77" s="9"/>
    </row>
    <row r="78" spans="1:19">
      <c r="A78">
        <v>2030</v>
      </c>
      <c r="B78" s="3">
        <f t="shared" ref="B78" si="136">K73*$M77</f>
        <v>32.815417870219463</v>
      </c>
      <c r="C78" s="3">
        <f t="shared" ref="C78" si="137">L73*$M77</f>
        <v>3.0971690370416645</v>
      </c>
      <c r="D78" s="3">
        <f t="shared" ref="D78" si="138">M73*$M77</f>
        <v>5.2155021815164488</v>
      </c>
      <c r="E78" s="3">
        <f t="shared" ref="E78" si="139">N73*$M77</f>
        <v>0.77023447310296478</v>
      </c>
      <c r="F78" s="3">
        <f t="shared" ref="F78" si="140">O73*$M77</f>
        <v>51869.049924241364</v>
      </c>
      <c r="G78" s="3">
        <f t="shared" ref="G78" si="141">P73*$M77</f>
        <v>0.86201315575379056</v>
      </c>
      <c r="H78" s="3">
        <f t="shared" ref="H78" si="142">Q73*$M77</f>
        <v>17.302805412543794</v>
      </c>
      <c r="I78" s="3">
        <f t="shared" si="130"/>
        <v>52228.96735176396</v>
      </c>
    </row>
    <row r="79" spans="1:19">
      <c r="A79">
        <v>2031</v>
      </c>
      <c r="B79" s="3">
        <f>B78+(B83-B78)/5</f>
        <v>31.502037674073851</v>
      </c>
      <c r="C79" s="3">
        <f t="shared" ref="C79:H79" si="143">C78+(C83-C78)/5</f>
        <v>2.9732102170304935</v>
      </c>
      <c r="D79" s="3">
        <f t="shared" si="143"/>
        <v>5.0067607507277714</v>
      </c>
      <c r="E79" s="3">
        <f t="shared" si="143"/>
        <v>0.73940717395465383</v>
      </c>
      <c r="F79" s="3">
        <f t="shared" si="143"/>
        <v>49793.081145394572</v>
      </c>
      <c r="G79" s="3">
        <f t="shared" si="143"/>
        <v>0.82751257398270006</v>
      </c>
      <c r="H79" s="3">
        <f t="shared" si="143"/>
        <v>16.610290630118318</v>
      </c>
      <c r="I79" s="3">
        <f t="shared" si="130"/>
        <v>50138.593502001255</v>
      </c>
      <c r="K79" s="301" t="s">
        <v>166</v>
      </c>
      <c r="L79" s="302"/>
    </row>
    <row r="80" spans="1:19">
      <c r="A80">
        <v>2032</v>
      </c>
      <c r="B80" s="3">
        <f>B78+(B83-B78)/5*2</f>
        <v>30.188657477928238</v>
      </c>
      <c r="C80" s="3">
        <f t="shared" ref="C80:H80" si="144">C78+(C83-C78)/5*2</f>
        <v>2.8492513970193225</v>
      </c>
      <c r="D80" s="3">
        <f t="shared" si="144"/>
        <v>4.7980193199390939</v>
      </c>
      <c r="E80" s="3">
        <f t="shared" si="144"/>
        <v>0.70857987480634288</v>
      </c>
      <c r="F80" s="3">
        <f t="shared" si="144"/>
        <v>47717.112366547779</v>
      </c>
      <c r="G80" s="3">
        <f t="shared" si="144"/>
        <v>0.79301199221160945</v>
      </c>
      <c r="H80" s="3">
        <f t="shared" si="144"/>
        <v>15.917775847692841</v>
      </c>
      <c r="I80" s="3">
        <f t="shared" si="130"/>
        <v>48048.219652238549</v>
      </c>
      <c r="K80" s="19" t="s">
        <v>14</v>
      </c>
      <c r="L80" s="82" t="s">
        <v>15</v>
      </c>
    </row>
    <row r="81" spans="1:19">
      <c r="A81">
        <v>2033</v>
      </c>
      <c r="B81" s="3">
        <f>B78+(B83-B78)/5*3</f>
        <v>28.875277281782623</v>
      </c>
      <c r="C81" s="3">
        <f t="shared" ref="C81:H81" si="145">C78+(C83-C78)/5*3</f>
        <v>2.7252925770081511</v>
      </c>
      <c r="D81" s="3">
        <f t="shared" si="145"/>
        <v>4.5892778891504165</v>
      </c>
      <c r="E81" s="3">
        <f t="shared" si="145"/>
        <v>0.67775257565803182</v>
      </c>
      <c r="F81" s="3">
        <f t="shared" si="145"/>
        <v>45641.143587700986</v>
      </c>
      <c r="G81" s="3">
        <f t="shared" si="145"/>
        <v>0.75851141044051895</v>
      </c>
      <c r="H81" s="3">
        <f t="shared" si="145"/>
        <v>15.225261065267365</v>
      </c>
      <c r="I81" s="3">
        <f t="shared" si="130"/>
        <v>45957.845802475844</v>
      </c>
      <c r="K81" s="131">
        <v>25</v>
      </c>
      <c r="L81" s="132">
        <v>298</v>
      </c>
    </row>
    <row r="82" spans="1:19">
      <c r="A82">
        <v>2034</v>
      </c>
      <c r="B82" s="3">
        <f>B78+(B83-B78)/5*4</f>
        <v>27.56189708563701</v>
      </c>
      <c r="C82" s="3">
        <f t="shared" ref="C82:H82" si="146">C78+(C83-C78)/5*4</f>
        <v>2.6013337569969801</v>
      </c>
      <c r="D82" s="3">
        <f t="shared" si="146"/>
        <v>4.380536458361739</v>
      </c>
      <c r="E82" s="3">
        <f t="shared" si="146"/>
        <v>0.64692527650972087</v>
      </c>
      <c r="F82" s="3">
        <f t="shared" si="146"/>
        <v>43565.174808854194</v>
      </c>
      <c r="G82" s="3">
        <f t="shared" si="146"/>
        <v>0.72401082866942845</v>
      </c>
      <c r="H82" s="3">
        <f t="shared" si="146"/>
        <v>14.532746282841886</v>
      </c>
      <c r="I82" s="3">
        <f t="shared" si="130"/>
        <v>43867.471952713131</v>
      </c>
    </row>
    <row r="83" spans="1:19">
      <c r="A83">
        <v>2035</v>
      </c>
      <c r="B83" s="3">
        <f t="shared" ref="B83" si="147">K73*$N77</f>
        <v>26.248516889491398</v>
      </c>
      <c r="C83" s="3">
        <f t="shared" ref="C83" si="148">L73*$N77</f>
        <v>2.4773749369858091</v>
      </c>
      <c r="D83" s="3">
        <f t="shared" ref="D83" si="149">M73*$N77</f>
        <v>4.1717950275730615</v>
      </c>
      <c r="E83" s="3">
        <f t="shared" ref="E83" si="150">N73*$N77</f>
        <v>0.61609797736140992</v>
      </c>
      <c r="F83" s="3">
        <f t="shared" ref="F83" si="151">O73*$N77</f>
        <v>41489.206030007401</v>
      </c>
      <c r="G83" s="3">
        <f t="shared" ref="G83" si="152">P73*$N77</f>
        <v>0.68951024689833784</v>
      </c>
      <c r="H83" s="3">
        <f t="shared" ref="H83" si="153">Q73*$N77</f>
        <v>13.84023150041641</v>
      </c>
      <c r="I83" s="3">
        <f t="shared" si="130"/>
        <v>41777.098102950426</v>
      </c>
    </row>
    <row r="84" spans="1:19">
      <c r="A84">
        <v>2036</v>
      </c>
      <c r="B84" s="3">
        <f>B83+(B88-B83)/5</f>
        <v>20.99881351159312</v>
      </c>
      <c r="C84" s="3">
        <f t="shared" ref="C84:H84" si="154">C83+(C88-C83)/5</f>
        <v>1.9818999495886473</v>
      </c>
      <c r="D84" s="3">
        <f t="shared" si="154"/>
        <v>3.3374360220584491</v>
      </c>
      <c r="E84" s="3">
        <f t="shared" si="154"/>
        <v>0.49287838188912791</v>
      </c>
      <c r="F84" s="3">
        <f t="shared" si="154"/>
        <v>33191.364824005919</v>
      </c>
      <c r="G84" s="3">
        <f t="shared" si="154"/>
        <v>0.5516081975186703</v>
      </c>
      <c r="H84" s="3">
        <f t="shared" si="154"/>
        <v>11.072185200333127</v>
      </c>
      <c r="I84" s="3">
        <f t="shared" si="130"/>
        <v>33421.678482360345</v>
      </c>
    </row>
    <row r="85" spans="1:19">
      <c r="A85">
        <v>2037</v>
      </c>
      <c r="B85" s="3">
        <f>B83+(B88-B83)/5*2</f>
        <v>15.749110133694838</v>
      </c>
      <c r="C85" s="3">
        <f t="shared" ref="C85:H85" si="155">C83+(C88-C83)/5*2</f>
        <v>1.4864249621914856</v>
      </c>
      <c r="D85" s="3">
        <f t="shared" si="155"/>
        <v>2.5030770165438367</v>
      </c>
      <c r="E85" s="3">
        <f t="shared" si="155"/>
        <v>0.36965878641684596</v>
      </c>
      <c r="F85" s="3">
        <f t="shared" si="155"/>
        <v>24893.523618004441</v>
      </c>
      <c r="G85" s="3">
        <f t="shared" si="155"/>
        <v>0.41370614813900269</v>
      </c>
      <c r="H85" s="3">
        <f t="shared" si="155"/>
        <v>8.3041389002498462</v>
      </c>
      <c r="I85" s="3">
        <f t="shared" si="130"/>
        <v>25066.258861770257</v>
      </c>
    </row>
    <row r="86" spans="1:19">
      <c r="A86">
        <v>2038</v>
      </c>
      <c r="B86" s="3">
        <f>B83+(B88-B83)/5*3</f>
        <v>10.499406755796558</v>
      </c>
      <c r="C86" s="3">
        <f t="shared" ref="C86:H86" si="156">C83+(C88-C83)/5*3</f>
        <v>0.99094997479432356</v>
      </c>
      <c r="D86" s="3">
        <f t="shared" si="156"/>
        <v>1.6687180110292248</v>
      </c>
      <c r="E86" s="3">
        <f t="shared" si="156"/>
        <v>0.24643919094456401</v>
      </c>
      <c r="F86" s="3">
        <f t="shared" si="156"/>
        <v>16595.682412002963</v>
      </c>
      <c r="G86" s="3">
        <f t="shared" si="156"/>
        <v>0.27580409875933509</v>
      </c>
      <c r="H86" s="3">
        <f t="shared" si="156"/>
        <v>5.5360926001665636</v>
      </c>
      <c r="I86" s="3">
        <f t="shared" si="130"/>
        <v>16710.839241180176</v>
      </c>
    </row>
    <row r="87" spans="1:19">
      <c r="A87">
        <v>2039</v>
      </c>
      <c r="B87" s="3">
        <f>B83+(B88-B83)/5*4</f>
        <v>5.2497033778982782</v>
      </c>
      <c r="C87" s="3">
        <f t="shared" ref="C87:H87" si="157">C83+(C88-C83)/5*4</f>
        <v>0.49547498739716178</v>
      </c>
      <c r="D87" s="3">
        <f t="shared" si="157"/>
        <v>0.8343590055146124</v>
      </c>
      <c r="E87" s="3">
        <f t="shared" si="157"/>
        <v>0.12321959547228201</v>
      </c>
      <c r="F87" s="3">
        <f t="shared" si="157"/>
        <v>8297.8412060014816</v>
      </c>
      <c r="G87" s="3">
        <f t="shared" si="157"/>
        <v>0.13790204937966755</v>
      </c>
      <c r="H87" s="3">
        <f t="shared" si="157"/>
        <v>2.7680463000832827</v>
      </c>
      <c r="I87" s="3">
        <f t="shared" si="130"/>
        <v>8355.419620590088</v>
      </c>
    </row>
    <row r="88" spans="1:19">
      <c r="A88">
        <v>2040</v>
      </c>
      <c r="B88" s="3">
        <f t="shared" ref="B88" si="158">K73*$O77</f>
        <v>0</v>
      </c>
      <c r="C88" s="3">
        <f t="shared" ref="C88" si="159">L73*$O77</f>
        <v>0</v>
      </c>
      <c r="D88" s="3">
        <f t="shared" ref="D88" si="160">M73*$O77</f>
        <v>0</v>
      </c>
      <c r="E88" s="3">
        <f t="shared" ref="E88" si="161">N73*$O77</f>
        <v>0</v>
      </c>
      <c r="F88" s="3">
        <f t="shared" ref="F88" si="162">O73*$O77</f>
        <v>0</v>
      </c>
      <c r="G88" s="3">
        <f t="shared" ref="G88" si="163">P73*$O77</f>
        <v>0</v>
      </c>
      <c r="H88" s="3">
        <f t="shared" ref="H88" si="164">Q73*$O77</f>
        <v>0</v>
      </c>
      <c r="I88" s="3">
        <f t="shared" si="130"/>
        <v>0</v>
      </c>
    </row>
    <row r="90" spans="1:19">
      <c r="B90" s="2" t="s">
        <v>493</v>
      </c>
    </row>
    <row r="91" spans="1:19">
      <c r="B91">
        <v>2020</v>
      </c>
    </row>
    <row r="92" spans="1:19">
      <c r="B92" t="s">
        <v>8</v>
      </c>
      <c r="C92" t="s">
        <v>10</v>
      </c>
      <c r="D92" t="s">
        <v>14</v>
      </c>
      <c r="E92" t="s">
        <v>15</v>
      </c>
      <c r="F92" t="s">
        <v>16</v>
      </c>
      <c r="G92" t="s">
        <v>115</v>
      </c>
      <c r="H92" t="s">
        <v>116</v>
      </c>
      <c r="I92" t="s">
        <v>47</v>
      </c>
      <c r="K92" s="197"/>
      <c r="L92" s="198"/>
      <c r="M92" s="198"/>
      <c r="N92" s="198"/>
      <c r="O92" s="198"/>
      <c r="P92" s="198"/>
      <c r="Q92" s="198"/>
      <c r="S92" s="298"/>
    </row>
    <row r="93" spans="1:19">
      <c r="A93">
        <v>2020</v>
      </c>
      <c r="B93" s="3">
        <f>B9</f>
        <v>22.909471741564523</v>
      </c>
      <c r="C93" s="3">
        <f t="shared" ref="C93:I93" si="165">C9</f>
        <v>2.6049514360862709</v>
      </c>
      <c r="D93" s="3">
        <f t="shared" si="165"/>
        <v>4.6077816397123579</v>
      </c>
      <c r="E93" s="3">
        <f t="shared" si="165"/>
        <v>0.38333502706301714</v>
      </c>
      <c r="F93" s="3">
        <f t="shared" si="165"/>
        <v>57307.592772092918</v>
      </c>
      <c r="G93" s="3">
        <f t="shared" si="165"/>
        <v>2.0319344883961348</v>
      </c>
      <c r="H93" s="3">
        <f t="shared" si="165"/>
        <v>5.7758249240872965</v>
      </c>
      <c r="I93" s="3">
        <f t="shared" si="165"/>
        <v>57537.021151150504</v>
      </c>
      <c r="K93" s="198"/>
      <c r="L93" s="198"/>
      <c r="M93" s="198"/>
      <c r="N93" s="198"/>
      <c r="O93" s="198"/>
      <c r="P93" s="198"/>
      <c r="Q93" s="198"/>
      <c r="S93" s="298"/>
    </row>
    <row r="94" spans="1:19">
      <c r="A94">
        <v>2025</v>
      </c>
      <c r="B94" s="3">
        <f t="shared" ref="B94:I94" si="166">B10</f>
        <v>22.909471741564523</v>
      </c>
      <c r="C94" s="3">
        <f t="shared" si="166"/>
        <v>2.6049514360862709</v>
      </c>
      <c r="D94" s="3">
        <f t="shared" si="166"/>
        <v>4.6077816397123579</v>
      </c>
      <c r="E94" s="3">
        <f t="shared" si="166"/>
        <v>0.38333502706301714</v>
      </c>
      <c r="F94" s="3">
        <f t="shared" si="166"/>
        <v>57307.592772092918</v>
      </c>
      <c r="G94" s="3">
        <f t="shared" si="166"/>
        <v>2.0319344883961348</v>
      </c>
      <c r="H94" s="3">
        <f t="shared" si="166"/>
        <v>5.7758249240872965</v>
      </c>
      <c r="I94" s="3">
        <f t="shared" si="166"/>
        <v>57537.021151150504</v>
      </c>
      <c r="K94" s="199"/>
      <c r="L94" s="199"/>
      <c r="M94" s="199"/>
      <c r="N94" s="199"/>
      <c r="O94" s="199"/>
      <c r="P94" s="199"/>
      <c r="Q94" s="199"/>
      <c r="S94" s="298"/>
    </row>
    <row r="95" spans="1:19">
      <c r="A95">
        <v>2026</v>
      </c>
      <c r="B95" s="3">
        <f t="shared" ref="B95:I95" si="167">B11</f>
        <v>20.549746927178113</v>
      </c>
      <c r="C95" s="3">
        <f t="shared" si="167"/>
        <v>2.3366358409758048</v>
      </c>
      <c r="D95" s="3">
        <f t="shared" si="167"/>
        <v>4.1331702301975604</v>
      </c>
      <c r="E95" s="3">
        <f t="shared" si="167"/>
        <v>0.34385069561320281</v>
      </c>
      <c r="F95" s="3">
        <f t="shared" si="167"/>
        <v>51404.787581185272</v>
      </c>
      <c r="G95" s="3">
        <f t="shared" si="167"/>
        <v>1.8226408701248444</v>
      </c>
      <c r="H95" s="3">
        <f t="shared" si="167"/>
        <v>5.1809025465366769</v>
      </c>
      <c r="I95" s="3">
        <f t="shared" si="167"/>
        <v>51610.584344232942</v>
      </c>
      <c r="K95" s="198"/>
      <c r="L95" s="198"/>
      <c r="M95" s="198"/>
      <c r="N95" s="198"/>
      <c r="O95" s="198"/>
      <c r="P95" s="198"/>
      <c r="Q95" s="198"/>
    </row>
    <row r="96" spans="1:19">
      <c r="A96">
        <v>2027</v>
      </c>
      <c r="B96" s="3">
        <f t="shared" ref="B96:I96" si="168">B12</f>
        <v>18.190022112791702</v>
      </c>
      <c r="C96" s="3">
        <f t="shared" si="168"/>
        <v>2.0683202458653387</v>
      </c>
      <c r="D96" s="3">
        <f t="shared" si="168"/>
        <v>3.6585588206827628</v>
      </c>
      <c r="E96" s="3">
        <f t="shared" si="168"/>
        <v>0.30436636416338853</v>
      </c>
      <c r="F96" s="3">
        <f t="shared" si="168"/>
        <v>45501.982390277626</v>
      </c>
      <c r="G96" s="3">
        <f t="shared" si="168"/>
        <v>1.6133472518535541</v>
      </c>
      <c r="H96" s="3">
        <f t="shared" si="168"/>
        <v>4.5859801689860564</v>
      </c>
      <c r="I96" s="3">
        <f t="shared" si="168"/>
        <v>45684.147537315388</v>
      </c>
      <c r="K96" s="197"/>
      <c r="L96" s="198"/>
      <c r="M96" s="198"/>
      <c r="N96" s="198"/>
      <c r="O96" s="198"/>
      <c r="P96" s="198"/>
      <c r="Q96" s="198"/>
    </row>
    <row r="97" spans="1:17">
      <c r="A97">
        <v>2028</v>
      </c>
      <c r="B97" s="3">
        <f t="shared" ref="B97:I97" si="169">B13</f>
        <v>15.830297298405288</v>
      </c>
      <c r="C97" s="3">
        <f t="shared" si="169"/>
        <v>1.8000046507548724</v>
      </c>
      <c r="D97" s="3">
        <f t="shared" si="169"/>
        <v>3.1839474111679658</v>
      </c>
      <c r="E97" s="3">
        <f t="shared" si="169"/>
        <v>0.26488203271357424</v>
      </c>
      <c r="F97" s="3">
        <f t="shared" si="169"/>
        <v>39599.177199369988</v>
      </c>
      <c r="G97" s="3">
        <f t="shared" si="169"/>
        <v>1.404053633582264</v>
      </c>
      <c r="H97" s="3">
        <f t="shared" si="169"/>
        <v>3.9910577914354368</v>
      </c>
      <c r="I97" s="3">
        <f t="shared" si="169"/>
        <v>39757.710730397834</v>
      </c>
      <c r="K97" s="198"/>
      <c r="L97" s="198"/>
      <c r="M97" s="198"/>
      <c r="N97" s="198"/>
      <c r="O97" s="198"/>
      <c r="P97" s="198"/>
      <c r="Q97" s="198"/>
    </row>
    <row r="98" spans="1:17">
      <c r="A98">
        <v>2029</v>
      </c>
      <c r="B98" s="3">
        <f t="shared" ref="B98:I98" si="170">B14</f>
        <v>13.470572484018877</v>
      </c>
      <c r="C98" s="3">
        <f t="shared" si="170"/>
        <v>1.5316890556444063</v>
      </c>
      <c r="D98" s="3">
        <f t="shared" si="170"/>
        <v>2.7093360016531682</v>
      </c>
      <c r="E98" s="3">
        <f t="shared" si="170"/>
        <v>0.22539770126375991</v>
      </c>
      <c r="F98" s="3">
        <f t="shared" si="170"/>
        <v>33696.372008462342</v>
      </c>
      <c r="G98" s="3">
        <f t="shared" si="170"/>
        <v>1.1947600153109736</v>
      </c>
      <c r="H98" s="3">
        <f t="shared" si="170"/>
        <v>3.3961354138848172</v>
      </c>
      <c r="I98" s="3">
        <f t="shared" si="170"/>
        <v>33831.273923480272</v>
      </c>
      <c r="K98" s="200"/>
      <c r="L98" s="200"/>
      <c r="M98" s="200"/>
      <c r="N98" s="200"/>
      <c r="O98" s="200"/>
      <c r="P98" s="200"/>
      <c r="Q98" s="200"/>
    </row>
    <row r="99" spans="1:17">
      <c r="A99">
        <v>2030</v>
      </c>
      <c r="B99" s="3">
        <f t="shared" ref="B99:I99" si="171">B15</f>
        <v>11.110847669632465</v>
      </c>
      <c r="C99" s="3">
        <f t="shared" si="171"/>
        <v>1.2633734605339402</v>
      </c>
      <c r="D99" s="3">
        <f t="shared" si="171"/>
        <v>2.2347245921383707</v>
      </c>
      <c r="E99" s="3">
        <f t="shared" si="171"/>
        <v>0.1859133698139456</v>
      </c>
      <c r="F99" s="3">
        <f t="shared" si="171"/>
        <v>27793.5668175547</v>
      </c>
      <c r="G99" s="3">
        <f t="shared" si="171"/>
        <v>0.98546639703968331</v>
      </c>
      <c r="H99" s="3">
        <f t="shared" si="171"/>
        <v>2.8012130363341972</v>
      </c>
      <c r="I99" s="3">
        <f t="shared" si="171"/>
        <v>27904.837116562714</v>
      </c>
      <c r="K99" s="198"/>
      <c r="L99" s="198"/>
      <c r="M99" s="198"/>
      <c r="N99" s="198"/>
      <c r="O99" s="198"/>
      <c r="P99" s="198"/>
      <c r="Q99" s="198"/>
    </row>
    <row r="100" spans="1:17">
      <c r="A100">
        <v>2031</v>
      </c>
      <c r="B100" s="3">
        <f t="shared" ref="B100:I100" si="172">B16</f>
        <v>10.666155258601822</v>
      </c>
      <c r="C100" s="3">
        <f t="shared" si="172"/>
        <v>1.2128091285493987</v>
      </c>
      <c r="D100" s="3">
        <f t="shared" si="172"/>
        <v>2.1452836154986152</v>
      </c>
      <c r="E100" s="3">
        <f t="shared" si="172"/>
        <v>0.17847250957324987</v>
      </c>
      <c r="F100" s="3">
        <f t="shared" si="172"/>
        <v>26681.177501569371</v>
      </c>
      <c r="G100" s="3">
        <f t="shared" si="172"/>
        <v>0.94602481336222899</v>
      </c>
      <c r="H100" s="3">
        <f t="shared" si="172"/>
        <v>2.6890993420440181</v>
      </c>
      <c r="I100" s="3">
        <f t="shared" si="172"/>
        <v>26787.994399809664</v>
      </c>
      <c r="K100" s="299" t="s">
        <v>166</v>
      </c>
      <c r="L100" s="300"/>
      <c r="M100" s="198"/>
      <c r="N100" s="198"/>
      <c r="O100" s="198"/>
      <c r="P100" s="198"/>
      <c r="Q100" s="198"/>
    </row>
    <row r="101" spans="1:17">
      <c r="A101">
        <v>2032</v>
      </c>
      <c r="B101" s="3">
        <f t="shared" ref="B101:I101" si="173">B17</f>
        <v>10.22146284757118</v>
      </c>
      <c r="C101" s="3">
        <f t="shared" si="173"/>
        <v>1.1622447965648575</v>
      </c>
      <c r="D101" s="3">
        <f t="shared" si="173"/>
        <v>2.0558426388588593</v>
      </c>
      <c r="E101" s="3">
        <f t="shared" si="173"/>
        <v>0.17103164933255416</v>
      </c>
      <c r="F101" s="3">
        <f t="shared" si="173"/>
        <v>25568.788185584039</v>
      </c>
      <c r="G101" s="3">
        <f t="shared" si="173"/>
        <v>0.90658322968477467</v>
      </c>
      <c r="H101" s="3">
        <f t="shared" si="173"/>
        <v>2.5769856477538395</v>
      </c>
      <c r="I101" s="3">
        <f t="shared" si="173"/>
        <v>25671.151683056611</v>
      </c>
      <c r="K101" s="201" t="s">
        <v>14</v>
      </c>
      <c r="L101" s="202" t="s">
        <v>15</v>
      </c>
      <c r="M101" s="198"/>
      <c r="N101" s="198"/>
      <c r="O101" s="198"/>
      <c r="P101" s="198"/>
      <c r="Q101" s="198"/>
    </row>
    <row r="102" spans="1:17">
      <c r="A102">
        <v>2033</v>
      </c>
      <c r="B102" s="3">
        <f t="shared" ref="B102:I102" si="174">B18</f>
        <v>9.7767704365405379</v>
      </c>
      <c r="C102" s="3">
        <f t="shared" si="174"/>
        <v>1.111680464580316</v>
      </c>
      <c r="D102" s="3">
        <f t="shared" si="174"/>
        <v>1.9664016622191038</v>
      </c>
      <c r="E102" s="3">
        <f t="shared" si="174"/>
        <v>0.16359078909185842</v>
      </c>
      <c r="F102" s="3">
        <f t="shared" si="174"/>
        <v>24456.39886959871</v>
      </c>
      <c r="G102" s="3">
        <f t="shared" si="174"/>
        <v>0.86714164600732035</v>
      </c>
      <c r="H102" s="3">
        <f t="shared" si="174"/>
        <v>2.4648719534636605</v>
      </c>
      <c r="I102" s="3">
        <f t="shared" si="174"/>
        <v>24554.308966303561</v>
      </c>
      <c r="K102" s="203">
        <v>25</v>
      </c>
      <c r="L102" s="204">
        <v>298</v>
      </c>
      <c r="M102" s="198"/>
      <c r="N102" s="198"/>
      <c r="O102" s="198"/>
      <c r="P102" s="198"/>
      <c r="Q102" s="198"/>
    </row>
    <row r="103" spans="1:17">
      <c r="A103">
        <v>2034</v>
      </c>
      <c r="B103" s="3">
        <f t="shared" ref="B103:I103" si="175">B19</f>
        <v>9.3320780255098956</v>
      </c>
      <c r="C103" s="3">
        <f t="shared" si="175"/>
        <v>1.0611161325957748</v>
      </c>
      <c r="D103" s="3">
        <f t="shared" si="175"/>
        <v>1.8769606855793481</v>
      </c>
      <c r="E103" s="3">
        <f t="shared" si="175"/>
        <v>0.15614992885116272</v>
      </c>
      <c r="F103" s="3">
        <f t="shared" si="175"/>
        <v>23344.009553613381</v>
      </c>
      <c r="G103" s="3">
        <f t="shared" si="175"/>
        <v>0.82770006232986604</v>
      </c>
      <c r="H103" s="3">
        <f t="shared" si="175"/>
        <v>2.3527582591734819</v>
      </c>
      <c r="I103" s="3">
        <f t="shared" si="175"/>
        <v>23437.466249550514</v>
      </c>
    </row>
    <row r="104" spans="1:17">
      <c r="A104">
        <v>2035</v>
      </c>
      <c r="B104" s="3">
        <f t="shared" ref="B104:I104" si="176">B20</f>
        <v>8.8873856144792533</v>
      </c>
      <c r="C104" s="3">
        <f t="shared" si="176"/>
        <v>1.0105518006112333</v>
      </c>
      <c r="D104" s="3">
        <f t="shared" si="176"/>
        <v>1.7875197089395924</v>
      </c>
      <c r="E104" s="3">
        <f t="shared" si="176"/>
        <v>0.14870906861046698</v>
      </c>
      <c r="F104" s="3">
        <f t="shared" si="176"/>
        <v>22231.620237628049</v>
      </c>
      <c r="G104" s="3">
        <f t="shared" si="176"/>
        <v>0.78825847865241172</v>
      </c>
      <c r="H104" s="3">
        <f t="shared" si="176"/>
        <v>2.2406445648833029</v>
      </c>
      <c r="I104" s="3">
        <f t="shared" si="176"/>
        <v>22320.623532797461</v>
      </c>
    </row>
    <row r="105" spans="1:17">
      <c r="A105">
        <v>2036</v>
      </c>
      <c r="B105" s="3">
        <f t="shared" ref="B105:I105" si="177">B21</f>
        <v>7.1099084915834023</v>
      </c>
      <c r="C105" s="3">
        <f t="shared" si="177"/>
        <v>0.80844144048898658</v>
      </c>
      <c r="D105" s="3">
        <f t="shared" si="177"/>
        <v>1.430015767151674</v>
      </c>
      <c r="E105" s="3">
        <f t="shared" si="177"/>
        <v>0.11896725488837359</v>
      </c>
      <c r="F105" s="3">
        <f t="shared" si="177"/>
        <v>17785.296190102439</v>
      </c>
      <c r="G105" s="3">
        <f t="shared" si="177"/>
        <v>0.6306067829219294</v>
      </c>
      <c r="H105" s="3">
        <f t="shared" si="177"/>
        <v>1.7925156519066423</v>
      </c>
      <c r="I105" s="3">
        <f t="shared" si="177"/>
        <v>17856.498826237967</v>
      </c>
    </row>
    <row r="106" spans="1:17">
      <c r="A106">
        <v>2037</v>
      </c>
      <c r="B106" s="3">
        <f t="shared" ref="B106:I106" si="178">B22</f>
        <v>5.3324313686875522</v>
      </c>
      <c r="C106" s="3">
        <f t="shared" si="178"/>
        <v>0.60633108036673999</v>
      </c>
      <c r="D106" s="3">
        <f t="shared" si="178"/>
        <v>1.0725118253637556</v>
      </c>
      <c r="E106" s="3">
        <f t="shared" si="178"/>
        <v>8.9225441166280187E-2</v>
      </c>
      <c r="F106" s="3">
        <f t="shared" si="178"/>
        <v>13338.972142576829</v>
      </c>
      <c r="G106" s="3">
        <f t="shared" si="178"/>
        <v>0.47295508719144702</v>
      </c>
      <c r="H106" s="3">
        <f t="shared" si="178"/>
        <v>1.3443867389299817</v>
      </c>
      <c r="I106" s="3">
        <f t="shared" si="178"/>
        <v>13392.374119678474</v>
      </c>
    </row>
    <row r="107" spans="1:17">
      <c r="A107">
        <v>2038</v>
      </c>
      <c r="B107" s="3">
        <f t="shared" ref="B107:I107" si="179">B23</f>
        <v>3.554954245791702</v>
      </c>
      <c r="C107" s="3">
        <f t="shared" si="179"/>
        <v>0.4042207202444934</v>
      </c>
      <c r="D107" s="3">
        <f t="shared" si="179"/>
        <v>0.71500788357583689</v>
      </c>
      <c r="E107" s="3">
        <f t="shared" si="179"/>
        <v>5.9483627444186782E-2</v>
      </c>
      <c r="F107" s="3">
        <f t="shared" si="179"/>
        <v>8892.6480950512196</v>
      </c>
      <c r="G107" s="3">
        <f t="shared" si="179"/>
        <v>0.31530339146096464</v>
      </c>
      <c r="H107" s="3">
        <f t="shared" si="179"/>
        <v>0.89625782595332115</v>
      </c>
      <c r="I107" s="3">
        <f t="shared" si="179"/>
        <v>8928.2494131189833</v>
      </c>
    </row>
    <row r="108" spans="1:17">
      <c r="A108">
        <v>2039</v>
      </c>
      <c r="B108" s="3">
        <f t="shared" ref="B108:I108" si="180">B24</f>
        <v>1.777477122895851</v>
      </c>
      <c r="C108" s="3">
        <f t="shared" si="180"/>
        <v>0.2021103601222467</v>
      </c>
      <c r="D108" s="3">
        <f t="shared" si="180"/>
        <v>0.35750394178791844</v>
      </c>
      <c r="E108" s="3">
        <f t="shared" si="180"/>
        <v>2.9741813722093391E-2</v>
      </c>
      <c r="F108" s="3">
        <f t="shared" si="180"/>
        <v>4446.3240475256098</v>
      </c>
      <c r="G108" s="3">
        <f t="shared" si="180"/>
        <v>0.15765169573048232</v>
      </c>
      <c r="H108" s="3">
        <f t="shared" si="180"/>
        <v>0.44812891297666058</v>
      </c>
      <c r="I108" s="3">
        <f t="shared" si="180"/>
        <v>4464.1247065594916</v>
      </c>
    </row>
    <row r="109" spans="1:17">
      <c r="A109">
        <v>2040</v>
      </c>
      <c r="B109" s="3">
        <f t="shared" ref="B109:I109" si="181">B25</f>
        <v>0</v>
      </c>
      <c r="C109" s="3">
        <f t="shared" si="181"/>
        <v>0</v>
      </c>
      <c r="D109" s="3">
        <f t="shared" si="181"/>
        <v>0</v>
      </c>
      <c r="E109" s="3">
        <f t="shared" si="181"/>
        <v>0</v>
      </c>
      <c r="F109" s="3">
        <f t="shared" si="181"/>
        <v>0</v>
      </c>
      <c r="G109" s="3">
        <f t="shared" si="181"/>
        <v>0</v>
      </c>
      <c r="H109" s="3">
        <f t="shared" si="181"/>
        <v>0</v>
      </c>
      <c r="I109" s="3">
        <f t="shared" si="181"/>
        <v>0</v>
      </c>
    </row>
    <row r="116" spans="1:11">
      <c r="B116" t="s">
        <v>546</v>
      </c>
    </row>
    <row r="117" spans="1:11" ht="144">
      <c r="A117" t="s">
        <v>547</v>
      </c>
      <c r="B117" s="275" t="s">
        <v>548</v>
      </c>
      <c r="C117" s="275" t="s">
        <v>549</v>
      </c>
      <c r="D117" s="275" t="s">
        <v>550</v>
      </c>
      <c r="E117" s="275" t="s">
        <v>551</v>
      </c>
      <c r="F117" s="275"/>
      <c r="G117" s="275" t="s">
        <v>552</v>
      </c>
      <c r="H117" s="275" t="s">
        <v>553</v>
      </c>
      <c r="I117" s="275" t="s">
        <v>554</v>
      </c>
      <c r="J117" s="275" t="s">
        <v>555</v>
      </c>
      <c r="K117" s="275" t="s">
        <v>556</v>
      </c>
    </row>
    <row r="118" spans="1:11">
      <c r="A118" t="s">
        <v>6</v>
      </c>
      <c r="B118">
        <v>1.966355526440261</v>
      </c>
      <c r="C118">
        <v>0.27454399570409854</v>
      </c>
      <c r="D118">
        <f>B118+C118</f>
        <v>2.2408995221443595</v>
      </c>
      <c r="E118">
        <v>1.936075648492201</v>
      </c>
      <c r="G118">
        <v>5.8305443169747208E-2</v>
      </c>
      <c r="H118">
        <v>1.4297293946912044E-2</v>
      </c>
      <c r="I118">
        <v>1.4880754615852903E-2</v>
      </c>
      <c r="J118">
        <f>G118+H118+I118</f>
        <v>8.7483491732512159E-2</v>
      </c>
    </row>
    <row r="119" spans="1:11">
      <c r="A119" t="s">
        <v>8</v>
      </c>
      <c r="B119">
        <v>5.7834557927004164</v>
      </c>
      <c r="C119">
        <v>3.2384585313660845</v>
      </c>
      <c r="D119">
        <f t="shared" ref="D119:D124" si="182">B119+C119</f>
        <v>9.0219143240665005</v>
      </c>
      <c r="E119">
        <v>0.39707327111225321</v>
      </c>
      <c r="G119">
        <v>1.3371825856423363</v>
      </c>
      <c r="H119">
        <v>0.13532561703651533</v>
      </c>
      <c r="I119">
        <v>0.14084814286092234</v>
      </c>
      <c r="J119">
        <f t="shared" ref="J119:J124" si="183">G119+H119+I119</f>
        <v>1.6133563455397739</v>
      </c>
    </row>
    <row r="120" spans="1:11">
      <c r="A120" t="s">
        <v>10</v>
      </c>
      <c r="B120">
        <v>0.287728981896688</v>
      </c>
      <c r="C120">
        <v>0.65409520776187935</v>
      </c>
      <c r="D120">
        <f t="shared" si="182"/>
        <v>0.94182418965856729</v>
      </c>
      <c r="E120">
        <v>0.18735969036007524</v>
      </c>
      <c r="G120">
        <v>6.5201701231150364E-2</v>
      </c>
      <c r="H120">
        <v>2.2096940256035712E-3</v>
      </c>
      <c r="I120">
        <v>2.2998698000627469E-3</v>
      </c>
      <c r="J120">
        <f t="shared" si="183"/>
        <v>6.9711265056816685E-2</v>
      </c>
    </row>
    <row r="121" spans="1:11">
      <c r="A121" t="s">
        <v>11</v>
      </c>
      <c r="B121">
        <v>2.0145232331484935</v>
      </c>
      <c r="C121">
        <v>0.91092892372459533</v>
      </c>
      <c r="D121">
        <f t="shared" si="182"/>
        <v>2.9254521568730887</v>
      </c>
      <c r="E121">
        <v>0.31434940557875063</v>
      </c>
      <c r="G121">
        <v>0.33292719867133003</v>
      </c>
      <c r="H121">
        <v>5.4697804759960425E-3</v>
      </c>
      <c r="I121">
        <v>5.6929976657198074E-3</v>
      </c>
      <c r="J121">
        <f t="shared" si="183"/>
        <v>0.34408997681304587</v>
      </c>
    </row>
    <row r="122" spans="1:11">
      <c r="A122" t="s">
        <v>557</v>
      </c>
      <c r="B122">
        <v>35.627348399181514</v>
      </c>
      <c r="C122">
        <v>0.36746484731323875</v>
      </c>
      <c r="D122">
        <f t="shared" si="182"/>
        <v>35.994813246494751</v>
      </c>
      <c r="G122">
        <v>0.41108381068773114</v>
      </c>
      <c r="H122">
        <v>0.1139677031727117</v>
      </c>
      <c r="I122">
        <v>0.11861863030463693</v>
      </c>
      <c r="J122">
        <f t="shared" si="183"/>
        <v>0.64367014416507973</v>
      </c>
    </row>
    <row r="123" spans="1:11">
      <c r="A123" t="s">
        <v>15</v>
      </c>
      <c r="B123">
        <v>0.13798401974396313</v>
      </c>
      <c r="C123">
        <v>7.142595780932022E-2</v>
      </c>
      <c r="D123">
        <f t="shared" si="182"/>
        <v>0.20940997755328333</v>
      </c>
      <c r="G123">
        <v>5.5127063701488621E-3</v>
      </c>
      <c r="H123">
        <v>3.5235778665835231E-4</v>
      </c>
      <c r="I123">
        <v>3.6673721472869745E-4</v>
      </c>
      <c r="J123">
        <f t="shared" si="183"/>
        <v>6.2318013715359118E-3</v>
      </c>
    </row>
    <row r="124" spans="1:11">
      <c r="A124" t="s">
        <v>558</v>
      </c>
      <c r="B124">
        <v>3560.7607336488581</v>
      </c>
      <c r="C124">
        <v>8042.897545986837</v>
      </c>
      <c r="D124">
        <f t="shared" si="182"/>
        <v>11603.658279635696</v>
      </c>
      <c r="E124">
        <v>461</v>
      </c>
      <c r="G124">
        <v>247.3391824708375</v>
      </c>
      <c r="H124">
        <v>93.782587986220733</v>
      </c>
      <c r="I124">
        <v>97.609777363778676</v>
      </c>
      <c r="J124">
        <f t="shared" si="183"/>
        <v>438.73154782083691</v>
      </c>
    </row>
    <row r="125" spans="1:11">
      <c r="A125" t="s">
        <v>559</v>
      </c>
      <c r="G125">
        <v>6.6669999999999998</v>
      </c>
      <c r="K125">
        <f>G125+G126</f>
        <v>19.749000000000002</v>
      </c>
    </row>
    <row r="126" spans="1:11">
      <c r="A126" t="s">
        <v>560</v>
      </c>
      <c r="G126">
        <v>13.082000000000001</v>
      </c>
    </row>
    <row r="128" spans="1:11">
      <c r="A128" t="s">
        <v>561</v>
      </c>
      <c r="B128">
        <f>B124+C124+E124+G124+H124+I124</f>
        <v>12503.389827456534</v>
      </c>
    </row>
  </sheetData>
  <sheetProtection algorithmName="SHA-512" hashValue="AjbMUO/1k8QOY9Ic46s3YrJd8oIKjPU1tfVKdEp15W4R0UJupgChcqxam4ypZ8GpTKKXR86QFaMCOeNDmqpA8A==" saltValue="vqQ8H9kQMDN8Ge7QTC54qQ==" spinCount="100000" sheet="1" objects="1" scenarios="1"/>
  <mergeCells count="10">
    <mergeCell ref="S92:S94"/>
    <mergeCell ref="K100:L100"/>
    <mergeCell ref="S8:S10"/>
    <mergeCell ref="K16:L16"/>
    <mergeCell ref="S29:S31"/>
    <mergeCell ref="K37:L37"/>
    <mergeCell ref="S50:S52"/>
    <mergeCell ref="K58:L58"/>
    <mergeCell ref="S71:S73"/>
    <mergeCell ref="K79:L79"/>
  </mergeCells>
  <pageMargins left="0.7" right="0.7" top="0.75" bottom="0.75" header="0.3" footer="0.3"/>
  <pageSetup scale="87" orientation="portrait" horizontalDpi="360" verticalDpi="36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1"/>
  <dimension ref="A1:I16"/>
  <sheetViews>
    <sheetView workbookViewId="0">
      <selection activeCell="H12" sqref="H12"/>
    </sheetView>
  </sheetViews>
  <sheetFormatPr baseColWidth="10" defaultColWidth="8.83203125" defaultRowHeight="15"/>
  <cols>
    <col min="2" max="2" width="41.1640625" customWidth="1"/>
    <col min="3" max="3" width="15.6640625" customWidth="1"/>
  </cols>
  <sheetData>
    <row r="1" spans="1:9">
      <c r="A1" t="s">
        <v>520</v>
      </c>
    </row>
    <row r="2" spans="1:9">
      <c r="A2" t="s">
        <v>521</v>
      </c>
    </row>
    <row r="5" spans="1:9">
      <c r="A5" s="2" t="s">
        <v>490</v>
      </c>
    </row>
    <row r="6" spans="1:9" s="245" customFormat="1">
      <c r="A6" s="244" t="s">
        <v>491</v>
      </c>
    </row>
    <row r="8" spans="1:9">
      <c r="B8" s="246" t="s">
        <v>19</v>
      </c>
      <c r="C8" s="247">
        <v>2020</v>
      </c>
      <c r="D8" s="247">
        <v>2025</v>
      </c>
      <c r="E8" s="247">
        <v>2030</v>
      </c>
      <c r="F8" s="247">
        <v>2035</v>
      </c>
      <c r="G8" s="247">
        <v>2040</v>
      </c>
    </row>
    <row r="9" spans="1:9">
      <c r="B9" s="248" t="s">
        <v>492</v>
      </c>
      <c r="C9" s="248">
        <f>1-C16</f>
        <v>0.56133618450745204</v>
      </c>
      <c r="D9" s="248">
        <f t="shared" ref="D9:G9" si="0">1-D16</f>
        <v>0.58665399212080493</v>
      </c>
      <c r="E9" s="248">
        <f t="shared" si="0"/>
        <v>0.78725276221560692</v>
      </c>
      <c r="F9" s="248">
        <f t="shared" si="0"/>
        <v>0.82982695858814193</v>
      </c>
      <c r="G9" s="248">
        <f t="shared" si="0"/>
        <v>1</v>
      </c>
    </row>
    <row r="12" spans="1:9">
      <c r="C12" t="s">
        <v>518</v>
      </c>
    </row>
    <row r="14" spans="1:9">
      <c r="C14" t="s">
        <v>519</v>
      </c>
    </row>
    <row r="15" spans="1:9">
      <c r="C15">
        <v>2020</v>
      </c>
      <c r="D15">
        <v>2025</v>
      </c>
      <c r="E15">
        <v>2030</v>
      </c>
      <c r="F15">
        <v>2035</v>
      </c>
      <c r="G15">
        <v>2040</v>
      </c>
      <c r="H15">
        <v>2045</v>
      </c>
      <c r="I15">
        <v>2050</v>
      </c>
    </row>
    <row r="16" spans="1:9">
      <c r="C16">
        <v>0.43866381549254801</v>
      </c>
      <c r="D16">
        <v>0.41334600787919507</v>
      </c>
      <c r="E16">
        <v>0.21274723778439308</v>
      </c>
      <c r="F16">
        <v>0.17017304141185802</v>
      </c>
      <c r="G16">
        <v>0</v>
      </c>
      <c r="H16">
        <v>0</v>
      </c>
      <c r="I16">
        <v>0</v>
      </c>
    </row>
  </sheetData>
  <sheetProtection algorithmName="SHA-512" hashValue="Efzy+kRtNX7fgxcXZX1zmq1cvv4lmiaqQKNwHXI9J5AunztdzB07IfmqcwW6+nOUe4qr5QE/RW46Rl4yNXldhg==" saltValue="uyLqKJs6d8QzUtdGTFCgsA==" spinCount="100000" sheet="1" objects="1" scenarios="1"/>
  <pageMargins left="0.7" right="0.7" top="0.75" bottom="0.75" header="0.3" footer="0.3"/>
  <pageSetup orientation="portrait" horizontalDpi="360"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2"/>
  <dimension ref="A1:Y119"/>
  <sheetViews>
    <sheetView topLeftCell="A3" workbookViewId="0">
      <selection activeCell="K18" sqref="K18"/>
    </sheetView>
  </sheetViews>
  <sheetFormatPr baseColWidth="10" defaultColWidth="8.83203125" defaultRowHeight="15"/>
  <cols>
    <col min="1" max="1" width="22" customWidth="1"/>
    <col min="2" max="2" width="21" customWidth="1"/>
    <col min="3" max="3" width="20.83203125" customWidth="1"/>
    <col min="4" max="4" width="21.5" customWidth="1"/>
    <col min="5" max="5" width="20.5" customWidth="1"/>
    <col min="6" max="6" width="14.83203125" customWidth="1"/>
    <col min="7" max="7" width="14.5" customWidth="1"/>
  </cols>
  <sheetData>
    <row r="1" spans="1:5">
      <c r="A1" t="s">
        <v>126</v>
      </c>
    </row>
    <row r="2" spans="1:5">
      <c r="A2" t="s">
        <v>105</v>
      </c>
    </row>
    <row r="3" spans="1:5">
      <c r="A3" t="s">
        <v>59</v>
      </c>
    </row>
    <row r="5" spans="1:5">
      <c r="E5" t="s">
        <v>58</v>
      </c>
    </row>
    <row r="6" spans="1:5">
      <c r="E6" t="s">
        <v>487</v>
      </c>
    </row>
    <row r="7" spans="1:5">
      <c r="E7" t="s">
        <v>488</v>
      </c>
    </row>
    <row r="8" spans="1:5">
      <c r="E8" t="s">
        <v>489</v>
      </c>
    </row>
    <row r="25" spans="1:7">
      <c r="A25" s="17" t="s">
        <v>66</v>
      </c>
    </row>
    <row r="26" spans="1:7" ht="27.75" customHeight="1">
      <c r="A26" s="18"/>
      <c r="B26" s="22" t="s">
        <v>60</v>
      </c>
      <c r="C26" s="23" t="s">
        <v>62</v>
      </c>
      <c r="D26" s="23" t="s">
        <v>63</v>
      </c>
      <c r="E26" s="23" t="s">
        <v>64</v>
      </c>
      <c r="G26" s="298" t="s">
        <v>127</v>
      </c>
    </row>
    <row r="27" spans="1:7" ht="15" customHeight="1">
      <c r="A27" s="21" t="s">
        <v>61</v>
      </c>
      <c r="B27" s="24"/>
      <c r="C27" s="25"/>
      <c r="D27" s="25"/>
      <c r="E27" s="25"/>
      <c r="G27" s="298"/>
    </row>
    <row r="28" spans="1:7" ht="15" customHeight="1">
      <c r="A28" s="19" t="s">
        <v>6</v>
      </c>
      <c r="B28" s="26">
        <v>2.1866754878548966</v>
      </c>
      <c r="C28" s="27">
        <v>1.3843453190325286</v>
      </c>
      <c r="D28" s="27">
        <v>1.9930696207146734</v>
      </c>
      <c r="E28" s="27">
        <v>1.5311545483181301</v>
      </c>
      <c r="G28" s="298"/>
    </row>
    <row r="29" spans="1:7" ht="15" customHeight="1">
      <c r="A29" s="19" t="s">
        <v>7</v>
      </c>
      <c r="B29" s="26">
        <v>21.034901086818003</v>
      </c>
      <c r="C29" s="27">
        <v>14.203449605047195</v>
      </c>
      <c r="D29" s="27">
        <v>18.364111552904628</v>
      </c>
      <c r="E29" s="27">
        <v>21.226645608020657</v>
      </c>
    </row>
    <row r="30" spans="1:7" ht="15" customHeight="1">
      <c r="A30" s="19" t="s">
        <v>8</v>
      </c>
      <c r="B30" s="26">
        <v>24.654131608605883</v>
      </c>
      <c r="C30" s="27">
        <v>48.640785186047147</v>
      </c>
      <c r="D30" s="27">
        <v>56.200603852297426</v>
      </c>
      <c r="E30" s="27">
        <v>58.288526099128077</v>
      </c>
    </row>
    <row r="31" spans="1:7" ht="15" customHeight="1">
      <c r="A31" s="19" t="s">
        <v>9</v>
      </c>
      <c r="B31" s="26">
        <v>2.9107747501684194</v>
      </c>
      <c r="C31" s="27">
        <v>7.1768326048667737</v>
      </c>
      <c r="D31" s="27">
        <v>6.5982328387855436</v>
      </c>
      <c r="E31" s="27">
        <v>6.9379361953170244</v>
      </c>
    </row>
    <row r="32" spans="1:7" ht="15" customHeight="1">
      <c r="A32" s="19" t="s">
        <v>10</v>
      </c>
      <c r="B32" s="26">
        <v>2.803330267226491</v>
      </c>
      <c r="C32" s="27">
        <v>6.35534772691501</v>
      </c>
      <c r="D32" s="27">
        <v>5.6642016841516725</v>
      </c>
      <c r="E32" s="27">
        <v>5.5013597255711888</v>
      </c>
    </row>
    <row r="33" spans="1:25" ht="15" customHeight="1">
      <c r="A33" s="19" t="s">
        <v>11</v>
      </c>
      <c r="B33" s="26">
        <v>6.2156801096536203</v>
      </c>
      <c r="C33" s="27">
        <v>50.440916232668343</v>
      </c>
      <c r="D33" s="27">
        <v>50.377348240961837</v>
      </c>
      <c r="E33" s="27">
        <v>30.734181989267732</v>
      </c>
    </row>
    <row r="34" spans="1:25" ht="15" customHeight="1">
      <c r="A34" s="19" t="s">
        <v>12</v>
      </c>
      <c r="B34" s="26">
        <v>0.20032587098650509</v>
      </c>
      <c r="C34" s="27">
        <v>0.3320061591165549</v>
      </c>
      <c r="D34" s="27">
        <v>0.30753809631714757</v>
      </c>
      <c r="E34" s="27">
        <v>0.25350489611781912</v>
      </c>
    </row>
    <row r="35" spans="1:25" ht="15" customHeight="1">
      <c r="A35" s="19" t="s">
        <v>13</v>
      </c>
      <c r="B35" s="26">
        <v>1.5615704354972839</v>
      </c>
      <c r="C35" s="27">
        <v>1.9641917514564646</v>
      </c>
      <c r="D35" s="27">
        <v>2.2005331127113683</v>
      </c>
      <c r="E35" s="27">
        <v>1.6319693052305919</v>
      </c>
    </row>
    <row r="36" spans="1:25" ht="15" customHeight="1">
      <c r="A36" s="19" t="s">
        <v>14</v>
      </c>
      <c r="B36" s="26">
        <v>4.9586850474199684</v>
      </c>
      <c r="C36" s="27">
        <v>10.382627952963064</v>
      </c>
      <c r="D36" s="27">
        <v>9.9003953680967651</v>
      </c>
      <c r="E36" s="27">
        <v>9.2640580177791847</v>
      </c>
    </row>
    <row r="37" spans="1:25" ht="15" customHeight="1">
      <c r="A37" s="19" t="s">
        <v>15</v>
      </c>
      <c r="B37" s="26">
        <v>0.41252772276951299</v>
      </c>
      <c r="C37" s="27">
        <v>1.6478794436111424</v>
      </c>
      <c r="D37" s="27">
        <v>1.5422162227104217</v>
      </c>
      <c r="E37" s="27">
        <v>1.3681322714056932</v>
      </c>
    </row>
    <row r="38" spans="1:25" ht="15" customHeight="1">
      <c r="A38" s="20" t="s">
        <v>16</v>
      </c>
      <c r="B38" s="28">
        <v>61671.825099843307</v>
      </c>
      <c r="C38" s="28">
        <v>111833.86399449916</v>
      </c>
      <c r="D38" s="28">
        <v>106298.29185240586</v>
      </c>
      <c r="E38" s="28">
        <v>92132.621385567632</v>
      </c>
    </row>
    <row r="39" spans="1:25">
      <c r="A39" s="19" t="s">
        <v>65</v>
      </c>
    </row>
    <row r="41" spans="1:25">
      <c r="A41" t="s">
        <v>107</v>
      </c>
    </row>
    <row r="42" spans="1:25">
      <c r="A42" t="s">
        <v>8</v>
      </c>
      <c r="B42" t="s">
        <v>10</v>
      </c>
      <c r="C42" t="s">
        <v>14</v>
      </c>
      <c r="D42" t="s">
        <v>15</v>
      </c>
      <c r="E42" t="s">
        <v>16</v>
      </c>
      <c r="F42" t="s">
        <v>115</v>
      </c>
      <c r="G42" t="s">
        <v>116</v>
      </c>
    </row>
    <row r="43" spans="1:25">
      <c r="A43" s="60">
        <f>E30</f>
        <v>58.288526099128077</v>
      </c>
      <c r="B43" s="60">
        <f>E32</f>
        <v>5.5013597255711888</v>
      </c>
      <c r="C43" s="60">
        <f>E36</f>
        <v>9.2640580177791847</v>
      </c>
      <c r="D43" s="60">
        <f>E37</f>
        <v>1.3681322714056932</v>
      </c>
      <c r="E43" s="3">
        <f>E38</f>
        <v>92132.621385567632</v>
      </c>
      <c r="F43" s="60">
        <f>E28</f>
        <v>1.5311545483181301</v>
      </c>
      <c r="G43" s="60">
        <f>E33</f>
        <v>30.734181989267732</v>
      </c>
    </row>
    <row r="45" spans="1:25">
      <c r="A45" t="s">
        <v>96</v>
      </c>
    </row>
    <row r="46" spans="1:25">
      <c r="A46" s="172" t="s">
        <v>97</v>
      </c>
      <c r="B46" s="51"/>
      <c r="C46" s="52"/>
      <c r="D46" s="52"/>
      <c r="E46" s="52"/>
      <c r="F46" s="52"/>
      <c r="I46" s="52"/>
      <c r="J46" s="52"/>
      <c r="K46" s="52"/>
      <c r="L46" s="52"/>
      <c r="M46" s="52"/>
      <c r="N46" s="52"/>
      <c r="O46" s="52"/>
      <c r="P46" s="52"/>
      <c r="Q46" s="52"/>
      <c r="R46" s="52"/>
      <c r="S46" s="52"/>
      <c r="T46" s="52"/>
      <c r="U46" s="52"/>
      <c r="V46" s="52"/>
      <c r="W46" s="52"/>
      <c r="X46" s="52"/>
      <c r="Y46" s="52"/>
    </row>
    <row r="47" spans="1:25">
      <c r="A47" s="51"/>
      <c r="B47" s="51"/>
      <c r="C47" s="53"/>
      <c r="D47" s="303" t="s">
        <v>98</v>
      </c>
      <c r="E47" s="304"/>
    </row>
    <row r="48" spans="1:25">
      <c r="A48" s="51"/>
      <c r="B48" s="51"/>
      <c r="C48" s="54"/>
      <c r="D48" s="55" t="s">
        <v>99</v>
      </c>
      <c r="E48" s="56" t="s">
        <v>100</v>
      </c>
    </row>
    <row r="49" spans="1:7">
      <c r="A49" s="51"/>
      <c r="B49" s="51"/>
      <c r="C49" s="57" t="s">
        <v>101</v>
      </c>
      <c r="D49" s="58">
        <v>1.05756129080821E-3</v>
      </c>
      <c r="E49" s="59">
        <v>1.05756129080821E-3</v>
      </c>
    </row>
    <row r="50" spans="1:7">
      <c r="A50" s="51"/>
      <c r="B50" s="51"/>
      <c r="C50" s="57" t="s">
        <v>102</v>
      </c>
      <c r="D50" s="58">
        <v>0.27114327614777284</v>
      </c>
      <c r="E50" s="59">
        <v>0.27114327614777284</v>
      </c>
    </row>
    <row r="51" spans="1:7">
      <c r="A51" s="51"/>
      <c r="B51" s="51"/>
      <c r="C51" s="57" t="s">
        <v>94</v>
      </c>
      <c r="D51" s="58">
        <v>0.10134545090354258</v>
      </c>
      <c r="E51" s="59">
        <v>0.10134545090354258</v>
      </c>
    </row>
    <row r="52" spans="1:7">
      <c r="A52" s="51"/>
      <c r="B52" s="51"/>
      <c r="C52" s="57" t="s">
        <v>103</v>
      </c>
      <c r="D52" s="58">
        <v>6.7999855379005616E-2</v>
      </c>
      <c r="E52" s="59">
        <v>6.7999855379005616E-2</v>
      </c>
    </row>
    <row r="53" spans="1:7">
      <c r="A53" s="51"/>
      <c r="B53" s="51"/>
      <c r="C53" s="57" t="s">
        <v>95</v>
      </c>
      <c r="D53" s="58">
        <v>4.3469011079143261E-3</v>
      </c>
      <c r="E53" s="59">
        <v>4.3469011079143261E-3</v>
      </c>
    </row>
    <row r="54" spans="1:7">
      <c r="A54" s="51"/>
      <c r="B54" s="51"/>
      <c r="C54" s="55" t="s">
        <v>104</v>
      </c>
      <c r="D54" s="58">
        <v>0.55410695517095654</v>
      </c>
      <c r="E54" s="59">
        <v>0.55410695517095654</v>
      </c>
    </row>
    <row r="55" spans="1:7">
      <c r="C55" s="2" t="s">
        <v>106</v>
      </c>
      <c r="D55" s="61">
        <f>D49+D50+D51+D53</f>
        <v>0.37789318945003791</v>
      </c>
    </row>
    <row r="57" spans="1:7">
      <c r="A57" s="2" t="s">
        <v>108</v>
      </c>
    </row>
    <row r="58" spans="1:7">
      <c r="A58" t="s">
        <v>8</v>
      </c>
      <c r="B58" t="s">
        <v>10</v>
      </c>
      <c r="C58" t="s">
        <v>14</v>
      </c>
      <c r="D58" t="s">
        <v>15</v>
      </c>
      <c r="E58" t="s">
        <v>16</v>
      </c>
      <c r="F58" t="s">
        <v>115</v>
      </c>
      <c r="G58" t="s">
        <v>116</v>
      </c>
    </row>
    <row r="59" spans="1:7">
      <c r="A59" s="60">
        <f>A43/$D$55</f>
        <v>154.24603492843454</v>
      </c>
      <c r="B59" s="60">
        <f t="shared" ref="B59:G59" si="0">B43/$D$55</f>
        <v>14.557975319897993</v>
      </c>
      <c r="C59" s="60">
        <f t="shared" si="0"/>
        <v>24.515017143498973</v>
      </c>
      <c r="D59" s="60">
        <f t="shared" si="0"/>
        <v>3.6204205569218835</v>
      </c>
      <c r="E59" s="60">
        <f t="shared" si="0"/>
        <v>243805.98528290939</v>
      </c>
      <c r="F59" s="60">
        <f t="shared" si="0"/>
        <v>4.0518183207971452</v>
      </c>
      <c r="G59" s="60">
        <f t="shared" si="0"/>
        <v>81.330341078642718</v>
      </c>
    </row>
    <row r="61" spans="1:7">
      <c r="A61" t="s">
        <v>281</v>
      </c>
    </row>
    <row r="62" spans="1:7">
      <c r="A62" t="s">
        <v>8</v>
      </c>
      <c r="B62" t="s">
        <v>10</v>
      </c>
      <c r="C62" t="s">
        <v>14</v>
      </c>
      <c r="D62" t="s">
        <v>15</v>
      </c>
      <c r="E62" t="s">
        <v>16</v>
      </c>
      <c r="F62" t="s">
        <v>115</v>
      </c>
      <c r="G62" t="s">
        <v>116</v>
      </c>
    </row>
    <row r="63" spans="1:7">
      <c r="A63" s="60">
        <f>B30</f>
        <v>24.654131608605883</v>
      </c>
      <c r="B63" s="60">
        <f>B32</f>
        <v>2.803330267226491</v>
      </c>
      <c r="C63" s="60">
        <f>B36</f>
        <v>4.9586850474199684</v>
      </c>
      <c r="D63" s="60">
        <f>B37</f>
        <v>0.41252772276951299</v>
      </c>
      <c r="E63" s="3">
        <f>B38</f>
        <v>61671.825099843307</v>
      </c>
      <c r="F63" s="60">
        <f>B28</f>
        <v>2.1866754878548966</v>
      </c>
      <c r="G63" s="60">
        <f>B33</f>
        <v>6.2156801096536203</v>
      </c>
    </row>
    <row r="65" spans="1:7">
      <c r="A65" t="s">
        <v>282</v>
      </c>
    </row>
    <row r="66" spans="1:7">
      <c r="A66" s="172" t="s">
        <v>97</v>
      </c>
      <c r="B66" s="51"/>
      <c r="C66" s="52"/>
      <c r="D66" s="52"/>
      <c r="E66" s="52"/>
      <c r="F66" s="52"/>
    </row>
    <row r="67" spans="1:7">
      <c r="A67" s="51"/>
      <c r="B67" s="51"/>
      <c r="C67" s="53"/>
      <c r="D67" s="303" t="s">
        <v>290</v>
      </c>
      <c r="E67" s="304"/>
    </row>
    <row r="68" spans="1:7">
      <c r="A68" s="51"/>
      <c r="B68" s="51"/>
      <c r="C68" s="54"/>
      <c r="D68" s="55" t="s">
        <v>99</v>
      </c>
      <c r="E68" s="56" t="s">
        <v>100</v>
      </c>
    </row>
    <row r="69" spans="1:7">
      <c r="A69" s="51"/>
      <c r="B69" s="51"/>
      <c r="C69" s="57" t="s">
        <v>101</v>
      </c>
      <c r="D69" s="173">
        <f>[3]Fuel_Prod_TS!$CF$875</f>
        <v>1.5976147714583499E-3</v>
      </c>
      <c r="E69" s="173">
        <f>[3]Fuel_Prod_TS!$CN$875</f>
        <v>1.5976147714583499E-3</v>
      </c>
    </row>
    <row r="70" spans="1:7">
      <c r="A70" s="51"/>
      <c r="B70" s="51"/>
      <c r="C70" s="57" t="s">
        <v>102</v>
      </c>
      <c r="D70" s="173">
        <f>[3]Fuel_Prod_TS!$CG$875</f>
        <v>0.4568836038497196</v>
      </c>
      <c r="E70" s="173">
        <f>[3]Fuel_Prod_TS!$CO$875</f>
        <v>0.4568836038497196</v>
      </c>
    </row>
    <row r="71" spans="1:7">
      <c r="A71" s="51"/>
      <c r="B71" s="51"/>
      <c r="C71" s="57" t="s">
        <v>94</v>
      </c>
      <c r="D71" s="173">
        <f>[3]Fuel_Prod_TS!$CH$875</f>
        <v>7.2640851718008294E-4</v>
      </c>
      <c r="E71" s="173">
        <f>[3]Fuel_Prod_TS!$CP$875</f>
        <v>7.2640851718008294E-4</v>
      </c>
    </row>
    <row r="72" spans="1:7">
      <c r="A72" s="51"/>
      <c r="B72" s="51"/>
      <c r="C72" s="57" t="s">
        <v>103</v>
      </c>
      <c r="D72" s="173">
        <f>[3]Fuel_Prod_TS!$CI$875</f>
        <v>0.29721983353590098</v>
      </c>
      <c r="E72" s="173">
        <f>[3]Fuel_Prod_TS!$CQ$875</f>
        <v>0.29721983353590098</v>
      </c>
    </row>
    <row r="73" spans="1:7">
      <c r="A73" s="51"/>
      <c r="B73" s="51"/>
      <c r="C73" s="57" t="s">
        <v>95</v>
      </c>
      <c r="D73" s="173">
        <f>[3]Fuel_Prod_TS!$CJ$875</f>
        <v>1.2862421489830919E-2</v>
      </c>
      <c r="E73" s="173">
        <f>[3]Fuel_Prod_TS!$CR$875</f>
        <v>1.2862421489830919E-2</v>
      </c>
    </row>
    <row r="74" spans="1:7">
      <c r="A74" s="51"/>
      <c r="B74" s="51"/>
      <c r="C74" s="55" t="s">
        <v>104</v>
      </c>
      <c r="D74" s="173">
        <f>[3]Fuel_Prod_TS!$CK$875</f>
        <v>0.23071011783591</v>
      </c>
      <c r="E74" s="173">
        <f>[3]Fuel_Prod_TS!$CS$875</f>
        <v>0.23071011783591</v>
      </c>
    </row>
    <row r="75" spans="1:7">
      <c r="C75" s="2" t="s">
        <v>106</v>
      </c>
      <c r="D75" s="61">
        <f>D69+D70+D71+D73</f>
        <v>0.47207004862818897</v>
      </c>
    </row>
    <row r="77" spans="1:7">
      <c r="A77" s="2" t="s">
        <v>283</v>
      </c>
    </row>
    <row r="78" spans="1:7">
      <c r="A78" t="s">
        <v>8</v>
      </c>
      <c r="B78" t="s">
        <v>10</v>
      </c>
      <c r="C78" t="s">
        <v>14</v>
      </c>
      <c r="D78" t="s">
        <v>15</v>
      </c>
      <c r="E78" t="s">
        <v>16</v>
      </c>
      <c r="F78" t="s">
        <v>115</v>
      </c>
      <c r="G78" t="s">
        <v>116</v>
      </c>
    </row>
    <row r="79" spans="1:7">
      <c r="A79" s="60">
        <f>A63/$D$75</f>
        <v>52.225578979749955</v>
      </c>
      <c r="B79" s="60">
        <f t="shared" ref="B79:G79" si="1">B63/$D$75</f>
        <v>5.9383777373142461</v>
      </c>
      <c r="C79" s="60">
        <f t="shared" si="1"/>
        <v>10.504129761736948</v>
      </c>
      <c r="D79" s="60">
        <f t="shared" si="1"/>
        <v>0.87386972329275525</v>
      </c>
      <c r="E79" s="60">
        <f t="shared" si="1"/>
        <v>130641.25817568479</v>
      </c>
      <c r="F79" s="60">
        <f t="shared" si="1"/>
        <v>4.6320996093890345</v>
      </c>
      <c r="G79" s="60">
        <f t="shared" si="1"/>
        <v>13.166859722865418</v>
      </c>
    </row>
    <row r="81" spans="1:7">
      <c r="A81" t="s">
        <v>287</v>
      </c>
    </row>
    <row r="82" spans="1:7">
      <c r="A82" t="s">
        <v>8</v>
      </c>
      <c r="B82" t="s">
        <v>10</v>
      </c>
      <c r="C82" t="s">
        <v>14</v>
      </c>
      <c r="D82" t="s">
        <v>15</v>
      </c>
      <c r="E82" t="s">
        <v>16</v>
      </c>
      <c r="F82" t="s">
        <v>115</v>
      </c>
      <c r="G82" t="s">
        <v>116</v>
      </c>
    </row>
    <row r="83" spans="1:7">
      <c r="A83" s="60">
        <f>D30</f>
        <v>56.200603852297426</v>
      </c>
      <c r="B83" s="60">
        <f>D32</f>
        <v>5.6642016841516725</v>
      </c>
      <c r="C83" s="60">
        <f>D36</f>
        <v>9.9003953680967651</v>
      </c>
      <c r="D83" s="60">
        <f>D37</f>
        <v>1.5422162227104217</v>
      </c>
      <c r="E83" s="3">
        <f>D38</f>
        <v>106298.29185240586</v>
      </c>
      <c r="F83" s="60">
        <f>D28</f>
        <v>1.9930696207146734</v>
      </c>
      <c r="G83" s="60">
        <f>D33</f>
        <v>50.377348240961837</v>
      </c>
    </row>
    <row r="85" spans="1:7">
      <c r="A85" t="s">
        <v>288</v>
      </c>
    </row>
    <row r="86" spans="1:7">
      <c r="A86" s="172" t="s">
        <v>97</v>
      </c>
      <c r="B86" s="51"/>
      <c r="C86" s="52"/>
      <c r="D86" s="52"/>
      <c r="E86" s="52"/>
      <c r="F86" s="52"/>
    </row>
    <row r="87" spans="1:7">
      <c r="A87" s="51"/>
      <c r="B87" s="51"/>
      <c r="C87" s="53"/>
      <c r="D87" s="303" t="s">
        <v>291</v>
      </c>
      <c r="E87" s="304"/>
    </row>
    <row r="88" spans="1:7">
      <c r="A88" s="51"/>
      <c r="B88" s="51"/>
      <c r="C88" s="54"/>
      <c r="D88" s="55" t="s">
        <v>99</v>
      </c>
      <c r="E88" s="56" t="s">
        <v>100</v>
      </c>
    </row>
    <row r="89" spans="1:7">
      <c r="A89" s="51"/>
      <c r="B89" s="51"/>
      <c r="C89" s="57" t="s">
        <v>101</v>
      </c>
      <c r="D89" s="173">
        <f>[3]Fuel_Prod_TS!$D$900</f>
        <v>1.94096776665011E-3</v>
      </c>
      <c r="E89" s="173">
        <f>[3]Fuel_Prod_TS!$L$900</f>
        <v>1.94096776665011E-3</v>
      </c>
    </row>
    <row r="90" spans="1:7">
      <c r="A90" s="51"/>
      <c r="B90" s="51"/>
      <c r="C90" s="57" t="s">
        <v>102</v>
      </c>
      <c r="D90" s="173">
        <f>[3]Fuel_Prod_TS!$E$900</f>
        <v>0.41502767356791553</v>
      </c>
      <c r="E90" s="173">
        <f>[3]Fuel_Prod_TS!$M$900</f>
        <v>0.41502767356791553</v>
      </c>
    </row>
    <row r="91" spans="1:7">
      <c r="A91" s="51"/>
      <c r="B91" s="51"/>
      <c r="C91" s="57" t="s">
        <v>94</v>
      </c>
      <c r="D91" s="173">
        <f>[3]Fuel_Prod_TS!$F$900</f>
        <v>0.16953420629385921</v>
      </c>
      <c r="E91" s="173">
        <f>[3]Fuel_Prod_TS!$N$900</f>
        <v>0.16953420629385921</v>
      </c>
    </row>
    <row r="92" spans="1:7">
      <c r="A92" s="51"/>
      <c r="B92" s="51"/>
      <c r="C92" s="57" t="s">
        <v>103</v>
      </c>
      <c r="D92" s="173">
        <f>[3]Fuel_Prod_TS!$G$900</f>
        <v>0.33917126787407992</v>
      </c>
      <c r="E92" s="173">
        <f>[3]Fuel_Prod_TS!$O$900</f>
        <v>0.33917126787407992</v>
      </c>
    </row>
    <row r="93" spans="1:7">
      <c r="A93" s="51"/>
      <c r="B93" s="51"/>
      <c r="C93" s="57" t="s">
        <v>95</v>
      </c>
      <c r="D93" s="173">
        <f>[3]Fuel_Prod_TS!$H$900</f>
        <v>5.8132981751973381E-3</v>
      </c>
      <c r="E93" s="173">
        <f>[3]Fuel_Prod_TS!$P$900</f>
        <v>5.8132981751973381E-3</v>
      </c>
    </row>
    <row r="94" spans="1:7">
      <c r="A94" s="51"/>
      <c r="B94" s="51"/>
      <c r="C94" s="55" t="s">
        <v>104</v>
      </c>
      <c r="D94" s="173">
        <f>[3]Fuel_Prod_TS!$I$900</f>
        <v>6.8512586322297842E-2</v>
      </c>
      <c r="E94" s="173">
        <f>[3]Fuel_Prod_TS!$Q$900</f>
        <v>6.8512586322297842E-2</v>
      </c>
    </row>
    <row r="95" spans="1:7">
      <c r="C95" s="2" t="s">
        <v>106</v>
      </c>
      <c r="D95" s="61">
        <f>D89+D90+D91+D93</f>
        <v>0.59231614580362224</v>
      </c>
    </row>
    <row r="97" spans="1:7">
      <c r="A97" s="2" t="s">
        <v>289</v>
      </c>
    </row>
    <row r="98" spans="1:7">
      <c r="A98" t="s">
        <v>8</v>
      </c>
      <c r="B98" t="s">
        <v>10</v>
      </c>
      <c r="C98" t="s">
        <v>14</v>
      </c>
      <c r="D98" t="s">
        <v>15</v>
      </c>
      <c r="E98" t="s">
        <v>16</v>
      </c>
      <c r="F98" t="s">
        <v>115</v>
      </c>
      <c r="G98" t="s">
        <v>116</v>
      </c>
    </row>
    <row r="99" spans="1:7">
      <c r="A99" s="60">
        <f>A83/$D$95</f>
        <v>94.882782194038484</v>
      </c>
      <c r="B99" s="60">
        <f t="shared" ref="B99:G99" si="2">B83/$D$95</f>
        <v>9.5628014267056525</v>
      </c>
      <c r="C99" s="60">
        <f t="shared" si="2"/>
        <v>16.714714664184022</v>
      </c>
      <c r="D99" s="60">
        <f t="shared" si="2"/>
        <v>2.6037045142810125</v>
      </c>
      <c r="E99" s="60">
        <f t="shared" si="2"/>
        <v>179462.08727467008</v>
      </c>
      <c r="F99" s="60">
        <f t="shared" si="2"/>
        <v>3.3648747123220577</v>
      </c>
      <c r="G99" s="60">
        <f t="shared" si="2"/>
        <v>85.051451995475489</v>
      </c>
    </row>
    <row r="101" spans="1:7">
      <c r="A101" t="s">
        <v>284</v>
      </c>
    </row>
    <row r="102" spans="1:7">
      <c r="A102" t="s">
        <v>8</v>
      </c>
      <c r="B102" t="s">
        <v>10</v>
      </c>
      <c r="C102" t="s">
        <v>14</v>
      </c>
      <c r="D102" t="s">
        <v>15</v>
      </c>
      <c r="E102" t="s">
        <v>16</v>
      </c>
      <c r="F102" t="s">
        <v>115</v>
      </c>
      <c r="G102" t="s">
        <v>116</v>
      </c>
    </row>
    <row r="103" spans="1:7">
      <c r="A103" s="60">
        <f>C30</f>
        <v>48.640785186047147</v>
      </c>
      <c r="B103" s="60">
        <f>C32</f>
        <v>6.35534772691501</v>
      </c>
      <c r="C103" s="60">
        <f>C36</f>
        <v>10.382627952963064</v>
      </c>
      <c r="D103" s="60">
        <f>C37</f>
        <v>1.6478794436111424</v>
      </c>
      <c r="E103" s="3">
        <f>C38</f>
        <v>111833.86399449916</v>
      </c>
      <c r="F103" s="60">
        <f>C28</f>
        <v>1.3843453190325286</v>
      </c>
      <c r="G103" s="60">
        <f>C33</f>
        <v>50.440916232668343</v>
      </c>
    </row>
    <row r="105" spans="1:7">
      <c r="A105" t="s">
        <v>285</v>
      </c>
    </row>
    <row r="106" spans="1:7">
      <c r="A106" s="172" t="s">
        <v>97</v>
      </c>
      <c r="B106" s="51"/>
      <c r="C106" s="52"/>
      <c r="D106" s="52"/>
      <c r="E106" s="52"/>
      <c r="F106" s="52"/>
    </row>
    <row r="107" spans="1:7">
      <c r="A107" s="51"/>
      <c r="B107" s="51"/>
      <c r="C107" s="53"/>
      <c r="D107" s="303" t="s">
        <v>292</v>
      </c>
      <c r="E107" s="304"/>
    </row>
    <row r="108" spans="1:7">
      <c r="A108" s="51"/>
      <c r="B108" s="51"/>
      <c r="C108" s="54"/>
      <c r="D108" s="55" t="s">
        <v>99</v>
      </c>
      <c r="E108" s="56" t="s">
        <v>100</v>
      </c>
    </row>
    <row r="109" spans="1:7">
      <c r="A109" s="51"/>
      <c r="B109" s="51"/>
      <c r="C109" s="57" t="s">
        <v>101</v>
      </c>
      <c r="D109" s="58">
        <f>[3]Fuel_Prod_TS!$CV$875</f>
        <v>1.1525216005103397E-3</v>
      </c>
      <c r="E109" s="59">
        <f>[3]Fuel_Prod_TS!$DD$875</f>
        <v>1.1525216005103397E-3</v>
      </c>
    </row>
    <row r="110" spans="1:7">
      <c r="A110" s="51"/>
      <c r="B110" s="51"/>
      <c r="C110" s="57" t="s">
        <v>102</v>
      </c>
      <c r="D110" s="58">
        <f>[3]Fuel_Prod_TS!$CW$875</f>
        <v>0.42338739877550041</v>
      </c>
      <c r="E110" s="59">
        <f>[3]Fuel_Prod_TS!$DE$875</f>
        <v>0.42338739877550041</v>
      </c>
    </row>
    <row r="111" spans="1:7">
      <c r="A111" s="51"/>
      <c r="B111" s="51"/>
      <c r="C111" s="57" t="s">
        <v>94</v>
      </c>
      <c r="D111" s="58">
        <f>[3]Fuel_Prod_TS!$CX$875</f>
        <v>0.18220635648586389</v>
      </c>
      <c r="E111" s="59">
        <f>[3]Fuel_Prod_TS!$DF$875</f>
        <v>0.18220635648586389</v>
      </c>
    </row>
    <row r="112" spans="1:7">
      <c r="A112" s="51"/>
      <c r="B112" s="51"/>
      <c r="C112" s="57" t="s">
        <v>103</v>
      </c>
      <c r="D112" s="58">
        <f>[3]Fuel_Prod_TS!$CY$875</f>
        <v>0.33250596730454346</v>
      </c>
      <c r="E112" s="59">
        <f>[3]Fuel_Prod_TS!$DG$875</f>
        <v>0.33250596730454346</v>
      </c>
    </row>
    <row r="113" spans="1:7">
      <c r="A113" s="51"/>
      <c r="B113" s="51"/>
      <c r="C113" s="57" t="s">
        <v>95</v>
      </c>
      <c r="D113" s="58">
        <f>[3]Fuel_Prod_TS!$CZ$875</f>
        <v>1.5735294807847386E-3</v>
      </c>
      <c r="E113" s="59">
        <f>[3]Fuel_Prod_TS!$DH$875</f>
        <v>1.5735294807847386E-3</v>
      </c>
    </row>
    <row r="114" spans="1:7">
      <c r="A114" s="51"/>
      <c r="B114" s="51"/>
      <c r="C114" s="55" t="s">
        <v>104</v>
      </c>
      <c r="D114" s="58">
        <f>[3]Fuel_Prod_TS!$DA$875</f>
        <v>5.9174226352797121E-2</v>
      </c>
      <c r="E114" s="59">
        <f>[3]Fuel_Prod_TS!$DI$875</f>
        <v>5.9174226352797121E-2</v>
      </c>
    </row>
    <row r="115" spans="1:7">
      <c r="C115" s="2" t="s">
        <v>106</v>
      </c>
      <c r="D115" s="61">
        <f>D109+D110+D111+D113</f>
        <v>0.60831980634265936</v>
      </c>
    </row>
    <row r="117" spans="1:7">
      <c r="A117" s="2" t="s">
        <v>286</v>
      </c>
    </row>
    <row r="118" spans="1:7">
      <c r="A118" t="s">
        <v>8</v>
      </c>
      <c r="B118" t="s">
        <v>10</v>
      </c>
      <c r="C118" t="s">
        <v>14</v>
      </c>
      <c r="D118" t="s">
        <v>15</v>
      </c>
      <c r="E118" t="s">
        <v>16</v>
      </c>
      <c r="F118" t="s">
        <v>115</v>
      </c>
      <c r="G118" t="s">
        <v>116</v>
      </c>
    </row>
    <row r="119" spans="1:7">
      <c r="A119" s="60">
        <f>A103/$D$115</f>
        <v>79.959233085776546</v>
      </c>
      <c r="B119" s="60">
        <f t="shared" ref="B119:G119" si="3">B103/$D$115</f>
        <v>10.447379257835832</v>
      </c>
      <c r="C119" s="60">
        <f t="shared" si="3"/>
        <v>17.067713141522557</v>
      </c>
      <c r="D119" s="60">
        <f t="shared" si="3"/>
        <v>2.7089031565789776</v>
      </c>
      <c r="E119" s="60">
        <f t="shared" si="3"/>
        <v>183840.57666454554</v>
      </c>
      <c r="F119" s="60">
        <f t="shared" si="3"/>
        <v>2.2756867433850134</v>
      </c>
      <c r="G119" s="60">
        <f t="shared" si="3"/>
        <v>82.918418415354978</v>
      </c>
    </row>
  </sheetData>
  <sheetProtection algorithmName="SHA-512" hashValue="UZfCJ1EVqQsiHRRJ3oLfX3ukYYC1pU8kwuwY14oA1/INaEI2y7M6UIDy7enrxndRKMnZZRhuTMF9kOXxCMhUzg==" saltValue="gLg+mRgcdj3gNUbSWkn+cw==" spinCount="100000" sheet="1" objects="1" scenarios="1"/>
  <mergeCells count="5">
    <mergeCell ref="D47:E47"/>
    <mergeCell ref="G26:G28"/>
    <mergeCell ref="D67:E67"/>
    <mergeCell ref="D87:E87"/>
    <mergeCell ref="D107:E10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X78"/>
  <sheetViews>
    <sheetView topLeftCell="AQ1" workbookViewId="0">
      <selection activeCell="AB45" sqref="AB45:AG51"/>
    </sheetView>
  </sheetViews>
  <sheetFormatPr baseColWidth="10" defaultColWidth="11.5" defaultRowHeight="15"/>
  <cols>
    <col min="1" max="1" width="14.5" customWidth="1"/>
    <col min="2" max="2" width="17.83203125" customWidth="1"/>
    <col min="3" max="3" width="11.1640625" bestFit="1" customWidth="1"/>
    <col min="4" max="4" width="11.5" customWidth="1"/>
    <col min="5" max="5" width="11.6640625" bestFit="1" customWidth="1"/>
    <col min="6" max="6" width="15.33203125" bestFit="1" customWidth="1"/>
    <col min="8" max="8" width="17.83203125" customWidth="1"/>
    <col min="9" max="9" width="15.6640625" customWidth="1"/>
    <col min="10" max="10" width="16" customWidth="1"/>
    <col min="11" max="11" width="15" customWidth="1"/>
    <col min="12" max="12" width="15.5" customWidth="1"/>
    <col min="15" max="15" width="14.1640625" customWidth="1"/>
    <col min="16" max="16" width="13.6640625" bestFit="1" customWidth="1"/>
    <col min="17" max="17" width="13.1640625" customWidth="1"/>
    <col min="18" max="18" width="12.1640625" customWidth="1"/>
    <col min="19" max="19" width="14.1640625" customWidth="1"/>
    <col min="20" max="20" width="24.5" customWidth="1"/>
    <col min="21" max="21" width="9" customWidth="1"/>
    <col min="22" max="22" width="17.5" customWidth="1"/>
    <col min="23" max="23" width="14.5" customWidth="1"/>
    <col min="24" max="24" width="13.6640625" customWidth="1"/>
    <col min="25" max="25" width="14.33203125" customWidth="1"/>
    <col min="26" max="26" width="14.1640625" customWidth="1"/>
    <col min="27" max="27" width="7.5" customWidth="1"/>
    <col min="28" max="28" width="17" customWidth="1"/>
    <col min="29" max="29" width="12.6640625" bestFit="1" customWidth="1"/>
    <col min="30" max="30" width="11.6640625" bestFit="1" customWidth="1"/>
    <col min="31" max="31" width="12.6640625" bestFit="1" customWidth="1"/>
    <col min="34" max="34" width="16.5" customWidth="1"/>
    <col min="36" max="37" width="12.1640625" bestFit="1" customWidth="1"/>
    <col min="40" max="40" width="16.5" customWidth="1"/>
    <col min="41" max="41" width="16.83203125" bestFit="1" customWidth="1"/>
    <col min="42" max="42" width="14.83203125" customWidth="1"/>
    <col min="43" max="43" width="15.5" customWidth="1"/>
    <col min="45" max="45" width="11.1640625" bestFit="1" customWidth="1"/>
    <col min="46" max="46" width="11.1640625" customWidth="1"/>
    <col min="47" max="47" width="15.83203125" customWidth="1"/>
    <col min="48" max="48" width="17" customWidth="1"/>
    <col min="49" max="49" width="15.1640625" bestFit="1" customWidth="1"/>
    <col min="50" max="50" width="27.83203125" bestFit="1" customWidth="1"/>
  </cols>
  <sheetData>
    <row r="1" spans="1:49">
      <c r="A1" s="6"/>
      <c r="C1" s="6"/>
      <c r="AH1" s="6"/>
      <c r="AN1" s="6"/>
    </row>
    <row r="2" spans="1:49">
      <c r="B2" s="2" t="s">
        <v>157</v>
      </c>
      <c r="H2" s="2" t="s">
        <v>158</v>
      </c>
      <c r="O2" s="70" t="s">
        <v>171</v>
      </c>
      <c r="V2" s="2" t="s">
        <v>160</v>
      </c>
      <c r="AB2" s="2" t="s">
        <v>163</v>
      </c>
      <c r="AH2" s="2" t="s">
        <v>172</v>
      </c>
      <c r="AN2" s="2" t="s">
        <v>280</v>
      </c>
    </row>
    <row r="3" spans="1:49">
      <c r="B3" s="2"/>
      <c r="C3" s="33" t="s">
        <v>48</v>
      </c>
      <c r="D3" s="33" t="s">
        <v>155</v>
      </c>
      <c r="E3" s="33" t="s">
        <v>156</v>
      </c>
      <c r="F3" s="33"/>
      <c r="H3" s="2"/>
      <c r="I3" t="s">
        <v>48</v>
      </c>
      <c r="J3" s="33" t="s">
        <v>155</v>
      </c>
      <c r="K3" s="33" t="s">
        <v>156</v>
      </c>
      <c r="L3" s="33"/>
      <c r="O3" s="2"/>
      <c r="P3" t="s">
        <v>48</v>
      </c>
      <c r="Q3" s="33" t="s">
        <v>155</v>
      </c>
      <c r="R3" s="33" t="s">
        <v>156</v>
      </c>
      <c r="S3" s="33"/>
      <c r="T3" s="135" t="s">
        <v>170</v>
      </c>
      <c r="W3" t="s">
        <v>161</v>
      </c>
      <c r="X3" t="s">
        <v>162</v>
      </c>
      <c r="Y3" t="s">
        <v>51</v>
      </c>
      <c r="Z3" t="s">
        <v>49</v>
      </c>
      <c r="AC3" t="s">
        <v>161</v>
      </c>
      <c r="AD3" t="s">
        <v>162</v>
      </c>
      <c r="AE3" t="s">
        <v>51</v>
      </c>
      <c r="AF3" t="s">
        <v>49</v>
      </c>
      <c r="AI3" t="s">
        <v>48</v>
      </c>
      <c r="AJ3" s="33" t="s">
        <v>155</v>
      </c>
      <c r="AK3" s="33" t="s">
        <v>156</v>
      </c>
      <c r="AL3" s="33"/>
      <c r="AO3" t="s">
        <v>48</v>
      </c>
      <c r="AP3" s="33" t="s">
        <v>155</v>
      </c>
      <c r="AQ3" s="33" t="s">
        <v>156</v>
      </c>
      <c r="AR3" s="33"/>
    </row>
    <row r="4" spans="1:49">
      <c r="B4">
        <f>'Emissions Summary'!$A$15</f>
        <v>2025</v>
      </c>
      <c r="C4" s="127">
        <f>'Emissions Summary'!$C15</f>
        <v>17050.080408492788</v>
      </c>
      <c r="D4" s="127">
        <f>'Emissions Summary'!$C35</f>
        <v>17050.080408492788</v>
      </c>
      <c r="E4" s="127">
        <f>'Emissions Summary'!$C55</f>
        <v>17050.080408492788</v>
      </c>
      <c r="F4" s="44"/>
      <c r="H4">
        <f>B4</f>
        <v>2025</v>
      </c>
      <c r="I4" s="127">
        <f>'Emissions Summary'!$F15</f>
        <v>1384.5282955022653</v>
      </c>
      <c r="J4" s="127">
        <f>'Emissions Summary'!$F35</f>
        <v>1384.5282955022653</v>
      </c>
      <c r="K4" s="127">
        <f>'Emissions Summary'!$F55</f>
        <v>1384.5282955022653</v>
      </c>
      <c r="L4" s="44"/>
      <c r="O4">
        <f>H4</f>
        <v>2025</v>
      </c>
      <c r="P4" s="15">
        <f>'Emissions Summary'!J15*Tables!T4</f>
        <v>43.093705481338965</v>
      </c>
      <c r="Q4" s="15">
        <f>'Emissions Summary'!J35*Tables!T4</f>
        <v>43.093705481338965</v>
      </c>
      <c r="R4" s="15">
        <f>'Emissions Summary'!J55*T4</f>
        <v>43.093705481338965</v>
      </c>
      <c r="S4" s="44"/>
      <c r="T4" s="135">
        <f>B46/B47</f>
        <v>9.0718499999999998E-7</v>
      </c>
      <c r="V4">
        <v>2025</v>
      </c>
      <c r="W4" s="45">
        <f>'Combined MOVES output'!AF18</f>
        <v>48749028149.154747</v>
      </c>
      <c r="X4" s="45">
        <f>'Combined MOVES output'!AF19</f>
        <v>70083594939.78978</v>
      </c>
      <c r="Y4" s="45">
        <f>'Combined MOVES output'!AF20</f>
        <v>4552244368.3076925</v>
      </c>
      <c r="Z4" s="45">
        <f t="shared" ref="Z4:Z19" si="0">SUM(W4:Y4)</f>
        <v>123384867457.25221</v>
      </c>
      <c r="AB4">
        <f>V4</f>
        <v>2025</v>
      </c>
      <c r="AC4" s="11">
        <f>'Combined MOVES output'!AE18</f>
        <v>4841470.1504458673</v>
      </c>
      <c r="AD4" s="11">
        <f>'Combined MOVES output'!AE19</f>
        <v>5775661.363618657</v>
      </c>
      <c r="AE4" s="11">
        <f>'Combined MOVES output'!AE20</f>
        <v>378862.46733210597</v>
      </c>
      <c r="AF4" s="13">
        <f t="shared" ref="AF4:AF19" si="1">SUM(AC4:AE4)</f>
        <v>10995993.98139663</v>
      </c>
      <c r="AH4">
        <f t="shared" ref="AH4:AH19" si="2">AB4</f>
        <v>2025</v>
      </c>
      <c r="AI4" s="11">
        <f>'Fleet ZEV fractions'!Z17</f>
        <v>310585.27191092022</v>
      </c>
      <c r="AJ4" s="11">
        <f>'Fleet ZEV fractions'!AL17</f>
        <v>310585.27191092022</v>
      </c>
      <c r="AK4" s="11">
        <f>'Fleet ZEV fractions'!AR17</f>
        <v>310585.27191092022</v>
      </c>
      <c r="AL4" s="44"/>
      <c r="AN4">
        <f t="shared" ref="AN4:AN19" si="3">AH4</f>
        <v>2025</v>
      </c>
      <c r="AO4" s="11">
        <f>AI4/AF4*Z4</f>
        <v>3485043978.1739688</v>
      </c>
      <c r="AP4" s="11">
        <f>AJ4/AF4*Z4</f>
        <v>3485043978.1739688</v>
      </c>
      <c r="AQ4" s="11">
        <f>AK4/AF4*Z4</f>
        <v>3485043978.1739688</v>
      </c>
      <c r="AR4" s="44"/>
    </row>
    <row r="5" spans="1:49">
      <c r="B5">
        <f t="shared" ref="B5:B19" si="4">B4+1</f>
        <v>2026</v>
      </c>
      <c r="C5" s="127">
        <f>'Emissions Summary'!$C16</f>
        <v>15236.856156572934</v>
      </c>
      <c r="D5" s="127">
        <f>'Emissions Summary'!$C36</f>
        <v>15141.780922344893</v>
      </c>
      <c r="E5" s="127">
        <f>'Emissions Summary'!$C56</f>
        <v>15236.856156572934</v>
      </c>
      <c r="F5" s="10"/>
      <c r="H5">
        <f t="shared" ref="H5:H19" si="5">H4+1</f>
        <v>2026</v>
      </c>
      <c r="I5" s="127">
        <f>'Emissions Summary'!$F16</f>
        <v>1339.4651125326534</v>
      </c>
      <c r="J5" s="127">
        <f>'Emissions Summary'!$F36</f>
        <v>1333.4569874459453</v>
      </c>
      <c r="K5" s="127">
        <f>'Emissions Summary'!$F56</f>
        <v>1339.4651125326534</v>
      </c>
      <c r="L5" s="10"/>
      <c r="O5">
        <f t="shared" ref="O5:O19" si="6">O4+1</f>
        <v>2026</v>
      </c>
      <c r="P5" s="15">
        <f>'Emissions Summary'!J16*Tables!T5</f>
        <v>42.029335752789493</v>
      </c>
      <c r="Q5" s="15">
        <f>'Emissions Summary'!J36*Tables!T5</f>
        <v>41.318989622784358</v>
      </c>
      <c r="R5" s="15">
        <f>'Emissions Summary'!J56*T5</f>
        <v>42.029335752789493</v>
      </c>
      <c r="S5" s="10"/>
      <c r="T5" s="135">
        <f>T4</f>
        <v>9.0718499999999998E-7</v>
      </c>
      <c r="V5">
        <v>2026</v>
      </c>
      <c r="W5" s="3">
        <f>W4+0.2*(W9-W4)</f>
        <v>49070022391.814865</v>
      </c>
      <c r="X5" s="3">
        <f t="shared" ref="X5" si="7">X4+0.2*(X9-X4)</f>
        <v>70908878964.52919</v>
      </c>
      <c r="Y5" s="3">
        <f t="shared" ref="Y5" si="8">Y4+0.2*(Y9-Y4)</f>
        <v>4302853379.8461542</v>
      </c>
      <c r="Z5" s="45">
        <f t="shared" si="0"/>
        <v>124281754736.19022</v>
      </c>
      <c r="AB5">
        <f t="shared" ref="AB5:AB19" si="9">AB4+1</f>
        <v>2026</v>
      </c>
      <c r="AC5" s="10">
        <f>ROUND(AC$4+1/5*(AC$9-AC$4),-1)</f>
        <v>4877750</v>
      </c>
      <c r="AD5" s="10">
        <f t="shared" ref="AD5:AE5" si="10">ROUND(AD$4+1/5*(AD$9-AD$4),-1)</f>
        <v>5844090</v>
      </c>
      <c r="AE5" s="10">
        <f t="shared" si="10"/>
        <v>355650</v>
      </c>
      <c r="AF5" s="13">
        <f t="shared" si="1"/>
        <v>11077490</v>
      </c>
      <c r="AH5">
        <f t="shared" si="2"/>
        <v>2026</v>
      </c>
      <c r="AI5" s="11">
        <f>'Fleet ZEV fractions'!Z18</f>
        <v>414864.74741543655</v>
      </c>
      <c r="AJ5" s="11">
        <f>'Fleet ZEV fractions'!AL18</f>
        <v>480342.55761594675</v>
      </c>
      <c r="AK5" s="11">
        <f>'Fleet ZEV fractions'!AR18</f>
        <v>414864.74741543655</v>
      </c>
      <c r="AL5" s="10"/>
      <c r="AN5">
        <f t="shared" si="3"/>
        <v>2026</v>
      </c>
      <c r="AO5" s="11">
        <f t="shared" ref="AO5:AO19" si="11">AI5/AF5*Z5</f>
        <v>4654494726.4205875</v>
      </c>
      <c r="AP5" s="11">
        <f t="shared" ref="AP5:AP19" si="12">AJ5/AF5*Z5</f>
        <v>5389110343.1354408</v>
      </c>
      <c r="AQ5" s="11">
        <f t="shared" ref="AQ5:AQ19" si="13">AK5/AF5*Z5</f>
        <v>4654494726.4205875</v>
      </c>
      <c r="AR5" s="10"/>
      <c r="AT5" s="2" t="s">
        <v>408</v>
      </c>
    </row>
    <row r="6" spans="1:49">
      <c r="B6">
        <f t="shared" si="4"/>
        <v>2027</v>
      </c>
      <c r="C6" s="127">
        <f>'Emissions Summary'!$C17</f>
        <v>13428.33120624762</v>
      </c>
      <c r="D6" s="127">
        <f>'Emissions Summary'!$C37</f>
        <v>13208.558476102042</v>
      </c>
      <c r="E6" s="127">
        <f>'Emissions Summary'!$C57</f>
        <v>13224.483584438422</v>
      </c>
      <c r="F6" s="10"/>
      <c r="H6">
        <f t="shared" si="5"/>
        <v>2027</v>
      </c>
      <c r="I6" s="127">
        <f>'Emissions Summary'!$F17</f>
        <v>1294.3422258296348</v>
      </c>
      <c r="J6" s="127">
        <f>'Emissions Summary'!$F37</f>
        <v>1279.5188552202592</v>
      </c>
      <c r="K6" s="127">
        <f>'Emissions Summary'!$F57</f>
        <v>1280.5929820362123</v>
      </c>
      <c r="L6" s="10"/>
      <c r="O6">
        <f t="shared" si="6"/>
        <v>2027</v>
      </c>
      <c r="P6" s="15">
        <f>'Emissions Summary'!J17*Tables!T6</f>
        <v>40.698803960715317</v>
      </c>
      <c r="Q6" s="15">
        <f>'Emissions Summary'!J37*Tables!T6</f>
        <v>38.868693805200941</v>
      </c>
      <c r="R6" s="15">
        <f>'Emissions Summary'!J57*T6</f>
        <v>38.974888409583507</v>
      </c>
      <c r="S6" s="10"/>
      <c r="T6" s="135">
        <f t="shared" ref="T6:T19" si="14">T5</f>
        <v>9.0718499999999998E-7</v>
      </c>
      <c r="V6">
        <v>2027</v>
      </c>
      <c r="W6" s="3">
        <f>W4+0.4*(W9-W4)</f>
        <v>49391016634.474991</v>
      </c>
      <c r="X6" s="3">
        <f t="shared" ref="X6:Y6" si="15">X4+0.4*(X9-X4)</f>
        <v>71734162989.2686</v>
      </c>
      <c r="Y6" s="3">
        <f t="shared" si="15"/>
        <v>4053462391.3846154</v>
      </c>
      <c r="Z6" s="45">
        <f t="shared" si="0"/>
        <v>125178642015.1282</v>
      </c>
      <c r="AB6">
        <f t="shared" si="9"/>
        <v>2027</v>
      </c>
      <c r="AC6" s="10">
        <f>ROUND(AC$4+2/5*(AC$9-AC$4),-1)</f>
        <v>4914030</v>
      </c>
      <c r="AD6" s="10">
        <f t="shared" ref="AD6:AE6" si="16">ROUND(AD$4+2/5*(AD$9-AD$4),-1)</f>
        <v>5912520</v>
      </c>
      <c r="AE6" s="10">
        <f t="shared" si="16"/>
        <v>332430</v>
      </c>
      <c r="AF6" s="13">
        <f t="shared" si="1"/>
        <v>11158980</v>
      </c>
      <c r="AH6">
        <f t="shared" si="2"/>
        <v>2027</v>
      </c>
      <c r="AI6" s="11">
        <f>'Fleet ZEV fractions'!Z19</f>
        <v>519869.83404789888</v>
      </c>
      <c r="AJ6" s="11">
        <f>'Fleet ZEV fractions'!AL19</f>
        <v>690352.73088087142</v>
      </c>
      <c r="AK6" s="11">
        <f>'Fleet ZEV fractions'!AR19</f>
        <v>624874.92068036122</v>
      </c>
      <c r="AL6" s="10"/>
      <c r="AN6">
        <f t="shared" si="3"/>
        <v>2027</v>
      </c>
      <c r="AO6" s="11">
        <f t="shared" si="11"/>
        <v>5831769556.9618406</v>
      </c>
      <c r="AP6" s="11">
        <f t="shared" si="12"/>
        <v>7744203983.0793447</v>
      </c>
      <c r="AQ6" s="11">
        <f t="shared" si="13"/>
        <v>7009690312.2040339</v>
      </c>
      <c r="AR6" s="10"/>
    </row>
    <row r="7" spans="1:49">
      <c r="B7">
        <f t="shared" si="4"/>
        <v>2028</v>
      </c>
      <c r="C7" s="127">
        <f>'Emissions Summary'!$C18</f>
        <v>11616.495021340574</v>
      </c>
      <c r="D7" s="127">
        <f>'Emissions Summary'!$C38</f>
        <v>11274.106034906958</v>
      </c>
      <c r="E7" s="127">
        <f>'Emissions Summary'!$C58</f>
        <v>11298.185425722761</v>
      </c>
      <c r="F7" s="10"/>
      <c r="H7">
        <f t="shared" si="5"/>
        <v>2028</v>
      </c>
      <c r="I7" s="127">
        <f>'Emissions Summary'!$F18</f>
        <v>1248.0797807042441</v>
      </c>
      <c r="J7" s="127">
        <f>'Emissions Summary'!$F38</f>
        <v>1222.9622622302327</v>
      </c>
      <c r="K7" s="127">
        <f>'Emissions Summary'!$F58</f>
        <v>1224.7287166654608</v>
      </c>
      <c r="L7" s="10"/>
      <c r="O7">
        <f t="shared" si="6"/>
        <v>2028</v>
      </c>
      <c r="P7" s="15">
        <f>'Emissions Summary'!J18*Tables!T7</f>
        <v>39.121075172674253</v>
      </c>
      <c r="Q7" s="15">
        <f>'Emissions Summary'!J38*Tables!T7</f>
        <v>35.933562481748922</v>
      </c>
      <c r="R7" s="15">
        <f>'Emissions Summary'!J58*T7</f>
        <v>36.139066558108475</v>
      </c>
      <c r="S7" s="10"/>
      <c r="T7" s="135">
        <f t="shared" si="14"/>
        <v>9.0718499999999998E-7</v>
      </c>
      <c r="V7">
        <v>2028</v>
      </c>
      <c r="W7" s="3">
        <f>W4+0.6*(W9-W4)</f>
        <v>49712010877.135109</v>
      </c>
      <c r="X7" s="3">
        <f t="shared" ref="X7:Y7" si="17">X4+0.6*(X9-X4)</f>
        <v>72559447014.007996</v>
      </c>
      <c r="Y7" s="3">
        <f t="shared" si="17"/>
        <v>3804071402.9230771</v>
      </c>
      <c r="Z7" s="45">
        <f t="shared" si="0"/>
        <v>126075529294.06618</v>
      </c>
      <c r="AB7">
        <f t="shared" si="9"/>
        <v>2028</v>
      </c>
      <c r="AC7" s="10">
        <f>ROUND(AC$4+3/5*(AC$9-AC$4),-1)</f>
        <v>4950310</v>
      </c>
      <c r="AD7" s="10">
        <f t="shared" ref="AD7:AE7" si="18">ROUND(AD$4+3/5*(AD$9-AD$4),-1)</f>
        <v>5980950</v>
      </c>
      <c r="AE7" s="10">
        <f t="shared" si="18"/>
        <v>309220</v>
      </c>
      <c r="AF7" s="13">
        <f t="shared" si="1"/>
        <v>11240480</v>
      </c>
      <c r="AH7">
        <f t="shared" si="2"/>
        <v>2028</v>
      </c>
      <c r="AI7" s="11">
        <f>'Fleet ZEV fractions'!Z20</f>
        <v>625590.35332352703</v>
      </c>
      <c r="AJ7" s="11">
        <f>'Fleet ZEV fractions'!AL20</f>
        <v>941131.63706957072</v>
      </c>
      <c r="AK7" s="11">
        <f>'Fleet ZEV fractions'!AR20</f>
        <v>875653.82686906052</v>
      </c>
      <c r="AL7" s="10"/>
      <c r="AN7">
        <f t="shared" si="3"/>
        <v>2028</v>
      </c>
      <c r="AO7" s="11">
        <f t="shared" si="11"/>
        <v>7016749722.1226807</v>
      </c>
      <c r="AP7" s="11">
        <f t="shared" si="12"/>
        <v>10555925483.514683</v>
      </c>
      <c r="AQ7" s="11">
        <f t="shared" si="13"/>
        <v>9821512933.6906796</v>
      </c>
      <c r="AR7" s="10"/>
      <c r="AU7" t="s">
        <v>56</v>
      </c>
      <c r="AV7" t="s">
        <v>57</v>
      </c>
      <c r="AW7" t="s">
        <v>53</v>
      </c>
    </row>
    <row r="8" spans="1:49">
      <c r="B8">
        <f t="shared" si="4"/>
        <v>2029</v>
      </c>
      <c r="C8" s="127">
        <f>'Emissions Summary'!$C19</f>
        <v>9799.4731172034317</v>
      </c>
      <c r="D8" s="127">
        <f>'Emissions Summary'!$C39</f>
        <v>9335.3579897470408</v>
      </c>
      <c r="E8" s="127">
        <f>'Emissions Summary'!$C59</f>
        <v>9366.9925507304797</v>
      </c>
      <c r="F8" s="10"/>
      <c r="H8">
        <f t="shared" si="5"/>
        <v>2029</v>
      </c>
      <c r="I8" s="127">
        <f>'Emissions Summary'!$F19</f>
        <v>1200.7481268039967</v>
      </c>
      <c r="J8" s="127">
        <f>'Emissions Summary'!$F39</f>
        <v>1163.9647847895676</v>
      </c>
      <c r="K8" s="127">
        <f>'Emissions Summary'!$F59</f>
        <v>1166.4719749397948</v>
      </c>
      <c r="L8" s="10"/>
      <c r="O8">
        <f t="shared" si="6"/>
        <v>2029</v>
      </c>
      <c r="P8" s="15">
        <f>'Emissions Summary'!J19*Tables!T8</f>
        <v>37.445434463064949</v>
      </c>
      <c r="Q8" s="15">
        <f>'Emissions Summary'!J39*Tables!T8</f>
        <v>32.718496041276119</v>
      </c>
      <c r="R8" s="15">
        <f>'Emissions Summary'!J59*T8</f>
        <v>33.02923902083937</v>
      </c>
      <c r="S8" s="10"/>
      <c r="T8" s="135">
        <f t="shared" si="14"/>
        <v>9.0718499999999998E-7</v>
      </c>
      <c r="V8">
        <v>2029</v>
      </c>
      <c r="W8" s="3">
        <f>W4+0.8*(W9-W4)</f>
        <v>50033005119.795235</v>
      </c>
      <c r="X8" s="3">
        <f t="shared" ref="X8" si="19">X4+0.8*(X9-X4)</f>
        <v>73384731038.747406</v>
      </c>
      <c r="Y8" s="3">
        <f t="shared" ref="Y8" si="20">Y4+0.8*(Y9-Y4)</f>
        <v>3554680414.4615383</v>
      </c>
      <c r="Z8" s="45">
        <f t="shared" si="0"/>
        <v>126972416573.00417</v>
      </c>
      <c r="AB8">
        <f t="shared" si="9"/>
        <v>2029</v>
      </c>
      <c r="AC8" s="10">
        <f>ROUND(AC$4+4/5*(AC$9-AC$4),-1)</f>
        <v>4986590</v>
      </c>
      <c r="AD8" s="10">
        <f t="shared" ref="AD8:AE8" si="21">ROUND(AD$4+4/5*(AD$9-AD$4),-1)</f>
        <v>6049380</v>
      </c>
      <c r="AE8" s="10">
        <f t="shared" si="21"/>
        <v>286000</v>
      </c>
      <c r="AF8" s="13">
        <f t="shared" si="1"/>
        <v>11321970</v>
      </c>
      <c r="AH8">
        <f t="shared" si="2"/>
        <v>2029</v>
      </c>
      <c r="AI8" s="11">
        <f>'Fleet ZEV fractions'!Z21</f>
        <v>732016.12675754062</v>
      </c>
      <c r="AJ8" s="11">
        <f>'Fleet ZEV fractions'!AL21</f>
        <v>1233183.7595163989</v>
      </c>
      <c r="AK8" s="11">
        <f>'Fleet ZEV fractions'!AR21</f>
        <v>1167705.9493158886</v>
      </c>
      <c r="AL8" s="10"/>
      <c r="AN8">
        <f t="shared" si="3"/>
        <v>2029</v>
      </c>
      <c r="AO8" s="11">
        <f t="shared" si="11"/>
        <v>8209336059.4327192</v>
      </c>
      <c r="AP8" s="11">
        <f t="shared" si="12"/>
        <v>13829777152.242903</v>
      </c>
      <c r="AQ8" s="11">
        <f t="shared" si="13"/>
        <v>13095463619.079744</v>
      </c>
      <c r="AR8" s="10"/>
      <c r="AT8" s="8" t="s">
        <v>164</v>
      </c>
      <c r="AU8" s="10">
        <f>SUM(D4:D19)-SUM(C4:C19)</f>
        <v>-15231.132850315451</v>
      </c>
      <c r="AV8" s="12">
        <f>SUM(J4:J19)-SUM(I4:I19)</f>
        <v>-1372.9265146696198</v>
      </c>
      <c r="AW8" s="16">
        <f>SUM(Q4:Q19)-SUM(P4:P19)</f>
        <v>-189.50329821219185</v>
      </c>
    </row>
    <row r="9" spans="1:49">
      <c r="B9">
        <f t="shared" si="4"/>
        <v>2030</v>
      </c>
      <c r="C9" s="127">
        <f>'Emissions Summary'!$C20</f>
        <v>7975.6235355903336</v>
      </c>
      <c r="D9" s="127">
        <f>'Emissions Summary'!$C40</f>
        <v>7422.1715043810727</v>
      </c>
      <c r="E9" s="127">
        <f>'Emissions Summary'!$C60</f>
        <v>7458.5301830756216</v>
      </c>
      <c r="F9" s="44"/>
      <c r="G9" s="12"/>
      <c r="H9">
        <f t="shared" si="5"/>
        <v>2030</v>
      </c>
      <c r="I9" s="127">
        <f>'Emissions Summary'!$F20</f>
        <v>1147.5200251087256</v>
      </c>
      <c r="J9" s="127">
        <f>'Emissions Summary'!$F40</f>
        <v>1098.373940085384</v>
      </c>
      <c r="K9" s="127">
        <f>'Emissions Summary'!$F60</f>
        <v>1101.6025608396606</v>
      </c>
      <c r="L9" s="44"/>
      <c r="O9">
        <f t="shared" si="6"/>
        <v>2030</v>
      </c>
      <c r="P9" s="15">
        <f>'Emissions Summary'!J20*Tables!T9</f>
        <v>35.807061897154874</v>
      </c>
      <c r="Q9" s="15">
        <f>'Emissions Summary'!J40*Tables!T9</f>
        <v>29.366959591316064</v>
      </c>
      <c r="R9" s="15">
        <f>'Emissions Summary'!J60*T9</f>
        <v>29.784832527742072</v>
      </c>
      <c r="S9" s="44"/>
      <c r="T9" s="135">
        <f t="shared" si="14"/>
        <v>9.0718499999999998E-7</v>
      </c>
      <c r="V9">
        <v>2030</v>
      </c>
      <c r="W9" s="45">
        <f>'Combined MOVES output'!AF23</f>
        <v>50353999362.455353</v>
      </c>
      <c r="X9" s="45">
        <f>'Combined MOVES output'!AF24</f>
        <v>74210015063.486816</v>
      </c>
      <c r="Y9" s="45">
        <f>'Combined MOVES output'!AF25</f>
        <v>3305289426</v>
      </c>
      <c r="Z9" s="45">
        <f t="shared" si="0"/>
        <v>127869303851.94217</v>
      </c>
      <c r="AB9">
        <f t="shared" si="9"/>
        <v>2030</v>
      </c>
      <c r="AC9" s="11">
        <f>'Combined MOVES output'!AE23</f>
        <v>5022869.9172290489</v>
      </c>
      <c r="AD9" s="11">
        <f>'Combined MOVES output'!AE24</f>
        <v>6117809.5693950355</v>
      </c>
      <c r="AE9" s="11">
        <f>'Combined MOVES output'!AE25</f>
        <v>262784.86505126901</v>
      </c>
      <c r="AF9" s="13">
        <f t="shared" si="1"/>
        <v>11403464.351675354</v>
      </c>
      <c r="AH9">
        <f t="shared" si="2"/>
        <v>2030</v>
      </c>
      <c r="AI9" s="11">
        <f>'Fleet ZEV fractions'!Z22</f>
        <v>839136.97586515953</v>
      </c>
      <c r="AJ9" s="11">
        <f>'Fleet ZEV fractions'!AL22</f>
        <v>1571984.5846009611</v>
      </c>
      <c r="AK9" s="11">
        <f>'Fleet ZEV fractions'!AR22</f>
        <v>1506506.7744004508</v>
      </c>
      <c r="AL9" s="44"/>
      <c r="AN9">
        <f t="shared" si="3"/>
        <v>2030</v>
      </c>
      <c r="AO9" s="11">
        <f t="shared" si="11"/>
        <v>9409409073.5275421</v>
      </c>
      <c r="AP9" s="11">
        <f t="shared" si="12"/>
        <v>17626974426.361752</v>
      </c>
      <c r="AQ9" s="11">
        <f t="shared" si="13"/>
        <v>16892758774.882229</v>
      </c>
      <c r="AR9" s="44"/>
      <c r="AT9" s="8" t="s">
        <v>165</v>
      </c>
      <c r="AU9" s="12">
        <f>SUM(E4:E19)-SUM(C4:C19)</f>
        <v>-14431.049621585378</v>
      </c>
      <c r="AV9" s="12">
        <f>SUM(K4:K19)-SUM(I4:I19)</f>
        <v>-1303.1442172218995</v>
      </c>
      <c r="AW9" s="16">
        <f>SUM(R4:R19)-SUM(P4:P19)</f>
        <v>-180.03555443627823</v>
      </c>
    </row>
    <row r="10" spans="1:49">
      <c r="B10">
        <f t="shared" si="4"/>
        <v>2031</v>
      </c>
      <c r="C10" s="127">
        <f>'Emissions Summary'!$C21</f>
        <v>7390.7566596578654</v>
      </c>
      <c r="D10" s="127">
        <f>'Emissions Summary'!$C41</f>
        <v>6681.1837586430229</v>
      </c>
      <c r="E10" s="127">
        <f>'Emissions Summary'!$C61</f>
        <v>6725.8078383669872</v>
      </c>
      <c r="F10" s="10"/>
      <c r="G10" s="12"/>
      <c r="H10">
        <f t="shared" si="5"/>
        <v>2031</v>
      </c>
      <c r="I10" s="127">
        <f>'Emissions Summary'!$F21</f>
        <v>1131.8609150569873</v>
      </c>
      <c r="J10" s="127">
        <f>'Emissions Summary'!$F41</f>
        <v>1067.8651632659269</v>
      </c>
      <c r="K10" s="127">
        <f>'Emissions Summary'!$F61</f>
        <v>1071.8897695126352</v>
      </c>
      <c r="L10" s="10"/>
      <c r="O10">
        <f t="shared" si="6"/>
        <v>2031</v>
      </c>
      <c r="P10" s="15">
        <f>'Emissions Summary'!J21*Tables!T10</f>
        <v>34.746327914717789</v>
      </c>
      <c r="Q10" s="15">
        <f>'Emissions Summary'!J41*Tables!T10</f>
        <v>26.353699157559593</v>
      </c>
      <c r="R10" s="15">
        <f>'Emissions Summary'!J61*T10</f>
        <v>26.882629154224595</v>
      </c>
      <c r="S10" s="10"/>
      <c r="T10" s="135">
        <f t="shared" si="14"/>
        <v>9.0718499999999998E-7</v>
      </c>
      <c r="V10">
        <v>2031</v>
      </c>
      <c r="W10" s="3">
        <f>W9+0.2*(W14-W9)</f>
        <v>50606567647.022842</v>
      </c>
      <c r="X10" s="3">
        <f t="shared" ref="X10" si="22">X9+0.2*(X14-X9)</f>
        <v>74740041463.495087</v>
      </c>
      <c r="Y10" s="3">
        <f t="shared" ref="Y10" si="23">Y9+0.2*(Y14-Y9)</f>
        <v>3301087051.0738091</v>
      </c>
      <c r="Z10" s="45">
        <f t="shared" si="0"/>
        <v>128647696161.59174</v>
      </c>
      <c r="AB10">
        <f t="shared" si="9"/>
        <v>2031</v>
      </c>
      <c r="AC10" s="10">
        <f>ROUND(AC$9+1/5*(AC$14-AC$9),-1)</f>
        <v>5052750</v>
      </c>
      <c r="AD10" s="10">
        <f t="shared" ref="AD10:AE10" si="24">ROUND(AD$9+1/5*(AD$14-AD$9),-1)</f>
        <v>6171250</v>
      </c>
      <c r="AE10" s="10">
        <f t="shared" si="24"/>
        <v>261220</v>
      </c>
      <c r="AF10" s="13">
        <f t="shared" si="1"/>
        <v>11485220</v>
      </c>
      <c r="AH10">
        <f t="shared" si="2"/>
        <v>2031</v>
      </c>
      <c r="AI10" s="11">
        <f>'Fleet ZEV fractions'!Z23</f>
        <v>947370.16979795392</v>
      </c>
      <c r="AJ10" s="11">
        <f>'Fleet ZEV fractions'!AL23</f>
        <v>2050224.2787226108</v>
      </c>
      <c r="AK10" s="11">
        <f>'Fleet ZEV fractions'!AR23</f>
        <v>1984746.4685221002</v>
      </c>
      <c r="AL10" s="10"/>
      <c r="AN10">
        <f t="shared" si="3"/>
        <v>2031</v>
      </c>
      <c r="AO10" s="11">
        <f t="shared" si="11"/>
        <v>10611637370.178608</v>
      </c>
      <c r="AP10" s="11">
        <f t="shared" si="12"/>
        <v>22964873992.159054</v>
      </c>
      <c r="AQ10" s="11">
        <f t="shared" si="13"/>
        <v>22231447080.702271</v>
      </c>
      <c r="AR10" s="10"/>
      <c r="AT10" s="8"/>
      <c r="AU10" s="12"/>
      <c r="AV10" s="12"/>
      <c r="AW10" s="16"/>
    </row>
    <row r="11" spans="1:49">
      <c r="B11">
        <f t="shared" si="4"/>
        <v>2032</v>
      </c>
      <c r="C11" s="127">
        <f>'Emissions Summary'!$C22</f>
        <v>6803.3197060015809</v>
      </c>
      <c r="D11" s="127">
        <f>'Emissions Summary'!$C42</f>
        <v>5941.0745752251669</v>
      </c>
      <c r="E11" s="127">
        <f>'Emissions Summary'!$C62</f>
        <v>5992.7042026868694</v>
      </c>
      <c r="F11" s="10"/>
      <c r="G11" s="12"/>
      <c r="H11">
        <f t="shared" si="5"/>
        <v>2032</v>
      </c>
      <c r="I11" s="127">
        <f>'Emissions Summary'!$F22</f>
        <v>1110.6481979128073</v>
      </c>
      <c r="J11" s="127">
        <f>'Emissions Summary'!$F42</f>
        <v>1031.5417425261983</v>
      </c>
      <c r="K11" s="127">
        <f>'Emissions Summary'!$F62</f>
        <v>1036.2784892767986</v>
      </c>
      <c r="L11" s="10"/>
      <c r="O11">
        <f t="shared" si="6"/>
        <v>2032</v>
      </c>
      <c r="P11" s="15">
        <f>'Emissions Summary'!J22*Tables!T11</f>
        <v>33.696009769990155</v>
      </c>
      <c r="Q11" s="15">
        <f>'Emissions Summary'!J42*Tables!T11</f>
        <v>23.27436285492135</v>
      </c>
      <c r="R11" s="15">
        <f>'Emissions Summary'!J62*T11</f>
        <v>23.905353515491484</v>
      </c>
      <c r="S11" s="10"/>
      <c r="T11" s="135">
        <f t="shared" si="14"/>
        <v>9.0718499999999998E-7</v>
      </c>
      <c r="V11">
        <v>2032</v>
      </c>
      <c r="W11" s="3">
        <f>W9+0.4*(W14-W9)</f>
        <v>50859135931.590332</v>
      </c>
      <c r="X11" s="3">
        <f t="shared" ref="X11:Y11" si="25">X9+0.4*(X14-X9)</f>
        <v>75270067863.503357</v>
      </c>
      <c r="Y11" s="3">
        <f t="shared" si="25"/>
        <v>3296884676.1476183</v>
      </c>
      <c r="Z11" s="45">
        <f t="shared" si="0"/>
        <v>129426088471.2413</v>
      </c>
      <c r="AB11">
        <f t="shared" si="9"/>
        <v>2032</v>
      </c>
      <c r="AC11" s="10">
        <f>ROUND(AC$9+2/5*(AC$14-AC$9),-1)</f>
        <v>5082640</v>
      </c>
      <c r="AD11" s="10">
        <f t="shared" ref="AD11:AE11" si="26">ROUND(AD$9+2/5*(AD$14-AD$9),-1)</f>
        <v>6224690</v>
      </c>
      <c r="AE11" s="10">
        <f t="shared" si="26"/>
        <v>259660</v>
      </c>
      <c r="AF11" s="13">
        <f t="shared" si="1"/>
        <v>11566990</v>
      </c>
      <c r="AH11">
        <f t="shared" si="2"/>
        <v>2032</v>
      </c>
      <c r="AI11" s="11">
        <f>'Fleet ZEV fractions'!Z24</f>
        <v>1056718.9332459392</v>
      </c>
      <c r="AJ11" s="11">
        <f>'Fleet ZEV fractions'!AL24</f>
        <v>2571538.1509746332</v>
      </c>
      <c r="AK11" s="11">
        <f>'Fleet ZEV fractions'!AR24</f>
        <v>2506060.3407741226</v>
      </c>
      <c r="AL11" s="10"/>
      <c r="AN11">
        <f t="shared" si="3"/>
        <v>2032</v>
      </c>
      <c r="AO11" s="11">
        <f t="shared" si="11"/>
        <v>11823905626.573954</v>
      </c>
      <c r="AP11" s="11">
        <f t="shared" si="12"/>
        <v>28773615628.198448</v>
      </c>
      <c r="AQ11" s="11">
        <f t="shared" si="13"/>
        <v>28040967216.129753</v>
      </c>
      <c r="AR11" s="10"/>
      <c r="AT11" s="8"/>
      <c r="AU11" s="12"/>
      <c r="AV11" s="12"/>
      <c r="AW11" s="16"/>
    </row>
    <row r="12" spans="1:49">
      <c r="B12">
        <f t="shared" si="4"/>
        <v>2033</v>
      </c>
      <c r="C12" s="127">
        <f>'Emissions Summary'!$C23</f>
        <v>6214.3412249675202</v>
      </c>
      <c r="D12" s="127">
        <f>'Emissions Summary'!$C43</f>
        <v>5214.6714681827334</v>
      </c>
      <c r="E12" s="127">
        <f>'Emissions Summary'!$C63</f>
        <v>5271.2803051138708</v>
      </c>
      <c r="F12" s="10"/>
      <c r="G12" s="12"/>
      <c r="H12">
        <f t="shared" si="5"/>
        <v>2033</v>
      </c>
      <c r="I12" s="127">
        <f>'Emissions Summary'!$F23</f>
        <v>1088.704273664488</v>
      </c>
      <c r="J12" s="127">
        <f>'Emissions Summary'!$F43</f>
        <v>994.49290008926766</v>
      </c>
      <c r="K12" s="127">
        <f>'Emissions Summary'!$F63</f>
        <v>999.82785820676759</v>
      </c>
      <c r="L12" s="10"/>
      <c r="O12">
        <f t="shared" si="6"/>
        <v>2033</v>
      </c>
      <c r="P12" s="15">
        <f>'Emissions Summary'!J23*Tables!T12</f>
        <v>32.68807255721449</v>
      </c>
      <c r="Q12" s="15">
        <f>'Emissions Summary'!J43*Tables!T12</f>
        <v>20.252736276065409</v>
      </c>
      <c r="R12" s="15">
        <f>'Emissions Summary'!J63*T12</f>
        <v>20.969039104448996</v>
      </c>
      <c r="S12" s="10"/>
      <c r="T12" s="135">
        <f t="shared" si="14"/>
        <v>9.0718499999999998E-7</v>
      </c>
      <c r="V12">
        <v>2033</v>
      </c>
      <c r="W12" s="3">
        <f>W9+0.6*(W14-W9)</f>
        <v>51111704216.157814</v>
      </c>
      <c r="X12" s="3">
        <f t="shared" ref="X12:Y12" si="27">X9+0.6*(X14-X9)</f>
        <v>75800094263.511627</v>
      </c>
      <c r="Y12" s="3">
        <f t="shared" si="27"/>
        <v>3292682301.221427</v>
      </c>
      <c r="Z12" s="45">
        <f t="shared" si="0"/>
        <v>130204480780.89085</v>
      </c>
      <c r="AB12">
        <f t="shared" si="9"/>
        <v>2033</v>
      </c>
      <c r="AC12" s="10">
        <f>ROUND(AC$9+3/5*(AC$14-AC$9),-1)</f>
        <v>5112520</v>
      </c>
      <c r="AD12" s="10">
        <f t="shared" ref="AD12:AE12" si="28">ROUND(AD$9+3/5*(AD$14-AD$9),-1)</f>
        <v>6278130</v>
      </c>
      <c r="AE12" s="10">
        <f t="shared" si="28"/>
        <v>258090</v>
      </c>
      <c r="AF12" s="13">
        <f t="shared" si="1"/>
        <v>11648740</v>
      </c>
      <c r="AH12">
        <f t="shared" si="2"/>
        <v>2033</v>
      </c>
      <c r="AI12" s="11">
        <f>'Fleet ZEV fractions'!Z25</f>
        <v>1167186.4908991307</v>
      </c>
      <c r="AJ12" s="11">
        <f>'Fleet ZEV fractions'!AL25</f>
        <v>3136721.0040839845</v>
      </c>
      <c r="AK12" s="11">
        <f>'Fleet ZEV fractions'!AR25</f>
        <v>3071243.193883474</v>
      </c>
      <c r="AL12" s="10"/>
      <c r="AN12">
        <f t="shared" si="3"/>
        <v>2033</v>
      </c>
      <c r="AO12" s="11">
        <f t="shared" si="11"/>
        <v>13046296081.978935</v>
      </c>
      <c r="AP12" s="11">
        <f t="shared" si="12"/>
        <v>35060884670.038979</v>
      </c>
      <c r="AQ12" s="11">
        <f t="shared" si="13"/>
        <v>34329002571.217373</v>
      </c>
      <c r="AR12" s="10"/>
      <c r="AT12" s="164" t="s">
        <v>409</v>
      </c>
      <c r="AU12" s="12"/>
      <c r="AV12" s="12"/>
      <c r="AW12" s="16"/>
    </row>
    <row r="13" spans="1:49">
      <c r="B13">
        <f t="shared" si="4"/>
        <v>2034</v>
      </c>
      <c r="C13" s="127">
        <f>'Emissions Summary'!$C24</f>
        <v>5623.8884398485698</v>
      </c>
      <c r="D13" s="127">
        <f>'Emissions Summary'!$C44</f>
        <v>4507.2266287348175</v>
      </c>
      <c r="E13" s="127">
        <f>'Emissions Summary'!$C64</f>
        <v>4566.6095315096363</v>
      </c>
      <c r="F13" s="10"/>
      <c r="G13" s="12"/>
      <c r="H13">
        <f t="shared" si="5"/>
        <v>2034</v>
      </c>
      <c r="I13" s="127">
        <f>'Emissions Summary'!$F24</f>
        <v>1066.1985651788978</v>
      </c>
      <c r="J13" s="127">
        <f>'Emissions Summary'!$F44</f>
        <v>957.16681964537372</v>
      </c>
      <c r="K13" s="127">
        <f>'Emissions Summary'!$F64</f>
        <v>962.96501340461782</v>
      </c>
      <c r="L13" s="10"/>
      <c r="O13">
        <f t="shared" si="6"/>
        <v>2034</v>
      </c>
      <c r="P13" s="15">
        <f>'Emissions Summary'!J24*Tables!T13</f>
        <v>31.725747378518044</v>
      </c>
      <c r="Q13" s="15">
        <f>'Emissions Summary'!J44*Tables!T13</f>
        <v>17.179065640020575</v>
      </c>
      <c r="R13" s="15">
        <f>'Emissions Summary'!J64*T13</f>
        <v>17.969131574514631</v>
      </c>
      <c r="S13" s="10"/>
      <c r="T13" s="135">
        <f t="shared" si="14"/>
        <v>9.0718499999999998E-7</v>
      </c>
      <c r="V13">
        <v>2034</v>
      </c>
      <c r="W13" s="3">
        <f>W9+0.8*(W14-W9)</f>
        <v>51364272500.725304</v>
      </c>
      <c r="X13" s="3">
        <f t="shared" ref="X13" si="29">X9+0.8*(X14-X9)</f>
        <v>76330120663.519897</v>
      </c>
      <c r="Y13" s="3">
        <f t="shared" ref="Y13" si="30">Y9+0.8*(Y14-Y9)</f>
        <v>3288479926.2952361</v>
      </c>
      <c r="Z13" s="45">
        <f t="shared" si="0"/>
        <v>130982873090.54045</v>
      </c>
      <c r="AB13">
        <f t="shared" si="9"/>
        <v>2034</v>
      </c>
      <c r="AC13" s="10">
        <f>ROUND(AC$9+4/5*(AC$14-AC$9),-1)</f>
        <v>5142410</v>
      </c>
      <c r="AD13" s="10">
        <f t="shared" ref="AD13:AE13" si="31">ROUND(AD$9+4/5*(AD$14-AD$9),-1)</f>
        <v>6331570</v>
      </c>
      <c r="AE13" s="10">
        <f t="shared" si="31"/>
        <v>256530</v>
      </c>
      <c r="AF13" s="13">
        <f t="shared" si="1"/>
        <v>11730510</v>
      </c>
      <c r="AH13">
        <f t="shared" si="2"/>
        <v>2034</v>
      </c>
      <c r="AI13" s="11">
        <f>'Fleet ZEV fractions'!Z26</f>
        <v>1278776.0674475436</v>
      </c>
      <c r="AJ13" s="11">
        <f>'Fleet ZEV fractions'!AL26</f>
        <v>3746571.0154532185</v>
      </c>
      <c r="AK13" s="11">
        <f>'Fleet ZEV fractions'!AR26</f>
        <v>3681093.2052527079</v>
      </c>
      <c r="AL13" s="10"/>
      <c r="AN13">
        <f t="shared" si="3"/>
        <v>2034</v>
      </c>
      <c r="AO13" s="11">
        <f t="shared" si="11"/>
        <v>14278813398.028048</v>
      </c>
      <c r="AP13" s="11">
        <f t="shared" si="12"/>
        <v>41834211457.285843</v>
      </c>
      <c r="AQ13" s="11">
        <f t="shared" si="13"/>
        <v>41103086237.34742</v>
      </c>
      <c r="AR13" s="10"/>
    </row>
    <row r="14" spans="1:49">
      <c r="B14">
        <f t="shared" si="4"/>
        <v>2035</v>
      </c>
      <c r="C14" s="127">
        <f>'Emissions Summary'!$C25</f>
        <v>5014.1107577826187</v>
      </c>
      <c r="D14" s="127">
        <f>'Emissions Summary'!$C45</f>
        <v>3812.9845257940269</v>
      </c>
      <c r="E14" s="127">
        <f>'Emissions Summary'!$C65</f>
        <v>3872.5484933192324</v>
      </c>
      <c r="F14" s="44"/>
      <c r="G14" s="9"/>
      <c r="H14">
        <f t="shared" si="5"/>
        <v>2035</v>
      </c>
      <c r="I14" s="127">
        <f>'Emissions Summary'!$F25</f>
        <v>1036.126675195484</v>
      </c>
      <c r="J14" s="127">
        <f>'Emissions Summary'!$F45</f>
        <v>913.48600400393934</v>
      </c>
      <c r="K14" s="127">
        <f>'Emissions Summary'!$F65</f>
        <v>919.56776690410379</v>
      </c>
      <c r="L14" s="44"/>
      <c r="N14" s="9"/>
      <c r="O14">
        <f t="shared" si="6"/>
        <v>2035</v>
      </c>
      <c r="P14" s="15">
        <f>'Emissions Summary'!J25*Tables!T14</f>
        <v>30.829767795810003</v>
      </c>
      <c r="Q14" s="15">
        <f>'Emissions Summary'!J45*Tables!T14</f>
        <v>14.198267635727648</v>
      </c>
      <c r="R14" s="15">
        <f>'Emissions Summary'!J65*T14</f>
        <v>15.043060393656589</v>
      </c>
      <c r="S14" s="44"/>
      <c r="T14" s="135">
        <f t="shared" si="14"/>
        <v>9.0718499999999998E-7</v>
      </c>
      <c r="V14">
        <v>2035</v>
      </c>
      <c r="W14" s="45">
        <f>'Combined MOVES output'!AF28</f>
        <v>51616840785.292793</v>
      </c>
      <c r="X14" s="45">
        <f>'Combined MOVES output'!AF29</f>
        <v>76860147063.528168</v>
      </c>
      <c r="Y14" s="45">
        <f>'Combined MOVES output'!AF30</f>
        <v>3284277551.3690453</v>
      </c>
      <c r="Z14" s="45">
        <f t="shared" si="0"/>
        <v>131761265400.19</v>
      </c>
      <c r="AB14">
        <f t="shared" si="9"/>
        <v>2035</v>
      </c>
      <c r="AC14" s="11">
        <f>'Combined MOVES output'!AE28</f>
        <v>5172293.2085521072</v>
      </c>
      <c r="AD14" s="11">
        <f>'Combined MOVES output'!AE29</f>
        <v>6385004.0294794003</v>
      </c>
      <c r="AE14" s="11">
        <f>'Combined MOVES output'!AE30</f>
        <v>254964.01420610404</v>
      </c>
      <c r="AF14" s="13">
        <f t="shared" si="1"/>
        <v>11812261.252237611</v>
      </c>
      <c r="AH14">
        <f t="shared" si="2"/>
        <v>2035</v>
      </c>
      <c r="AI14" s="11">
        <f>'Fleet ZEV fractions'!Z27</f>
        <v>1391490.8875811936</v>
      </c>
      <c r="AJ14" s="11">
        <f>'Fleet ZEV fractions'!AL27</f>
        <v>4401889.7371604862</v>
      </c>
      <c r="AK14" s="11">
        <f>'Fleet ZEV fractions'!AR27</f>
        <v>4336411.9269599756</v>
      </c>
      <c r="AL14" s="44"/>
      <c r="AN14">
        <f t="shared" si="3"/>
        <v>2035</v>
      </c>
      <c r="AO14" s="11">
        <f t="shared" si="11"/>
        <v>15521549703.770767</v>
      </c>
      <c r="AP14" s="11">
        <f t="shared" si="12"/>
        <v>49101399768.863533</v>
      </c>
      <c r="AQ14" s="11">
        <f t="shared" si="13"/>
        <v>48371019789.668739</v>
      </c>
      <c r="AR14" s="44"/>
      <c r="AT14" s="2"/>
      <c r="AU14" t="s">
        <v>56</v>
      </c>
      <c r="AV14" t="s">
        <v>57</v>
      </c>
      <c r="AW14" t="s">
        <v>53</v>
      </c>
    </row>
    <row r="15" spans="1:49">
      <c r="B15">
        <f t="shared" si="4"/>
        <v>2036</v>
      </c>
      <c r="C15" s="127">
        <f>'Emissions Summary'!$C26</f>
        <v>4932.1874632852741</v>
      </c>
      <c r="D15" s="127">
        <f>'Emissions Summary'!$C46</f>
        <v>3538.9812018059879</v>
      </c>
      <c r="E15" s="127">
        <f>'Emissions Summary'!$C66</f>
        <v>3602.9504293648679</v>
      </c>
      <c r="F15" s="10"/>
      <c r="H15">
        <f t="shared" si="5"/>
        <v>2036</v>
      </c>
      <c r="I15" s="127">
        <f>'Emissions Summary'!$F26</f>
        <v>1019.0629902309099</v>
      </c>
      <c r="J15" s="127">
        <f>'Emissions Summary'!$F46</f>
        <v>882.91662200620794</v>
      </c>
      <c r="K15" s="127">
        <f>'Emissions Summary'!$F66</f>
        <v>889.16779834030922</v>
      </c>
      <c r="L15" s="10"/>
      <c r="O15">
        <f t="shared" si="6"/>
        <v>2036</v>
      </c>
      <c r="P15" s="15">
        <f>'Emissions Summary'!J26*Tables!T15</f>
        <v>30.178153261033881</v>
      </c>
      <c r="Q15" s="15">
        <f>'Emissions Summary'!J46*Tables!T15</f>
        <v>11.417842542231813</v>
      </c>
      <c r="R15" s="15">
        <f>'Emissions Summary'!J66*T15</f>
        <v>12.297922715600528</v>
      </c>
      <c r="S15" s="10"/>
      <c r="T15" s="135">
        <f t="shared" si="14"/>
        <v>9.0718499999999998E-7</v>
      </c>
      <c r="V15">
        <v>2036</v>
      </c>
      <c r="W15" s="3">
        <f>W14+0.2*(W19-W14)</f>
        <v>52084269378.435272</v>
      </c>
      <c r="X15" s="3">
        <f t="shared" ref="X15" si="32">X14+0.2*(X19-X14)</f>
        <v>77416449722.510864</v>
      </c>
      <c r="Y15" s="3">
        <f t="shared" ref="Y15" si="33">Y14+0.2*(Y19-Y14)</f>
        <v>3280383203.895236</v>
      </c>
      <c r="Z15" s="45">
        <f t="shared" si="0"/>
        <v>132781102304.84137</v>
      </c>
      <c r="AB15">
        <f t="shared" si="9"/>
        <v>2036</v>
      </c>
      <c r="AC15" s="10">
        <f>ROUND(AC$14+1/5*(AC$19-AC$14),-1)</f>
        <v>5214970</v>
      </c>
      <c r="AD15" s="10">
        <f t="shared" ref="AD15:AE15" si="34">ROUND(AD$14+1/5*(AD$19-AD$14),-1)</f>
        <v>6424510</v>
      </c>
      <c r="AE15" s="10">
        <f t="shared" si="34"/>
        <v>253340</v>
      </c>
      <c r="AF15" s="13">
        <f t="shared" si="1"/>
        <v>11892820</v>
      </c>
      <c r="AH15">
        <f t="shared" si="2"/>
        <v>2036</v>
      </c>
      <c r="AI15" s="11">
        <f>'Fleet ZEV fractions'!Z28</f>
        <v>1504944.7980131411</v>
      </c>
      <c r="AJ15" s="11">
        <f>'Fleet ZEV fractions'!AL28</f>
        <v>5061505.4954857621</v>
      </c>
      <c r="AK15" s="11">
        <f>'Fleet ZEV fractions'!AR28</f>
        <v>4996027.6852852516</v>
      </c>
      <c r="AL15" s="10"/>
      <c r="AN15">
        <f t="shared" si="3"/>
        <v>2036</v>
      </c>
      <c r="AO15" s="11">
        <f t="shared" si="11"/>
        <v>16802426101.473133</v>
      </c>
      <c r="AP15" s="11">
        <f t="shared" si="12"/>
        <v>56510758509.135071</v>
      </c>
      <c r="AQ15" s="11">
        <f t="shared" si="13"/>
        <v>55779711052.356026</v>
      </c>
      <c r="AR15" s="10"/>
      <c r="AT15" t="s">
        <v>164</v>
      </c>
      <c r="AU15" s="12">
        <f>SUM(D4:D9)-SUM(C4:C9)</f>
        <v>-1674.8041094728833</v>
      </c>
      <c r="AV15" s="12">
        <f>SUM(J4:J9)-SUM(I4:I9)</f>
        <v>-131.87844120786576</v>
      </c>
      <c r="AW15" s="16">
        <f>SUM(Q4:Q9)-SUM(P4:P9)</f>
        <v>-16.895009704072493</v>
      </c>
    </row>
    <row r="16" spans="1:49">
      <c r="B16">
        <f t="shared" si="4"/>
        <v>2037</v>
      </c>
      <c r="C16" s="127">
        <f>'Emissions Summary'!$C27</f>
        <v>4846.8312207142981</v>
      </c>
      <c r="D16" s="127">
        <f>'Emissions Summary'!$C47</f>
        <v>3271.426035983905</v>
      </c>
      <c r="E16" s="127">
        <f>'Emissions Summary'!$C67</f>
        <v>3337.9350229700885</v>
      </c>
      <c r="F16" s="10"/>
      <c r="H16">
        <f t="shared" si="5"/>
        <v>2037</v>
      </c>
      <c r="I16" s="127">
        <f>'Emissions Summary'!$F27</f>
        <v>1002.0127003509464</v>
      </c>
      <c r="J16" s="127">
        <f>'Emissions Summary'!$F47</f>
        <v>854.89209894638702</v>
      </c>
      <c r="K16" s="127">
        <f>'Emissions Summary'!$F67</f>
        <v>861.10309930302833</v>
      </c>
      <c r="L16" s="10"/>
      <c r="O16">
        <f t="shared" si="6"/>
        <v>2037</v>
      </c>
      <c r="P16" s="15">
        <f>'Emissions Summary'!J27*Tables!T16</f>
        <v>29.586065910995863</v>
      </c>
      <c r="Q16" s="15">
        <f>'Emissions Summary'!J47*Tables!T16</f>
        <v>8.9786713998566299</v>
      </c>
      <c r="R16" s="15">
        <f>'Emissions Summary'!J67*T16</f>
        <v>9.8641093188168476</v>
      </c>
      <c r="S16" s="10"/>
      <c r="T16" s="135">
        <f t="shared" si="14"/>
        <v>9.0718499999999998E-7</v>
      </c>
      <c r="V16">
        <v>2037</v>
      </c>
      <c r="W16" s="3">
        <f>W14+0.4*(W19-W14)</f>
        <v>52551697971.577744</v>
      </c>
      <c r="X16" s="3">
        <f t="shared" ref="X16:Y16" si="35">X14+0.4*(X19-X14)</f>
        <v>77972752381.493561</v>
      </c>
      <c r="Y16" s="3">
        <f t="shared" si="35"/>
        <v>3276488856.4214272</v>
      </c>
      <c r="Z16" s="45">
        <f t="shared" si="0"/>
        <v>133800939209.49274</v>
      </c>
      <c r="AB16">
        <f t="shared" si="9"/>
        <v>2037</v>
      </c>
      <c r="AC16" s="10">
        <f>ROUND(AC$14+2/5*(AC$19-AC$14),-1)</f>
        <v>5257650</v>
      </c>
      <c r="AD16" s="10">
        <f t="shared" ref="AD16:AE16" si="36">ROUND(AD$14+2/5*(AD$19-AD$14),-1)</f>
        <v>6464020</v>
      </c>
      <c r="AE16" s="10">
        <f t="shared" si="36"/>
        <v>251710</v>
      </c>
      <c r="AF16" s="13">
        <f t="shared" si="1"/>
        <v>11973380</v>
      </c>
      <c r="AH16">
        <f t="shared" si="2"/>
        <v>2037</v>
      </c>
      <c r="AI16" s="11">
        <f>'Fleet ZEV fractions'!Z29</f>
        <v>1619137.7987433861</v>
      </c>
      <c r="AJ16" s="11">
        <f>'Fleet ZEV fractions'!AL29</f>
        <v>5725418.2904290473</v>
      </c>
      <c r="AK16" s="11">
        <f>'Fleet ZEV fractions'!AR29</f>
        <v>5659940.4802285368</v>
      </c>
      <c r="AL16" s="10"/>
      <c r="AN16">
        <f t="shared" si="3"/>
        <v>2037</v>
      </c>
      <c r="AO16" s="11">
        <f t="shared" si="11"/>
        <v>18093650930.769398</v>
      </c>
      <c r="AP16" s="11">
        <f t="shared" si="12"/>
        <v>63980792777.529381</v>
      </c>
      <c r="AQ16" s="11">
        <f t="shared" si="13"/>
        <v>63249086901.476906</v>
      </c>
      <c r="AR16" s="10"/>
      <c r="AT16" s="8" t="s">
        <v>165</v>
      </c>
      <c r="AU16" s="10">
        <f>SUM(E4:E9)-SUM(C4:C9)</f>
        <v>-1471.7311364146735</v>
      </c>
      <c r="AV16" s="12">
        <f>SUM(K4:K9)-SUM(I4:I9)</f>
        <v>-117.29392396547246</v>
      </c>
      <c r="AW16" s="16">
        <f>SUM(R4:R9)-SUM(P4:P9)</f>
        <v>-15.144348977335937</v>
      </c>
    </row>
    <row r="17" spans="1:50">
      <c r="B17">
        <f t="shared" si="4"/>
        <v>2038</v>
      </c>
      <c r="C17" s="127">
        <f>'Emissions Summary'!$C28</f>
        <v>4757.561543985812</v>
      </c>
      <c r="D17" s="127">
        <f>'Emissions Summary'!$C48</f>
        <v>3010.9376097718336</v>
      </c>
      <c r="E17" s="127">
        <f>'Emissions Summary'!$C68</f>
        <v>3078.270577804321</v>
      </c>
      <c r="F17" s="10"/>
      <c r="H17">
        <f t="shared" si="5"/>
        <v>2038</v>
      </c>
      <c r="I17" s="127">
        <f>'Emissions Summary'!$F28</f>
        <v>984.44488299603131</v>
      </c>
      <c r="J17" s="127">
        <f>'Emissions Summary'!$F48</f>
        <v>827.93352914969614</v>
      </c>
      <c r="K17" s="127">
        <f>'Emissions Summary'!$F68</f>
        <v>833.96709698237271</v>
      </c>
      <c r="L17" s="10"/>
      <c r="O17">
        <f t="shared" si="6"/>
        <v>2038</v>
      </c>
      <c r="P17" s="15">
        <f>'Emissions Summary'!J28*Tables!T17</f>
        <v>29.048977828864317</v>
      </c>
      <c r="Q17" s="15">
        <f>'Emissions Summary'!J48*Tables!T17</f>
        <v>6.8125975839580075</v>
      </c>
      <c r="R17" s="15">
        <f>'Emissions Summary'!J68*T17</f>
        <v>7.6807105057924847</v>
      </c>
      <c r="S17" s="10"/>
      <c r="T17" s="135">
        <f t="shared" si="14"/>
        <v>9.0718499999999998E-7</v>
      </c>
      <c r="V17">
        <v>2038</v>
      </c>
      <c r="W17" s="3">
        <f>W14+0.6*(W19-W14)</f>
        <v>53019126564.720222</v>
      </c>
      <c r="X17" s="3">
        <f t="shared" ref="X17:Y17" si="37">X14+0.6*(X19-X14)</f>
        <v>78529055040.476257</v>
      </c>
      <c r="Y17" s="3">
        <f t="shared" si="37"/>
        <v>3272594508.947618</v>
      </c>
      <c r="Z17" s="45">
        <f t="shared" si="0"/>
        <v>134820776114.14409</v>
      </c>
      <c r="AB17">
        <f t="shared" si="9"/>
        <v>2038</v>
      </c>
      <c r="AC17" s="10">
        <f>ROUND(AC$14+3/5*(AC$19-AC$14),-1)</f>
        <v>5300320</v>
      </c>
      <c r="AD17" s="10">
        <f t="shared" ref="AD17:AE17" si="38">ROUND(AD$14+3/5*(AD$19-AD$14),-1)</f>
        <v>6503530</v>
      </c>
      <c r="AE17" s="10">
        <f t="shared" si="38"/>
        <v>250080</v>
      </c>
      <c r="AF17" s="13">
        <f t="shared" si="1"/>
        <v>12053930</v>
      </c>
      <c r="AH17">
        <f t="shared" si="2"/>
        <v>2038</v>
      </c>
      <c r="AI17" s="11">
        <f>'Fleet ZEV fractions'!Z30</f>
        <v>1734069.8897719285</v>
      </c>
      <c r="AJ17" s="11">
        <f>'Fleet ZEV fractions'!AL30</f>
        <v>6393628.1219903408</v>
      </c>
      <c r="AK17" s="11">
        <f>'Fleet ZEV fractions'!AR30</f>
        <v>6328150.3117898302</v>
      </c>
      <c r="AL17" s="10"/>
      <c r="AN17">
        <f t="shared" si="3"/>
        <v>2038</v>
      </c>
      <c r="AO17" s="11">
        <f t="shared" si="11"/>
        <v>19395222004.376972</v>
      </c>
      <c r="AP17" s="11">
        <f t="shared" si="12"/>
        <v>71511441130.980133</v>
      </c>
      <c r="AQ17" s="11">
        <f t="shared" si="13"/>
        <v>70779085028.904922</v>
      </c>
      <c r="AR17" s="10"/>
      <c r="AT17" s="8"/>
      <c r="AU17" s="12"/>
      <c r="AV17" s="12"/>
      <c r="AW17" s="16"/>
      <c r="AX17" s="16"/>
    </row>
    <row r="18" spans="1:50">
      <c r="B18">
        <f t="shared" si="4"/>
        <v>2039</v>
      </c>
      <c r="C18" s="127">
        <f>'Emissions Summary'!$C29</f>
        <v>4665.3140282939758</v>
      </c>
      <c r="D18" s="127">
        <f>'Emissions Summary'!$C49</f>
        <v>2759.0990810468647</v>
      </c>
      <c r="E18" s="127">
        <f>'Emissions Summary'!$C69</f>
        <v>2824.8661491769462</v>
      </c>
      <c r="F18" s="10"/>
      <c r="H18">
        <f t="shared" si="5"/>
        <v>2039</v>
      </c>
      <c r="I18" s="127">
        <f>'Emissions Summary'!$F29</f>
        <v>967.19652605639362</v>
      </c>
      <c r="J18" s="127">
        <f>'Emissions Summary'!$F49</f>
        <v>803.63305399810929</v>
      </c>
      <c r="K18" s="127">
        <f>'Emissions Summary'!$F69</f>
        <v>809.27622137856918</v>
      </c>
      <c r="L18" s="10"/>
      <c r="O18">
        <f t="shared" si="6"/>
        <v>2039</v>
      </c>
      <c r="P18" s="15">
        <f>'Emissions Summary'!J29*Tables!T18</f>
        <v>28.562306104520005</v>
      </c>
      <c r="Q18" s="15">
        <f>'Emissions Summary'!J49*Tables!T18</f>
        <v>4.898544674734838</v>
      </c>
      <c r="R18" s="15">
        <f>'Emissions Summary'!J69*T18</f>
        <v>5.720435476912308</v>
      </c>
      <c r="S18" s="10"/>
      <c r="T18" s="135">
        <f t="shared" si="14"/>
        <v>9.0718499999999998E-7</v>
      </c>
      <c r="V18">
        <v>2039</v>
      </c>
      <c r="W18" s="3">
        <f>W14+0.8*(W19-W14)</f>
        <v>53486555157.862694</v>
      </c>
      <c r="X18" s="3">
        <f t="shared" ref="X18" si="39">X14+0.8*(X19-X14)</f>
        <v>79085357699.458954</v>
      </c>
      <c r="Y18" s="3">
        <f t="shared" ref="Y18" si="40">Y14+0.8*(Y19-Y14)</f>
        <v>3268700161.4738092</v>
      </c>
      <c r="Z18" s="45">
        <f t="shared" si="0"/>
        <v>135840613018.79547</v>
      </c>
      <c r="AB18">
        <f t="shared" si="9"/>
        <v>2039</v>
      </c>
      <c r="AC18" s="10">
        <f>ROUND(AC$14+4/5*(AC$19-AC$14),-1)</f>
        <v>5343000</v>
      </c>
      <c r="AD18" s="10">
        <f t="shared" ref="AD18:AE18" si="41">ROUND(AD$14+4/5*(AD$19-AD$14),-1)</f>
        <v>6543030</v>
      </c>
      <c r="AE18" s="10">
        <f t="shared" si="41"/>
        <v>248460</v>
      </c>
      <c r="AF18" s="13">
        <f t="shared" si="1"/>
        <v>12134490</v>
      </c>
      <c r="AH18">
        <f t="shared" si="2"/>
        <v>2039</v>
      </c>
      <c r="AI18" s="11">
        <f>'Fleet ZEV fractions'!Z31</f>
        <v>1849741.0710987686</v>
      </c>
      <c r="AJ18" s="11">
        <f>'Fleet ZEV fractions'!AL31</f>
        <v>7066134.9901696425</v>
      </c>
      <c r="AK18" s="11">
        <f>'Fleet ZEV fractions'!AR31</f>
        <v>7000657.1799691319</v>
      </c>
      <c r="AL18" s="10"/>
      <c r="AN18">
        <f t="shared" si="3"/>
        <v>2039</v>
      </c>
      <c r="AO18" s="11">
        <f t="shared" si="11"/>
        <v>20707088721.82515</v>
      </c>
      <c r="AP18" s="11">
        <f t="shared" si="12"/>
        <v>79102468149.728958</v>
      </c>
      <c r="AQ18" s="11">
        <f t="shared" si="13"/>
        <v>78369471058.234741</v>
      </c>
      <c r="AR18" s="10"/>
      <c r="AT18" s="8"/>
      <c r="AU18" s="12"/>
      <c r="AV18" s="12"/>
      <c r="AW18" s="16"/>
    </row>
    <row r="19" spans="1:50">
      <c r="A19" s="9"/>
      <c r="B19">
        <f t="shared" si="4"/>
        <v>2040</v>
      </c>
      <c r="C19" s="127">
        <f>'Emissions Summary'!$C30</f>
        <v>4568.1069077065658</v>
      </c>
      <c r="D19" s="127">
        <f>'Emissions Summary'!$C50</f>
        <v>2522.5043262131326</v>
      </c>
      <c r="E19" s="127">
        <f>'Emissions Summary'!$C70</f>
        <v>2584.1269167605305</v>
      </c>
      <c r="F19" s="44"/>
      <c r="G19" s="9"/>
      <c r="H19">
        <f t="shared" si="5"/>
        <v>2040</v>
      </c>
      <c r="I19" s="127">
        <f>'Emissions Summary'!$F30</f>
        <v>949.50100748347836</v>
      </c>
      <c r="J19" s="127">
        <f>'Emissions Summary'!$F50</f>
        <v>780.78072703355849</v>
      </c>
      <c r="K19" s="127">
        <f>'Emissions Summary'!$F70</f>
        <v>785.86332756079128</v>
      </c>
      <c r="L19" s="44"/>
      <c r="M19" s="9"/>
      <c r="N19" s="9"/>
      <c r="O19">
        <f t="shared" si="6"/>
        <v>2040</v>
      </c>
      <c r="P19" s="15">
        <f>'Emissions Summary'!J30*Tables!T19</f>
        <v>28.131412256942557</v>
      </c>
      <c r="Q19" s="15">
        <f>'Emissions Summary'!J50*Tables!T19</f>
        <v>3.2187645054118232</v>
      </c>
      <c r="R19" s="15">
        <f>'Emissions Summary'!J70*T19</f>
        <v>3.9692435602062068</v>
      </c>
      <c r="S19" s="44"/>
      <c r="T19" s="135">
        <f t="shared" si="14"/>
        <v>9.0718499999999998E-7</v>
      </c>
      <c r="U19" s="16"/>
      <c r="V19" s="3">
        <v>2040</v>
      </c>
      <c r="W19" s="45">
        <f>'Combined MOVES output'!AF33</f>
        <v>53953983751.005173</v>
      </c>
      <c r="X19" s="45">
        <f>'Combined MOVES output'!AF34</f>
        <v>79641660358.44165</v>
      </c>
      <c r="Y19" s="45">
        <f>'Combined MOVES output'!AF35</f>
        <v>3264805814</v>
      </c>
      <c r="Z19" s="45">
        <f t="shared" si="0"/>
        <v>136860449923.44682</v>
      </c>
      <c r="AA19" s="16"/>
      <c r="AB19">
        <f t="shared" si="9"/>
        <v>2040</v>
      </c>
      <c r="AC19" s="11">
        <f>'Combined MOVES output'!AE33</f>
        <v>5385673.4237676412</v>
      </c>
      <c r="AD19" s="11">
        <f>'Combined MOVES output'!AE34</f>
        <v>6582542.1248250157</v>
      </c>
      <c r="AE19" s="11">
        <f>'Combined MOVES output'!AE35</f>
        <v>246829.64578247099</v>
      </c>
      <c r="AF19" s="13">
        <f t="shared" si="1"/>
        <v>12215045.194375128</v>
      </c>
      <c r="AH19">
        <f t="shared" si="2"/>
        <v>2040</v>
      </c>
      <c r="AI19" s="11">
        <f>'Fleet ZEV fractions'!Z32</f>
        <v>1966151.342723906</v>
      </c>
      <c r="AJ19" s="11">
        <f>'Fleet ZEV fractions'!AL32</f>
        <v>7742938.8949669534</v>
      </c>
      <c r="AK19" s="11">
        <f>'Fleet ZEV fractions'!AR32</f>
        <v>7677461.0847664429</v>
      </c>
      <c r="AL19" s="44"/>
      <c r="AN19">
        <f t="shared" si="3"/>
        <v>2040</v>
      </c>
      <c r="AO19" s="11">
        <f t="shared" si="11"/>
        <v>22029255979.068718</v>
      </c>
      <c r="AP19" s="11">
        <f t="shared" si="12"/>
        <v>86753842006.488266</v>
      </c>
      <c r="AQ19" s="11">
        <f t="shared" si="13"/>
        <v>86020212091.785156</v>
      </c>
      <c r="AR19" s="44"/>
      <c r="AT19" s="164" t="s">
        <v>410</v>
      </c>
      <c r="AU19" s="12"/>
      <c r="AV19" s="12"/>
      <c r="AW19" s="16"/>
    </row>
    <row r="20" spans="1:50">
      <c r="B20" s="8" t="s">
        <v>49</v>
      </c>
      <c r="C20" s="128">
        <f>SUM(C4:C19)</f>
        <v>129923.27739769175</v>
      </c>
      <c r="D20" s="128">
        <f>SUM(D4:D19)</f>
        <v>114692.1445473763</v>
      </c>
      <c r="E20" s="128">
        <f>SUM(E4:E19)</f>
        <v>115492.22777610637</v>
      </c>
      <c r="F20" s="10"/>
      <c r="G20" s="12"/>
      <c r="H20" s="8" t="s">
        <v>49</v>
      </c>
      <c r="I20" s="130">
        <f>SUM(I4:I19)</f>
        <v>17970.440300607941</v>
      </c>
      <c r="J20" s="130">
        <f>SUM(J4:J19)</f>
        <v>16597.513785938321</v>
      </c>
      <c r="K20" s="130">
        <f>SUM(K4:K19)</f>
        <v>16667.296083386042</v>
      </c>
      <c r="L20" s="10"/>
      <c r="M20" s="12"/>
      <c r="O20" s="8" t="s">
        <v>49</v>
      </c>
      <c r="P20" s="14">
        <f>SUM(P4:P19)</f>
        <v>547.38825750634487</v>
      </c>
      <c r="Q20" s="14">
        <f>SUM(Q4:Q19)</f>
        <v>357.88495929415302</v>
      </c>
      <c r="R20" s="14">
        <f>SUM(R4:R19)</f>
        <v>367.35270307006664</v>
      </c>
      <c r="S20" s="14"/>
      <c r="T20" s="16"/>
      <c r="V20" t="s">
        <v>159</v>
      </c>
      <c r="W20" s="9">
        <f>(W19/W4)-1</f>
        <v>0.10677044854976603</v>
      </c>
      <c r="X20" s="9">
        <f t="shared" ref="X20:Z20" si="42">(X19/X4)-1</f>
        <v>0.13638092376487521</v>
      </c>
      <c r="Y20" s="9">
        <f t="shared" si="42"/>
        <v>-0.2828140253784972</v>
      </c>
      <c r="Z20" s="9">
        <f t="shared" si="42"/>
        <v>0.10921584424332553</v>
      </c>
      <c r="AB20" t="s">
        <v>159</v>
      </c>
      <c r="AC20" s="9">
        <f>(AC19/AC4)-1</f>
        <v>0.11240454994267735</v>
      </c>
      <c r="AD20" s="9">
        <f t="shared" ref="AD20" si="43">(AD19/AD4)-1</f>
        <v>0.139703613215443</v>
      </c>
      <c r="AE20" s="9">
        <f t="shared" ref="AE20" si="44">(AE19/AE4)-1</f>
        <v>-0.34849802483574255</v>
      </c>
      <c r="AF20" s="9">
        <f t="shared" ref="AF20" si="45">(AF19/AF4)-1</f>
        <v>0.11086321209714423</v>
      </c>
      <c r="AH20" t="s">
        <v>159</v>
      </c>
      <c r="AI20" s="9">
        <f>(AI19/AI4)-1</f>
        <v>5.3304719204065254</v>
      </c>
      <c r="AJ20" s="9">
        <f t="shared" ref="AJ20" si="46">(AJ19/AJ4)-1</f>
        <v>23.930154760164307</v>
      </c>
      <c r="AK20" s="9">
        <f t="shared" ref="AK20" si="47">(AK19/AK4)-1</f>
        <v>23.719334041597556</v>
      </c>
      <c r="AL20" s="9"/>
      <c r="AN20" t="s">
        <v>159</v>
      </c>
      <c r="AO20" s="9">
        <f>(AO19/AO4)-1</f>
        <v>5.3210840715448349</v>
      </c>
      <c r="AP20" s="9">
        <f t="shared" ref="AP20:AQ20" si="48">(AP19/AP4)-1</f>
        <v>23.893184289727099</v>
      </c>
      <c r="AQ20" s="9">
        <f t="shared" si="48"/>
        <v>23.68267621026019</v>
      </c>
      <c r="AR20" s="9"/>
    </row>
    <row r="21" spans="1:50">
      <c r="B21" t="s">
        <v>159</v>
      </c>
      <c r="C21" s="129">
        <f>C19-C4</f>
        <v>-12481.973500786222</v>
      </c>
      <c r="D21" s="129">
        <f t="shared" ref="D21:E21" si="49">D19-D4</f>
        <v>-14527.576082279655</v>
      </c>
      <c r="E21" s="129">
        <f t="shared" si="49"/>
        <v>-14465.953491732256</v>
      </c>
      <c r="F21" s="9"/>
      <c r="G21" s="12"/>
      <c r="H21" t="s">
        <v>159</v>
      </c>
      <c r="I21" s="129">
        <f>I19-I4</f>
        <v>-435.02728801878698</v>
      </c>
      <c r="J21" s="129">
        <f t="shared" ref="J21:K21" si="50">J19-J4</f>
        <v>-603.74756846870685</v>
      </c>
      <c r="K21" s="129">
        <f t="shared" si="50"/>
        <v>-598.66496794147406</v>
      </c>
      <c r="L21" s="9"/>
      <c r="O21" t="s">
        <v>159</v>
      </c>
      <c r="P21" s="129">
        <f>P19-P4</f>
        <v>-14.962293224396408</v>
      </c>
      <c r="Q21" s="129">
        <f t="shared" ref="Q21:R21" si="51">Q19-Q4</f>
        <v>-39.874940975927139</v>
      </c>
      <c r="R21" s="129">
        <f t="shared" si="51"/>
        <v>-39.124461921132756</v>
      </c>
      <c r="S21" s="9"/>
      <c r="AU21" t="s">
        <v>56</v>
      </c>
      <c r="AV21" t="s">
        <v>57</v>
      </c>
      <c r="AW21" t="s">
        <v>53</v>
      </c>
    </row>
    <row r="22" spans="1:50">
      <c r="AT22" t="s">
        <v>164</v>
      </c>
      <c r="AU22" s="12">
        <f>SUM(D4:D14)-SUM(C4:C14)</f>
        <v>-6564.0799411512708</v>
      </c>
      <c r="AV22" s="12">
        <f>SUM(J4:J14)-SUM(I4:I14)</f>
        <v>-600.86443868582137</v>
      </c>
      <c r="AW22" s="16">
        <f>SUM(Q4:Q14)-SUM(P4:P14)</f>
        <v>-79.322803556028418</v>
      </c>
    </row>
    <row r="23" spans="1:50">
      <c r="B23" s="2"/>
      <c r="AT23" t="s">
        <v>165</v>
      </c>
      <c r="AU23" s="12">
        <f>SUM(E4:E14)-SUM(C4:C14)</f>
        <v>-6089.1975536762184</v>
      </c>
      <c r="AV23" s="12">
        <f>SUM(K4:K14)-SUM(I4:I14)</f>
        <v>-560.30365366921251</v>
      </c>
      <c r="AW23" s="16">
        <f>SUM(R4:R14)-SUM(P4:P14)</f>
        <v>-74.061060651250102</v>
      </c>
    </row>
    <row r="24" spans="1:50">
      <c r="A24" s="9"/>
      <c r="B24" s="2"/>
      <c r="AU24" s="12"/>
      <c r="AV24" s="12"/>
      <c r="AW24" s="16"/>
    </row>
    <row r="45" spans="2:33">
      <c r="AE45" t="s">
        <v>534</v>
      </c>
    </row>
    <row r="46" spans="2:33" ht="31" thickBot="1">
      <c r="B46">
        <v>0.90718500000000002</v>
      </c>
      <c r="C46" t="s">
        <v>54</v>
      </c>
      <c r="AB46" s="267"/>
      <c r="AC46" s="268" t="s">
        <v>535</v>
      </c>
      <c r="AD46" s="268" t="s">
        <v>536</v>
      </c>
      <c r="AE46" s="268" t="s">
        <v>537</v>
      </c>
      <c r="AF46" s="268" t="s">
        <v>538</v>
      </c>
      <c r="AG46" s="268" t="s">
        <v>539</v>
      </c>
    </row>
    <row r="47" spans="2:33" ht="17" thickTop="1" thickBot="1">
      <c r="B47">
        <v>1000000</v>
      </c>
      <c r="C47" t="s">
        <v>55</v>
      </c>
      <c r="AB47" s="269">
        <v>2020</v>
      </c>
      <c r="AC47" s="270">
        <f>'Combined MOVES output'!AE13+'Combined MOVES output'!AE14</f>
        <v>10093583.541504964</v>
      </c>
      <c r="AD47" s="270">
        <f>'Fleet ZEV fractions'!Z12</f>
        <v>45371.5</v>
      </c>
      <c r="AE47" s="271" t="s">
        <v>540</v>
      </c>
      <c r="AF47" s="272" t="s">
        <v>540</v>
      </c>
      <c r="AG47" s="272" t="s">
        <v>540</v>
      </c>
    </row>
    <row r="48" spans="2:33" ht="17" thickTop="1" thickBot="1">
      <c r="AB48" s="267">
        <v>2025</v>
      </c>
      <c r="AC48" s="273">
        <f>AC4+AD4</f>
        <v>10617131.514064524</v>
      </c>
      <c r="AD48" s="273">
        <f>AI4</f>
        <v>310585.27191092022</v>
      </c>
      <c r="AE48" s="271" t="s">
        <v>540</v>
      </c>
      <c r="AF48" s="274">
        <f>'ZEV Sales'!I7</f>
        <v>81871.751635368913</v>
      </c>
      <c r="AG48" s="271" t="s">
        <v>540</v>
      </c>
    </row>
    <row r="49" spans="1:33" ht="17" thickTop="1" thickBot="1">
      <c r="A49" t="s">
        <v>407</v>
      </c>
      <c r="AB49" s="269">
        <v>2030</v>
      </c>
      <c r="AC49" s="273">
        <f>AC9+AD9</f>
        <v>11140679.486624084</v>
      </c>
      <c r="AD49" s="273">
        <f>AI9</f>
        <v>839136.97586515953</v>
      </c>
      <c r="AE49" s="273">
        <f>AJ9</f>
        <v>1571984.5846009611</v>
      </c>
      <c r="AF49" s="274">
        <f>'ZEV Sales'!I27</f>
        <v>107120.84910761892</v>
      </c>
      <c r="AG49" s="270">
        <f>'ZEV Sales'!Q27</f>
        <v>338800.82508456218</v>
      </c>
    </row>
    <row r="50" spans="1:33" ht="17" thickTop="1" thickBot="1">
      <c r="AB50" s="267">
        <v>2035</v>
      </c>
      <c r="AC50" s="273">
        <f>AC14+AD14</f>
        <v>11557297.238031507</v>
      </c>
      <c r="AD50" s="273">
        <f>AI14</f>
        <v>1391490.8875811936</v>
      </c>
      <c r="AE50" s="273">
        <f>AJ14</f>
        <v>4401889.7371604862</v>
      </c>
      <c r="AF50" s="274">
        <f>'ZEV Sales'!I47</f>
        <v>112714.82013365001</v>
      </c>
      <c r="AG50" s="270">
        <f>'ZEV Sales'!Q47</f>
        <v>655318.72170726745</v>
      </c>
    </row>
    <row r="51" spans="1:33" ht="17" thickTop="1" thickBot="1">
      <c r="AB51" s="269">
        <v>2040</v>
      </c>
      <c r="AC51" s="273">
        <f>AC19+AD19</f>
        <v>11968215.548592657</v>
      </c>
      <c r="AD51" s="273">
        <f>AI19</f>
        <v>1966151.342723906</v>
      </c>
      <c r="AE51" s="273">
        <f>AJ19</f>
        <v>7742938.8949669534</v>
      </c>
      <c r="AF51" s="274">
        <f>'ZEV Sales'!I51</f>
        <v>116410.27162513749</v>
      </c>
      <c r="AG51" s="270">
        <f>'ZEV Sales'!Q51</f>
        <v>676803.90479731094</v>
      </c>
    </row>
    <row r="52" spans="1:33" ht="16" thickTop="1">
      <c r="AC52" s="44"/>
      <c r="AD52" s="44"/>
      <c r="AE52" s="44"/>
      <c r="AF52" s="12"/>
    </row>
    <row r="53" spans="1:33">
      <c r="AC53" s="44"/>
      <c r="AD53" s="44"/>
      <c r="AE53" s="44"/>
      <c r="AF53" s="12"/>
    </row>
    <row r="54" spans="1:33">
      <c r="AC54" s="44"/>
      <c r="AD54" s="44"/>
      <c r="AE54" s="44"/>
      <c r="AF54" s="12"/>
    </row>
    <row r="55" spans="1:33">
      <c r="AC55" s="44"/>
      <c r="AD55" s="44"/>
      <c r="AE55" s="44"/>
      <c r="AF55" s="12"/>
    </row>
    <row r="56" spans="1:33">
      <c r="B56" s="8"/>
      <c r="AC56" s="44"/>
      <c r="AD56" s="44"/>
      <c r="AE56" s="44"/>
      <c r="AF56" s="12"/>
    </row>
    <row r="57" spans="1:33">
      <c r="AC57" s="44"/>
      <c r="AD57" s="44"/>
      <c r="AE57" s="44"/>
      <c r="AF57" s="12"/>
    </row>
    <row r="58" spans="1:33">
      <c r="AC58" s="44"/>
      <c r="AD58" s="44"/>
      <c r="AE58" s="44"/>
      <c r="AF58" s="12"/>
    </row>
    <row r="59" spans="1:33">
      <c r="AC59" s="44"/>
      <c r="AD59" s="44"/>
      <c r="AE59" s="44"/>
      <c r="AF59" s="12"/>
    </row>
    <row r="60" spans="1:33">
      <c r="AC60" s="44"/>
      <c r="AD60" s="44"/>
      <c r="AE60" s="44"/>
      <c r="AF60" s="12"/>
    </row>
    <row r="61" spans="1:33">
      <c r="AC61" s="44"/>
      <c r="AD61" s="44"/>
      <c r="AE61" s="44"/>
      <c r="AF61" s="12"/>
    </row>
    <row r="62" spans="1:33">
      <c r="AC62" s="44"/>
      <c r="AD62" s="44"/>
      <c r="AE62" s="44"/>
      <c r="AF62" s="12"/>
    </row>
    <row r="63" spans="1:33">
      <c r="AC63" s="44"/>
      <c r="AD63" s="44"/>
      <c r="AE63" s="44"/>
      <c r="AF63" s="12"/>
    </row>
    <row r="64" spans="1:33">
      <c r="AC64" s="44"/>
      <c r="AD64" s="44"/>
      <c r="AE64" s="44"/>
      <c r="AF64" s="12"/>
    </row>
    <row r="65" spans="29:32">
      <c r="AC65" s="44"/>
      <c r="AD65" s="44"/>
      <c r="AE65" s="44"/>
      <c r="AF65" s="12"/>
    </row>
    <row r="66" spans="29:32">
      <c r="AC66" s="44"/>
      <c r="AD66" s="44"/>
      <c r="AE66" s="44"/>
      <c r="AF66" s="12"/>
    </row>
    <row r="67" spans="29:32">
      <c r="AC67" s="44"/>
      <c r="AD67" s="44"/>
      <c r="AE67" s="44"/>
      <c r="AF67" s="12"/>
    </row>
    <row r="68" spans="29:32">
      <c r="AC68" s="44"/>
      <c r="AD68" s="44"/>
      <c r="AE68" s="44"/>
      <c r="AF68" s="12"/>
    </row>
    <row r="69" spans="29:32">
      <c r="AC69" s="44"/>
      <c r="AD69" s="44"/>
      <c r="AE69" s="44"/>
      <c r="AF69" s="12"/>
    </row>
    <row r="70" spans="29:32">
      <c r="AC70" s="44"/>
      <c r="AD70" s="44"/>
      <c r="AE70" s="44"/>
      <c r="AF70" s="12"/>
    </row>
    <row r="71" spans="29:32">
      <c r="AC71" s="44"/>
      <c r="AD71" s="44"/>
      <c r="AE71" s="44"/>
      <c r="AF71" s="12"/>
    </row>
    <row r="72" spans="29:32">
      <c r="AC72" s="44"/>
      <c r="AD72" s="44"/>
      <c r="AE72" s="44"/>
      <c r="AF72" s="12"/>
    </row>
    <row r="73" spans="29:32">
      <c r="AC73" s="44"/>
      <c r="AD73" s="44"/>
      <c r="AE73" s="44"/>
      <c r="AF73" s="12"/>
    </row>
    <row r="74" spans="29:32">
      <c r="AC74" s="44"/>
      <c r="AD74" s="44"/>
      <c r="AE74" s="44"/>
      <c r="AF74" s="12"/>
    </row>
    <row r="75" spans="29:32">
      <c r="AC75" s="44"/>
      <c r="AD75" s="44"/>
      <c r="AE75" s="44"/>
      <c r="AF75" s="12"/>
    </row>
    <row r="76" spans="29:32">
      <c r="AC76" s="44"/>
      <c r="AD76" s="44"/>
      <c r="AE76" s="44"/>
      <c r="AF76" s="12"/>
    </row>
    <row r="77" spans="29:32">
      <c r="AC77" s="44"/>
      <c r="AD77" s="44"/>
      <c r="AE77" s="44"/>
      <c r="AF77" s="12"/>
    </row>
    <row r="78" spans="29:32">
      <c r="AC78" s="44"/>
      <c r="AD78" s="44"/>
      <c r="AE78" s="44"/>
      <c r="AF78" s="12"/>
    </row>
  </sheetData>
  <sheetProtection algorithmName="SHA-512" hashValue="1xrqJ1N1g4ftex4AEmI/ttPlIU1RqxmzAzQDwL5vvZpUo2Cpcar/As9+qST2Jo41chOyTHPEoOkvD2NiC+bqiA==" saltValue="m4x6H5RPHdtUBqSoHmHhVQ==" spinCount="100000" sheet="1" objects="1" scenarios="1"/>
  <pageMargins left="0.7" right="0.7" top="0.75" bottom="0.75" header="0.3" footer="0.3"/>
  <pageSetup orientation="portrait" horizontalDpi="360"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BC0D0-D9CC-4E21-9D5A-4AE420CA4E47}">
  <sheetPr codeName="Sheet4"/>
  <dimension ref="A1:W38"/>
  <sheetViews>
    <sheetView workbookViewId="0">
      <selection activeCell="E23" sqref="E23"/>
    </sheetView>
  </sheetViews>
  <sheetFormatPr baseColWidth="10" defaultColWidth="8.83203125" defaultRowHeight="15"/>
  <cols>
    <col min="1" max="1" width="20.5" customWidth="1"/>
    <col min="2" max="2" width="8.1640625" customWidth="1"/>
    <col min="3" max="3" width="46.83203125" bestFit="1" customWidth="1"/>
    <col min="4" max="5" width="27.6640625" bestFit="1" customWidth="1"/>
    <col min="6" max="7" width="23.5" bestFit="1" customWidth="1"/>
    <col min="8" max="11" width="23.1640625" bestFit="1" customWidth="1"/>
    <col min="12" max="13" width="23.5" bestFit="1" customWidth="1"/>
    <col min="14" max="15" width="29" bestFit="1" customWidth="1"/>
    <col min="16" max="17" width="24.83203125" bestFit="1" customWidth="1"/>
    <col min="18" max="21" width="24.5" bestFit="1" customWidth="1"/>
    <col min="22" max="23" width="24.83203125" bestFit="1" customWidth="1"/>
  </cols>
  <sheetData>
    <row r="1" spans="3:23">
      <c r="C1" s="2" t="s">
        <v>369</v>
      </c>
      <c r="D1" t="s">
        <v>530</v>
      </c>
      <c r="E1" t="s">
        <v>532</v>
      </c>
      <c r="F1" t="s">
        <v>526</v>
      </c>
      <c r="G1" t="s">
        <v>528</v>
      </c>
      <c r="H1" t="s">
        <v>572</v>
      </c>
      <c r="I1" t="s">
        <v>573</v>
      </c>
      <c r="J1" t="s">
        <v>574</v>
      </c>
      <c r="K1" t="s">
        <v>575</v>
      </c>
      <c r="L1" t="s">
        <v>576</v>
      </c>
      <c r="M1" t="s">
        <v>577</v>
      </c>
      <c r="N1" t="s">
        <v>531</v>
      </c>
      <c r="O1" t="s">
        <v>533</v>
      </c>
      <c r="P1" t="s">
        <v>527</v>
      </c>
      <c r="Q1" t="s">
        <v>529</v>
      </c>
      <c r="R1" t="s">
        <v>578</v>
      </c>
      <c r="S1" t="s">
        <v>579</v>
      </c>
      <c r="T1" t="s">
        <v>580</v>
      </c>
      <c r="U1" t="s">
        <v>581</v>
      </c>
      <c r="V1" t="s">
        <v>582</v>
      </c>
      <c r="W1" t="s">
        <v>583</v>
      </c>
    </row>
    <row r="2" spans="3:23">
      <c r="C2" t="s">
        <v>378</v>
      </c>
      <c r="D2">
        <v>93.134101267969996</v>
      </c>
      <c r="E2">
        <v>93.134101267969996</v>
      </c>
      <c r="F2">
        <v>0</v>
      </c>
      <c r="G2">
        <v>0</v>
      </c>
      <c r="H2">
        <v>1.8306888037278701E-2</v>
      </c>
      <c r="I2">
        <v>1.8306888037278701E-2</v>
      </c>
      <c r="J2">
        <v>5.3965859997525403</v>
      </c>
      <c r="K2">
        <v>5.3965859997525403</v>
      </c>
      <c r="L2">
        <v>1.58363197081795</v>
      </c>
      <c r="M2">
        <v>1.58363197081795</v>
      </c>
      <c r="N2">
        <v>21.5923671969529</v>
      </c>
      <c r="O2">
        <v>21.5923671969529</v>
      </c>
      <c r="P2">
        <v>0</v>
      </c>
      <c r="Q2">
        <v>0</v>
      </c>
      <c r="R2">
        <v>1.2780981474449501E-2</v>
      </c>
      <c r="S2">
        <v>1.2780981474449501E-2</v>
      </c>
      <c r="T2">
        <v>1.0395938688283901</v>
      </c>
      <c r="U2">
        <v>1.0395938688283901</v>
      </c>
      <c r="V2">
        <v>0.496066907891418</v>
      </c>
      <c r="W2">
        <v>0.496066907891418</v>
      </c>
    </row>
    <row r="3" spans="3:23">
      <c r="C3" t="s">
        <v>380</v>
      </c>
      <c r="D3">
        <v>63.120089627139301</v>
      </c>
      <c r="E3">
        <v>63.120089627139301</v>
      </c>
      <c r="F3">
        <v>0</v>
      </c>
      <c r="G3">
        <v>0</v>
      </c>
      <c r="H3">
        <v>1.69062861962112E-2</v>
      </c>
      <c r="I3">
        <v>1.69062861962112E-2</v>
      </c>
      <c r="J3">
        <v>3.58865713815841</v>
      </c>
      <c r="K3">
        <v>3.58865713815841</v>
      </c>
      <c r="L3">
        <v>1.0551934307816599</v>
      </c>
      <c r="M3">
        <v>1.0551934307816599</v>
      </c>
      <c r="N3">
        <v>17.1309046919793</v>
      </c>
      <c r="O3">
        <v>17.1309046919793</v>
      </c>
      <c r="P3">
        <v>0</v>
      </c>
      <c r="Q3">
        <v>0</v>
      </c>
      <c r="R3">
        <v>1.13535227935185E-2</v>
      </c>
      <c r="S3">
        <v>1.13535227935185E-2</v>
      </c>
      <c r="T3">
        <v>0.80994592224784601</v>
      </c>
      <c r="U3">
        <v>0.80994592224784601</v>
      </c>
      <c r="V3">
        <v>0.40762585804444801</v>
      </c>
      <c r="W3">
        <v>0.40762585804444801</v>
      </c>
    </row>
    <row r="4" spans="3:23">
      <c r="C4" t="s">
        <v>384</v>
      </c>
      <c r="D4">
        <v>6.7991280499604301</v>
      </c>
      <c r="E4">
        <v>6.7991280499604301</v>
      </c>
      <c r="F4">
        <v>0</v>
      </c>
      <c r="G4">
        <v>0</v>
      </c>
      <c r="H4">
        <v>1.8193811916596E-3</v>
      </c>
      <c r="I4">
        <v>1.8193811916596E-3</v>
      </c>
      <c r="J4">
        <v>0.386221158388244</v>
      </c>
      <c r="K4">
        <v>0.386221158388244</v>
      </c>
      <c r="L4">
        <v>0.113556572491568</v>
      </c>
      <c r="M4">
        <v>0.113556572491568</v>
      </c>
      <c r="N4">
        <v>1.8439221321286601</v>
      </c>
      <c r="O4">
        <v>1.8439221321286601</v>
      </c>
      <c r="P4">
        <v>0</v>
      </c>
      <c r="Q4">
        <v>0</v>
      </c>
      <c r="R4">
        <v>1.2218122077390101E-3</v>
      </c>
      <c r="S4">
        <v>1.2218122077390101E-3</v>
      </c>
      <c r="T4">
        <v>8.7163400697974694E-2</v>
      </c>
      <c r="U4">
        <v>8.7163400697974694E-2</v>
      </c>
      <c r="V4">
        <v>4.3866850854150902E-2</v>
      </c>
      <c r="W4">
        <v>4.3866850854150902E-2</v>
      </c>
    </row>
    <row r="5" spans="3:23">
      <c r="C5" t="s">
        <v>376</v>
      </c>
      <c r="D5">
        <v>393.38232889784598</v>
      </c>
      <c r="E5">
        <v>393.38232889784598</v>
      </c>
      <c r="F5">
        <v>0</v>
      </c>
      <c r="G5">
        <v>0</v>
      </c>
      <c r="H5">
        <v>8.6304233771845595E-2</v>
      </c>
      <c r="I5">
        <v>8.6304233771845595E-2</v>
      </c>
      <c r="J5">
        <v>22.759193684167801</v>
      </c>
      <c r="K5">
        <v>22.759193684167801</v>
      </c>
      <c r="L5">
        <v>6.6767178960121996</v>
      </c>
      <c r="M5">
        <v>6.6767178960121996</v>
      </c>
      <c r="N5">
        <v>90.792261700403103</v>
      </c>
      <c r="O5">
        <v>90.792261700403103</v>
      </c>
      <c r="P5">
        <v>0</v>
      </c>
      <c r="Q5">
        <v>0</v>
      </c>
      <c r="R5">
        <v>5.3831249249704401E-2</v>
      </c>
      <c r="S5">
        <v>5.3831249249704401E-2</v>
      </c>
      <c r="T5">
        <v>4.3651659251027404</v>
      </c>
      <c r="U5">
        <v>4.3651659251027404</v>
      </c>
      <c r="V5">
        <v>2.08665088524257</v>
      </c>
      <c r="W5">
        <v>2.08665088524257</v>
      </c>
    </row>
    <row r="6" spans="3:23">
      <c r="C6" t="s">
        <v>375</v>
      </c>
      <c r="D6">
        <v>529.73391443707897</v>
      </c>
      <c r="E6">
        <v>529.73391443707897</v>
      </c>
      <c r="F6">
        <v>0</v>
      </c>
      <c r="G6">
        <v>0</v>
      </c>
      <c r="H6">
        <v>0.116221322743538</v>
      </c>
      <c r="I6">
        <v>0.116221322743538</v>
      </c>
      <c r="J6">
        <v>30.6485408678395</v>
      </c>
      <c r="K6">
        <v>30.6485408678395</v>
      </c>
      <c r="L6">
        <v>8.9911775215002407</v>
      </c>
      <c r="M6">
        <v>8.9911775215002407</v>
      </c>
      <c r="N6">
        <v>122.264389461308</v>
      </c>
      <c r="O6">
        <v>122.264389461308</v>
      </c>
      <c r="P6">
        <v>0</v>
      </c>
      <c r="Q6">
        <v>0</v>
      </c>
      <c r="R6">
        <v>7.2491692168521096E-2</v>
      </c>
      <c r="S6">
        <v>7.2491692168521096E-2</v>
      </c>
      <c r="T6">
        <v>5.8783351202072396</v>
      </c>
      <c r="U6">
        <v>5.8783351202072396</v>
      </c>
      <c r="V6">
        <v>2.8099816861807798</v>
      </c>
      <c r="W6">
        <v>2.8099816861807798</v>
      </c>
    </row>
    <row r="7" spans="3:23">
      <c r="C7" t="s">
        <v>374</v>
      </c>
      <c r="D7">
        <v>809.38812122407398</v>
      </c>
      <c r="E7">
        <v>809.38812122407398</v>
      </c>
      <c r="F7">
        <v>0</v>
      </c>
      <c r="G7">
        <v>0</v>
      </c>
      <c r="H7">
        <v>0.17756595600785999</v>
      </c>
      <c r="I7">
        <v>0.17756595600785999</v>
      </c>
      <c r="J7">
        <v>46.825832931207003</v>
      </c>
      <c r="K7">
        <v>46.825832931207003</v>
      </c>
      <c r="L7">
        <v>13.7369667410563</v>
      </c>
      <c r="M7">
        <v>13.7369667410563</v>
      </c>
      <c r="N7">
        <v>186.801282370872</v>
      </c>
      <c r="O7">
        <v>186.801282370872</v>
      </c>
      <c r="P7">
        <v>0</v>
      </c>
      <c r="Q7">
        <v>0</v>
      </c>
      <c r="R7">
        <v>0.110754669690954</v>
      </c>
      <c r="S7">
        <v>0.110754669690954</v>
      </c>
      <c r="T7">
        <v>8.9810791682753806</v>
      </c>
      <c r="U7">
        <v>8.9810791682753806</v>
      </c>
      <c r="V7">
        <v>4.2931633774102096</v>
      </c>
      <c r="W7">
        <v>4.2931633774102096</v>
      </c>
    </row>
    <row r="8" spans="3:23">
      <c r="C8" t="s">
        <v>381</v>
      </c>
      <c r="D8">
        <v>30.958252746438902</v>
      </c>
      <c r="E8">
        <v>30.958252746438902</v>
      </c>
      <c r="F8">
        <v>0</v>
      </c>
      <c r="G8">
        <v>0</v>
      </c>
      <c r="H8">
        <v>7.743114976202E-3</v>
      </c>
      <c r="I8">
        <v>7.743114976202E-3</v>
      </c>
      <c r="J8">
        <v>1.85370509330432</v>
      </c>
      <c r="K8">
        <v>1.85370509330432</v>
      </c>
      <c r="L8">
        <v>0.53828915085762197</v>
      </c>
      <c r="M8">
        <v>0.53828915085762197</v>
      </c>
      <c r="N8">
        <v>11.0962164895495</v>
      </c>
      <c r="O8">
        <v>11.0962164895495</v>
      </c>
      <c r="P8">
        <v>0</v>
      </c>
      <c r="Q8">
        <v>0</v>
      </c>
      <c r="R8">
        <v>5.9702085682038697E-3</v>
      </c>
      <c r="S8">
        <v>5.9702085682038697E-3</v>
      </c>
      <c r="T8">
        <v>0.55262304657661399</v>
      </c>
      <c r="U8">
        <v>0.55262304657661399</v>
      </c>
      <c r="V8">
        <v>0.24961541188816699</v>
      </c>
      <c r="W8">
        <v>0.24961541188816699</v>
      </c>
    </row>
    <row r="9" spans="3:23">
      <c r="C9" t="s">
        <v>382</v>
      </c>
      <c r="D9">
        <v>15.665752765303299</v>
      </c>
      <c r="E9">
        <v>15.665752765303299</v>
      </c>
      <c r="F9">
        <v>0</v>
      </c>
      <c r="G9">
        <v>0</v>
      </c>
      <c r="H9">
        <v>3.6930605843934999E-3</v>
      </c>
      <c r="I9">
        <v>3.6930605843934999E-3</v>
      </c>
      <c r="J9">
        <v>0.88778079573244295</v>
      </c>
      <c r="K9">
        <v>0.88778079573244295</v>
      </c>
      <c r="L9">
        <v>0.263669423582721</v>
      </c>
      <c r="M9">
        <v>0.263669423582721</v>
      </c>
      <c r="N9">
        <v>4.1405096930901504</v>
      </c>
      <c r="O9">
        <v>4.1405096930901504</v>
      </c>
      <c r="P9">
        <v>0</v>
      </c>
      <c r="Q9">
        <v>0</v>
      </c>
      <c r="R9">
        <v>2.72278041144714E-3</v>
      </c>
      <c r="S9">
        <v>2.72278041144714E-3</v>
      </c>
      <c r="T9">
        <v>0.19893198949301599</v>
      </c>
      <c r="U9">
        <v>0.19893198949301599</v>
      </c>
      <c r="V9">
        <v>9.8836771122161604E-2</v>
      </c>
      <c r="W9">
        <v>9.8836771122161604E-2</v>
      </c>
    </row>
    <row r="10" spans="3:23">
      <c r="C10" t="s">
        <v>383</v>
      </c>
      <c r="D10">
        <v>10.823301318355901</v>
      </c>
      <c r="E10">
        <v>10.823301318355901</v>
      </c>
      <c r="F10">
        <v>0</v>
      </c>
      <c r="G10">
        <v>0</v>
      </c>
      <c r="H10">
        <v>2.7118135487446001E-3</v>
      </c>
      <c r="I10">
        <v>2.7118135487446001E-3</v>
      </c>
      <c r="J10">
        <v>0.59058107499801904</v>
      </c>
      <c r="K10">
        <v>0.59058107499801904</v>
      </c>
      <c r="L10">
        <v>0.18114261077083399</v>
      </c>
      <c r="M10">
        <v>0.18114261077083399</v>
      </c>
      <c r="N10">
        <v>2.96143089858416</v>
      </c>
      <c r="O10">
        <v>2.96143089858416</v>
      </c>
      <c r="P10">
        <v>0</v>
      </c>
      <c r="Q10">
        <v>0</v>
      </c>
      <c r="R10">
        <v>2.00165959254137E-3</v>
      </c>
      <c r="S10">
        <v>2.00165959254137E-3</v>
      </c>
      <c r="T10">
        <v>0.13480996021491101</v>
      </c>
      <c r="U10">
        <v>0.13480996021491101</v>
      </c>
      <c r="V10">
        <v>7.0263888215541304E-2</v>
      </c>
      <c r="W10">
        <v>7.0263888215541304E-2</v>
      </c>
    </row>
    <row r="11" spans="3:23">
      <c r="C11" t="s">
        <v>386</v>
      </c>
      <c r="D11">
        <v>1.02553096005279</v>
      </c>
      <c r="E11">
        <v>1.02553096005279</v>
      </c>
      <c r="F11">
        <v>0</v>
      </c>
      <c r="G11">
        <v>0</v>
      </c>
      <c r="H11">
        <v>2.2947075269240001E-4</v>
      </c>
      <c r="I11">
        <v>2.2947075269240001E-4</v>
      </c>
      <c r="J11">
        <v>5.7719250594003402E-2</v>
      </c>
      <c r="K11">
        <v>5.7719250594003402E-2</v>
      </c>
      <c r="L11">
        <v>1.7476097891163399E-2</v>
      </c>
      <c r="M11">
        <v>1.7476097891163399E-2</v>
      </c>
      <c r="N11">
        <v>0.38140079510522601</v>
      </c>
      <c r="O11">
        <v>0.38140079510522601</v>
      </c>
      <c r="P11">
        <v>0</v>
      </c>
      <c r="Q11">
        <v>0</v>
      </c>
      <c r="R11">
        <v>2.20668139978401E-4</v>
      </c>
      <c r="S11">
        <v>2.20668139978401E-4</v>
      </c>
      <c r="T11">
        <v>1.9480683787751901E-2</v>
      </c>
      <c r="U11">
        <v>1.9480683787751901E-2</v>
      </c>
      <c r="V11">
        <v>8.8622770999241696E-3</v>
      </c>
      <c r="W11">
        <v>8.8622770999241696E-3</v>
      </c>
    </row>
    <row r="12" spans="3:23">
      <c r="C12" t="s">
        <v>385</v>
      </c>
      <c r="D12">
        <v>3.4882143302983</v>
      </c>
      <c r="E12">
        <v>3.4882143302983</v>
      </c>
      <c r="F12">
        <v>0</v>
      </c>
      <c r="G12">
        <v>0</v>
      </c>
      <c r="H12">
        <v>7.1310528480880004E-4</v>
      </c>
      <c r="I12">
        <v>7.1310528480880004E-4</v>
      </c>
      <c r="J12">
        <v>0.20619874874799601</v>
      </c>
      <c r="K12">
        <v>0.20619874874799601</v>
      </c>
      <c r="L12">
        <v>5.8499972711941399E-2</v>
      </c>
      <c r="M12">
        <v>5.8499972711941399E-2</v>
      </c>
      <c r="N12">
        <v>0.80987174788724503</v>
      </c>
      <c r="O12">
        <v>0.80987174788724503</v>
      </c>
      <c r="P12">
        <v>0</v>
      </c>
      <c r="Q12">
        <v>0</v>
      </c>
      <c r="R12">
        <v>5.0032876207982695E-4</v>
      </c>
      <c r="S12">
        <v>5.0032876207982695E-4</v>
      </c>
      <c r="T12">
        <v>4.0438186970099099E-2</v>
      </c>
      <c r="U12">
        <v>4.0438186970099099E-2</v>
      </c>
      <c r="V12">
        <v>1.92792690053235E-2</v>
      </c>
      <c r="W12">
        <v>1.92792690053235E-2</v>
      </c>
    </row>
    <row r="13" spans="3:23">
      <c r="C13" t="s">
        <v>373</v>
      </c>
      <c r="D13">
        <v>1185.96032744335</v>
      </c>
      <c r="E13">
        <v>1185.96032744335</v>
      </c>
      <c r="F13">
        <v>0</v>
      </c>
      <c r="G13">
        <v>0</v>
      </c>
      <c r="H13">
        <v>0.23313393358130599</v>
      </c>
      <c r="I13">
        <v>0.23313393358130599</v>
      </c>
      <c r="J13">
        <v>68.697252519011897</v>
      </c>
      <c r="K13">
        <v>68.697252519011897</v>
      </c>
      <c r="L13">
        <v>20.1595474987198</v>
      </c>
      <c r="M13">
        <v>20.1595474987198</v>
      </c>
      <c r="N13">
        <v>274.83770235669402</v>
      </c>
      <c r="O13">
        <v>274.83770235669402</v>
      </c>
      <c r="P13">
        <v>0</v>
      </c>
      <c r="Q13">
        <v>0</v>
      </c>
      <c r="R13">
        <v>0.16269019865701401</v>
      </c>
      <c r="S13">
        <v>0.16269019865701401</v>
      </c>
      <c r="T13">
        <v>13.231920875643</v>
      </c>
      <c r="U13">
        <v>13.231920875643</v>
      </c>
      <c r="V13">
        <v>6.3138803866380799</v>
      </c>
      <c r="W13">
        <v>6.3138803866380799</v>
      </c>
    </row>
    <row r="14" spans="3:23">
      <c r="C14" t="s">
        <v>370</v>
      </c>
      <c r="D14">
        <v>51178.284044323802</v>
      </c>
      <c r="E14">
        <v>51178.284044323802</v>
      </c>
      <c r="F14">
        <v>0</v>
      </c>
      <c r="G14">
        <v>0</v>
      </c>
      <c r="H14">
        <v>10.8597649579352</v>
      </c>
      <c r="I14">
        <v>10.8597649579352</v>
      </c>
      <c r="J14">
        <v>3005.76915657364</v>
      </c>
      <c r="K14">
        <v>3005.76915657364</v>
      </c>
      <c r="L14">
        <v>869.01305866213897</v>
      </c>
      <c r="M14">
        <v>869.01305866213897</v>
      </c>
      <c r="N14">
        <v>11862.7651348872</v>
      </c>
      <c r="O14">
        <v>11862.7651348872</v>
      </c>
      <c r="P14">
        <v>0</v>
      </c>
      <c r="Q14">
        <v>0</v>
      </c>
      <c r="R14">
        <v>6.9224736908925699</v>
      </c>
      <c r="S14">
        <v>6.9224736908925699</v>
      </c>
      <c r="T14">
        <v>568.67048136184997</v>
      </c>
      <c r="U14">
        <v>568.67048136184997</v>
      </c>
      <c r="V14">
        <v>270.75994509123598</v>
      </c>
      <c r="W14">
        <v>270.75994509123598</v>
      </c>
    </row>
    <row r="15" spans="3:23">
      <c r="C15" t="s">
        <v>379</v>
      </c>
      <c r="D15">
        <v>58.265392746830997</v>
      </c>
      <c r="E15">
        <v>58.265392746830997</v>
      </c>
      <c r="F15">
        <v>0</v>
      </c>
      <c r="G15">
        <v>0</v>
      </c>
      <c r="H15">
        <v>1.5611249043848001E-2</v>
      </c>
      <c r="I15">
        <v>1.5611249043848001E-2</v>
      </c>
      <c r="J15">
        <v>3.1162737689094899</v>
      </c>
      <c r="K15">
        <v>3.1162737689094899</v>
      </c>
      <c r="L15">
        <v>0.97726515260819902</v>
      </c>
      <c r="M15">
        <v>0.97726515260819902</v>
      </c>
      <c r="N15">
        <v>16.538104190981699</v>
      </c>
      <c r="O15">
        <v>16.538104190981699</v>
      </c>
      <c r="P15">
        <v>0</v>
      </c>
      <c r="Q15">
        <v>0</v>
      </c>
      <c r="R15">
        <v>1.11473780428174E-2</v>
      </c>
      <c r="S15">
        <v>1.11473780428174E-2</v>
      </c>
      <c r="T15">
        <v>0.76283894552505704</v>
      </c>
      <c r="U15">
        <v>0.76283894552505704</v>
      </c>
      <c r="V15">
        <v>0.39141385448351201</v>
      </c>
      <c r="W15">
        <v>0.39141385448351201</v>
      </c>
    </row>
    <row r="16" spans="3:23">
      <c r="C16" t="s">
        <v>377</v>
      </c>
      <c r="D16">
        <v>131.61222902039401</v>
      </c>
      <c r="E16">
        <v>131.61222902039401</v>
      </c>
      <c r="F16">
        <v>0</v>
      </c>
      <c r="G16">
        <v>0</v>
      </c>
      <c r="H16">
        <v>3.5253205150360199E-2</v>
      </c>
      <c r="I16">
        <v>3.5253205150360199E-2</v>
      </c>
      <c r="J16">
        <v>7.0426847077091397</v>
      </c>
      <c r="K16">
        <v>7.0426847077091397</v>
      </c>
      <c r="L16">
        <v>2.20833147257903</v>
      </c>
      <c r="M16">
        <v>2.20833147257903</v>
      </c>
      <c r="N16">
        <v>37.366558038853597</v>
      </c>
      <c r="O16">
        <v>37.366558038853597</v>
      </c>
      <c r="P16">
        <v>0</v>
      </c>
      <c r="Q16">
        <v>0</v>
      </c>
      <c r="R16">
        <v>2.5186948820185798E-2</v>
      </c>
      <c r="S16">
        <v>2.5186948820185798E-2</v>
      </c>
      <c r="T16">
        <v>1.72385483433634</v>
      </c>
      <c r="U16">
        <v>1.72385483433634</v>
      </c>
      <c r="V16">
        <v>0.88450060913502104</v>
      </c>
      <c r="W16">
        <v>0.88450060913502104</v>
      </c>
    </row>
    <row r="17" spans="1:23">
      <c r="C17" t="s">
        <v>387</v>
      </c>
      <c r="D17">
        <v>0.25697797810775502</v>
      </c>
      <c r="E17">
        <v>0.25697797810775502</v>
      </c>
      <c r="F17">
        <v>0</v>
      </c>
      <c r="G17">
        <v>0</v>
      </c>
      <c r="H17" s="37">
        <v>5.6288801456416702E-5</v>
      </c>
      <c r="I17" s="37">
        <v>5.6288801456416702E-5</v>
      </c>
      <c r="J17">
        <v>1.46463854063567E-2</v>
      </c>
      <c r="K17">
        <v>1.46463854063567E-2</v>
      </c>
      <c r="L17">
        <v>4.3919669733501997E-3</v>
      </c>
      <c r="M17">
        <v>4.3919669733501997E-3</v>
      </c>
      <c r="N17">
        <v>5.9628716128849901E-2</v>
      </c>
      <c r="O17">
        <v>5.9628716128849901E-2</v>
      </c>
      <c r="P17">
        <v>0</v>
      </c>
      <c r="Q17">
        <v>0</v>
      </c>
      <c r="R17" s="37">
        <v>3.98272540275977E-5</v>
      </c>
      <c r="S17" s="37">
        <v>3.98272540275977E-5</v>
      </c>
      <c r="T17">
        <v>2.88019760214971E-3</v>
      </c>
      <c r="U17">
        <v>2.88019760214971E-3</v>
      </c>
      <c r="V17">
        <v>1.4514030113044101E-3</v>
      </c>
      <c r="W17">
        <v>1.4514030113044101E-3</v>
      </c>
    </row>
    <row r="18" spans="1:23">
      <c r="C18" t="s">
        <v>372</v>
      </c>
      <c r="D18">
        <v>1691.9269842538699</v>
      </c>
      <c r="E18">
        <v>1691.9269842538699</v>
      </c>
      <c r="F18">
        <v>0</v>
      </c>
      <c r="G18">
        <v>0</v>
      </c>
      <c r="H18">
        <v>0.33251607079925699</v>
      </c>
      <c r="I18">
        <v>0.33251607079925699</v>
      </c>
      <c r="J18">
        <v>97.920359123787506</v>
      </c>
      <c r="K18">
        <v>97.920359123787506</v>
      </c>
      <c r="L18">
        <v>28.735324851186601</v>
      </c>
      <c r="M18">
        <v>28.735324851186601</v>
      </c>
      <c r="N18">
        <v>391.68512907491498</v>
      </c>
      <c r="O18">
        <v>391.68512907491498</v>
      </c>
      <c r="P18">
        <v>0</v>
      </c>
      <c r="Q18">
        <v>0</v>
      </c>
      <c r="R18">
        <v>0.23183073473908</v>
      </c>
      <c r="S18">
        <v>0.23183073473908</v>
      </c>
      <c r="T18">
        <v>18.854465253454599</v>
      </c>
      <c r="U18">
        <v>18.854465253454599</v>
      </c>
      <c r="V18">
        <v>8.9961691970008406</v>
      </c>
      <c r="W18">
        <v>8.9961691970008406</v>
      </c>
    </row>
    <row r="19" spans="1:23">
      <c r="C19" t="s">
        <v>371</v>
      </c>
      <c r="D19">
        <v>8725.7590283190493</v>
      </c>
      <c r="E19">
        <v>8725.7590283190493</v>
      </c>
      <c r="F19">
        <v>0</v>
      </c>
      <c r="G19">
        <v>0</v>
      </c>
      <c r="H19">
        <v>1.8328471703475999</v>
      </c>
      <c r="I19">
        <v>1.8328471703475999</v>
      </c>
      <c r="J19">
        <v>513.59594080021395</v>
      </c>
      <c r="K19">
        <v>513.59594080021395</v>
      </c>
      <c r="L19">
        <v>148.25291564006201</v>
      </c>
      <c r="M19">
        <v>148.25291564006201</v>
      </c>
      <c r="N19">
        <v>2012.0577411839799</v>
      </c>
      <c r="O19">
        <v>2012.0577411839799</v>
      </c>
      <c r="P19">
        <v>0</v>
      </c>
      <c r="Q19">
        <v>0</v>
      </c>
      <c r="R19">
        <v>1.17201714872187</v>
      </c>
      <c r="S19">
        <v>1.17201714872187</v>
      </c>
      <c r="T19">
        <v>96.490662094536503</v>
      </c>
      <c r="U19">
        <v>96.490662094536503</v>
      </c>
      <c r="V19">
        <v>45.916640197378896</v>
      </c>
      <c r="W19">
        <v>45.916640197378896</v>
      </c>
    </row>
    <row r="21" spans="1:23">
      <c r="A21" s="2" t="s">
        <v>585</v>
      </c>
      <c r="C21" s="2" t="s">
        <v>388</v>
      </c>
      <c r="D21" t="s">
        <v>530</v>
      </c>
      <c r="E21" t="s">
        <v>532</v>
      </c>
      <c r="F21" t="s">
        <v>526</v>
      </c>
      <c r="G21" t="s">
        <v>528</v>
      </c>
      <c r="H21" t="s">
        <v>572</v>
      </c>
      <c r="I21" t="s">
        <v>573</v>
      </c>
      <c r="J21" t="s">
        <v>574</v>
      </c>
      <c r="K21" t="s">
        <v>575</v>
      </c>
      <c r="L21" t="s">
        <v>576</v>
      </c>
      <c r="M21" t="s">
        <v>577</v>
      </c>
      <c r="N21" t="s">
        <v>531</v>
      </c>
      <c r="O21" t="s">
        <v>533</v>
      </c>
      <c r="P21" t="s">
        <v>527</v>
      </c>
      <c r="Q21" t="s">
        <v>529</v>
      </c>
      <c r="R21" t="s">
        <v>578</v>
      </c>
      <c r="S21" t="s">
        <v>579</v>
      </c>
      <c r="T21" t="s">
        <v>580</v>
      </c>
      <c r="U21" t="s">
        <v>581</v>
      </c>
      <c r="V21" t="s">
        <v>582</v>
      </c>
      <c r="W21" t="s">
        <v>583</v>
      </c>
    </row>
    <row r="22" spans="1:23">
      <c r="A22" t="s">
        <v>586</v>
      </c>
      <c r="B22" s="142">
        <f>(D24+H24+J24+L24)/1000000</f>
        <v>1163.3890443171003</v>
      </c>
      <c r="C22" t="s">
        <v>392</v>
      </c>
      <c r="D22">
        <v>668919998.11120296</v>
      </c>
      <c r="E22">
        <v>668919998.11120296</v>
      </c>
      <c r="F22">
        <v>0</v>
      </c>
      <c r="G22">
        <v>0</v>
      </c>
      <c r="H22">
        <v>178651.33919703501</v>
      </c>
      <c r="I22">
        <v>178651.33919703501</v>
      </c>
      <c r="J22">
        <v>35829691.045675501</v>
      </c>
      <c r="K22">
        <v>35829691.045675501</v>
      </c>
      <c r="L22">
        <v>11221943.612215601</v>
      </c>
      <c r="M22">
        <v>11221943.612215601</v>
      </c>
      <c r="N22">
        <v>189320262.46895501</v>
      </c>
      <c r="O22">
        <v>189320262.46895501</v>
      </c>
      <c r="P22">
        <v>0</v>
      </c>
      <c r="Q22">
        <v>0</v>
      </c>
      <c r="R22">
        <v>127457.08777765</v>
      </c>
      <c r="S22">
        <v>127457.08777765</v>
      </c>
      <c r="T22">
        <v>8737862.9609898701</v>
      </c>
      <c r="U22">
        <v>8737862.9609898701</v>
      </c>
      <c r="V22">
        <v>4480017.0678506903</v>
      </c>
      <c r="W22">
        <v>4480017.0678506903</v>
      </c>
    </row>
    <row r="23" spans="1:23">
      <c r="A23" t="s">
        <v>587</v>
      </c>
      <c r="B23" s="142">
        <f>(N24+R24+T24+V24)/1000000</f>
        <v>329.59761926650697</v>
      </c>
      <c r="C23" t="s">
        <v>389</v>
      </c>
      <c r="D23">
        <v>1504397260.98281</v>
      </c>
      <c r="E23">
        <v>1504397260.98281</v>
      </c>
      <c r="F23">
        <v>0</v>
      </c>
      <c r="G23">
        <v>0</v>
      </c>
      <c r="H23">
        <v>402355.76592329802</v>
      </c>
      <c r="I23">
        <v>402355.76592329802</v>
      </c>
      <c r="J23">
        <v>80584050.221341103</v>
      </c>
      <c r="K23">
        <v>80584050.221341103</v>
      </c>
      <c r="L23">
        <v>25244137.555848502</v>
      </c>
      <c r="M23">
        <v>25244137.555848502</v>
      </c>
      <c r="N23">
        <v>426465326.55538797</v>
      </c>
      <c r="O23">
        <v>426465326.55538797</v>
      </c>
      <c r="P23">
        <v>0</v>
      </c>
      <c r="Q23">
        <v>0</v>
      </c>
      <c r="R23">
        <v>287270.77966832701</v>
      </c>
      <c r="S23">
        <v>287270.77966832701</v>
      </c>
      <c r="T23">
        <v>19682674.246047702</v>
      </c>
      <c r="U23">
        <v>19682674.246047702</v>
      </c>
      <c r="V23">
        <v>10094367.366335699</v>
      </c>
      <c r="W23">
        <v>10094367.366335699</v>
      </c>
    </row>
    <row r="24" spans="1:23">
      <c r="A24" t="s">
        <v>588</v>
      </c>
      <c r="B24" s="142">
        <f>F24/1000000</f>
        <v>0</v>
      </c>
      <c r="C24" t="s">
        <v>391</v>
      </c>
      <c r="D24">
        <v>1086658629.5469999</v>
      </c>
      <c r="E24">
        <v>1086658629.5469999</v>
      </c>
      <c r="F24">
        <v>0</v>
      </c>
      <c r="G24">
        <v>0</v>
      </c>
      <c r="H24">
        <v>290503.55256016698</v>
      </c>
      <c r="I24">
        <v>290503.55256016698</v>
      </c>
      <c r="J24">
        <v>58206870.633508302</v>
      </c>
      <c r="K24">
        <v>58206870.633508302</v>
      </c>
      <c r="L24">
        <v>18233040.5840321</v>
      </c>
      <c r="M24">
        <v>18233040.5840321</v>
      </c>
      <c r="N24">
        <v>307892794.51217198</v>
      </c>
      <c r="O24">
        <v>307892794.51217198</v>
      </c>
      <c r="P24">
        <v>0</v>
      </c>
      <c r="Q24">
        <v>0</v>
      </c>
      <c r="R24">
        <v>207363.93372298899</v>
      </c>
      <c r="S24">
        <v>207363.93372298899</v>
      </c>
      <c r="T24">
        <v>14210268.603518801</v>
      </c>
      <c r="U24">
        <v>14210268.603518801</v>
      </c>
      <c r="V24">
        <v>7287192.2170932097</v>
      </c>
      <c r="W24">
        <v>7287192.2170932097</v>
      </c>
    </row>
    <row r="25" spans="1:23">
      <c r="A25" t="s">
        <v>589</v>
      </c>
      <c r="B25" s="142">
        <f>P24/1000000</f>
        <v>0</v>
      </c>
      <c r="C25" t="s">
        <v>403</v>
      </c>
      <c r="D25">
        <v>58165.308343456098</v>
      </c>
      <c r="E25">
        <v>58165.308343456098</v>
      </c>
      <c r="F25">
        <v>0</v>
      </c>
      <c r="G25">
        <v>0</v>
      </c>
      <c r="H25">
        <v>11.4332534807392</v>
      </c>
      <c r="I25">
        <v>11.4332534807392</v>
      </c>
      <c r="J25">
        <v>3370.3453880381899</v>
      </c>
      <c r="K25">
        <v>3370.3453880381899</v>
      </c>
      <c r="L25">
        <v>989.03023308456295</v>
      </c>
      <c r="M25">
        <v>989.03023308456295</v>
      </c>
      <c r="N25">
        <v>13485.143237301199</v>
      </c>
      <c r="O25">
        <v>13485.143237301199</v>
      </c>
      <c r="P25">
        <v>0</v>
      </c>
      <c r="Q25">
        <v>0</v>
      </c>
      <c r="R25">
        <v>7.9821431492049904</v>
      </c>
      <c r="S25">
        <v>7.9821431492049904</v>
      </c>
      <c r="T25">
        <v>649.26055128173505</v>
      </c>
      <c r="U25">
        <v>649.26055128173505</v>
      </c>
      <c r="V25">
        <v>309.81009387173998</v>
      </c>
      <c r="W25">
        <v>309.81009387173998</v>
      </c>
    </row>
    <row r="26" spans="1:23">
      <c r="A26" t="s">
        <v>590</v>
      </c>
      <c r="B26" s="142">
        <f>SUM(B22:B25)</f>
        <v>1492.9866635836074</v>
      </c>
      <c r="C26" t="s">
        <v>394</v>
      </c>
      <c r="D26">
        <v>9868025.9297126792</v>
      </c>
      <c r="E26">
        <v>9868025.9297126792</v>
      </c>
      <c r="F26">
        <v>0</v>
      </c>
      <c r="G26">
        <v>0</v>
      </c>
      <c r="H26">
        <v>2605.7086620752102</v>
      </c>
      <c r="I26">
        <v>2605.7086620752102</v>
      </c>
      <c r="J26">
        <v>561255.88697239303</v>
      </c>
      <c r="K26">
        <v>561255.88697239303</v>
      </c>
      <c r="L26">
        <v>164930.31321611401</v>
      </c>
      <c r="M26">
        <v>164930.31321611401</v>
      </c>
      <c r="N26">
        <v>2681911.8060742002</v>
      </c>
      <c r="O26">
        <v>2681911.8060742002</v>
      </c>
      <c r="P26">
        <v>0</v>
      </c>
      <c r="Q26">
        <v>0</v>
      </c>
      <c r="R26">
        <v>1767.7534784478401</v>
      </c>
      <c r="S26">
        <v>1767.7534784478401</v>
      </c>
      <c r="T26">
        <v>127146.170116359</v>
      </c>
      <c r="U26">
        <v>127146.170116359</v>
      </c>
      <c r="V26">
        <v>63766.110259620698</v>
      </c>
      <c r="W26">
        <v>63766.110259620698</v>
      </c>
    </row>
    <row r="27" spans="1:23">
      <c r="A27" t="s">
        <v>591</v>
      </c>
      <c r="C27" t="s">
        <v>398</v>
      </c>
      <c r="D27">
        <v>1063008.5405781299</v>
      </c>
      <c r="E27">
        <v>1063008.5405781299</v>
      </c>
      <c r="F27">
        <v>0</v>
      </c>
      <c r="G27">
        <v>0</v>
      </c>
      <c r="H27">
        <v>280.42772034322502</v>
      </c>
      <c r="I27">
        <v>280.42772034322502</v>
      </c>
      <c r="J27">
        <v>60406.642645710199</v>
      </c>
      <c r="K27">
        <v>60406.642645710199</v>
      </c>
      <c r="L27">
        <v>17750.082137052399</v>
      </c>
      <c r="M27">
        <v>17750.082137052399</v>
      </c>
      <c r="N27">
        <v>288686.88730037399</v>
      </c>
      <c r="O27">
        <v>288686.88730037399</v>
      </c>
      <c r="P27">
        <v>0</v>
      </c>
      <c r="Q27">
        <v>0</v>
      </c>
      <c r="R27">
        <v>190.24585686839899</v>
      </c>
      <c r="S27">
        <v>190.24585686839899</v>
      </c>
      <c r="T27">
        <v>13683.6263307929</v>
      </c>
      <c r="U27">
        <v>13683.6263307929</v>
      </c>
      <c r="V27">
        <v>6862.5319728147897</v>
      </c>
      <c r="W27">
        <v>6862.5319728147897</v>
      </c>
    </row>
    <row r="28" spans="1:23">
      <c r="A28" t="s">
        <v>592</v>
      </c>
      <c r="C28" t="s">
        <v>401</v>
      </c>
      <c r="D28">
        <v>130117.93895174599</v>
      </c>
      <c r="E28">
        <v>130117.93895174599</v>
      </c>
      <c r="F28">
        <v>0</v>
      </c>
      <c r="G28">
        <v>0</v>
      </c>
      <c r="H28">
        <v>28.546377852945</v>
      </c>
      <c r="I28">
        <v>28.546377852945</v>
      </c>
      <c r="J28">
        <v>7527.9378693031003</v>
      </c>
      <c r="K28">
        <v>7527.9378693031003</v>
      </c>
      <c r="L28">
        <v>2208.4215991034898</v>
      </c>
      <c r="M28">
        <v>2208.4215991034898</v>
      </c>
      <c r="N28">
        <v>30030.9143509764</v>
      </c>
      <c r="O28">
        <v>30030.9143509764</v>
      </c>
      <c r="P28">
        <v>0</v>
      </c>
      <c r="Q28">
        <v>0</v>
      </c>
      <c r="R28">
        <v>17.805467484051601</v>
      </c>
      <c r="S28">
        <v>17.805467484051601</v>
      </c>
      <c r="T28">
        <v>1443.8421084387801</v>
      </c>
      <c r="U28">
        <v>1443.8421084387801</v>
      </c>
      <c r="V28">
        <v>690.19006976857997</v>
      </c>
      <c r="W28">
        <v>690.19006976857997</v>
      </c>
    </row>
    <row r="29" spans="1:23">
      <c r="C29" t="s">
        <v>405</v>
      </c>
      <c r="D29">
        <v>17441.7277247891</v>
      </c>
      <c r="E29">
        <v>17441.7277247891</v>
      </c>
      <c r="F29">
        <v>0</v>
      </c>
      <c r="G29">
        <v>0</v>
      </c>
      <c r="H29">
        <v>4.36243298770429</v>
      </c>
      <c r="I29">
        <v>4.36243298770429</v>
      </c>
      <c r="J29">
        <v>1044.36835484775</v>
      </c>
      <c r="K29">
        <v>1044.36835484775</v>
      </c>
      <c r="L29">
        <v>303.26946660110798</v>
      </c>
      <c r="M29">
        <v>303.26946660110798</v>
      </c>
      <c r="N29">
        <v>6251.5539307652198</v>
      </c>
      <c r="O29">
        <v>6251.5539307652198</v>
      </c>
      <c r="P29">
        <v>0</v>
      </c>
      <c r="Q29">
        <v>0</v>
      </c>
      <c r="R29">
        <v>3.3635862157902601</v>
      </c>
      <c r="S29">
        <v>3.3635862157902601</v>
      </c>
      <c r="T29">
        <v>311.34511312011301</v>
      </c>
      <c r="U29">
        <v>311.34511312011301</v>
      </c>
      <c r="V29">
        <v>140.63209837402999</v>
      </c>
      <c r="W29">
        <v>140.63209837402999</v>
      </c>
    </row>
    <row r="30" spans="1:23">
      <c r="A30" s="2" t="s">
        <v>593</v>
      </c>
      <c r="C30" t="s">
        <v>399</v>
      </c>
      <c r="D30">
        <v>788233.61349973094</v>
      </c>
      <c r="E30">
        <v>788233.61349973094</v>
      </c>
      <c r="F30">
        <v>0</v>
      </c>
      <c r="G30">
        <v>0</v>
      </c>
      <c r="H30">
        <v>185.340872785442</v>
      </c>
      <c r="I30">
        <v>185.340872785442</v>
      </c>
      <c r="J30">
        <v>44711.3836279756</v>
      </c>
      <c r="K30">
        <v>44711.3836279756</v>
      </c>
      <c r="L30">
        <v>13270.110161300499</v>
      </c>
      <c r="M30">
        <v>13270.110161300499</v>
      </c>
      <c r="N30">
        <v>208212.496101033</v>
      </c>
      <c r="O30">
        <v>208212.496101033</v>
      </c>
      <c r="P30">
        <v>0</v>
      </c>
      <c r="Q30">
        <v>0</v>
      </c>
      <c r="R30">
        <v>136.682875822656</v>
      </c>
      <c r="S30">
        <v>136.682875822656</v>
      </c>
      <c r="T30">
        <v>10013.1665733601</v>
      </c>
      <c r="U30">
        <v>10013.1665733601</v>
      </c>
      <c r="V30">
        <v>4968.8139108242103</v>
      </c>
      <c r="W30">
        <v>4968.8139108242103</v>
      </c>
    </row>
    <row r="31" spans="1:23">
      <c r="A31" t="s">
        <v>594</v>
      </c>
      <c r="B31" s="142">
        <f>D24/1000000</f>
        <v>1086.6586295469999</v>
      </c>
      <c r="C31" t="s">
        <v>400</v>
      </c>
      <c r="D31">
        <v>548273.20666640799</v>
      </c>
      <c r="E31">
        <v>548273.20666640799</v>
      </c>
      <c r="F31">
        <v>0</v>
      </c>
      <c r="G31">
        <v>0</v>
      </c>
      <c r="H31">
        <v>132.778987750428</v>
      </c>
      <c r="I31">
        <v>132.778987750428</v>
      </c>
      <c r="J31">
        <v>30351.5619723011</v>
      </c>
      <c r="K31">
        <v>30351.5619723011</v>
      </c>
      <c r="L31">
        <v>9185.1097952383807</v>
      </c>
      <c r="M31">
        <v>9185.1097952383807</v>
      </c>
      <c r="N31">
        <v>148292.28089413399</v>
      </c>
      <c r="O31">
        <v>148292.28089413399</v>
      </c>
      <c r="P31">
        <v>0</v>
      </c>
      <c r="Q31">
        <v>0</v>
      </c>
      <c r="R31">
        <v>98.331566254608006</v>
      </c>
      <c r="S31">
        <v>98.331566254608006</v>
      </c>
      <c r="T31">
        <v>6881.3808341142303</v>
      </c>
      <c r="U31">
        <v>6881.3808341142303</v>
      </c>
      <c r="V31">
        <v>3516.4693775730302</v>
      </c>
      <c r="W31">
        <v>3516.4693775730302</v>
      </c>
    </row>
    <row r="32" spans="1:23">
      <c r="A32" t="s">
        <v>595</v>
      </c>
      <c r="B32" s="142">
        <f>N24/1000000</f>
        <v>307.89279451217197</v>
      </c>
      <c r="C32" t="s">
        <v>404</v>
      </c>
      <c r="D32">
        <v>32414.1374765703</v>
      </c>
      <c r="E32">
        <v>32414.1374765703</v>
      </c>
      <c r="F32">
        <v>0</v>
      </c>
      <c r="G32">
        <v>0</v>
      </c>
      <c r="H32">
        <v>6.37191244824258</v>
      </c>
      <c r="I32">
        <v>6.37191244824258</v>
      </c>
      <c r="J32">
        <v>1877.6025941898799</v>
      </c>
      <c r="K32">
        <v>1877.6025941898799</v>
      </c>
      <c r="L32">
        <v>550.99173974701603</v>
      </c>
      <c r="M32">
        <v>550.99173974701603</v>
      </c>
      <c r="N32">
        <v>7511.7412124059001</v>
      </c>
      <c r="O32">
        <v>7511.7412124059001</v>
      </c>
      <c r="P32">
        <v>0</v>
      </c>
      <c r="Q32">
        <v>0</v>
      </c>
      <c r="R32">
        <v>4.44657577773076</v>
      </c>
      <c r="S32">
        <v>4.44657577773076</v>
      </c>
      <c r="T32">
        <v>361.64894593633198</v>
      </c>
      <c r="U32">
        <v>361.64894593633198</v>
      </c>
      <c r="V32">
        <v>172.56815605653901</v>
      </c>
      <c r="W32">
        <v>172.56815605653901</v>
      </c>
    </row>
    <row r="33" spans="1:23">
      <c r="A33" t="s">
        <v>596</v>
      </c>
      <c r="B33" s="142">
        <f>(F24+H24+J24+L24)/1000000</f>
        <v>76.730414770100566</v>
      </c>
      <c r="C33" t="s">
        <v>395</v>
      </c>
      <c r="D33">
        <v>4540716.1175772604</v>
      </c>
      <c r="E33">
        <v>4540716.1175772604</v>
      </c>
      <c r="F33">
        <v>0</v>
      </c>
      <c r="G33">
        <v>0</v>
      </c>
      <c r="H33">
        <v>963.51627840610297</v>
      </c>
      <c r="I33">
        <v>963.51627840610297</v>
      </c>
      <c r="J33">
        <v>266682.33821888402</v>
      </c>
      <c r="K33">
        <v>266682.33821888402</v>
      </c>
      <c r="L33">
        <v>77101.873881407097</v>
      </c>
      <c r="M33">
        <v>77101.873881407097</v>
      </c>
      <c r="N33">
        <v>1052505.95741672</v>
      </c>
      <c r="O33">
        <v>1052505.95741672</v>
      </c>
      <c r="P33">
        <v>0</v>
      </c>
      <c r="Q33">
        <v>0</v>
      </c>
      <c r="R33">
        <v>614.18604489587005</v>
      </c>
      <c r="S33">
        <v>614.18604489587005</v>
      </c>
      <c r="T33">
        <v>50454.431377063003</v>
      </c>
      <c r="U33">
        <v>50454.431377063003</v>
      </c>
      <c r="V33">
        <v>24022.768047582998</v>
      </c>
      <c r="W33">
        <v>24022.768047582998</v>
      </c>
    </row>
    <row r="34" spans="1:23">
      <c r="A34" t="s">
        <v>597</v>
      </c>
      <c r="B34" s="142">
        <f>(P24+R24+T24+V24)/1000000</f>
        <v>21.704824754335</v>
      </c>
      <c r="C34" t="s">
        <v>393</v>
      </c>
      <c r="D34">
        <v>656693396.78529</v>
      </c>
      <c r="E34">
        <v>656693396.78529</v>
      </c>
      <c r="F34">
        <v>0</v>
      </c>
      <c r="G34">
        <v>0</v>
      </c>
      <c r="H34">
        <v>175950.14260372199</v>
      </c>
      <c r="I34">
        <v>175950.14260372199</v>
      </c>
      <c r="J34">
        <v>35122674.200619198</v>
      </c>
      <c r="K34">
        <v>35122674.200619198</v>
      </c>
      <c r="L34">
        <v>11014489.774653999</v>
      </c>
      <c r="M34">
        <v>11014489.774653999</v>
      </c>
      <c r="N34">
        <v>186396474.915301</v>
      </c>
      <c r="O34">
        <v>186396474.915301</v>
      </c>
      <c r="P34">
        <v>0</v>
      </c>
      <c r="Q34">
        <v>0</v>
      </c>
      <c r="R34">
        <v>125639.066469471</v>
      </c>
      <c r="S34">
        <v>125639.066469471</v>
      </c>
      <c r="T34">
        <v>8597750.3063207697</v>
      </c>
      <c r="U34">
        <v>8597750.3063207697</v>
      </c>
      <c r="V34">
        <v>4411519.1116357697</v>
      </c>
      <c r="W34">
        <v>4411519.1116357697</v>
      </c>
    </row>
    <row r="35" spans="1:23">
      <c r="A35" t="s">
        <v>598</v>
      </c>
      <c r="B35" s="142">
        <f>SUM(B31:B34)</f>
        <v>1492.9866635836077</v>
      </c>
      <c r="C35" t="s">
        <v>390</v>
      </c>
      <c r="D35">
        <v>1483365642.26776</v>
      </c>
      <c r="E35">
        <v>1483365642.26776</v>
      </c>
      <c r="F35">
        <v>0</v>
      </c>
      <c r="G35">
        <v>0</v>
      </c>
      <c r="H35">
        <v>397329.28838825302</v>
      </c>
      <c r="I35">
        <v>397329.28838825302</v>
      </c>
      <c r="J35">
        <v>79376184.131958306</v>
      </c>
      <c r="K35">
        <v>79376184.131958306</v>
      </c>
      <c r="L35">
        <v>24889503.487207901</v>
      </c>
      <c r="M35">
        <v>24889503.487207901</v>
      </c>
      <c r="N35">
        <v>421148314.08296102</v>
      </c>
      <c r="O35">
        <v>421148314.08296102</v>
      </c>
      <c r="P35">
        <v>0</v>
      </c>
      <c r="Q35">
        <v>0</v>
      </c>
      <c r="R35">
        <v>283875.25073856901</v>
      </c>
      <c r="S35">
        <v>283875.25073856901</v>
      </c>
      <c r="T35">
        <v>19429099.047593001</v>
      </c>
      <c r="U35">
        <v>19429099.047593001</v>
      </c>
      <c r="V35">
        <v>9968965.8318340108</v>
      </c>
      <c r="W35">
        <v>9968965.8318340108</v>
      </c>
    </row>
    <row r="36" spans="1:23">
      <c r="C36" t="s">
        <v>396</v>
      </c>
      <c r="D36">
        <v>3228287.1139056198</v>
      </c>
      <c r="E36">
        <v>3228287.1139056198</v>
      </c>
      <c r="F36">
        <v>0</v>
      </c>
      <c r="G36">
        <v>0</v>
      </c>
      <c r="H36">
        <v>707.12834514848396</v>
      </c>
      <c r="I36">
        <v>707.12834514848396</v>
      </c>
      <c r="J36">
        <v>183995.288704509</v>
      </c>
      <c r="K36">
        <v>183995.288704509</v>
      </c>
      <c r="L36">
        <v>55174.106704279198</v>
      </c>
      <c r="M36">
        <v>55174.106704279198</v>
      </c>
      <c r="N36">
        <v>749086.03964809701</v>
      </c>
      <c r="O36">
        <v>749086.03964809701</v>
      </c>
      <c r="P36">
        <v>0</v>
      </c>
      <c r="Q36">
        <v>0</v>
      </c>
      <c r="R36">
        <v>500.33007460905799</v>
      </c>
      <c r="S36">
        <v>500.33007460905799</v>
      </c>
      <c r="T36">
        <v>36182.496543047302</v>
      </c>
      <c r="U36">
        <v>36182.496543047302</v>
      </c>
      <c r="V36">
        <v>18233.257468131898</v>
      </c>
      <c r="W36">
        <v>18233.257468131898</v>
      </c>
    </row>
    <row r="37" spans="1:23">
      <c r="C37" t="s">
        <v>402</v>
      </c>
      <c r="D37">
        <v>73159.385575851993</v>
      </c>
      <c r="E37">
        <v>73159.385575851993</v>
      </c>
      <c r="F37">
        <v>0</v>
      </c>
      <c r="G37">
        <v>0</v>
      </c>
      <c r="H37">
        <v>14.378085851321901</v>
      </c>
      <c r="I37">
        <v>14.378085851321901</v>
      </c>
      <c r="J37">
        <v>4234.1031117381599</v>
      </c>
      <c r="K37">
        <v>4234.1031117381599</v>
      </c>
      <c r="L37">
        <v>1242.5233062657301</v>
      </c>
      <c r="M37">
        <v>1242.5233062657301</v>
      </c>
      <c r="N37">
        <v>16936.5721151117</v>
      </c>
      <c r="O37">
        <v>16936.5721151117</v>
      </c>
      <c r="P37">
        <v>0</v>
      </c>
      <c r="Q37">
        <v>0</v>
      </c>
      <c r="R37">
        <v>10.024424380576701</v>
      </c>
      <c r="S37">
        <v>10.024424380576701</v>
      </c>
      <c r="T37">
        <v>815.27223464214103</v>
      </c>
      <c r="U37">
        <v>815.27223464214103</v>
      </c>
      <c r="V37">
        <v>388.99681671501497</v>
      </c>
      <c r="W37">
        <v>388.99681671501497</v>
      </c>
    </row>
    <row r="38" spans="1:23">
      <c r="C38" t="s">
        <v>397</v>
      </c>
      <c r="D38">
        <v>1746784.2356144099</v>
      </c>
      <c r="E38">
        <v>1746784.2356144099</v>
      </c>
      <c r="F38">
        <v>0</v>
      </c>
      <c r="G38">
        <v>0</v>
      </c>
      <c r="H38">
        <v>366.91232625873198</v>
      </c>
      <c r="I38">
        <v>366.91232625873198</v>
      </c>
      <c r="J38">
        <v>102815.272568694</v>
      </c>
      <c r="K38">
        <v>102815.272568694</v>
      </c>
      <c r="L38">
        <v>29678.3185375018</v>
      </c>
      <c r="M38">
        <v>29678.3185375018</v>
      </c>
      <c r="N38">
        <v>402787.96744667803</v>
      </c>
      <c r="O38">
        <v>402787.96744667803</v>
      </c>
      <c r="P38">
        <v>0</v>
      </c>
      <c r="Q38">
        <v>0</v>
      </c>
      <c r="R38">
        <v>234.622692720814</v>
      </c>
      <c r="S38">
        <v>234.622692720814</v>
      </c>
      <c r="T38">
        <v>19316.184057308699</v>
      </c>
      <c r="U38">
        <v>19316.184057308699</v>
      </c>
      <c r="V38">
        <v>9191.9182032020999</v>
      </c>
      <c r="W38">
        <v>9191.9182032020999</v>
      </c>
    </row>
  </sheetData>
  <sheetProtection algorithmName="SHA-512" hashValue="WGQjvEXXMQLOj7WgK8coK/qSM2V09kGSp1W3sUspDXmcofUl6uakI6X8wEZJqmW5E0rC7aCyrFMISIyOAiWPDg==" saltValue="8l7HQ+ePVTHunsa8DL3d2g=="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V113"/>
  <sheetViews>
    <sheetView topLeftCell="E82" workbookViewId="0">
      <selection activeCell="L108" sqref="L108"/>
    </sheetView>
  </sheetViews>
  <sheetFormatPr baseColWidth="10" defaultColWidth="8.83203125" defaultRowHeight="15"/>
  <cols>
    <col min="1" max="8" width="12" customWidth="1"/>
    <col min="9" max="9" width="12.83203125" customWidth="1"/>
    <col min="10" max="12" width="12" customWidth="1"/>
    <col min="13" max="13" width="11" customWidth="1"/>
    <col min="14" max="14" width="10.6640625" customWidth="1"/>
    <col min="15" max="15" width="12" customWidth="1"/>
    <col min="16" max="16" width="20" customWidth="1"/>
    <col min="17" max="17" width="25.33203125" customWidth="1"/>
    <col min="18" max="18" width="24.6640625" customWidth="1"/>
    <col min="19" max="19" width="12" customWidth="1"/>
    <col min="20" max="20" width="14" customWidth="1"/>
    <col min="21" max="21" width="11.6640625" customWidth="1"/>
    <col min="22" max="22" width="16" customWidth="1"/>
    <col min="23" max="31" width="9.5" bestFit="1" customWidth="1"/>
    <col min="32" max="32" width="13.6640625" bestFit="1" customWidth="1"/>
    <col min="33" max="33" width="13.5" customWidth="1"/>
    <col min="34" max="34" width="12" customWidth="1"/>
  </cols>
  <sheetData>
    <row r="1" spans="1:22">
      <c r="A1" s="2" t="s">
        <v>111</v>
      </c>
      <c r="I1" s="46"/>
    </row>
    <row r="2" spans="1:22">
      <c r="A2" s="2" t="s">
        <v>23</v>
      </c>
    </row>
    <row r="4" spans="1:22">
      <c r="A4" s="2" t="s">
        <v>18</v>
      </c>
      <c r="P4" s="2" t="s">
        <v>563</v>
      </c>
      <c r="R4" s="33" t="s">
        <v>564</v>
      </c>
      <c r="S4" s="277" t="s">
        <v>565</v>
      </c>
      <c r="T4" s="277"/>
      <c r="U4" s="277"/>
      <c r="V4" s="277"/>
    </row>
    <row r="5" spans="1:22" s="2" customFormat="1">
      <c r="A5" s="2" t="s">
        <v>19</v>
      </c>
      <c r="B5" s="2" t="s">
        <v>20</v>
      </c>
      <c r="C5" s="2" t="s">
        <v>2</v>
      </c>
      <c r="D5" s="2" t="s">
        <v>47</v>
      </c>
      <c r="E5" s="2" t="s">
        <v>22</v>
      </c>
      <c r="F5" s="2" t="s">
        <v>24</v>
      </c>
      <c r="G5" s="2" t="s">
        <v>115</v>
      </c>
      <c r="H5" s="2" t="s">
        <v>116</v>
      </c>
      <c r="I5" s="2" t="s">
        <v>117</v>
      </c>
      <c r="J5" s="7"/>
      <c r="K5" s="7"/>
      <c r="L5" s="7"/>
      <c r="M5" s="7"/>
      <c r="P5"/>
      <c r="Q5"/>
      <c r="R5" t="s">
        <v>566</v>
      </c>
      <c r="S5" s="29" t="s">
        <v>2</v>
      </c>
      <c r="T5" s="29" t="s">
        <v>212</v>
      </c>
      <c r="U5" t="s">
        <v>115</v>
      </c>
      <c r="V5" s="29" t="s">
        <v>116</v>
      </c>
    </row>
    <row r="6" spans="1:22">
      <c r="A6">
        <f>'Combined MOVES output'!P16</f>
        <v>2020</v>
      </c>
      <c r="B6" s="33" t="s">
        <v>109</v>
      </c>
      <c r="C6" s="3">
        <f>'Combined MOVES output'!R16/454/2000</f>
        <v>32554.035014005931</v>
      </c>
      <c r="D6" s="3">
        <f>'Combined MOVES output'!V16/454/2000</f>
        <v>55243345.333464384</v>
      </c>
      <c r="E6" s="3">
        <f>'Combined MOVES output'!W16</f>
        <v>614219872.18812108</v>
      </c>
      <c r="F6" s="3">
        <f>'Combined MOVES output'!AA16/454/2000</f>
        <v>1690.1423606607168</v>
      </c>
      <c r="G6" s="3">
        <f>'Combined MOVES output'!AB16/454/2000</f>
        <v>29513.288593490335</v>
      </c>
      <c r="H6" s="3">
        <f>'Combined MOVES output'!AC16/454/2000</f>
        <v>683.68488904127992</v>
      </c>
      <c r="I6" s="3">
        <f>'Combined MOVES output'!AD16/454/2000</f>
        <v>3435.0207689450826</v>
      </c>
      <c r="J6" s="33"/>
      <c r="K6" s="33"/>
      <c r="L6" s="33"/>
      <c r="M6" s="33"/>
      <c r="P6" s="2" t="s">
        <v>48</v>
      </c>
      <c r="Q6" s="236" t="s">
        <v>542</v>
      </c>
      <c r="R6" s="276">
        <f>'BAU Scenario'!O90*'BAU Scenario'!M90</f>
        <v>83912604.442271054</v>
      </c>
      <c r="S6" s="266">
        <f>$R6*'GREET factors'!J3/454/2000</f>
        <v>833.75807047076148</v>
      </c>
      <c r="T6" s="266">
        <f>$R6*'GREET factors'!K3/454/2000</f>
        <v>87.038458899759732</v>
      </c>
      <c r="U6" s="266">
        <f>$R6*'GREET factors'!L3/454/2000</f>
        <v>207.09219735305493</v>
      </c>
      <c r="V6" s="266">
        <f>$R6*'GREET factors'!M3/454/2000</f>
        <v>270.35496657982401</v>
      </c>
    </row>
    <row r="7" spans="1:22">
      <c r="A7">
        <v>2025</v>
      </c>
      <c r="B7" s="33" t="s">
        <v>109</v>
      </c>
      <c r="C7" s="3">
        <f>'Combined MOVES output'!R21/454/2000</f>
        <v>16956.886260246472</v>
      </c>
      <c r="D7" s="3">
        <f>'Combined MOVES output'!V21/454/2000</f>
        <v>49970600.795898996</v>
      </c>
      <c r="E7" s="3">
        <f>'Combined MOVES output'!W21</f>
        <v>577968604.16794169</v>
      </c>
      <c r="F7" s="3">
        <f>'Combined MOVES output'!AA21/454/2000</f>
        <v>1382.952086202868</v>
      </c>
      <c r="G7" s="3">
        <f>'Combined MOVES output'!AB21/454/2000</f>
        <v>22837.789296587518</v>
      </c>
      <c r="H7" s="3">
        <f>'Combined MOVES output'!AC21/454/2000</f>
        <v>675.20573385077239</v>
      </c>
      <c r="I7" s="3">
        <f>'Combined MOVES output'!AD21/454/2000</f>
        <v>3272.4064505579886</v>
      </c>
      <c r="J7" s="33"/>
      <c r="K7" s="33"/>
      <c r="L7" s="33"/>
      <c r="M7" s="33"/>
      <c r="Q7" s="236" t="s">
        <v>543</v>
      </c>
      <c r="R7" s="276">
        <f>R6</f>
        <v>83912604.442271054</v>
      </c>
      <c r="S7" s="266">
        <f>$R7*'GREET factors'!J4/454/2000</f>
        <v>36.695432085287621</v>
      </c>
      <c r="T7" s="266">
        <f>$R7*'GREET factors'!K4/454/2000</f>
        <v>17.314801305739405</v>
      </c>
      <c r="U7" s="266">
        <f>$R7*'GREET factors'!L4/454/2000</f>
        <v>178.92197143418443</v>
      </c>
      <c r="V7" s="266">
        <f>$R7*'GREET factors'!M4/454/2000</f>
        <v>29.050525690520633</v>
      </c>
    </row>
    <row r="8" spans="1:22">
      <c r="A8">
        <f>'Combined MOVES output'!P26</f>
        <v>2030</v>
      </c>
      <c r="B8" s="33" t="s">
        <v>109</v>
      </c>
      <c r="C8" s="3">
        <f>'Combined MOVES output'!R26/454/2000</f>
        <v>7933.0255987748342</v>
      </c>
      <c r="D8" s="3">
        <f>'Combined MOVES output'!V26/454/2000</f>
        <v>45719083.36544884</v>
      </c>
      <c r="E8" s="3">
        <f>'Combined MOVES output'!W26</f>
        <v>549111901.67551947</v>
      </c>
      <c r="F8" s="3">
        <f>'Combined MOVES output'!AA26/454/2000</f>
        <v>1162.6950431835241</v>
      </c>
      <c r="G8" s="3">
        <f>'Combined MOVES output'!AB26/454/2000</f>
        <v>17311.708392948985</v>
      </c>
      <c r="H8" s="3">
        <f>'Combined MOVES output'!AC26/454/2000</f>
        <v>668.49839290978821</v>
      </c>
      <c r="I8" s="3">
        <f>'Combined MOVES output'!AD26/454/2000</f>
        <v>3147.9018572133918</v>
      </c>
      <c r="J8" s="33"/>
      <c r="K8" s="33"/>
      <c r="L8" s="33"/>
      <c r="M8" s="33"/>
      <c r="Q8" s="236" t="s">
        <v>544</v>
      </c>
      <c r="R8" s="276">
        <f t="shared" ref="R8:R9" si="0">R7</f>
        <v>83912604.442271054</v>
      </c>
      <c r="S8" s="266">
        <f>$R8*'GREET factors'!J5/454/2000</f>
        <v>13.016447685371213</v>
      </c>
      <c r="T8" s="266">
        <f>$R8*'GREET factors'!K5/454/2000</f>
        <v>6.4423500108843292</v>
      </c>
      <c r="U8" s="266">
        <f>$R8*'GREET factors'!L5/454/2000</f>
        <v>8.0847661200209071</v>
      </c>
      <c r="V8" s="266">
        <f>$R8*'GREET factors'!M5/454/2000</f>
        <v>31.798993520774598</v>
      </c>
    </row>
    <row r="9" spans="1:22">
      <c r="A9">
        <v>2035</v>
      </c>
      <c r="B9" s="33" t="s">
        <v>109</v>
      </c>
      <c r="C9" s="3">
        <f>'Combined MOVES output'!R31/454/2000</f>
        <v>5056.5985593737396</v>
      </c>
      <c r="D9" s="3">
        <f>'Combined MOVES output'!V31/454/2000</f>
        <v>44704078.076025277</v>
      </c>
      <c r="E9" s="3">
        <f>'Combined MOVES output'!W31</f>
        <v>537623859.65952444</v>
      </c>
      <c r="F9" s="3">
        <f>'Combined MOVES output'!AA31/454/2000</f>
        <v>1083.3640980172452</v>
      </c>
      <c r="G9" s="3">
        <f>'Combined MOVES output'!AB31/454/2000</f>
        <v>16379.932359873461</v>
      </c>
      <c r="H9" s="3">
        <f>'Combined MOVES output'!AC31/454/2000</f>
        <v>663.7934022649514</v>
      </c>
      <c r="I9" s="3">
        <f>'Combined MOVES output'!AD31/454/2000</f>
        <v>3088.1946394099823</v>
      </c>
      <c r="J9" s="33"/>
      <c r="K9" s="33"/>
      <c r="L9" s="33"/>
      <c r="M9" s="33"/>
      <c r="Q9" s="236" t="s">
        <v>545</v>
      </c>
      <c r="R9" s="276">
        <f t="shared" si="0"/>
        <v>83912604.442271054</v>
      </c>
      <c r="S9" s="266">
        <f>$R9*'GREET factors'!J6/454/2000</f>
        <v>0</v>
      </c>
      <c r="T9" s="266">
        <f>$R9*'GREET factors'!K6/454/2000</f>
        <v>0</v>
      </c>
      <c r="U9" s="266">
        <f>$R9*'GREET factors'!L6/454/2000</f>
        <v>1825.0991466193957</v>
      </c>
      <c r="V9" s="266">
        <f>$R9*'GREET factors'!M6/454/2000</f>
        <v>0</v>
      </c>
    </row>
    <row r="10" spans="1:22">
      <c r="A10">
        <v>2040</v>
      </c>
      <c r="B10" s="33" t="s">
        <v>109</v>
      </c>
      <c r="C10" s="3">
        <f>'Combined MOVES output'!R36/454/2000</f>
        <v>4765.5063257355732</v>
      </c>
      <c r="D10" s="3">
        <f>'Combined MOVES output'!V36/454/2000</f>
        <v>45384114.15199203</v>
      </c>
      <c r="E10" s="3">
        <f>'Combined MOVES output'!W36</f>
        <v>546504452.52350092</v>
      </c>
      <c r="F10" s="3">
        <f>'Combined MOVES output'!AA36/454/2000</f>
        <v>1041.1514981599507</v>
      </c>
      <c r="G10" s="3">
        <f>'Combined MOVES output'!AB36/454/2000</f>
        <v>15618.756566365297</v>
      </c>
      <c r="H10" s="3">
        <f>'Combined MOVES output'!AC36/454/2000</f>
        <v>664.27026556056046</v>
      </c>
      <c r="I10" s="3">
        <f>'Combined MOVES output'!AD36/454/2000</f>
        <v>3278.1115477834805</v>
      </c>
      <c r="J10" s="33"/>
      <c r="K10" s="33"/>
      <c r="L10" s="33"/>
      <c r="M10" s="33"/>
      <c r="P10" s="2" t="s">
        <v>443</v>
      </c>
      <c r="Q10" s="236" t="s">
        <v>542</v>
      </c>
      <c r="R10" s="276">
        <f>'ACC II - MY2026'!O90*'ACC II - MY2026'!M90</f>
        <v>330457861.81134015</v>
      </c>
      <c r="S10" s="266">
        <f>$R10*'GREET factors'!J3/454/2000</f>
        <v>3283.4388953481475</v>
      </c>
      <c r="T10" s="266">
        <f>$R10*'GREET factors'!K3/454/2000</f>
        <v>342.76785012859938</v>
      </c>
      <c r="U10" s="266">
        <f>$R10*'GREET factors'!L3/454/2000</f>
        <v>815.55381566286223</v>
      </c>
      <c r="V10" s="266">
        <f>$R10*'GREET factors'!M3/454/2000</f>
        <v>1064.6901592419099</v>
      </c>
    </row>
    <row r="11" spans="1:22">
      <c r="Q11" s="236" t="s">
        <v>543</v>
      </c>
      <c r="R11" s="276">
        <f>R10</f>
        <v>330457861.81134015</v>
      </c>
      <c r="S11" s="266">
        <f>$R11*'GREET factors'!J4/454/2000</f>
        <v>144.5109957645262</v>
      </c>
      <c r="T11" s="266">
        <f>$R11*'GREET factors'!K4/454/2000</f>
        <v>68.187756240115874</v>
      </c>
      <c r="U11" s="266">
        <f>$R11*'GREET factors'!L4/454/2000</f>
        <v>704.61610033671423</v>
      </c>
      <c r="V11" s="266">
        <f>$R11*'GREET factors'!M4/454/2000</f>
        <v>114.40444100134327</v>
      </c>
    </row>
    <row r="12" spans="1:22">
      <c r="A12" s="2" t="s">
        <v>110</v>
      </c>
      <c r="Q12" s="236" t="s">
        <v>544</v>
      </c>
      <c r="R12" s="276">
        <f t="shared" ref="R12:R13" si="1">R11</f>
        <v>330457861.81134015</v>
      </c>
      <c r="S12" s="266">
        <f>$R12*'GREET factors'!J5/454/2000</f>
        <v>51.260326134271558</v>
      </c>
      <c r="T12" s="266">
        <f>$R12*'GREET factors'!K5/454/2000</f>
        <v>25.370744047179773</v>
      </c>
      <c r="U12" s="266">
        <f>$R12*'GREET factors'!L5/454/2000</f>
        <v>31.838774913784167</v>
      </c>
      <c r="V12" s="266">
        <f>$R12*'GREET factors'!M5/454/2000</f>
        <v>125.22823569201846</v>
      </c>
    </row>
    <row r="13" spans="1:22" s="2" customFormat="1">
      <c r="A13" s="2" t="s">
        <v>19</v>
      </c>
      <c r="B13" s="2" t="s">
        <v>20</v>
      </c>
      <c r="C13" s="2" t="s">
        <v>2</v>
      </c>
      <c r="D13" s="2" t="s">
        <v>47</v>
      </c>
      <c r="E13" s="2" t="s">
        <v>22</v>
      </c>
      <c r="F13" s="2" t="s">
        <v>24</v>
      </c>
      <c r="G13" s="2" t="s">
        <v>115</v>
      </c>
      <c r="H13" s="2" t="s">
        <v>116</v>
      </c>
      <c r="I13" s="2" t="s">
        <v>117</v>
      </c>
      <c r="J13" s="2" t="s">
        <v>52</v>
      </c>
      <c r="K13" s="2" t="s">
        <v>516</v>
      </c>
      <c r="L13" s="2" t="s">
        <v>517</v>
      </c>
      <c r="M13" s="2" t="s">
        <v>567</v>
      </c>
      <c r="N13" s="2" t="s">
        <v>568</v>
      </c>
      <c r="P13"/>
      <c r="Q13" s="236" t="s">
        <v>545</v>
      </c>
      <c r="R13" s="276">
        <f t="shared" si="1"/>
        <v>330457861.81134015</v>
      </c>
      <c r="S13" s="266">
        <f>$R13*'GREET factors'!J6/454/2000</f>
        <v>0</v>
      </c>
      <c r="T13" s="266">
        <f>$R13*'GREET factors'!K6/454/2000</f>
        <v>0</v>
      </c>
      <c r="U13" s="266">
        <f>$R13*'GREET factors'!L6/454/2000</f>
        <v>7187.4584943966483</v>
      </c>
      <c r="V13" s="266">
        <f>$R13*'GREET factors'!M6/454/2000</f>
        <v>0</v>
      </c>
    </row>
    <row r="14" spans="1:22">
      <c r="A14">
        <v>2020</v>
      </c>
      <c r="B14" s="33" t="s">
        <v>109</v>
      </c>
      <c r="C14" s="3">
        <f>'BAU Scenario'!C10</f>
        <v>32407.701911043594</v>
      </c>
      <c r="D14" s="3">
        <f>'BAU Scenario'!D10</f>
        <v>54995021.887931824</v>
      </c>
      <c r="E14" s="3">
        <f>'BAU Scenario'!E10</f>
        <v>569199285.05412686</v>
      </c>
      <c r="F14" s="3">
        <f>'BAU Scenario'!F10</f>
        <v>1685.4297302666362</v>
      </c>
      <c r="G14" s="3">
        <f>'BAU Scenario'!G10</f>
        <v>29380.623899339513</v>
      </c>
      <c r="H14" s="3">
        <f>'BAU Scenario'!H10</f>
        <v>680.61166843379374</v>
      </c>
      <c r="I14" s="3">
        <f>'BAU Scenario'!I10</f>
        <v>16589.989236154011</v>
      </c>
      <c r="J14" s="3">
        <f>'BAU Scenario'!J10</f>
        <v>54958796.800551549</v>
      </c>
      <c r="K14" s="3">
        <f>C14+'BAU Scenario'!AD$10</f>
        <v>32396.348368177143</v>
      </c>
      <c r="L14" s="3">
        <f>F14+'BAU Scenario'!AE$10</f>
        <v>1684.3755280309247</v>
      </c>
      <c r="P14" s="2" t="s">
        <v>569</v>
      </c>
      <c r="Q14" s="236" t="s">
        <v>542</v>
      </c>
      <c r="R14" s="276">
        <f>'ACC II - MY2027'!O90*'ACC II - MY2027'!M90</f>
        <v>327663359.94990683</v>
      </c>
      <c r="S14" s="266">
        <f>$R14*'GREET factors'!J3/454/2000</f>
        <v>3255.6726438368087</v>
      </c>
      <c r="T14" s="266">
        <f>$R14*'GREET factors'!K3/454/2000</f>
        <v>339.86924941148067</v>
      </c>
      <c r="U14" s="266">
        <f>$R14*'GREET factors'!L3/454/2000</f>
        <v>808.6571219559047</v>
      </c>
      <c r="V14" s="266">
        <f>$R14*'GREET factors'!M3/454/2000</f>
        <v>1055.6866553895795</v>
      </c>
    </row>
    <row r="15" spans="1:22">
      <c r="A15">
        <v>2025</v>
      </c>
      <c r="B15" s="33" t="s">
        <v>109</v>
      </c>
      <c r="C15" s="3">
        <f>'BAU Scenario'!C15</f>
        <v>17050.080408492788</v>
      </c>
      <c r="D15" s="3">
        <f>'BAU Scenario'!D15</f>
        <v>47886080.818615504</v>
      </c>
      <c r="E15" s="3">
        <f>'BAU Scenario'!E15</f>
        <v>537050465.39282691</v>
      </c>
      <c r="F15" s="3">
        <f>'BAU Scenario'!F15</f>
        <v>1384.5282955022653</v>
      </c>
      <c r="G15" s="3">
        <f>'BAU Scenario'!G15</f>
        <v>22990.009683232463</v>
      </c>
      <c r="H15" s="3">
        <f>'BAU Scenario'!H15</f>
        <v>646.65812259608674</v>
      </c>
      <c r="I15" s="3">
        <f>'BAU Scenario'!I15</f>
        <v>3674.0792258701908</v>
      </c>
      <c r="J15" s="3">
        <f>'BAU Scenario'!J15</f>
        <v>47502665.367415652</v>
      </c>
      <c r="K15" s="3">
        <f>C15+'BAU Scenario'!AD$15</f>
        <v>16980.366720196213</v>
      </c>
      <c r="L15" s="3">
        <f>F15+'BAU Scenario'!AE$15</f>
        <v>1378.0552212446148</v>
      </c>
      <c r="Q15" s="236" t="s">
        <v>543</v>
      </c>
      <c r="R15" s="276">
        <f>R14</f>
        <v>327663359.94990683</v>
      </c>
      <c r="S15" s="266">
        <f>$R15*'GREET factors'!J4/454/2000</f>
        <v>143.28894510896603</v>
      </c>
      <c r="T15" s="266">
        <f>$R15*'GREET factors'!K4/454/2000</f>
        <v>67.611129584313232</v>
      </c>
      <c r="U15" s="266">
        <f>$R15*'GREET factors'!L4/454/2000</f>
        <v>698.65754636800591</v>
      </c>
      <c r="V15" s="266">
        <f>$R15*'GREET factors'!M4/454/2000</f>
        <v>113.43698505527469</v>
      </c>
    </row>
    <row r="16" spans="1:22">
      <c r="A16">
        <v>2026</v>
      </c>
      <c r="B16" s="33" t="s">
        <v>109</v>
      </c>
      <c r="C16" s="3">
        <f>'BAU Scenario'!C20</f>
        <v>15236.856156572934</v>
      </c>
      <c r="D16" s="3">
        <f>'BAU Scenario'!D20</f>
        <v>46752488.34458518</v>
      </c>
      <c r="E16" s="3">
        <f>'BAU Scenario'!E20</f>
        <v>532097058.75099254</v>
      </c>
      <c r="F16" s="3">
        <f>'BAU Scenario'!F20</f>
        <v>1339.4651125326534</v>
      </c>
      <c r="G16" s="3">
        <f>'BAU Scenario'!G20</f>
        <v>21881.0531232875</v>
      </c>
      <c r="H16" s="3">
        <f>'BAU Scenario'!H20</f>
        <v>640.97203264430993</v>
      </c>
      <c r="I16" s="3">
        <f>'BAU Scenario'!I20</f>
        <v>3759.0884119271732</v>
      </c>
      <c r="J16" s="3">
        <f>'BAU Scenario'!J20</f>
        <v>46329398.912889317</v>
      </c>
      <c r="K16" s="3">
        <f>C16+'BAU Scenario'!AD$20</f>
        <v>15135.382585628277</v>
      </c>
      <c r="L16" s="3">
        <f>F16+'BAU Scenario'!AE$20</f>
        <v>1329.8321576956096</v>
      </c>
      <c r="Q16" s="236" t="s">
        <v>544</v>
      </c>
      <c r="R16" s="276">
        <f t="shared" ref="R16:R17" si="2">R15</f>
        <v>327663359.94990683</v>
      </c>
      <c r="S16" s="266">
        <f>$R16*'GREET factors'!J5/454/2000</f>
        <v>50.826845520390201</v>
      </c>
      <c r="T16" s="266">
        <f>$R16*'GREET factors'!K5/454/2000</f>
        <v>25.15619750536904</v>
      </c>
      <c r="U16" s="266">
        <f>$R16*'GREET factors'!L5/454/2000</f>
        <v>31.56953176346347</v>
      </c>
      <c r="V16" s="266">
        <f>$R16*'GREET factors'!M5/454/2000</f>
        <v>124.16924881899575</v>
      </c>
    </row>
    <row r="17" spans="1:22">
      <c r="A17">
        <v>2027</v>
      </c>
      <c r="B17" s="33" t="s">
        <v>109</v>
      </c>
      <c r="C17" s="3">
        <f>'BAU Scenario'!C25</f>
        <v>13428.33120624762</v>
      </c>
      <c r="D17" s="3">
        <f>'BAU Scenario'!D25</f>
        <v>45402463.220557913</v>
      </c>
      <c r="E17" s="3">
        <f>'BAU Scenario'!E25</f>
        <v>527143652.10915816</v>
      </c>
      <c r="F17" s="3">
        <f>'BAU Scenario'!F25</f>
        <v>1294.3422258296348</v>
      </c>
      <c r="G17" s="3">
        <f>'BAU Scenario'!G25</f>
        <v>20782.247033965279</v>
      </c>
      <c r="H17" s="3">
        <f>'BAU Scenario'!H25</f>
        <v>632.09822787081578</v>
      </c>
      <c r="I17" s="3">
        <f>'BAU Scenario'!I25</f>
        <v>3728.6822438826403</v>
      </c>
      <c r="J17" s="3">
        <f>'BAU Scenario'!J25</f>
        <v>44862739.089287542</v>
      </c>
      <c r="K17" s="3">
        <f>C17+'BAU Scenario'!AD$25</f>
        <v>13290.749983968653</v>
      </c>
      <c r="L17" s="3">
        <f>F17+'BAU Scenario'!AE$25</f>
        <v>1281.0407291805802</v>
      </c>
      <c r="Q17" s="236" t="s">
        <v>545</v>
      </c>
      <c r="R17" s="276">
        <f t="shared" si="2"/>
        <v>327663359.94990683</v>
      </c>
      <c r="S17" s="266">
        <f>$R17*'GREET factors'!J6/454/2000</f>
        <v>0</v>
      </c>
      <c r="T17" s="266">
        <f>$R17*'GREET factors'!K6/454/2000</f>
        <v>0</v>
      </c>
      <c r="U17" s="266">
        <f>$R17*'GREET factors'!L6/454/2000</f>
        <v>7126.6780789104751</v>
      </c>
      <c r="V17" s="266">
        <f>$R17*'GREET factors'!M6/454/2000</f>
        <v>0</v>
      </c>
    </row>
    <row r="18" spans="1:22">
      <c r="A18">
        <v>2028</v>
      </c>
      <c r="B18" s="33" t="s">
        <v>109</v>
      </c>
      <c r="C18" s="3">
        <f>'BAU Scenario'!C30</f>
        <v>11616.495021340574</v>
      </c>
      <c r="D18" s="3">
        <f>'BAU Scenario'!D30</f>
        <v>43852226.339939386</v>
      </c>
      <c r="E18" s="3">
        <f>'BAU Scenario'!E30</f>
        <v>522190245.46732378</v>
      </c>
      <c r="F18" s="3">
        <f>'BAU Scenario'!F30</f>
        <v>1248.0797807042441</v>
      </c>
      <c r="G18" s="3">
        <f>'BAU Scenario'!G30</f>
        <v>19680.772093808428</v>
      </c>
      <c r="H18" s="3">
        <f>'BAU Scenario'!H30</f>
        <v>620.12179775444383</v>
      </c>
      <c r="I18" s="3">
        <f>'BAU Scenario'!I30</f>
        <v>3697.556164544595</v>
      </c>
      <c r="J18" s="3">
        <f>'BAU Scenario'!J30</f>
        <v>43123591.299100243</v>
      </c>
      <c r="K18" s="3">
        <f>C18+'BAU Scenario'!AD$30</f>
        <v>11438.436658652061</v>
      </c>
      <c r="L18" s="3">
        <f>F18+'BAU Scenario'!AE$30</f>
        <v>1230.5988857102229</v>
      </c>
      <c r="P18" t="s">
        <v>570</v>
      </c>
      <c r="Q18" s="236" t="s">
        <v>542</v>
      </c>
      <c r="R18" s="236"/>
      <c r="S18" s="266">
        <f>S10-S6</f>
        <v>2449.6808248773859</v>
      </c>
      <c r="T18" s="266">
        <f t="shared" ref="T18:V18" si="3">T10-T6</f>
        <v>255.72939122883963</v>
      </c>
      <c r="U18" s="266">
        <f t="shared" si="3"/>
        <v>608.46161830980736</v>
      </c>
      <c r="V18" s="266">
        <f t="shared" si="3"/>
        <v>794.33519266208589</v>
      </c>
    </row>
    <row r="19" spans="1:22">
      <c r="A19">
        <v>2029</v>
      </c>
      <c r="B19" s="33" t="s">
        <v>109</v>
      </c>
      <c r="C19" s="3">
        <f>'BAU Scenario'!C35</f>
        <v>9799.4731172034317</v>
      </c>
      <c r="D19" s="3">
        <f>'BAU Scenario'!D35</f>
        <v>42229572.007697068</v>
      </c>
      <c r="E19" s="3">
        <f>'BAU Scenario'!E35</f>
        <v>517236838.8254894</v>
      </c>
      <c r="F19" s="3">
        <f>'BAU Scenario'!F35</f>
        <v>1200.7481268039967</v>
      </c>
      <c r="G19" s="3">
        <f>'BAU Scenario'!G35</f>
        <v>18571.392314107001</v>
      </c>
      <c r="H19" s="3">
        <f>'BAU Scenario'!H35</f>
        <v>606.75391277493065</v>
      </c>
      <c r="I19" s="3">
        <f>'BAU Scenario'!I35</f>
        <v>3667.5867210475362</v>
      </c>
      <c r="J19" s="3">
        <f>'BAU Scenario'!J35</f>
        <v>41276514.121226594</v>
      </c>
      <c r="K19" s="3">
        <f>C19+'BAU Scenario'!AD$35</f>
        <v>9576.5438441801034</v>
      </c>
      <c r="L19" s="3">
        <f>F19+'BAU Scenario'!AE$35</f>
        <v>1178.5744817664327</v>
      </c>
      <c r="Q19" s="236" t="s">
        <v>543</v>
      </c>
      <c r="R19" s="236"/>
      <c r="S19" s="266">
        <f t="shared" ref="S19:V21" si="4">S11-S7</f>
        <v>107.81556367923858</v>
      </c>
      <c r="T19" s="266">
        <f t="shared" si="4"/>
        <v>50.872954934376466</v>
      </c>
      <c r="U19" s="266">
        <f t="shared" si="4"/>
        <v>525.69412890252977</v>
      </c>
      <c r="V19" s="266">
        <f t="shared" si="4"/>
        <v>85.353915310822643</v>
      </c>
    </row>
    <row r="20" spans="1:22">
      <c r="A20">
        <v>2030</v>
      </c>
      <c r="B20" s="33" t="s">
        <v>109</v>
      </c>
      <c r="C20" s="3">
        <f>'BAU Scenario'!C40</f>
        <v>7975.6235355903336</v>
      </c>
      <c r="D20" s="3">
        <f>'BAU Scenario'!D40</f>
        <v>40650228.873937994</v>
      </c>
      <c r="E20" s="3">
        <f>'BAU Scenario'!E40</f>
        <v>512283432.18365502</v>
      </c>
      <c r="F20" s="3">
        <f>'BAU Scenario'!F40</f>
        <v>1147.5200251087256</v>
      </c>
      <c r="G20" s="3">
        <f>'BAU Scenario'!G40</f>
        <v>17446.076927642072</v>
      </c>
      <c r="H20" s="3">
        <f>'BAU Scenario'!H40</f>
        <v>593.61737649316512</v>
      </c>
      <c r="I20" s="3">
        <f>'BAU Scenario'!I40</f>
        <v>3636.6151544452205</v>
      </c>
      <c r="J20" s="3">
        <f>'BAU Scenario'!J40</f>
        <v>39470518.027915888</v>
      </c>
      <c r="K20" s="3">
        <f>C20+'BAU Scenario'!AD$40</f>
        <v>7703.4012493754881</v>
      </c>
      <c r="L20" s="3">
        <f>F20+'BAU Scenario'!AE$40</f>
        <v>1120.1373141015038</v>
      </c>
      <c r="Q20" s="236" t="s">
        <v>544</v>
      </c>
      <c r="R20" s="236"/>
      <c r="S20" s="266">
        <f t="shared" si="4"/>
        <v>38.243878448900347</v>
      </c>
      <c r="T20" s="266">
        <f t="shared" si="4"/>
        <v>18.928394036295444</v>
      </c>
      <c r="U20" s="266">
        <f t="shared" si="4"/>
        <v>23.754008793763262</v>
      </c>
      <c r="V20" s="266">
        <f t="shared" si="4"/>
        <v>93.429242171243857</v>
      </c>
    </row>
    <row r="21" spans="1:22">
      <c r="A21">
        <v>2031</v>
      </c>
      <c r="B21" s="33" t="s">
        <v>109</v>
      </c>
      <c r="C21" s="3">
        <f>'BAU Scenario'!C45</f>
        <v>7390.7566596578654</v>
      </c>
      <c r="D21" s="3">
        <f>'BAU Scenario'!D45</f>
        <v>39679295.976097852</v>
      </c>
      <c r="E21" s="3">
        <f>'BAU Scenario'!E45</f>
        <v>510209663.98495835</v>
      </c>
      <c r="F21" s="3">
        <f>'BAU Scenario'!F45</f>
        <v>1131.8609150569873</v>
      </c>
      <c r="G21" s="3">
        <f>'BAU Scenario'!G45</f>
        <v>17250.452257485118</v>
      </c>
      <c r="H21" s="3">
        <f>'BAU Scenario'!H45</f>
        <v>581.08485870040568</v>
      </c>
      <c r="I21" s="3">
        <f>'BAU Scenario'!I45</f>
        <v>3622.4059417458002</v>
      </c>
      <c r="J21" s="3">
        <f>'BAU Scenario'!J45</f>
        <v>38301259.296304271</v>
      </c>
      <c r="K21" s="3">
        <f>C21+'BAU Scenario'!AD$45</f>
        <v>7083.0434221041487</v>
      </c>
      <c r="L21" s="3">
        <f>F21+'BAU Scenario'!AE$45</f>
        <v>1100.8570866272303</v>
      </c>
      <c r="Q21" s="236" t="s">
        <v>545</v>
      </c>
      <c r="R21" s="236"/>
      <c r="S21" s="266">
        <f t="shared" si="4"/>
        <v>0</v>
      </c>
      <c r="T21" s="266">
        <f t="shared" si="4"/>
        <v>0</v>
      </c>
      <c r="U21" s="266">
        <f t="shared" si="4"/>
        <v>5362.3593477772529</v>
      </c>
      <c r="V21" s="266">
        <f t="shared" si="4"/>
        <v>0</v>
      </c>
    </row>
    <row r="22" spans="1:22">
      <c r="A22">
        <v>2032</v>
      </c>
      <c r="B22" s="33" t="s">
        <v>109</v>
      </c>
      <c r="C22" s="3">
        <f>'BAU Scenario'!C50</f>
        <v>6803.3197060015809</v>
      </c>
      <c r="D22" s="3">
        <f>'BAU Scenario'!D50</f>
        <v>38719311.230261266</v>
      </c>
      <c r="E22" s="3">
        <f>'BAU Scenario'!E50</f>
        <v>508135895.78626168</v>
      </c>
      <c r="F22" s="3">
        <f>'BAU Scenario'!F50</f>
        <v>1110.6481979128073</v>
      </c>
      <c r="G22" s="3">
        <f>'BAU Scenario'!G50</f>
        <v>17047.463717596351</v>
      </c>
      <c r="H22" s="3">
        <f>'BAU Scenario'!H50</f>
        <v>568.64377377109474</v>
      </c>
      <c r="I22" s="3">
        <f>'BAU Scenario'!I50</f>
        <v>3608.1342438080478</v>
      </c>
      <c r="J22" s="3">
        <f>'BAU Scenario'!J50</f>
        <v>37143482.057121925</v>
      </c>
      <c r="K22" s="3">
        <f>C22+'BAU Scenario'!AD$50</f>
        <v>6459.6221555771544</v>
      </c>
      <c r="L22" s="3">
        <f>F22+'BAU Scenario'!AE$50</f>
        <v>1075.9620112881898</v>
      </c>
      <c r="P22" t="s">
        <v>571</v>
      </c>
      <c r="Q22" s="236" t="s">
        <v>542</v>
      </c>
      <c r="R22" s="236"/>
      <c r="S22" s="266">
        <f>S14-S6</f>
        <v>2421.9145733660471</v>
      </c>
      <c r="T22" s="266">
        <f t="shared" ref="T22:U22" si="5">T14-T6</f>
        <v>252.83079051172092</v>
      </c>
      <c r="U22" s="266">
        <f t="shared" si="5"/>
        <v>601.56492460284971</v>
      </c>
      <c r="V22" s="266">
        <f>V14-V6</f>
        <v>785.33168880975552</v>
      </c>
    </row>
    <row r="23" spans="1:22">
      <c r="A23">
        <v>2033</v>
      </c>
      <c r="B23" s="33" t="s">
        <v>109</v>
      </c>
      <c r="C23" s="3">
        <f>'BAU Scenario'!C55</f>
        <v>6214.3412249675202</v>
      </c>
      <c r="D23" s="3">
        <f>'BAU Scenario'!D55</f>
        <v>37797654.91905342</v>
      </c>
      <c r="E23" s="3">
        <f>'BAU Scenario'!E55</f>
        <v>506062127.587565</v>
      </c>
      <c r="F23" s="3">
        <f>'BAU Scenario'!F55</f>
        <v>1088.704273664488</v>
      </c>
      <c r="G23" s="3">
        <f>'BAU Scenario'!G55</f>
        <v>16836.865656435828</v>
      </c>
      <c r="H23" s="3">
        <f>'BAU Scenario'!H55</f>
        <v>556.7042816042815</v>
      </c>
      <c r="I23" s="3">
        <f>'BAU Scenario'!I55</f>
        <v>3593.4932305095922</v>
      </c>
      <c r="J23" s="3">
        <f>'BAU Scenario'!J55</f>
        <v>36032421.785208628</v>
      </c>
      <c r="K23" s="3">
        <f>C23+'BAU Scenario'!AD$55</f>
        <v>5834.1507671463205</v>
      </c>
      <c r="L23" s="3">
        <f>F23+'BAU Scenario'!AE$55</f>
        <v>1050.2728257120243</v>
      </c>
      <c r="Q23" s="236" t="s">
        <v>543</v>
      </c>
      <c r="R23" s="236"/>
      <c r="S23" s="266">
        <f t="shared" ref="S23:V25" si="6">S15-S7</f>
        <v>106.59351302367841</v>
      </c>
      <c r="T23" s="266">
        <f t="shared" si="6"/>
        <v>50.296328278573824</v>
      </c>
      <c r="U23" s="266">
        <f t="shared" si="6"/>
        <v>519.73557493382145</v>
      </c>
      <c r="V23" s="266">
        <f t="shared" si="6"/>
        <v>84.38645936475406</v>
      </c>
    </row>
    <row r="24" spans="1:22">
      <c r="A24">
        <v>2034</v>
      </c>
      <c r="B24" s="33" t="s">
        <v>109</v>
      </c>
      <c r="C24" s="3">
        <f>'BAU Scenario'!C60</f>
        <v>5623.8884398485698</v>
      </c>
      <c r="D24" s="3">
        <f>'BAU Scenario'!D60</f>
        <v>36917108.313388035</v>
      </c>
      <c r="E24" s="3">
        <f>'BAU Scenario'!E60</f>
        <v>503988359.38886833</v>
      </c>
      <c r="F24" s="3">
        <f>'BAU Scenario'!F60</f>
        <v>1066.1985651788978</v>
      </c>
      <c r="G24" s="3">
        <f>'BAU Scenario'!G60</f>
        <v>16616.60889238631</v>
      </c>
      <c r="H24" s="3">
        <f>'BAU Scenario'!H60</f>
        <v>545.31757057299444</v>
      </c>
      <c r="I24" s="3">
        <f>'BAU Scenario'!I60</f>
        <v>3578.8588134392639</v>
      </c>
      <c r="J24" s="3">
        <f>'BAU Scenario'!J60</f>
        <v>34971640.159965217</v>
      </c>
      <c r="K24" s="3">
        <f>C24+'BAU Scenario'!AD$60</f>
        <v>5206.6814445898799</v>
      </c>
      <c r="L24" s="3">
        <f>F24+'BAU Scenario'!AE$60</f>
        <v>1023.957310618468</v>
      </c>
      <c r="Q24" s="236" t="s">
        <v>544</v>
      </c>
      <c r="R24" s="236"/>
      <c r="S24" s="266">
        <f t="shared" si="6"/>
        <v>37.810397835018989</v>
      </c>
      <c r="T24" s="266">
        <f t="shared" si="6"/>
        <v>18.71384749448471</v>
      </c>
      <c r="U24" s="266">
        <f t="shared" si="6"/>
        <v>23.484765643442564</v>
      </c>
      <c r="V24" s="266">
        <f t="shared" si="6"/>
        <v>92.370255298221153</v>
      </c>
    </row>
    <row r="25" spans="1:22">
      <c r="A25">
        <v>2035</v>
      </c>
      <c r="B25" s="33" t="s">
        <v>109</v>
      </c>
      <c r="C25" s="3">
        <f>'BAU Scenario'!C65</f>
        <v>5014.1107577826187</v>
      </c>
      <c r="D25" s="3">
        <f>'BAU Scenario'!D65</f>
        <v>36095437.890322708</v>
      </c>
      <c r="E25" s="3">
        <f>'BAU Scenario'!E65</f>
        <v>501914591.19017166</v>
      </c>
      <c r="F25" s="3">
        <f>'BAU Scenario'!F65</f>
        <v>1036.126675195484</v>
      </c>
      <c r="G25" s="3">
        <f>'BAU Scenario'!G65</f>
        <v>16149.891846048793</v>
      </c>
      <c r="H25" s="3">
        <f>'BAU Scenario'!H65</f>
        <v>534.74574561993506</v>
      </c>
      <c r="I25" s="3">
        <f>'BAU Scenario'!I65</f>
        <v>3564.2309916686627</v>
      </c>
      <c r="J25" s="3">
        <f>'BAU Scenario'!J65</f>
        <v>33983992.014649719</v>
      </c>
      <c r="K25" s="3">
        <f>C25+'BAU Scenario'!AD$65</f>
        <v>4559.3480728903005</v>
      </c>
      <c r="L25" s="3">
        <f>F25+'BAU Scenario'!AE$65</f>
        <v>990.00936910535086</v>
      </c>
      <c r="Q25" s="236" t="s">
        <v>545</v>
      </c>
      <c r="R25" s="236"/>
      <c r="S25" s="266">
        <f t="shared" si="6"/>
        <v>0</v>
      </c>
      <c r="T25" s="266">
        <f t="shared" si="6"/>
        <v>0</v>
      </c>
      <c r="U25" s="266">
        <f t="shared" si="6"/>
        <v>5301.5789322910796</v>
      </c>
      <c r="V25" s="266">
        <f t="shared" si="6"/>
        <v>0</v>
      </c>
    </row>
    <row r="26" spans="1:22">
      <c r="A26">
        <v>2036</v>
      </c>
      <c r="B26" s="33" t="s">
        <v>109</v>
      </c>
      <c r="C26" s="3">
        <f>'BAU Scenario'!C70</f>
        <v>4932.1874632852741</v>
      </c>
      <c r="D26" s="3">
        <f>'BAU Scenario'!D70</f>
        <v>35606916.29118745</v>
      </c>
      <c r="E26" s="3">
        <f>'BAU Scenario'!E70</f>
        <v>503689031.37985212</v>
      </c>
      <c r="F26" s="3">
        <f>'BAU Scenario'!F70</f>
        <v>1019.0629902309099</v>
      </c>
      <c r="G26" s="3">
        <f>'BAU Scenario'!G70</f>
        <v>15899.462144774683</v>
      </c>
      <c r="H26" s="3">
        <f>'BAU Scenario'!H70</f>
        <v>525.89190689937175</v>
      </c>
      <c r="I26" s="3">
        <f>'BAU Scenario'!I70</f>
        <v>3607.4725886456349</v>
      </c>
      <c r="J26" s="3">
        <f>'BAU Scenario'!J70</f>
        <v>33265710.148463525</v>
      </c>
      <c r="K26" s="3">
        <f>C26+'BAU Scenario'!AD$70</f>
        <v>4410.7279367382143</v>
      </c>
      <c r="L26" s="3">
        <f>F26+'BAU Scenario'!AE$70</f>
        <v>965.79630472337487</v>
      </c>
    </row>
    <row r="27" spans="1:22">
      <c r="A27">
        <v>2037</v>
      </c>
      <c r="B27" s="33" t="s">
        <v>109</v>
      </c>
      <c r="C27" s="3">
        <f>'BAU Scenario'!C75</f>
        <v>4846.8312207142981</v>
      </c>
      <c r="D27" s="3">
        <f>'BAU Scenario'!D75</f>
        <v>35178183.223975696</v>
      </c>
      <c r="E27" s="3">
        <f>'BAU Scenario'!E75</f>
        <v>505463471.56953257</v>
      </c>
      <c r="F27" s="3">
        <f>'BAU Scenario'!F75</f>
        <v>1002.0127003509464</v>
      </c>
      <c r="G27" s="3">
        <f>'BAU Scenario'!G75</f>
        <v>15633.571129713517</v>
      </c>
      <c r="H27" s="3">
        <f>'BAU Scenario'!H75</f>
        <v>517.97846519140933</v>
      </c>
      <c r="I27" s="3">
        <f>'BAU Scenario'!I75</f>
        <v>3650.4503121186954</v>
      </c>
      <c r="J27" s="3">
        <f>'BAU Scenario'!J75</f>
        <v>32613045.752515599</v>
      </c>
      <c r="K27" s="3">
        <f>C27+'BAU Scenario'!AD$75</f>
        <v>4254.1272306377978</v>
      </c>
      <c r="L27" s="3">
        <f>F27+'BAU Scenario'!AE$75</f>
        <v>941.07957766577908</v>
      </c>
    </row>
    <row r="28" spans="1:22">
      <c r="A28">
        <v>2038</v>
      </c>
      <c r="B28" s="33" t="s">
        <v>109</v>
      </c>
      <c r="C28" s="3">
        <f>'BAU Scenario'!C80</f>
        <v>4757.561543985812</v>
      </c>
      <c r="D28" s="3">
        <f>'BAU Scenario'!D80</f>
        <v>34805362.788032554</v>
      </c>
      <c r="E28" s="3">
        <f>'BAU Scenario'!E80</f>
        <v>507237911.75921297</v>
      </c>
      <c r="F28" s="3">
        <f>'BAU Scenario'!F80</f>
        <v>984.44488299603131</v>
      </c>
      <c r="G28" s="3">
        <f>'BAU Scenario'!G80</f>
        <v>15350.632178998176</v>
      </c>
      <c r="H28" s="3">
        <f>'BAU Scenario'!H80</f>
        <v>510.93913311422193</v>
      </c>
      <c r="I28" s="3">
        <f>'BAU Scenario'!I80</f>
        <v>3693.4075955607591</v>
      </c>
      <c r="J28" s="3">
        <f>'BAU Scenario'!J80</f>
        <v>32021007.654297985</v>
      </c>
      <c r="K28" s="3">
        <f>C28+'BAU Scenario'!AD$80</f>
        <v>4089.0620113538389</v>
      </c>
      <c r="L28" s="3">
        <f>F28+'BAU Scenario'!AE$80</f>
        <v>915.32790237532299</v>
      </c>
    </row>
    <row r="29" spans="1:22">
      <c r="A29">
        <v>2039</v>
      </c>
      <c r="B29" s="33" t="s">
        <v>109</v>
      </c>
      <c r="C29" s="3">
        <f>'BAU Scenario'!C85</f>
        <v>4665.3140282939758</v>
      </c>
      <c r="D29" s="3">
        <f>'BAU Scenario'!D85</f>
        <v>34484532.225184411</v>
      </c>
      <c r="E29" s="3">
        <f>'BAU Scenario'!E85</f>
        <v>509012351.94889343</v>
      </c>
      <c r="F29" s="3">
        <f>'BAU Scenario'!F85</f>
        <v>967.19652605639362</v>
      </c>
      <c r="G29" s="3">
        <f>'BAU Scenario'!G85</f>
        <v>15051.29744045752</v>
      </c>
      <c r="H29" s="3">
        <f>'BAU Scenario'!H85</f>
        <v>504.7093285405673</v>
      </c>
      <c r="I29" s="3">
        <f>'BAU Scenario'!I85</f>
        <v>3736.3444407401448</v>
      </c>
      <c r="J29" s="3">
        <f>'BAU Scenario'!J85</f>
        <v>31484544.061597142</v>
      </c>
      <c r="K29" s="3">
        <f>C29+'BAU Scenario'!AD$85</f>
        <v>3916.4643920034919</v>
      </c>
      <c r="L29" s="3">
        <f>F29+'BAU Scenario'!AE$85</f>
        <v>889.37790007780609</v>
      </c>
    </row>
    <row r="30" spans="1:22">
      <c r="A30">
        <v>2040</v>
      </c>
      <c r="B30" s="33" t="s">
        <v>109</v>
      </c>
      <c r="C30" s="3">
        <f>'BAU Scenario'!C90</f>
        <v>4568.1069077065658</v>
      </c>
      <c r="D30" s="3">
        <f>'BAU Scenario'!D90</f>
        <v>34220282.902956769</v>
      </c>
      <c r="E30" s="3">
        <f>'BAU Scenario'!E90</f>
        <v>510786792.13857388</v>
      </c>
      <c r="F30" s="3">
        <f>'BAU Scenario'!F90</f>
        <v>949.50100748347836</v>
      </c>
      <c r="G30" s="3">
        <f>'BAU Scenario'!G90</f>
        <v>14740.028189153352</v>
      </c>
      <c r="H30" s="3">
        <f>'BAU Scenario'!H90</f>
        <v>499.34647661453272</v>
      </c>
      <c r="I30" s="3">
        <f>'BAU Scenario'!I90</f>
        <v>3779.2608494251735</v>
      </c>
      <c r="J30" s="3">
        <f>'BAU Scenario'!J90</f>
        <v>31009565.035734229</v>
      </c>
      <c r="K30" s="3">
        <f>C30+'BAU Scenario'!AD$90</f>
        <v>3734.3488372358042</v>
      </c>
      <c r="L30" s="3">
        <f>F30+'BAU Scenario'!AE$90</f>
        <v>862.46254858371867</v>
      </c>
      <c r="M30" s="3">
        <f>G30+'BAU Scenario'!AF90</f>
        <v>12520.830107626696</v>
      </c>
      <c r="N30" s="3">
        <f>H30+'BAU Scenario'!AG90</f>
        <v>168.14199082341355</v>
      </c>
    </row>
    <row r="31" spans="1:22">
      <c r="C31" s="3"/>
      <c r="D31" s="3"/>
      <c r="E31" s="3"/>
      <c r="F31" s="3"/>
      <c r="G31" s="3"/>
      <c r="H31" s="3"/>
      <c r="I31" s="3"/>
      <c r="J31" s="3"/>
    </row>
    <row r="32" spans="1:22">
      <c r="A32" s="2" t="s">
        <v>144</v>
      </c>
    </row>
    <row r="33" spans="1:18" s="2" customFormat="1">
      <c r="A33" s="2" t="s">
        <v>19</v>
      </c>
      <c r="B33" s="2" t="s">
        <v>20</v>
      </c>
      <c r="C33" s="2" t="s">
        <v>2</v>
      </c>
      <c r="D33" s="2" t="s">
        <v>47</v>
      </c>
      <c r="E33" s="2" t="s">
        <v>22</v>
      </c>
      <c r="F33" s="2" t="s">
        <v>24</v>
      </c>
      <c r="G33" s="2" t="s">
        <v>115</v>
      </c>
      <c r="H33" s="2" t="s">
        <v>116</v>
      </c>
      <c r="I33" s="2" t="s">
        <v>117</v>
      </c>
      <c r="J33" s="2" t="s">
        <v>52</v>
      </c>
      <c r="K33" s="2" t="s">
        <v>516</v>
      </c>
      <c r="L33" s="2" t="s">
        <v>517</v>
      </c>
      <c r="M33" s="2" t="s">
        <v>567</v>
      </c>
      <c r="N33" s="2" t="s">
        <v>568</v>
      </c>
      <c r="P33"/>
      <c r="Q33"/>
      <c r="R33"/>
    </row>
    <row r="34" spans="1:18">
      <c r="A34">
        <v>2020</v>
      </c>
      <c r="B34" s="33" t="s">
        <v>109</v>
      </c>
      <c r="C34" s="3">
        <f>'ACC II - MY2026'!C10</f>
        <v>32407.701911043594</v>
      </c>
      <c r="D34" s="3">
        <f>'ACC II - MY2026'!D10</f>
        <v>54995021.887931824</v>
      </c>
      <c r="E34" s="3">
        <f>'ACC II - MY2026'!E10</f>
        <v>569199285.05412686</v>
      </c>
      <c r="F34" s="3">
        <f>'ACC II - MY2026'!F10</f>
        <v>1685.4297302666362</v>
      </c>
      <c r="G34" s="3">
        <f>'ACC II - MY2026'!G10</f>
        <v>29380.623899339513</v>
      </c>
      <c r="H34" s="3">
        <f>'ACC II - MY2026'!H10</f>
        <v>680.61166843379374</v>
      </c>
      <c r="I34" s="3">
        <f>'ACC II - MY2026'!I10</f>
        <v>16589.989236154011</v>
      </c>
      <c r="J34" s="3">
        <f>'ACC II - MY2026'!J10</f>
        <v>54958796.800551549</v>
      </c>
      <c r="K34" s="3">
        <f>C34+'ACC II - MY2026'!AD$10</f>
        <v>32396.348368177143</v>
      </c>
      <c r="L34" s="3">
        <f>F34+'ACC II - MY2026'!AE$10</f>
        <v>1684.3755280309247</v>
      </c>
      <c r="P34" s="2"/>
      <c r="Q34" s="2"/>
      <c r="R34" s="2"/>
    </row>
    <row r="35" spans="1:18">
      <c r="A35">
        <v>2025</v>
      </c>
      <c r="B35" s="33" t="s">
        <v>109</v>
      </c>
      <c r="C35" s="3">
        <f>'ACC II - MY2026'!C15</f>
        <v>17050.080408492788</v>
      </c>
      <c r="D35" s="3">
        <f>'ACC II - MY2026'!D15</f>
        <v>47886080.818615504</v>
      </c>
      <c r="E35" s="3">
        <f>'ACC II - MY2026'!E15</f>
        <v>537050465.39282691</v>
      </c>
      <c r="F35" s="3">
        <f>'ACC II - MY2026'!F15</f>
        <v>1384.5282955022653</v>
      </c>
      <c r="G35" s="3">
        <f>'ACC II - MY2026'!G15</f>
        <v>22990.009683232463</v>
      </c>
      <c r="H35" s="3">
        <f>'ACC II - MY2026'!H15</f>
        <v>646.65812259608674</v>
      </c>
      <c r="I35" s="3">
        <f>'ACC II - MY2026'!I15</f>
        <v>3674.0792258701908</v>
      </c>
      <c r="J35" s="3">
        <f>'ACC II - MY2026'!J15</f>
        <v>47502665.367415652</v>
      </c>
      <c r="K35" s="3">
        <f>C35+'ACC II - MY2026'!AD$15</f>
        <v>16980.366720196213</v>
      </c>
      <c r="L35" s="3">
        <f>F35+'ACC II - MY2026'!AE$15</f>
        <v>1378.0552212446148</v>
      </c>
    </row>
    <row r="36" spans="1:18">
      <c r="A36">
        <v>2026</v>
      </c>
      <c r="B36" s="33" t="s">
        <v>109</v>
      </c>
      <c r="C36" s="3">
        <f>'ACC II - MY2026'!C20</f>
        <v>15141.780922344893</v>
      </c>
      <c r="D36" s="3">
        <f>'ACC II - MY2026'!D20</f>
        <v>46112751.825714618</v>
      </c>
      <c r="E36" s="3">
        <f>'ACC II - MY2026'!E20</f>
        <v>532097058.75099254</v>
      </c>
      <c r="F36" s="3">
        <f>'ACC II - MY2026'!F20</f>
        <v>1333.4569874459453</v>
      </c>
      <c r="G36" s="3">
        <f>'ACC II - MY2026'!G20</f>
        <v>21807.09457331428</v>
      </c>
      <c r="H36" s="3">
        <f>'ACC II - MY2026'!H20</f>
        <v>630.57777805722935</v>
      </c>
      <c r="I36" s="3">
        <f>'ACC II - MY2026'!I20</f>
        <v>3698.1295557229155</v>
      </c>
      <c r="J36" s="3">
        <f>'ACC II - MY2026'!J20</f>
        <v>45546376.563528232</v>
      </c>
      <c r="K36" s="3">
        <f>C36+'ACC II - MY2026'!AD$20</f>
        <v>15024.291614553153</v>
      </c>
      <c r="L36" s="3">
        <f>F36+'ACC II - MY2026'!AE$20</f>
        <v>1322.3036434513235</v>
      </c>
    </row>
    <row r="37" spans="1:18">
      <c r="A37">
        <v>2027</v>
      </c>
      <c r="B37" s="33" t="s">
        <v>109</v>
      </c>
      <c r="C37" s="3">
        <f>'ACC II - MY2026'!C25</f>
        <v>13208.558476102042</v>
      </c>
      <c r="D37" s="3">
        <f>'ACC II - MY2026'!D25</f>
        <v>43763131.943390854</v>
      </c>
      <c r="E37" s="3">
        <f>'ACC II - MY2026'!E25</f>
        <v>527143652.10915816</v>
      </c>
      <c r="F37" s="3">
        <f>'ACC II - MY2026'!F25</f>
        <v>1279.5188552202592</v>
      </c>
      <c r="G37" s="3">
        <f>'ACC II - MY2026'!G25</f>
        <v>20586.513502582173</v>
      </c>
      <c r="H37" s="3">
        <f>'ACC II - MY2026'!H25</f>
        <v>608.12000717874616</v>
      </c>
      <c r="I37" s="3">
        <f>'ACC II - MY2026'!I25</f>
        <v>3587.2371934265084</v>
      </c>
      <c r="J37" s="3">
        <f>'ACC II - MY2026'!J25</f>
        <v>42845388.542801015</v>
      </c>
      <c r="K37" s="3">
        <f>C37+'ACC II - MY2026'!AD$25</f>
        <v>13025.859156184722</v>
      </c>
      <c r="L37" s="3">
        <f>F37+'ACC II - MY2026'!AE$25</f>
        <v>1261.8552840598832</v>
      </c>
    </row>
    <row r="38" spans="1:18">
      <c r="A38">
        <v>2028</v>
      </c>
      <c r="B38" s="33" t="s">
        <v>109</v>
      </c>
      <c r="C38" s="3">
        <f>'ACC II - MY2026'!C30</f>
        <v>11274.106034906958</v>
      </c>
      <c r="D38" s="3">
        <f>'ACC II - MY2026'!D30</f>
        <v>41006853.491983458</v>
      </c>
      <c r="E38" s="3">
        <f>'ACC II - MY2026'!E30</f>
        <v>522190245.46732378</v>
      </c>
      <c r="F38" s="3">
        <f>'ACC II - MY2026'!F30</f>
        <v>1222.9622622302327</v>
      </c>
      <c r="G38" s="3">
        <f>'ACC II - MY2026'!G30</f>
        <v>19335.189434228698</v>
      </c>
      <c r="H38" s="3">
        <f>'ACC II - MY2026'!H30</f>
        <v>579.87715279058284</v>
      </c>
      <c r="I38" s="3">
        <f>'ACC II - MY2026'!I30</f>
        <v>3457.5922806513254</v>
      </c>
      <c r="J38" s="3">
        <f>'ACC II - MY2026'!J30</f>
        <v>39609961.01318796</v>
      </c>
      <c r="K38" s="3">
        <f>C38+'ACC II - MY2026'!AD$30</f>
        <v>11006.269925211622</v>
      </c>
      <c r="L38" s="3">
        <f>F38+'ACC II - MY2026'!AE$30</f>
        <v>1196.6679424515937</v>
      </c>
    </row>
    <row r="39" spans="1:18">
      <c r="A39">
        <v>2029</v>
      </c>
      <c r="B39" s="33" t="s">
        <v>109</v>
      </c>
      <c r="C39" s="3">
        <f>'ACC II - MY2026'!C35</f>
        <v>9335.3579897470408</v>
      </c>
      <c r="D39" s="3">
        <f>'ACC II - MY2026'!D35</f>
        <v>38025821.6936092</v>
      </c>
      <c r="E39" s="3">
        <f>'ACC II - MY2026'!E35</f>
        <v>517236838.8254894</v>
      </c>
      <c r="F39" s="3">
        <f>'ACC II - MY2026'!F35</f>
        <v>1163.9647847895676</v>
      </c>
      <c r="G39" s="3">
        <f>'ACC II - MY2026'!G35</f>
        <v>18030.224027460474</v>
      </c>
      <c r="H39" s="3">
        <f>'ACC II - MY2026'!H35</f>
        <v>547.06744788816127</v>
      </c>
      <c r="I39" s="3">
        <f>'ACC II - MY2026'!I35</f>
        <v>3306.805716696294</v>
      </c>
      <c r="J39" s="3">
        <f>'ACC II - MY2026'!J35</f>
        <v>36065957.926196001</v>
      </c>
      <c r="K39" s="3">
        <f>C39+'ACC II - MY2026'!AD$35</f>
        <v>8959.8719359041806</v>
      </c>
      <c r="L39" s="3">
        <f>F39+'ACC II - MY2026'!AE$35</f>
        <v>1126.6180803811631</v>
      </c>
    </row>
    <row r="40" spans="1:18">
      <c r="A40">
        <v>2030</v>
      </c>
      <c r="B40" s="33" t="s">
        <v>109</v>
      </c>
      <c r="C40" s="3">
        <f>'ACC II - MY2026'!C40</f>
        <v>7422.1715043810727</v>
      </c>
      <c r="D40" s="3">
        <f>'ACC II - MY2026'!D40</f>
        <v>34948046.878297649</v>
      </c>
      <c r="E40" s="3">
        <f>'ACC II - MY2026'!E40</f>
        <v>512283432.18365502</v>
      </c>
      <c r="F40" s="3">
        <f>'ACC II - MY2026'!F40</f>
        <v>1098.373940085384</v>
      </c>
      <c r="G40" s="3">
        <f>'ACC II - MY2026'!G40</f>
        <v>16695.033373676346</v>
      </c>
      <c r="H40" s="3">
        <f>'ACC II - MY2026'!H40</f>
        <v>512.48939121665933</v>
      </c>
      <c r="I40" s="3">
        <f>'ACC II - MY2026'!I40</f>
        <v>3139.6093854276978</v>
      </c>
      <c r="J40" s="3">
        <f>'ACC II - MY2026'!J40</f>
        <v>32371522.44725835</v>
      </c>
      <c r="K40" s="3">
        <f>C40+'ACC II - MY2026'!AD$40</f>
        <v>6912.3146370370578</v>
      </c>
      <c r="L40" s="3">
        <f>F40+'ACC II - MY2026'!AE$40</f>
        <v>1047.0890777725019</v>
      </c>
    </row>
    <row r="41" spans="1:18">
      <c r="A41">
        <v>2031</v>
      </c>
      <c r="B41" s="33" t="s">
        <v>109</v>
      </c>
      <c r="C41" s="3">
        <f>'ACC II - MY2026'!C45</f>
        <v>6681.1837586430229</v>
      </c>
      <c r="D41" s="3">
        <f>'ACC II - MY2026'!D45</f>
        <v>32222256.527128138</v>
      </c>
      <c r="E41" s="3">
        <f>'ACC II - MY2026'!E45</f>
        <v>510209663.98495835</v>
      </c>
      <c r="F41" s="3">
        <f>'ACC II - MY2026'!F45</f>
        <v>1067.8651632659269</v>
      </c>
      <c r="G41" s="3">
        <f>'ACC II - MY2026'!G45</f>
        <v>16227.977094382779</v>
      </c>
      <c r="H41" s="3">
        <f>'ACC II - MY2026'!H45</f>
        <v>477.18043719774994</v>
      </c>
      <c r="I41" s="3">
        <f>'ACC II - MY2026'!I45</f>
        <v>2974.6795586033072</v>
      </c>
      <c r="J41" s="3">
        <f>'ACC II - MY2026'!J45</f>
        <v>29049972.340327047</v>
      </c>
      <c r="K41" s="3">
        <f>C41+'ACC II - MY2026'!AD$45</f>
        <v>6015.4288697018092</v>
      </c>
      <c r="L41" s="3">
        <f>F41+'ACC II - MY2026'!AE$45</f>
        <v>1000.7888906701296</v>
      </c>
    </row>
    <row r="42" spans="1:18">
      <c r="A42">
        <v>2032</v>
      </c>
      <c r="B42" s="33" t="s">
        <v>109</v>
      </c>
      <c r="C42" s="3">
        <f>'ACC II - MY2026'!C50</f>
        <v>5941.0745752251669</v>
      </c>
      <c r="D42" s="3">
        <f>'ACC II - MY2026'!D50</f>
        <v>29440005.842486948</v>
      </c>
      <c r="E42" s="3">
        <f>'ACC II - MY2026'!E50</f>
        <v>508135895.78626168</v>
      </c>
      <c r="F42" s="3">
        <f>'ACC II - MY2026'!F50</f>
        <v>1031.5417425261983</v>
      </c>
      <c r="G42" s="3">
        <f>'ACC II - MY2026'!G50</f>
        <v>15735.216447561294</v>
      </c>
      <c r="H42" s="3">
        <f>'ACC II - MY2026'!H50</f>
        <v>442.10954467517263</v>
      </c>
      <c r="I42" s="3">
        <f>'ACC II - MY2026'!I50</f>
        <v>2805.2546448860121</v>
      </c>
      <c r="J42" s="3">
        <f>'ACC II - MY2026'!J50</f>
        <v>25655586.076623127</v>
      </c>
      <c r="K42" s="3">
        <f>C42+'ACC II - MY2026'!AD$50</f>
        <v>5104.938739253429</v>
      </c>
      <c r="L42" s="3">
        <f>F42+'ACC II - MY2026'!AE$50</f>
        <v>947.1616312695121</v>
      </c>
    </row>
    <row r="43" spans="1:18">
      <c r="A43">
        <v>2033</v>
      </c>
      <c r="B43" s="33" t="s">
        <v>109</v>
      </c>
      <c r="C43" s="3">
        <f>'ACC II - MY2026'!C55</f>
        <v>5214.6714681827334</v>
      </c>
      <c r="D43" s="3">
        <f>'ACC II - MY2026'!D55</f>
        <v>26708393.099684093</v>
      </c>
      <c r="E43" s="3">
        <f>'ACC II - MY2026'!E55</f>
        <v>506062127.587565</v>
      </c>
      <c r="F43" s="3">
        <f>'ACC II - MY2026'!F55</f>
        <v>994.49290008926766</v>
      </c>
      <c r="G43" s="3">
        <f>'ACC II - MY2026'!G55</f>
        <v>15224.082648877225</v>
      </c>
      <c r="H43" s="3">
        <f>'ACC II - MY2026'!H55</f>
        <v>408.34119724481229</v>
      </c>
      <c r="I43" s="3">
        <f>'ACC II - MY2026'!I55</f>
        <v>2635.8182908326494</v>
      </c>
      <c r="J43" s="3">
        <f>'ACC II - MY2026'!J55</f>
        <v>22324813.875962906</v>
      </c>
      <c r="K43" s="3">
        <f>C43+'ACC II - MY2026'!AD$55</f>
        <v>4193.2918184334294</v>
      </c>
      <c r="L43" s="3">
        <f>F43+'ACC II - MY2026'!AE$55</f>
        <v>891.25146183621757</v>
      </c>
    </row>
    <row r="44" spans="1:18">
      <c r="A44">
        <v>2034</v>
      </c>
      <c r="B44" s="33" t="s">
        <v>109</v>
      </c>
      <c r="C44" s="3">
        <f>'ACC II - MY2026'!C60</f>
        <v>4507.2266287348175</v>
      </c>
      <c r="D44" s="3">
        <f>'ACC II - MY2026'!D60</f>
        <v>23934361.231508672</v>
      </c>
      <c r="E44" s="3">
        <f>'ACC II - MY2026'!E60</f>
        <v>503988359.38886833</v>
      </c>
      <c r="F44" s="3">
        <f>'ACC II - MY2026'!F60</f>
        <v>957.16681964537372</v>
      </c>
      <c r="G44" s="3">
        <f>'ACC II - MY2026'!G60</f>
        <v>14682.488085166264</v>
      </c>
      <c r="H44" s="3">
        <f>'ACC II - MY2026'!H60</f>
        <v>375.61435899937379</v>
      </c>
      <c r="I44" s="3">
        <f>'ACC II - MY2026'!I60</f>
        <v>2465.1154330984627</v>
      </c>
      <c r="J44" s="3">
        <f>'ACC II - MY2026'!J60</f>
        <v>18936672.93883891</v>
      </c>
      <c r="K44" s="3">
        <f>C44+'ACC II - MY2026'!AD$60</f>
        <v>3285.4735297870584</v>
      </c>
      <c r="L44" s="3">
        <f>F44+'ACC II - MY2026'!AE$60</f>
        <v>833.47438906835032</v>
      </c>
    </row>
    <row r="45" spans="1:18">
      <c r="A45">
        <v>2035</v>
      </c>
      <c r="B45" s="33" t="s">
        <v>109</v>
      </c>
      <c r="C45" s="3">
        <f>'ACC II - MY2026'!C65</f>
        <v>3812.9845257940269</v>
      </c>
      <c r="D45" s="3">
        <f>'ACC II - MY2026'!D65</f>
        <v>21241913.715967689</v>
      </c>
      <c r="E45" s="3">
        <f>'ACC II - MY2026'!E65</f>
        <v>501914591.19017166</v>
      </c>
      <c r="F45" s="3">
        <f>'ACC II - MY2026'!F65</f>
        <v>913.48600400393934</v>
      </c>
      <c r="G45" s="3">
        <f>'ACC II - MY2026'!G65</f>
        <v>13927.426428773939</v>
      </c>
      <c r="H45" s="3">
        <f>'ACC II - MY2026'!H65</f>
        <v>344.80362203795897</v>
      </c>
      <c r="I45" s="3">
        <f>'ACC II - MY2026'!I65</f>
        <v>2298.2132457782495</v>
      </c>
      <c r="J45" s="3">
        <f>'ACC II - MY2026'!J65</f>
        <v>15650906.524829719</v>
      </c>
      <c r="K45" s="3">
        <f>C45+'ACC II - MY2026'!AD$65</f>
        <v>2375.9553677026306</v>
      </c>
      <c r="L45" s="3">
        <f>F45+'ACC II - MY2026'!AE$65</f>
        <v>767.77690001127007</v>
      </c>
    </row>
    <row r="46" spans="1:18">
      <c r="A46">
        <v>2036</v>
      </c>
      <c r="B46" s="33" t="s">
        <v>109</v>
      </c>
      <c r="C46" s="3">
        <f>'ACC II - MY2026'!C70</f>
        <v>3538.9812018059879</v>
      </c>
      <c r="D46" s="3">
        <f>'ACC II - MY2026'!D70</f>
        <v>18965134.412680686</v>
      </c>
      <c r="E46" s="3">
        <f>'ACC II - MY2026'!E70</f>
        <v>503689031.37985212</v>
      </c>
      <c r="F46" s="3">
        <f>'ACC II - MY2026'!F70</f>
        <v>882.91662200620794</v>
      </c>
      <c r="G46" s="3">
        <f>'ACC II - MY2026'!G70</f>
        <v>13353.240891768914</v>
      </c>
      <c r="H46" s="3">
        <f>'ACC II - MY2026'!H70</f>
        <v>317.90001982683157</v>
      </c>
      <c r="I46" s="3">
        <f>'ACC II - MY2026'!I70</f>
        <v>2180.7059443389371</v>
      </c>
      <c r="J46" s="3">
        <f>'ACC II - MY2026'!J70</f>
        <v>12586013.373492522</v>
      </c>
      <c r="K46" s="3">
        <f>C46+'ACC II - MY2026'!AD$70</f>
        <v>1787.422184868243</v>
      </c>
      <c r="L46" s="3">
        <f>F46+'ACC II - MY2026'!AE$70</f>
        <v>704.02211366527717</v>
      </c>
    </row>
    <row r="47" spans="1:18">
      <c r="A47">
        <v>2037</v>
      </c>
      <c r="B47" s="33" t="s">
        <v>109</v>
      </c>
      <c r="C47" s="3">
        <f>'ACC II - MY2026'!C75</f>
        <v>3271.426035983905</v>
      </c>
      <c r="D47" s="3">
        <f>'ACC II - MY2026'!D75</f>
        <v>17033494.315736033</v>
      </c>
      <c r="E47" s="3">
        <f>'ACC II - MY2026'!E75</f>
        <v>505463471.56953257</v>
      </c>
      <c r="F47" s="3">
        <f>'ACC II - MY2026'!F75</f>
        <v>854.89209894638702</v>
      </c>
      <c r="G47" s="3">
        <f>'ACC II - MY2026'!G75</f>
        <v>12796.102125533154</v>
      </c>
      <c r="H47" s="3">
        <f>'ACC II - MY2026'!H75</f>
        <v>295.15732922298264</v>
      </c>
      <c r="I47" s="3">
        <f>'ACC II - MY2026'!I75</f>
        <v>2080.119613057665</v>
      </c>
      <c r="J47" s="3">
        <f>'ACC II - MY2026'!J75</f>
        <v>9897288.2045631595</v>
      </c>
      <c r="K47" s="3">
        <f>C47+'ACC II - MY2026'!AD$75</f>
        <v>1178.117059446256</v>
      </c>
      <c r="L47" s="3">
        <f>F47+'ACC II - MY2026'!AE$75</f>
        <v>639.71655777203091</v>
      </c>
    </row>
    <row r="48" spans="1:18">
      <c r="A48">
        <v>2038</v>
      </c>
      <c r="B48" s="33" t="s">
        <v>109</v>
      </c>
      <c r="C48" s="3">
        <f>'ACC II - MY2026'!C80</f>
        <v>3010.9376097718336</v>
      </c>
      <c r="D48" s="3">
        <f>'ACC II - MY2026'!D80</f>
        <v>15388919.449354932</v>
      </c>
      <c r="E48" s="3">
        <f>'ACC II - MY2026'!E80</f>
        <v>507237911.75921297</v>
      </c>
      <c r="F48" s="3">
        <f>'ACC II - MY2026'!F80</f>
        <v>827.93352914969614</v>
      </c>
      <c r="G48" s="3">
        <f>'ACC II - MY2026'!G80</f>
        <v>12220.593692921302</v>
      </c>
      <c r="H48" s="3">
        <f>'ACC II - MY2026'!H80</f>
        <v>275.71433179663069</v>
      </c>
      <c r="I48" s="3">
        <f>'ACC II - MY2026'!I80</f>
        <v>1993.0464144639816</v>
      </c>
      <c r="J48" s="3">
        <f>'ACC II - MY2026'!J80</f>
        <v>7509601.2213142943</v>
      </c>
      <c r="K48" s="3">
        <f>C48+'ACC II - MY2026'!AD$80</f>
        <v>548.49671187201693</v>
      </c>
      <c r="L48" s="3">
        <f>F48+'ACC II - MY2026'!AE$80</f>
        <v>573.36311246519915</v>
      </c>
    </row>
    <row r="49" spans="1:14">
      <c r="A49">
        <v>2039</v>
      </c>
      <c r="B49" s="33" t="s">
        <v>109</v>
      </c>
      <c r="C49" s="3">
        <f>'ACC II - MY2026'!C85</f>
        <v>2759.0990810468647</v>
      </c>
      <c r="D49" s="3">
        <f>'ACC II - MY2026'!D85</f>
        <v>14013613.093331132</v>
      </c>
      <c r="E49" s="3">
        <f>'ACC II - MY2026'!E85</f>
        <v>509012351.94889343</v>
      </c>
      <c r="F49" s="3">
        <f>'ACC II - MY2026'!F85</f>
        <v>803.63305399810929</v>
      </c>
      <c r="G49" s="3">
        <f>'ACC II - MY2026'!G85</f>
        <v>11629.286247001182</v>
      </c>
      <c r="H49" s="3">
        <f>'ACC II - MY2026'!H85</f>
        <v>259.25112458448507</v>
      </c>
      <c r="I49" s="3">
        <f>'ACC II - MY2026'!I85</f>
        <v>1919.2264603031083</v>
      </c>
      <c r="J49" s="3">
        <f>'ACC II - MY2026'!J85</f>
        <v>5399719.6544639058</v>
      </c>
      <c r="K49" s="3">
        <f>C49+'ACC II - MY2026'!AD$85</f>
        <v>-100.00259075301938</v>
      </c>
      <c r="L49" s="3">
        <f>F49+'ACC II - MY2026'!AE$85</f>
        <v>506.53740187847143</v>
      </c>
    </row>
    <row r="50" spans="1:14">
      <c r="A50">
        <v>2040</v>
      </c>
      <c r="B50" s="33" t="s">
        <v>109</v>
      </c>
      <c r="C50" s="3">
        <f>'ACC II - MY2026'!C90</f>
        <v>2522.5043262131326</v>
      </c>
      <c r="D50" s="3">
        <f>'ACC II - MY2026'!D90</f>
        <v>12892630.269297438</v>
      </c>
      <c r="E50" s="3">
        <f>'ACC II - MY2026'!E90</f>
        <v>510786792.13857388</v>
      </c>
      <c r="F50" s="3">
        <f>'ACC II - MY2026'!F90</f>
        <v>780.78072703355849</v>
      </c>
      <c r="G50" s="3">
        <f>'ACC II - MY2026'!G90</f>
        <v>11018.717004433271</v>
      </c>
      <c r="H50" s="3">
        <f>'ACC II - MY2026'!H90</f>
        <v>245.62349351078558</v>
      </c>
      <c r="I50" s="3">
        <f>'ACC II - MY2026'!I90</f>
        <v>1858.980279620409</v>
      </c>
      <c r="J50" s="3">
        <f>'ACC II - MY2026'!J90</f>
        <v>3548079.5046344716</v>
      </c>
      <c r="K50" s="3">
        <f>C50+'ACC II - MY2026'!AD$90</f>
        <v>-760.93456913501495</v>
      </c>
      <c r="L50" s="3">
        <f>F50+'ACC II - MY2026'!AE$90</f>
        <v>438.01287690495911</v>
      </c>
      <c r="M50" s="3">
        <f>G50+'ACC II - MY2026'!AF90</f>
        <v>2279.2498191232607</v>
      </c>
      <c r="N50" s="3">
        <f>H50+'ACC II - MY2026'!AG90</f>
        <v>-1058.6993424244861</v>
      </c>
    </row>
    <row r="51" spans="1:14">
      <c r="C51" s="3"/>
      <c r="D51" s="3"/>
      <c r="E51" s="3"/>
      <c r="F51" s="3"/>
      <c r="G51" s="3"/>
      <c r="H51" s="3"/>
      <c r="I51" s="3"/>
      <c r="J51" s="3"/>
    </row>
    <row r="52" spans="1:14">
      <c r="A52" s="2" t="s">
        <v>147</v>
      </c>
    </row>
    <row r="53" spans="1:14">
      <c r="A53" s="2" t="s">
        <v>19</v>
      </c>
      <c r="B53" s="2" t="s">
        <v>20</v>
      </c>
      <c r="C53" s="2" t="s">
        <v>2</v>
      </c>
      <c r="D53" s="2" t="s">
        <v>47</v>
      </c>
      <c r="E53" s="2" t="s">
        <v>22</v>
      </c>
      <c r="F53" s="2" t="s">
        <v>24</v>
      </c>
      <c r="G53" s="2" t="s">
        <v>115</v>
      </c>
      <c r="H53" s="2" t="s">
        <v>116</v>
      </c>
      <c r="I53" s="2" t="s">
        <v>117</v>
      </c>
      <c r="J53" s="2" t="s">
        <v>52</v>
      </c>
      <c r="K53" s="2" t="s">
        <v>516</v>
      </c>
      <c r="L53" s="2" t="s">
        <v>517</v>
      </c>
      <c r="M53" s="2" t="s">
        <v>567</v>
      </c>
      <c r="N53" s="2" t="s">
        <v>568</v>
      </c>
    </row>
    <row r="54" spans="1:14">
      <c r="A54">
        <v>2020</v>
      </c>
      <c r="B54" s="33" t="s">
        <v>109</v>
      </c>
      <c r="C54" s="3">
        <f>'ACC II - MY2027'!C10</f>
        <v>32407.701911043594</v>
      </c>
      <c r="D54" s="3">
        <f>'ACC II - MY2027'!D10</f>
        <v>54995021.887931824</v>
      </c>
      <c r="E54" s="3">
        <f>'ACC II - MY2027'!E10</f>
        <v>569199285.05412686</v>
      </c>
      <c r="F54" s="3">
        <f>'ACC II - MY2027'!F10</f>
        <v>1685.4297302666362</v>
      </c>
      <c r="G54" s="3">
        <f>'ACC II - MY2027'!G10</f>
        <v>29380.623899339513</v>
      </c>
      <c r="H54" s="3">
        <f>'ACC II - MY2027'!H10</f>
        <v>680.61166843379374</v>
      </c>
      <c r="I54" s="3">
        <f>'ACC II - MY2027'!I10</f>
        <v>16589.989236154011</v>
      </c>
      <c r="J54" s="3">
        <f>'ACC II - MY2027'!J10</f>
        <v>54958796.800551549</v>
      </c>
      <c r="K54" s="3">
        <f>C54+'ACC II - MY2027'!AD$10</f>
        <v>32396.348368177143</v>
      </c>
      <c r="L54" s="3">
        <f>F54+'ACC II - MY2027'!AE$10</f>
        <v>1684.3755280309247</v>
      </c>
    </row>
    <row r="55" spans="1:14">
      <c r="A55">
        <v>2025</v>
      </c>
      <c r="B55" s="33" t="s">
        <v>109</v>
      </c>
      <c r="C55" s="3">
        <f>'ACC II - MY2027'!C15</f>
        <v>17050.080408492788</v>
      </c>
      <c r="D55" s="3">
        <f>'ACC II - MY2027'!D15</f>
        <v>47886080.818615504</v>
      </c>
      <c r="E55" s="3">
        <f>'ACC II - MY2027'!E15</f>
        <v>537050465.39282691</v>
      </c>
      <c r="F55" s="3">
        <f>'ACC II - MY2027'!F15</f>
        <v>1384.5282955022653</v>
      </c>
      <c r="G55" s="3">
        <f>'ACC II - MY2027'!G15</f>
        <v>22990.009683232463</v>
      </c>
      <c r="H55" s="3">
        <f>'ACC II - MY2027'!H15</f>
        <v>646.65812259608674</v>
      </c>
      <c r="I55" s="3">
        <f>'ACC II - MY2027'!I15</f>
        <v>3674.0792258701908</v>
      </c>
      <c r="J55" s="3">
        <f>'ACC II - MY2027'!J15</f>
        <v>47502665.367415652</v>
      </c>
      <c r="K55" s="3">
        <f>C55+'ACC II - MY2027'!AD$15</f>
        <v>16980.366720196213</v>
      </c>
      <c r="L55" s="3">
        <f>F55+'ACC II - MY2027'!AE$15</f>
        <v>1378.0552212446148</v>
      </c>
    </row>
    <row r="56" spans="1:14">
      <c r="A56">
        <v>2026</v>
      </c>
      <c r="B56" s="33" t="s">
        <v>109</v>
      </c>
      <c r="C56" s="3">
        <f>'ACC II - MY2027'!C20</f>
        <v>15236.856156572934</v>
      </c>
      <c r="D56" s="3">
        <f>'ACC II - MY2027'!D20</f>
        <v>46752488.34458518</v>
      </c>
      <c r="E56" s="3">
        <f>'ACC II - MY2027'!E20</f>
        <v>532097058.75099254</v>
      </c>
      <c r="F56" s="3">
        <f>'ACC II - MY2027'!F20</f>
        <v>1339.4651125326534</v>
      </c>
      <c r="G56" s="3">
        <f>'ACC II - MY2027'!G20</f>
        <v>21881.0531232875</v>
      </c>
      <c r="H56" s="3">
        <f>'ACC II - MY2027'!H20</f>
        <v>640.97203264430993</v>
      </c>
      <c r="I56" s="3">
        <f>'ACC II - MY2027'!I20</f>
        <v>3759.0884119271732</v>
      </c>
      <c r="J56" s="3">
        <f>J16</f>
        <v>46329398.912889317</v>
      </c>
      <c r="K56" s="3">
        <f>C56+'ACC II - MY2027'!AD$20</f>
        <v>15135.382585628277</v>
      </c>
      <c r="L56" s="3">
        <f>F56+'ACC II - MY2027'!AE$20</f>
        <v>1329.8321576956096</v>
      </c>
    </row>
    <row r="57" spans="1:14">
      <c r="A57">
        <v>2027</v>
      </c>
      <c r="B57" s="33" t="s">
        <v>109</v>
      </c>
      <c r="C57" s="3">
        <f>'ACC II - MY2027'!C25</f>
        <v>13224.483584438422</v>
      </c>
      <c r="D57" s="3">
        <f>'ACC II - MY2027'!D25</f>
        <v>43881920.694710501</v>
      </c>
      <c r="E57" s="3">
        <f>'ACC II - MY2027'!E25</f>
        <v>527143652.10915816</v>
      </c>
      <c r="F57" s="3">
        <f>'ACC II - MY2027'!F25</f>
        <v>1280.5929820362123</v>
      </c>
      <c r="G57" s="3">
        <f>'ACC II - MY2027'!G25</f>
        <v>20600.69668941465</v>
      </c>
      <c r="H57" s="3">
        <f>'ACC II - MY2027'!H25</f>
        <v>609.85751010725744</v>
      </c>
      <c r="I57" s="3">
        <f>'ACC II - MY2027'!I25</f>
        <v>3597.4865439745345</v>
      </c>
      <c r="J57" s="3">
        <f>'ACC II - MY2027'!J25</f>
        <v>42962448.022821702</v>
      </c>
      <c r="K57" s="3">
        <f>C57+'ACC II - MY2027'!AD$25</f>
        <v>13059.112726998601</v>
      </c>
      <c r="L57" s="3">
        <f>F57+'ACC II - MY2027'!AE$25</f>
        <v>1264.6047456839228</v>
      </c>
    </row>
    <row r="58" spans="1:14">
      <c r="A58">
        <v>2028</v>
      </c>
      <c r="B58" s="33" t="s">
        <v>109</v>
      </c>
      <c r="C58" s="3">
        <f>'ACC II - MY2027'!C30</f>
        <v>11298.185425722761</v>
      </c>
      <c r="D58" s="3">
        <f>'ACC II - MY2027'!D30</f>
        <v>41206961.69504299</v>
      </c>
      <c r="E58" s="3">
        <f>'ACC II - MY2027'!E30</f>
        <v>522190245.46732378</v>
      </c>
      <c r="F58" s="3">
        <f>'ACC II - MY2027'!F30</f>
        <v>1224.7287166654608</v>
      </c>
      <c r="G58" s="3">
        <f>'ACC II - MY2027'!G30</f>
        <v>19359.493428366659</v>
      </c>
      <c r="H58" s="3">
        <f>'ACC II - MY2027'!H30</f>
        <v>582.70746151173068</v>
      </c>
      <c r="I58" s="3">
        <f>'ACC II - MY2027'!I30</f>
        <v>3474.4683612815197</v>
      </c>
      <c r="J58" s="3">
        <f>'ACC II - MY2027'!J30</f>
        <v>39836490.41607663</v>
      </c>
      <c r="K58" s="3">
        <f>C58+'ACC II - MY2027'!AD$30</f>
        <v>11048.98360826106</v>
      </c>
      <c r="L58" s="3">
        <f>F58+'ACC II - MY2027'!AE$30</f>
        <v>1200.2637844156252</v>
      </c>
    </row>
    <row r="59" spans="1:14">
      <c r="A59">
        <v>2029</v>
      </c>
      <c r="B59" s="33" t="s">
        <v>109</v>
      </c>
      <c r="C59" s="3">
        <f>'ACC II - MY2027'!C35</f>
        <v>9366.9925507304797</v>
      </c>
      <c r="D59" s="3">
        <f>'ACC II - MY2027'!D35</f>
        <v>38312353.607358672</v>
      </c>
      <c r="E59" s="3">
        <f>'ACC II - MY2027'!E35</f>
        <v>517236838.8254894</v>
      </c>
      <c r="F59" s="3">
        <f>'ACC II - MY2027'!F35</f>
        <v>1166.4719749397948</v>
      </c>
      <c r="G59" s="3">
        <f>'ACC II - MY2027'!G35</f>
        <v>18067.110610451309</v>
      </c>
      <c r="H59" s="3">
        <f>'ACC II - MY2027'!H35</f>
        <v>551.13573827915639</v>
      </c>
      <c r="I59" s="3">
        <f>'ACC II - MY2027'!I35</f>
        <v>3331.3969183370718</v>
      </c>
      <c r="J59" s="3">
        <f>'ACC II - MY2027'!J35</f>
        <v>36408493.329187952</v>
      </c>
      <c r="K59" s="3">
        <f>C59+'ACC II - MY2027'!AD$35</f>
        <v>9011.4435130676757</v>
      </c>
      <c r="L59" s="3">
        <f>F59+'ACC II - MY2027'!AE$35</f>
        <v>1131.1082519029801</v>
      </c>
    </row>
    <row r="60" spans="1:14">
      <c r="A60">
        <v>2030</v>
      </c>
      <c r="B60" s="33" t="s">
        <v>109</v>
      </c>
      <c r="C60" s="3">
        <f>'ACC II - MY2027'!C40</f>
        <v>7458.5301830756216</v>
      </c>
      <c r="D60" s="3">
        <f>'ACC II - MY2027'!D40</f>
        <v>35322648.092759445</v>
      </c>
      <c r="E60" s="3">
        <f>'ACC II - MY2027'!E40</f>
        <v>512283432.18365502</v>
      </c>
      <c r="F60" s="3">
        <f>'ACC II - MY2027'!F40</f>
        <v>1101.6025608396606</v>
      </c>
      <c r="G60" s="3">
        <f>'ACC II - MY2027'!G40</f>
        <v>16744.372701611574</v>
      </c>
      <c r="H60" s="3">
        <f>'ACC II - MY2027'!H40</f>
        <v>517.81904253867128</v>
      </c>
      <c r="I60" s="3">
        <f>'ACC II - MY2027'!I40</f>
        <v>3172.2598628784049</v>
      </c>
      <c r="J60" s="3">
        <f>'ACC II - MY2027'!J40</f>
        <v>32832148.379594099</v>
      </c>
      <c r="K60" s="3">
        <f>C60+'ACC II - MY2027'!AD$40</f>
        <v>6969.9103631660464</v>
      </c>
      <c r="L60" s="3">
        <f>F60+'ACC II - MY2027'!AE$40</f>
        <v>1052.4538648184694</v>
      </c>
    </row>
    <row r="61" spans="1:14">
      <c r="A61">
        <v>2031</v>
      </c>
      <c r="B61" s="33" t="s">
        <v>109</v>
      </c>
      <c r="C61" s="3">
        <f>'ACC II - MY2027'!C45</f>
        <v>6725.8078383669872</v>
      </c>
      <c r="D61" s="3">
        <f>'ACC II - MY2027'!D45</f>
        <v>32691219.649028149</v>
      </c>
      <c r="E61" s="3">
        <f>'ACC II - MY2027'!E45</f>
        <v>510209663.98495835</v>
      </c>
      <c r="F61" s="3">
        <f>'ACC II - MY2027'!F45</f>
        <v>1071.8897695126352</v>
      </c>
      <c r="G61" s="3">
        <f>'ACC II - MY2027'!G45</f>
        <v>16292.279174026457</v>
      </c>
      <c r="H61" s="3">
        <f>'ACC II - MY2027'!H45</f>
        <v>483.71484568794943</v>
      </c>
      <c r="I61" s="3">
        <f>'ACC II - MY2027'!I45</f>
        <v>3015.414194493892</v>
      </c>
      <c r="J61" s="3">
        <f>'ACC II - MY2027'!J45</f>
        <v>29633017.691236734</v>
      </c>
      <c r="K61" s="3">
        <f>C61+'ACC II - MY2027'!AD$45</f>
        <v>6081.3150975285716</v>
      </c>
      <c r="L61" s="3">
        <f>F61+'ACC II - MY2027'!AE$45</f>
        <v>1006.9557052067144</v>
      </c>
    </row>
    <row r="62" spans="1:14">
      <c r="A62">
        <v>2032</v>
      </c>
      <c r="B62" s="33" t="s">
        <v>109</v>
      </c>
      <c r="C62" s="3">
        <f>'ACC II - MY2027'!C50</f>
        <v>5992.7042026868694</v>
      </c>
      <c r="D62" s="3">
        <f>'ACC II - MY2027'!D50</f>
        <v>29995633.31218661</v>
      </c>
      <c r="E62" s="3">
        <f>'ACC II - MY2027'!E50</f>
        <v>508135895.78626168</v>
      </c>
      <c r="F62" s="3">
        <f>'ACC II - MY2027'!F50</f>
        <v>1036.2784892767986</v>
      </c>
      <c r="G62" s="3">
        <f>'ACC II - MY2027'!G50</f>
        <v>15813.7913623637</v>
      </c>
      <c r="H62" s="3">
        <f>'ACC II - MY2027'!H50</f>
        <v>449.68617790416346</v>
      </c>
      <c r="I62" s="3">
        <f>'ACC II - MY2027'!I50</f>
        <v>2853.3295752154181</v>
      </c>
      <c r="J62" s="3">
        <f>'ACC II - MY2027'!J50</f>
        <v>26351134.019512542</v>
      </c>
      <c r="K62" s="3">
        <f>C62+'ACC II - MY2027'!AD$50</f>
        <v>5177.8584819517473</v>
      </c>
      <c r="L62" s="3">
        <f>F62+'ACC II - MY2027'!AE$50</f>
        <v>954.04690726027525</v>
      </c>
    </row>
    <row r="63" spans="1:14">
      <c r="A63">
        <v>2033</v>
      </c>
      <c r="B63" s="33" t="s">
        <v>109</v>
      </c>
      <c r="C63" s="3">
        <f>'ACC II - MY2027'!C55</f>
        <v>5271.2803051138708</v>
      </c>
      <c r="D63" s="3">
        <f>'ACC II - MY2027'!D55</f>
        <v>27336350.692437921</v>
      </c>
      <c r="E63" s="3">
        <f>'ACC II - MY2027'!E55</f>
        <v>506062127.587565</v>
      </c>
      <c r="F63" s="3">
        <f>'ACC II - MY2027'!F55</f>
        <v>999.82785820676759</v>
      </c>
      <c r="G63" s="3">
        <f>'ACC II - MY2027'!G55</f>
        <v>15315.410579586896</v>
      </c>
      <c r="H63" s="3">
        <f>'ACC II - MY2027'!H55</f>
        <v>416.74263341121019</v>
      </c>
      <c r="I63" s="3">
        <f>'ACC II - MY2027'!I55</f>
        <v>2690.049064670975</v>
      </c>
      <c r="J63" s="3">
        <f>'ACC II - MY2027'!J55</f>
        <v>23114402.359440461</v>
      </c>
      <c r="K63" s="3">
        <f>C63+'ACC II - MY2027'!AD$55</f>
        <v>4271.2215515366761</v>
      </c>
      <c r="L63" s="3">
        <f>F63+'ACC II - MY2027'!AE$55</f>
        <v>898.74154413911992</v>
      </c>
    </row>
    <row r="64" spans="1:14">
      <c r="A64">
        <v>2034</v>
      </c>
      <c r="B64" s="33" t="s">
        <v>109</v>
      </c>
      <c r="C64" s="3">
        <f>'ACC II - MY2027'!C60</f>
        <v>4566.6095315096363</v>
      </c>
      <c r="D64" s="3">
        <f>'ACC II - MY2027'!D60</f>
        <v>24624770.091237079</v>
      </c>
      <c r="E64" s="3">
        <f>'ACC II - MY2027'!E60</f>
        <v>503988359.38886833</v>
      </c>
      <c r="F64" s="3">
        <f>'ACC II - MY2027'!F60</f>
        <v>962.96501340461782</v>
      </c>
      <c r="G64" s="3">
        <f>'ACC II - MY2027'!G60</f>
        <v>14785.342599135311</v>
      </c>
      <c r="H64" s="3">
        <f>'ACC II - MY2027'!H60</f>
        <v>384.63899762599578</v>
      </c>
      <c r="I64" s="3">
        <f>'ACC II - MY2027'!I60</f>
        <v>2524.3431367887242</v>
      </c>
      <c r="J64" s="3">
        <f>'ACC II - MY2027'!J60</f>
        <v>19807571.305207461</v>
      </c>
      <c r="K64" s="3">
        <f>C64+'ACC II - MY2027'!AD$60</f>
        <v>3366.2086816437245</v>
      </c>
      <c r="L64" s="3">
        <f>F64+'ACC II - MY2027'!AE$60</f>
        <v>841.4343220443759</v>
      </c>
    </row>
    <row r="65" spans="1:18">
      <c r="A65">
        <v>2035</v>
      </c>
      <c r="B65" s="33" t="s">
        <v>109</v>
      </c>
      <c r="C65" s="3">
        <f>'ACC II - MY2027'!C65</f>
        <v>3872.5484933192324</v>
      </c>
      <c r="D65" s="3">
        <f>'ACC II - MY2027'!D65</f>
        <v>21978501.435054764</v>
      </c>
      <c r="E65" s="3">
        <f>'ACC II - MY2027'!E65</f>
        <v>501914591.19017166</v>
      </c>
      <c r="F65" s="3">
        <f>'ACC II - MY2027'!F65</f>
        <v>919.56776690410379</v>
      </c>
      <c r="G65" s="3">
        <f>'ACC II - MY2027'!G65</f>
        <v>14037.638706563663</v>
      </c>
      <c r="H65" s="3">
        <f>'ACC II - MY2027'!H65</f>
        <v>354.22287055605534</v>
      </c>
      <c r="I65" s="3">
        <f>'ACC II - MY2027'!I65</f>
        <v>2360.9951898356217</v>
      </c>
      <c r="J65" s="3">
        <f>'ACC II - MY2027'!J65</f>
        <v>16582130.870392025</v>
      </c>
      <c r="K65" s="3">
        <f>C65+'ACC II - MY2027'!AD$65</f>
        <v>2456.8950461348531</v>
      </c>
      <c r="L65" s="3">
        <f>F65+'ACC II - MY2027'!AE$65</f>
        <v>776.02607591480364</v>
      </c>
    </row>
    <row r="66" spans="1:18">
      <c r="A66">
        <v>2036</v>
      </c>
      <c r="B66" s="33" t="s">
        <v>109</v>
      </c>
      <c r="C66" s="3">
        <f>'ACC II - MY2027'!C70</f>
        <v>3602.9504293648679</v>
      </c>
      <c r="D66" s="3">
        <f>'ACC II - MY2027'!D70</f>
        <v>19729243.763467774</v>
      </c>
      <c r="E66" s="3">
        <f>'ACC II - MY2027'!E70</f>
        <v>503689031.37985212</v>
      </c>
      <c r="F66" s="3">
        <f>'ACC II - MY2027'!F70</f>
        <v>889.16779834030922</v>
      </c>
      <c r="G66" s="3">
        <f>'ACC II - MY2027'!G70</f>
        <v>13470.150936786829</v>
      </c>
      <c r="H66" s="3">
        <f>'ACC II - MY2027'!H70</f>
        <v>327.44999151617571</v>
      </c>
      <c r="I66" s="3">
        <f>'ACC II - MY2027'!I70</f>
        <v>2246.2161007792088</v>
      </c>
      <c r="J66" s="3">
        <f>'ACC II - MY2027'!J70</f>
        <v>13556135.42507926</v>
      </c>
      <c r="K66" s="3">
        <f>C66+'ACC II - MY2027'!AD$70</f>
        <v>1874.0503325781194</v>
      </c>
      <c r="L66" s="3">
        <f>F66+'ACC II - MY2027'!AE$70</f>
        <v>712.58754623667937</v>
      </c>
    </row>
    <row r="67" spans="1:18">
      <c r="A67">
        <v>2037</v>
      </c>
      <c r="B67" s="33" t="s">
        <v>109</v>
      </c>
      <c r="C67" s="3">
        <f>'ACC II - MY2027'!C75</f>
        <v>3337.9350229700885</v>
      </c>
      <c r="D67" s="3">
        <f>'ACC II - MY2027'!D75</f>
        <v>17799509.871710587</v>
      </c>
      <c r="E67" s="3">
        <f>'ACC II - MY2027'!E75</f>
        <v>505463471.56953257</v>
      </c>
      <c r="F67" s="3">
        <f>'ACC II - MY2027'!F75</f>
        <v>861.10309930302833</v>
      </c>
      <c r="G67" s="3">
        <f>'ACC II - MY2027'!G75</f>
        <v>12915.89174594438</v>
      </c>
      <c r="H67" s="3">
        <f>'ACC II - MY2027'!H75</f>
        <v>304.56418415529436</v>
      </c>
      <c r="I67" s="3">
        <f>'ACC II - MY2027'!I75</f>
        <v>2146.4143701399371</v>
      </c>
      <c r="J67" s="3">
        <f>'ACC II - MY2027'!J75</f>
        <v>10873316.158023831</v>
      </c>
      <c r="K67" s="3">
        <f>C67+'ACC II - MY2027'!AD$75</f>
        <v>1268.5658322967984</v>
      </c>
      <c r="L67" s="3">
        <f>F67+'ACC II - MY2027'!AE$75</f>
        <v>648.3883780251607</v>
      </c>
    </row>
    <row r="68" spans="1:18">
      <c r="A68">
        <v>2038</v>
      </c>
      <c r="B68" s="33" t="s">
        <v>109</v>
      </c>
      <c r="C68" s="3">
        <f>'ACC II - MY2027'!C80</f>
        <v>3078.270577804321</v>
      </c>
      <c r="D68" s="3">
        <f>'ACC II - MY2027'!D80</f>
        <v>16137430.180839974</v>
      </c>
      <c r="E68" s="3">
        <f>'ACC II - MY2027'!E80</f>
        <v>507237911.75921297</v>
      </c>
      <c r="F68" s="3">
        <f>'ACC II - MY2027'!F80</f>
        <v>833.96709698237271</v>
      </c>
      <c r="G68" s="3">
        <f>'ACC II - MY2027'!G80</f>
        <v>12341.25777933113</v>
      </c>
      <c r="H68" s="3">
        <f>'ACC II - MY2027'!H80</f>
        <v>284.78233076155573</v>
      </c>
      <c r="I68" s="3">
        <f>'ACC II - MY2027'!I80</f>
        <v>2058.5959370645614</v>
      </c>
      <c r="J68" s="3">
        <f>'ACC II - MY2027'!J80</f>
        <v>8466531.6399548985</v>
      </c>
      <c r="K68" s="3">
        <f>C68+'ACC II - MY2027'!AD$80</f>
        <v>641.04779310506683</v>
      </c>
      <c r="L68" s="3">
        <f>F68+'ACC II - MY2027'!AE$80</f>
        <v>582.00376239716161</v>
      </c>
    </row>
    <row r="69" spans="1:18">
      <c r="A69">
        <v>2039</v>
      </c>
      <c r="B69" s="33" t="s">
        <v>109</v>
      </c>
      <c r="C69" s="3">
        <f>'ACC II - MY2027'!C85</f>
        <v>2824.8661491769462</v>
      </c>
      <c r="D69" s="3">
        <f>'ACC II - MY2027'!D85</f>
        <v>14719888.288148105</v>
      </c>
      <c r="E69" s="3">
        <f>'ACC II - MY2027'!E85</f>
        <v>509012351.94889343</v>
      </c>
      <c r="F69" s="3">
        <f>'ACC II - MY2027'!F85</f>
        <v>809.27622137856918</v>
      </c>
      <c r="G69" s="3">
        <f>'ACC II - MY2027'!G85</f>
        <v>11747.350394817755</v>
      </c>
      <c r="H69" s="3">
        <f>'ACC II - MY2027'!H85</f>
        <v>267.71977416987431</v>
      </c>
      <c r="I69" s="3">
        <f>'ACC II - MY2027'!I85</f>
        <v>1981.9195591020582</v>
      </c>
      <c r="J69" s="3">
        <f>'ACC II - MY2027'!J85</f>
        <v>6305698.922394339</v>
      </c>
      <c r="K69" s="3">
        <f>C69+'ACC II - MY2027'!AD$85</f>
        <v>-7.7418713028719139</v>
      </c>
      <c r="L69" s="3">
        <f>F69+'ACC II - MY2027'!AE$85</f>
        <v>514.93358384865383</v>
      </c>
    </row>
    <row r="70" spans="1:18">
      <c r="A70">
        <v>2040</v>
      </c>
      <c r="B70" s="33" t="s">
        <v>109</v>
      </c>
      <c r="C70" s="3">
        <f>'ACC II - MY2027'!C90</f>
        <v>2584.1269167605305</v>
      </c>
      <c r="D70" s="3">
        <f>'ACC II - MY2027'!D90</f>
        <v>13535113.426813608</v>
      </c>
      <c r="E70" s="3">
        <f>'ACC II - MY2027'!E90</f>
        <v>510786792.13857388</v>
      </c>
      <c r="F70" s="3">
        <f>'ACC II - MY2027'!F90</f>
        <v>785.86332756079128</v>
      </c>
      <c r="G70" s="3">
        <f>'ACC II - MY2027'!G90</f>
        <v>11130.819344110629</v>
      </c>
      <c r="H70" s="3">
        <f>'ACC II - MY2027'!H90</f>
        <v>253.26675112187638</v>
      </c>
      <c r="I70" s="3">
        <f>'ACC II - MY2027'!I90</f>
        <v>1916.8276172996627</v>
      </c>
      <c r="J70" s="3">
        <f>'ACC II - MY2027'!J90</f>
        <v>4375340.8182522934</v>
      </c>
      <c r="K70" s="3">
        <f>C70+'ACC II - MY2027'!AD$90</f>
        <v>-671.54572707627813</v>
      </c>
      <c r="L70" s="3">
        <f>F70+'ACC II - MY2027'!AE$90</f>
        <v>445.99407814931061</v>
      </c>
      <c r="M70" s="3">
        <f>G70+'ACC II - MY2027'!AF90</f>
        <v>2465.2570651127808</v>
      </c>
      <c r="N70" s="3">
        <f>H70+'ACC II - MY2027'!AG90</f>
        <v>-1040.0261381419737</v>
      </c>
    </row>
    <row r="71" spans="1:18">
      <c r="C71" s="3"/>
      <c r="D71" s="3"/>
      <c r="E71" s="3"/>
      <c r="F71" s="3"/>
      <c r="G71" s="3"/>
      <c r="H71" s="3"/>
      <c r="I71" s="3"/>
      <c r="J71" s="3"/>
    </row>
    <row r="72" spans="1:18">
      <c r="C72" s="3"/>
      <c r="D72" s="3"/>
      <c r="E72" s="3"/>
      <c r="F72" s="3"/>
      <c r="G72" s="3"/>
      <c r="H72" s="3"/>
      <c r="I72" s="3"/>
      <c r="J72" s="3"/>
    </row>
    <row r="73" spans="1:18">
      <c r="A73" s="4" t="s">
        <v>112</v>
      </c>
      <c r="B73" s="2"/>
      <c r="C73" s="2"/>
      <c r="D73" s="2"/>
      <c r="E73" s="2"/>
      <c r="F73" s="2"/>
      <c r="G73" s="2"/>
      <c r="H73" s="2"/>
      <c r="I73" s="2"/>
    </row>
    <row r="74" spans="1:18">
      <c r="A74" s="2" t="s">
        <v>19</v>
      </c>
      <c r="B74" s="2" t="s">
        <v>20</v>
      </c>
      <c r="C74" s="2" t="s">
        <v>2</v>
      </c>
      <c r="D74" s="2" t="s">
        <v>47</v>
      </c>
      <c r="E74" s="2" t="s">
        <v>22</v>
      </c>
      <c r="F74" s="2" t="s">
        <v>24</v>
      </c>
      <c r="G74" s="2" t="s">
        <v>115</v>
      </c>
      <c r="H74" s="2" t="s">
        <v>116</v>
      </c>
      <c r="I74" s="2" t="s">
        <v>117</v>
      </c>
      <c r="J74" s="2" t="s">
        <v>52</v>
      </c>
      <c r="K74" s="2" t="s">
        <v>516</v>
      </c>
      <c r="L74" s="2" t="s">
        <v>517</v>
      </c>
      <c r="M74" s="2" t="s">
        <v>567</v>
      </c>
      <c r="N74" s="2" t="s">
        <v>568</v>
      </c>
    </row>
    <row r="75" spans="1:18" s="2" customFormat="1">
      <c r="A75">
        <v>2026</v>
      </c>
      <c r="B75" s="33" t="s">
        <v>109</v>
      </c>
      <c r="C75" s="3">
        <f t="shared" ref="C75:N89" si="7">C36-C16</f>
        <v>-95.075234228041154</v>
      </c>
      <c r="D75" s="3">
        <f t="shared" si="7"/>
        <v>-639736.51887056231</v>
      </c>
      <c r="E75" s="3">
        <f t="shared" si="7"/>
        <v>0</v>
      </c>
      <c r="F75" s="3">
        <f t="shared" si="7"/>
        <v>-6.0081250867081053</v>
      </c>
      <c r="G75" s="3">
        <f t="shared" si="7"/>
        <v>-73.958549973220215</v>
      </c>
      <c r="H75" s="3">
        <f t="shared" si="7"/>
        <v>-10.394254587080582</v>
      </c>
      <c r="I75" s="3">
        <f t="shared" si="7"/>
        <v>-60.9588562042577</v>
      </c>
      <c r="J75" s="3">
        <f t="shared" si="7"/>
        <v>-783022.3493610844</v>
      </c>
      <c r="K75" s="3">
        <f t="shared" si="7"/>
        <v>-111.09097107512389</v>
      </c>
      <c r="L75" s="3">
        <f t="shared" si="7"/>
        <v>-7.5285142442860433</v>
      </c>
      <c r="M75" s="118"/>
      <c r="P75"/>
      <c r="Q75"/>
      <c r="R75"/>
    </row>
    <row r="76" spans="1:18">
      <c r="A76">
        <v>2027</v>
      </c>
      <c r="B76" s="33" t="s">
        <v>109</v>
      </c>
      <c r="C76" s="3">
        <f t="shared" si="7"/>
        <v>-219.77273014557795</v>
      </c>
      <c r="D76" s="3">
        <f t="shared" si="7"/>
        <v>-1639331.2771670595</v>
      </c>
      <c r="E76" s="3">
        <f t="shared" si="7"/>
        <v>0</v>
      </c>
      <c r="F76" s="3">
        <f t="shared" si="7"/>
        <v>-14.823370609375615</v>
      </c>
      <c r="G76" s="3">
        <f t="shared" si="7"/>
        <v>-195.73353138310631</v>
      </c>
      <c r="H76" s="3">
        <f t="shared" si="7"/>
        <v>-23.978220692069613</v>
      </c>
      <c r="I76" s="3">
        <f t="shared" si="7"/>
        <v>-141.44505045613187</v>
      </c>
      <c r="J76" s="3">
        <f t="shared" ref="J76" si="8">J37-J17</f>
        <v>-2017350.5464865267</v>
      </c>
      <c r="K76" s="3">
        <f t="shared" si="7"/>
        <v>-264.89082778393094</v>
      </c>
      <c r="L76" s="3">
        <f t="shared" si="7"/>
        <v>-19.185445120697068</v>
      </c>
      <c r="P76" s="2"/>
      <c r="Q76" s="2"/>
      <c r="R76" s="2"/>
    </row>
    <row r="77" spans="1:18">
      <c r="A77">
        <v>2028</v>
      </c>
      <c r="B77" s="33" t="s">
        <v>109</v>
      </c>
      <c r="C77" s="3">
        <f t="shared" si="7"/>
        <v>-342.38898643361608</v>
      </c>
      <c r="D77" s="3">
        <f t="shared" si="7"/>
        <v>-2845372.8479559273</v>
      </c>
      <c r="E77" s="3">
        <f t="shared" si="7"/>
        <v>0</v>
      </c>
      <c r="F77" s="3">
        <f t="shared" si="7"/>
        <v>-25.117518474011376</v>
      </c>
      <c r="G77" s="3">
        <f t="shared" si="7"/>
        <v>-345.58265957972981</v>
      </c>
      <c r="H77" s="3">
        <f t="shared" si="7"/>
        <v>-40.244644963860992</v>
      </c>
      <c r="I77" s="3">
        <f t="shared" si="7"/>
        <v>-239.96388389326967</v>
      </c>
      <c r="J77" s="3">
        <f t="shared" ref="J77" si="9">J38-J18</f>
        <v>-3513630.2859122828</v>
      </c>
      <c r="K77" s="3">
        <f t="shared" si="7"/>
        <v>-432.1667334404392</v>
      </c>
      <c r="L77" s="3">
        <f t="shared" si="7"/>
        <v>-33.930943258629213</v>
      </c>
    </row>
    <row r="78" spans="1:18">
      <c r="A78">
        <v>2029</v>
      </c>
      <c r="B78" s="33" t="s">
        <v>109</v>
      </c>
      <c r="C78" s="3">
        <f t="shared" si="7"/>
        <v>-464.11512745639084</v>
      </c>
      <c r="D78" s="3">
        <f t="shared" si="7"/>
        <v>-4203750.3140878677</v>
      </c>
      <c r="E78" s="3">
        <f t="shared" si="7"/>
        <v>0</v>
      </c>
      <c r="F78" s="3">
        <f t="shared" si="7"/>
        <v>-36.783342014429081</v>
      </c>
      <c r="G78" s="3">
        <f t="shared" si="7"/>
        <v>-541.16828664652712</v>
      </c>
      <c r="H78" s="3">
        <f t="shared" si="7"/>
        <v>-59.686464886769386</v>
      </c>
      <c r="I78" s="3">
        <f t="shared" si="7"/>
        <v>-360.78100435124225</v>
      </c>
      <c r="J78" s="3">
        <f t="shared" ref="J78" si="10">J39-J19</f>
        <v>-5210556.1950305924</v>
      </c>
      <c r="K78" s="3">
        <f t="shared" si="7"/>
        <v>-616.67190827592276</v>
      </c>
      <c r="L78" s="3">
        <f t="shared" si="7"/>
        <v>-51.956401385269601</v>
      </c>
    </row>
    <row r="79" spans="1:18">
      <c r="A79">
        <v>2030</v>
      </c>
      <c r="B79" s="33" t="s">
        <v>109</v>
      </c>
      <c r="C79" s="3">
        <f t="shared" si="7"/>
        <v>-553.45203120926089</v>
      </c>
      <c r="D79" s="3">
        <f t="shared" si="7"/>
        <v>-5702181.9956403449</v>
      </c>
      <c r="E79" s="3">
        <f t="shared" si="7"/>
        <v>0</v>
      </c>
      <c r="F79" s="3">
        <f t="shared" si="7"/>
        <v>-49.146085023341584</v>
      </c>
      <c r="G79" s="3">
        <f t="shared" si="7"/>
        <v>-751.04355396572646</v>
      </c>
      <c r="H79" s="3">
        <f t="shared" si="7"/>
        <v>-81.127985276505797</v>
      </c>
      <c r="I79" s="3">
        <f t="shared" si="7"/>
        <v>-497.00576901752265</v>
      </c>
      <c r="J79" s="3">
        <f t="shared" ref="J79" si="11">J40-J20</f>
        <v>-7098995.580657538</v>
      </c>
      <c r="K79" s="3">
        <f t="shared" si="7"/>
        <v>-791.08661233843031</v>
      </c>
      <c r="L79" s="3">
        <f t="shared" si="7"/>
        <v>-73.048236329001838</v>
      </c>
    </row>
    <row r="80" spans="1:18">
      <c r="A80">
        <v>2031</v>
      </c>
      <c r="B80" s="33" t="s">
        <v>109</v>
      </c>
      <c r="C80" s="3">
        <f t="shared" si="7"/>
        <v>-709.5729010148425</v>
      </c>
      <c r="D80" s="3">
        <f t="shared" si="7"/>
        <v>-7457039.4489697143</v>
      </c>
      <c r="E80" s="3">
        <f t="shared" si="7"/>
        <v>0</v>
      </c>
      <c r="F80" s="3">
        <f t="shared" si="7"/>
        <v>-63.995751791060457</v>
      </c>
      <c r="G80" s="3">
        <f t="shared" si="7"/>
        <v>-1022.4751631023391</v>
      </c>
      <c r="H80" s="3">
        <f t="shared" si="7"/>
        <v>-103.90442150265574</v>
      </c>
      <c r="I80" s="3">
        <f t="shared" si="7"/>
        <v>-647.72638314249298</v>
      </c>
      <c r="J80" s="3">
        <f t="shared" ref="J80" si="12">J41-J21</f>
        <v>-9251286.9559772238</v>
      </c>
      <c r="K80" s="3">
        <f t="shared" si="7"/>
        <v>-1067.6145524023395</v>
      </c>
      <c r="L80" s="3">
        <f t="shared" si="7"/>
        <v>-100.06819595710067</v>
      </c>
    </row>
    <row r="81" spans="1:14">
      <c r="A81">
        <v>2032</v>
      </c>
      <c r="B81" s="33" t="s">
        <v>109</v>
      </c>
      <c r="C81" s="3">
        <f t="shared" si="7"/>
        <v>-862.24513077641404</v>
      </c>
      <c r="D81" s="3">
        <f t="shared" si="7"/>
        <v>-9279305.3877743185</v>
      </c>
      <c r="E81" s="3">
        <f t="shared" si="7"/>
        <v>0</v>
      </c>
      <c r="F81" s="3">
        <f t="shared" si="7"/>
        <v>-79.106455386609014</v>
      </c>
      <c r="G81" s="3">
        <f t="shared" si="7"/>
        <v>-1312.2472700350572</v>
      </c>
      <c r="H81" s="3">
        <f t="shared" si="7"/>
        <v>-126.53422909592211</v>
      </c>
      <c r="I81" s="3">
        <f t="shared" si="7"/>
        <v>-802.87959892203571</v>
      </c>
      <c r="J81" s="3">
        <f t="shared" ref="J81" si="13">J42-J22</f>
        <v>-11487895.980498798</v>
      </c>
      <c r="K81" s="3">
        <f t="shared" si="7"/>
        <v>-1354.6834163237254</v>
      </c>
      <c r="L81" s="3">
        <f t="shared" si="7"/>
        <v>-128.80038001867774</v>
      </c>
    </row>
    <row r="82" spans="1:14">
      <c r="A82">
        <v>2033</v>
      </c>
      <c r="B82" s="33" t="s">
        <v>109</v>
      </c>
      <c r="C82" s="3">
        <f t="shared" si="7"/>
        <v>-999.66975678478684</v>
      </c>
      <c r="D82" s="3">
        <f t="shared" si="7"/>
        <v>-11089261.819369327</v>
      </c>
      <c r="E82" s="3">
        <f t="shared" si="7"/>
        <v>0</v>
      </c>
      <c r="F82" s="3">
        <f t="shared" si="7"/>
        <v>-94.211373575220364</v>
      </c>
      <c r="G82" s="3">
        <f t="shared" si="7"/>
        <v>-1612.7830075586025</v>
      </c>
      <c r="H82" s="3">
        <f t="shared" si="7"/>
        <v>-148.36308435946921</v>
      </c>
      <c r="I82" s="3">
        <f t="shared" si="7"/>
        <v>-957.67493967694281</v>
      </c>
      <c r="J82" s="3">
        <f t="shared" ref="J82" si="14">J43-J23</f>
        <v>-13707607.909245722</v>
      </c>
      <c r="K82" s="3">
        <f t="shared" si="7"/>
        <v>-1640.8589487128911</v>
      </c>
      <c r="L82" s="3">
        <f t="shared" si="7"/>
        <v>-159.02136387580674</v>
      </c>
    </row>
    <row r="83" spans="1:14">
      <c r="A83">
        <v>2034</v>
      </c>
      <c r="B83" s="33" t="s">
        <v>109</v>
      </c>
      <c r="C83" s="3">
        <f t="shared" si="7"/>
        <v>-1116.6618111137523</v>
      </c>
      <c r="D83" s="3">
        <f t="shared" si="7"/>
        <v>-12982747.081879362</v>
      </c>
      <c r="E83" s="3">
        <f t="shared" si="7"/>
        <v>0</v>
      </c>
      <c r="F83" s="3">
        <f t="shared" si="7"/>
        <v>-109.03174553352403</v>
      </c>
      <c r="G83" s="3">
        <f t="shared" si="7"/>
        <v>-1934.1208072200461</v>
      </c>
      <c r="H83" s="3">
        <f t="shared" si="7"/>
        <v>-169.70321157362065</v>
      </c>
      <c r="I83" s="3">
        <f t="shared" si="7"/>
        <v>-1113.7433803408012</v>
      </c>
      <c r="J83" s="3">
        <f t="shared" ref="J83" si="15">J44-J24</f>
        <v>-16034967.221126307</v>
      </c>
      <c r="K83" s="3">
        <f t="shared" si="7"/>
        <v>-1921.2079148028215</v>
      </c>
      <c r="L83" s="3">
        <f t="shared" si="7"/>
        <v>-190.48292155011768</v>
      </c>
    </row>
    <row r="84" spans="1:14">
      <c r="A84">
        <v>2035</v>
      </c>
      <c r="B84" s="33" t="s">
        <v>109</v>
      </c>
      <c r="C84" s="3">
        <f t="shared" si="7"/>
        <v>-1201.1262319885918</v>
      </c>
      <c r="D84" s="3">
        <f t="shared" si="7"/>
        <v>-14853524.174355019</v>
      </c>
      <c r="E84" s="3">
        <f t="shared" si="7"/>
        <v>0</v>
      </c>
      <c r="F84" s="3">
        <f t="shared" si="7"/>
        <v>-122.6406711915447</v>
      </c>
      <c r="G84" s="3">
        <f t="shared" si="7"/>
        <v>-2222.4654172748542</v>
      </c>
      <c r="H84" s="3">
        <f t="shared" si="7"/>
        <v>-189.94212358197609</v>
      </c>
      <c r="I84" s="3">
        <f t="shared" si="7"/>
        <v>-1266.0177458904132</v>
      </c>
      <c r="J84" s="3">
        <f t="shared" ref="J84" si="16">J45-J25</f>
        <v>-18333085.48982</v>
      </c>
      <c r="K84" s="3">
        <f t="shared" si="7"/>
        <v>-2183.3927051876699</v>
      </c>
      <c r="L84" s="3">
        <f t="shared" si="7"/>
        <v>-222.23246909408078</v>
      </c>
      <c r="M84" s="3"/>
    </row>
    <row r="85" spans="1:14">
      <c r="A85">
        <v>2036</v>
      </c>
      <c r="B85" s="33" t="s">
        <v>109</v>
      </c>
      <c r="C85" s="3">
        <f t="shared" si="7"/>
        <v>-1393.2062614792862</v>
      </c>
      <c r="D85" s="3">
        <f t="shared" si="7"/>
        <v>-16641781.878506765</v>
      </c>
      <c r="E85" s="3">
        <f t="shared" si="7"/>
        <v>0</v>
      </c>
      <c r="F85" s="3">
        <f t="shared" si="7"/>
        <v>-136.14636822470197</v>
      </c>
      <c r="G85" s="3">
        <f t="shared" si="7"/>
        <v>-2546.2212530057695</v>
      </c>
      <c r="H85" s="3">
        <f t="shared" si="7"/>
        <v>-207.99188707254018</v>
      </c>
      <c r="I85" s="3">
        <f t="shared" si="7"/>
        <v>-1426.7666443066978</v>
      </c>
      <c r="J85" s="3">
        <f t="shared" ref="J85" si="17">J46-J26</f>
        <v>-20679696.774971001</v>
      </c>
      <c r="K85" s="3">
        <f t="shared" si="7"/>
        <v>-2623.3057518699716</v>
      </c>
      <c r="L85" s="3">
        <f t="shared" si="7"/>
        <v>-261.7741910580977</v>
      </c>
    </row>
    <row r="86" spans="1:14">
      <c r="A86">
        <v>2037</v>
      </c>
      <c r="B86" s="33" t="s">
        <v>109</v>
      </c>
      <c r="C86" s="3">
        <f t="shared" si="7"/>
        <v>-1575.4051847303931</v>
      </c>
      <c r="D86" s="3">
        <f t="shared" si="7"/>
        <v>-18144688.908239663</v>
      </c>
      <c r="E86" s="3">
        <f t="shared" si="7"/>
        <v>0</v>
      </c>
      <c r="F86" s="3">
        <f t="shared" si="7"/>
        <v>-147.12060140455935</v>
      </c>
      <c r="G86" s="3">
        <f t="shared" si="7"/>
        <v>-2837.4690041803624</v>
      </c>
      <c r="H86" s="3">
        <f t="shared" si="7"/>
        <v>-222.82113596842669</v>
      </c>
      <c r="I86" s="3">
        <f t="shared" si="7"/>
        <v>-1570.3306990610304</v>
      </c>
      <c r="J86" s="3">
        <f t="shared" ref="J86" si="18">J47-J27</f>
        <v>-22715757.54795244</v>
      </c>
      <c r="K86" s="3">
        <f t="shared" si="7"/>
        <v>-3076.0101711915418</v>
      </c>
      <c r="L86" s="3">
        <f t="shared" si="7"/>
        <v>-301.36301989374817</v>
      </c>
    </row>
    <row r="87" spans="1:14">
      <c r="A87">
        <v>2038</v>
      </c>
      <c r="B87" s="33" t="s">
        <v>109</v>
      </c>
      <c r="C87" s="3">
        <f t="shared" si="7"/>
        <v>-1746.6239342139784</v>
      </c>
      <c r="D87" s="3">
        <f t="shared" si="7"/>
        <v>-19416443.338677622</v>
      </c>
      <c r="E87" s="3">
        <f t="shared" si="7"/>
        <v>0</v>
      </c>
      <c r="F87" s="3">
        <f t="shared" si="7"/>
        <v>-156.51135384633517</v>
      </c>
      <c r="G87" s="3">
        <f t="shared" si="7"/>
        <v>-3130.0384860768736</v>
      </c>
      <c r="H87" s="3">
        <f t="shared" si="7"/>
        <v>-235.22480131759124</v>
      </c>
      <c r="I87" s="3">
        <f t="shared" si="7"/>
        <v>-1700.3611810967775</v>
      </c>
      <c r="J87" s="3">
        <f t="shared" ref="J87" si="19">J48-J28</f>
        <v>-24511406.432983689</v>
      </c>
      <c r="K87" s="3">
        <f t="shared" si="7"/>
        <v>-3540.565299481822</v>
      </c>
      <c r="L87" s="3">
        <f t="shared" si="7"/>
        <v>-341.96478991012384</v>
      </c>
    </row>
    <row r="88" spans="1:14">
      <c r="A88">
        <v>2039</v>
      </c>
      <c r="B88" s="33" t="s">
        <v>109</v>
      </c>
      <c r="C88" s="3">
        <f t="shared" si="7"/>
        <v>-1906.214947247111</v>
      </c>
      <c r="D88" s="3">
        <f t="shared" si="7"/>
        <v>-20470919.131853279</v>
      </c>
      <c r="E88" s="3">
        <f t="shared" si="7"/>
        <v>0</v>
      </c>
      <c r="F88" s="3">
        <f t="shared" si="7"/>
        <v>-163.56347205828433</v>
      </c>
      <c r="G88" s="3">
        <f t="shared" si="7"/>
        <v>-3422.0111934563374</v>
      </c>
      <c r="H88" s="3">
        <f t="shared" si="7"/>
        <v>-245.45820395608223</v>
      </c>
      <c r="I88" s="3">
        <f t="shared" si="7"/>
        <v>-1817.1179804370365</v>
      </c>
      <c r="J88" s="3">
        <f t="shared" ref="J88" si="20">J49-J29</f>
        <v>-26084824.407133237</v>
      </c>
      <c r="K88" s="3">
        <f t="shared" si="7"/>
        <v>-4016.4669827565112</v>
      </c>
      <c r="L88" s="3">
        <f t="shared" si="7"/>
        <v>-382.84049819933466</v>
      </c>
    </row>
    <row r="89" spans="1:14">
      <c r="A89">
        <v>2040</v>
      </c>
      <c r="B89" s="33" t="s">
        <v>109</v>
      </c>
      <c r="C89" s="3">
        <f t="shared" si="7"/>
        <v>-2045.6025814934333</v>
      </c>
      <c r="D89" s="3">
        <f t="shared" si="7"/>
        <v>-21327652.633659333</v>
      </c>
      <c r="E89" s="3">
        <f t="shared" si="7"/>
        <v>0</v>
      </c>
      <c r="F89" s="3">
        <f t="shared" si="7"/>
        <v>-168.72028044991987</v>
      </c>
      <c r="G89" s="3">
        <f t="shared" si="7"/>
        <v>-3721.3111847200817</v>
      </c>
      <c r="H89" s="3">
        <f t="shared" si="7"/>
        <v>-253.72298310374714</v>
      </c>
      <c r="I89" s="3">
        <f t="shared" si="7"/>
        <v>-1920.2805698047646</v>
      </c>
      <c r="J89" s="3">
        <f t="shared" ref="J89" si="21">J50-J30</f>
        <v>-27461485.531099759</v>
      </c>
      <c r="K89" s="3">
        <f t="shared" si="7"/>
        <v>-4495.2834063708196</v>
      </c>
      <c r="L89" s="3">
        <f t="shared" si="7"/>
        <v>-424.44967167875956</v>
      </c>
      <c r="M89" s="3">
        <f t="shared" si="7"/>
        <v>-10241.580288503435</v>
      </c>
      <c r="N89" s="3">
        <f t="shared" si="7"/>
        <v>-1226.8413332478997</v>
      </c>
    </row>
    <row r="90" spans="1:14">
      <c r="C90" s="9">
        <f>C89/C30</f>
        <v>-0.44780094310893331</v>
      </c>
      <c r="D90" s="9">
        <f>D89/D30</f>
        <v>-0.62324594726879179</v>
      </c>
      <c r="E90" s="3"/>
      <c r="F90" s="9">
        <f>F89/F30</f>
        <v>-0.17769362972777641</v>
      </c>
      <c r="G90" s="3"/>
      <c r="H90" s="3"/>
      <c r="I90" s="3"/>
      <c r="J90" s="9">
        <f>J89/J30</f>
        <v>-0.88558112632196551</v>
      </c>
      <c r="K90" s="9">
        <f t="shared" ref="K90:L90" si="22">K89/K30</f>
        <v>-1.203766333114789</v>
      </c>
      <c r="L90" s="9">
        <f t="shared" si="22"/>
        <v>-0.49213693090298694</v>
      </c>
    </row>
    <row r="91" spans="1:14">
      <c r="A91" s="4" t="s">
        <v>148</v>
      </c>
      <c r="B91" s="2"/>
      <c r="C91" s="2"/>
      <c r="D91" s="2"/>
      <c r="E91" s="2"/>
      <c r="F91" s="2"/>
      <c r="G91" s="2"/>
      <c r="H91" s="2"/>
      <c r="I91" s="2"/>
    </row>
    <row r="92" spans="1:14">
      <c r="A92" s="2" t="s">
        <v>19</v>
      </c>
      <c r="B92" s="2" t="s">
        <v>20</v>
      </c>
      <c r="C92" s="2" t="s">
        <v>2</v>
      </c>
      <c r="D92" s="2" t="s">
        <v>47</v>
      </c>
      <c r="E92" s="2" t="s">
        <v>22</v>
      </c>
      <c r="F92" s="2" t="s">
        <v>24</v>
      </c>
      <c r="G92" s="2" t="s">
        <v>115</v>
      </c>
      <c r="H92" s="2" t="s">
        <v>116</v>
      </c>
      <c r="I92" s="2" t="s">
        <v>117</v>
      </c>
      <c r="J92" s="2" t="s">
        <v>52</v>
      </c>
      <c r="K92" s="2" t="s">
        <v>516</v>
      </c>
      <c r="L92" s="2" t="s">
        <v>517</v>
      </c>
      <c r="M92" s="2" t="s">
        <v>567</v>
      </c>
      <c r="N92" s="2" t="s">
        <v>568</v>
      </c>
    </row>
    <row r="93" spans="1:14">
      <c r="A93">
        <v>2026</v>
      </c>
      <c r="B93" s="33" t="s">
        <v>109</v>
      </c>
      <c r="C93" s="3">
        <f t="shared" ref="C93:N107" si="23">C56-C16</f>
        <v>0</v>
      </c>
      <c r="D93" s="3">
        <f t="shared" si="23"/>
        <v>0</v>
      </c>
      <c r="E93" s="3">
        <f t="shared" si="23"/>
        <v>0</v>
      </c>
      <c r="F93" s="3">
        <f t="shared" si="23"/>
        <v>0</v>
      </c>
      <c r="G93" s="3">
        <f t="shared" si="23"/>
        <v>0</v>
      </c>
      <c r="H93" s="3">
        <f t="shared" si="23"/>
        <v>0</v>
      </c>
      <c r="I93" s="3">
        <f t="shared" si="23"/>
        <v>0</v>
      </c>
      <c r="J93" s="3">
        <f t="shared" si="23"/>
        <v>0</v>
      </c>
      <c r="K93" s="3">
        <f t="shared" si="23"/>
        <v>0</v>
      </c>
      <c r="L93" s="3">
        <f t="shared" si="23"/>
        <v>0</v>
      </c>
      <c r="M93" s="2"/>
    </row>
    <row r="94" spans="1:14">
      <c r="A94">
        <v>2027</v>
      </c>
      <c r="B94" s="33" t="s">
        <v>109</v>
      </c>
      <c r="C94" s="3">
        <f t="shared" si="23"/>
        <v>-203.84762180919824</v>
      </c>
      <c r="D94" s="3">
        <f t="shared" si="23"/>
        <v>-1520542.5258474126</v>
      </c>
      <c r="E94" s="3">
        <f t="shared" si="23"/>
        <v>0</v>
      </c>
      <c r="F94" s="3">
        <f t="shared" si="23"/>
        <v>-13.749243793422465</v>
      </c>
      <c r="G94" s="3">
        <f t="shared" si="23"/>
        <v>-181.55034455062923</v>
      </c>
      <c r="H94" s="3">
        <f t="shared" si="23"/>
        <v>-22.240717763558337</v>
      </c>
      <c r="I94" s="3">
        <f t="shared" si="23"/>
        <v>-131.19569990810578</v>
      </c>
      <c r="J94" s="3">
        <f t="shared" ref="J94" si="24">J57-J17</f>
        <v>-1900291.0664658397</v>
      </c>
      <c r="K94" s="3">
        <f t="shared" si="23"/>
        <v>-231.63725697005248</v>
      </c>
      <c r="L94" s="3">
        <f t="shared" si="23"/>
        <v>-16.4359834966574</v>
      </c>
    </row>
    <row r="95" spans="1:14">
      <c r="A95">
        <v>2028</v>
      </c>
      <c r="B95" s="33" t="s">
        <v>109</v>
      </c>
      <c r="C95" s="3">
        <f t="shared" si="23"/>
        <v>-318.3095956178131</v>
      </c>
      <c r="D95" s="3">
        <f t="shared" si="23"/>
        <v>-2645264.6448963955</v>
      </c>
      <c r="E95" s="3">
        <f t="shared" si="23"/>
        <v>0</v>
      </c>
      <c r="F95" s="3">
        <f t="shared" si="23"/>
        <v>-23.351064038783306</v>
      </c>
      <c r="G95" s="3">
        <f t="shared" si="23"/>
        <v>-321.27866544176868</v>
      </c>
      <c r="H95" s="3">
        <f t="shared" si="23"/>
        <v>-37.414336242713148</v>
      </c>
      <c r="I95" s="3">
        <f t="shared" si="23"/>
        <v>-223.08780326307533</v>
      </c>
      <c r="J95" s="3">
        <f t="shared" ref="J95" si="25">J58-J18</f>
        <v>-3287100.8830236122</v>
      </c>
      <c r="K95" s="3">
        <f t="shared" si="23"/>
        <v>-389.45305039100094</v>
      </c>
      <c r="L95" s="3">
        <f t="shared" si="23"/>
        <v>-30.335101294597735</v>
      </c>
    </row>
    <row r="96" spans="1:14">
      <c r="A96">
        <v>2029</v>
      </c>
      <c r="B96" s="33" t="s">
        <v>109</v>
      </c>
      <c r="C96" s="3">
        <f t="shared" si="23"/>
        <v>-432.48056647295198</v>
      </c>
      <c r="D96" s="3">
        <f t="shared" si="23"/>
        <v>-3917218.4003383964</v>
      </c>
      <c r="E96" s="3">
        <f t="shared" si="23"/>
        <v>0</v>
      </c>
      <c r="F96" s="3">
        <f t="shared" si="23"/>
        <v>-34.276151864201893</v>
      </c>
      <c r="G96" s="3">
        <f t="shared" si="23"/>
        <v>-504.28170365569167</v>
      </c>
      <c r="H96" s="3">
        <f t="shared" si="23"/>
        <v>-55.618174495774269</v>
      </c>
      <c r="I96" s="3">
        <f t="shared" si="23"/>
        <v>-336.18980271046439</v>
      </c>
      <c r="J96" s="3">
        <f t="shared" ref="J96" si="26">J59-J19</f>
        <v>-4868020.7920386419</v>
      </c>
      <c r="K96" s="3">
        <f t="shared" si="23"/>
        <v>-565.10033111242774</v>
      </c>
      <c r="L96" s="3">
        <f t="shared" si="23"/>
        <v>-47.466229863452554</v>
      </c>
    </row>
    <row r="97" spans="1:19">
      <c r="A97">
        <v>2030</v>
      </c>
      <c r="B97" s="33" t="s">
        <v>109</v>
      </c>
      <c r="C97" s="3">
        <f t="shared" si="23"/>
        <v>-517.09335251471202</v>
      </c>
      <c r="D97" s="3">
        <f t="shared" si="23"/>
        <v>-5327580.7811785489</v>
      </c>
      <c r="E97" s="3">
        <f t="shared" si="23"/>
        <v>0</v>
      </c>
      <c r="F97" s="3">
        <f t="shared" si="23"/>
        <v>-45.917464269065022</v>
      </c>
      <c r="G97" s="3">
        <f t="shared" si="23"/>
        <v>-701.70422603049883</v>
      </c>
      <c r="H97" s="3">
        <f t="shared" si="23"/>
        <v>-75.798333954493842</v>
      </c>
      <c r="I97" s="3">
        <f t="shared" si="23"/>
        <v>-464.35529156681559</v>
      </c>
      <c r="J97" s="3">
        <f t="shared" ref="J97" si="27">J60-J20</f>
        <v>-6638369.6483217888</v>
      </c>
      <c r="K97" s="3">
        <f t="shared" si="23"/>
        <v>-733.49088620944167</v>
      </c>
      <c r="L97" s="3">
        <f t="shared" si="23"/>
        <v>-67.683449283034406</v>
      </c>
    </row>
    <row r="98" spans="1:19">
      <c r="A98">
        <v>2031</v>
      </c>
      <c r="B98" s="33" t="s">
        <v>109</v>
      </c>
      <c r="C98" s="3">
        <f t="shared" si="23"/>
        <v>-664.94882129087819</v>
      </c>
      <c r="D98" s="3">
        <f t="shared" si="23"/>
        <v>-6988076.3270697035</v>
      </c>
      <c r="E98" s="3">
        <f t="shared" si="23"/>
        <v>0</v>
      </c>
      <c r="F98" s="3">
        <f t="shared" si="23"/>
        <v>-59.971145544352112</v>
      </c>
      <c r="G98" s="3">
        <f t="shared" si="23"/>
        <v>-958.17308345866149</v>
      </c>
      <c r="H98" s="3">
        <f t="shared" si="23"/>
        <v>-97.370013012456241</v>
      </c>
      <c r="I98" s="3">
        <f t="shared" si="23"/>
        <v>-606.99174725190824</v>
      </c>
      <c r="J98" s="3">
        <f t="shared" ref="J98" si="28">J61-J21</f>
        <v>-8668241.6050675362</v>
      </c>
      <c r="K98" s="3">
        <f t="shared" si="23"/>
        <v>-1001.7283245755771</v>
      </c>
      <c r="L98" s="3">
        <f t="shared" si="23"/>
        <v>-93.901381420515918</v>
      </c>
    </row>
    <row r="99" spans="1:19">
      <c r="A99">
        <v>2032</v>
      </c>
      <c r="B99" s="33" t="s">
        <v>109</v>
      </c>
      <c r="C99" s="3">
        <f t="shared" si="23"/>
        <v>-810.61550331471153</v>
      </c>
      <c r="D99" s="3">
        <f t="shared" si="23"/>
        <v>-8723677.9180746563</v>
      </c>
      <c r="E99" s="3">
        <f t="shared" si="23"/>
        <v>0</v>
      </c>
      <c r="F99" s="3">
        <f t="shared" si="23"/>
        <v>-74.369708636008681</v>
      </c>
      <c r="G99" s="3">
        <f t="shared" si="23"/>
        <v>-1233.6723552326512</v>
      </c>
      <c r="H99" s="3">
        <f t="shared" si="23"/>
        <v>-118.95759586693129</v>
      </c>
      <c r="I99" s="3">
        <f t="shared" si="23"/>
        <v>-754.8046685926297</v>
      </c>
      <c r="J99" s="3">
        <f t="shared" ref="J99" si="29">J62-J22</f>
        <v>-10792348.037609383</v>
      </c>
      <c r="K99" s="3">
        <f t="shared" si="23"/>
        <v>-1281.7636736254071</v>
      </c>
      <c r="L99" s="3">
        <f t="shared" si="23"/>
        <v>-121.91510402791459</v>
      </c>
    </row>
    <row r="100" spans="1:19">
      <c r="A100">
        <v>2033</v>
      </c>
      <c r="B100" s="33" t="s">
        <v>109</v>
      </c>
      <c r="C100" s="3">
        <f t="shared" si="23"/>
        <v>-943.06091985364947</v>
      </c>
      <c r="D100" s="3">
        <f t="shared" si="23"/>
        <v>-10461304.2266155</v>
      </c>
      <c r="E100" s="3">
        <f t="shared" si="23"/>
        <v>0</v>
      </c>
      <c r="F100" s="3">
        <f t="shared" si="23"/>
        <v>-88.876415457720441</v>
      </c>
      <c r="G100" s="3">
        <f t="shared" si="23"/>
        <v>-1521.4550768489316</v>
      </c>
      <c r="H100" s="3">
        <f t="shared" si="23"/>
        <v>-139.96164819307131</v>
      </c>
      <c r="I100" s="3">
        <f t="shared" si="23"/>
        <v>-903.44416583861721</v>
      </c>
      <c r="J100" s="3">
        <f t="shared" ref="J100" si="30">J63-J23</f>
        <v>-12918019.425768167</v>
      </c>
      <c r="K100" s="3">
        <f t="shared" si="23"/>
        <v>-1562.9292156096444</v>
      </c>
      <c r="L100" s="3">
        <f t="shared" si="23"/>
        <v>-151.53128157290439</v>
      </c>
    </row>
    <row r="101" spans="1:19">
      <c r="A101">
        <v>2034</v>
      </c>
      <c r="B101" s="33" t="s">
        <v>109</v>
      </c>
      <c r="C101" s="3">
        <f t="shared" si="23"/>
        <v>-1057.2789083389334</v>
      </c>
      <c r="D101" s="3">
        <f t="shared" si="23"/>
        <v>-12292338.222150955</v>
      </c>
      <c r="E101" s="3">
        <f t="shared" si="23"/>
        <v>0</v>
      </c>
      <c r="F101" s="3">
        <f t="shared" si="23"/>
        <v>-103.23355177427993</v>
      </c>
      <c r="G101" s="3">
        <f t="shared" si="23"/>
        <v>-1831.2662932509993</v>
      </c>
      <c r="H101" s="3">
        <f t="shared" si="23"/>
        <v>-160.67857294699866</v>
      </c>
      <c r="I101" s="3">
        <f t="shared" si="23"/>
        <v>-1054.5156766505397</v>
      </c>
      <c r="J101" s="3">
        <f t="shared" ref="J101" si="31">J64-J24</f>
        <v>-15164068.854757756</v>
      </c>
      <c r="K101" s="3">
        <f t="shared" si="23"/>
        <v>-1840.4727629461554</v>
      </c>
      <c r="L101" s="3">
        <f t="shared" si="23"/>
        <v>-182.5229885740921</v>
      </c>
    </row>
    <row r="102" spans="1:19">
      <c r="A102">
        <v>2035</v>
      </c>
      <c r="B102" s="33" t="s">
        <v>109</v>
      </c>
      <c r="C102" s="3">
        <f t="shared" si="23"/>
        <v>-1141.5622644633863</v>
      </c>
      <c r="D102" s="3">
        <f t="shared" si="23"/>
        <v>-14116936.455267943</v>
      </c>
      <c r="E102" s="3">
        <f t="shared" si="23"/>
        <v>0</v>
      </c>
      <c r="F102" s="3">
        <f t="shared" si="23"/>
        <v>-116.55890829138025</v>
      </c>
      <c r="G102" s="3">
        <f t="shared" si="23"/>
        <v>-2112.2531394851303</v>
      </c>
      <c r="H102" s="3">
        <f t="shared" si="23"/>
        <v>-180.52287506387972</v>
      </c>
      <c r="I102" s="3">
        <f t="shared" si="23"/>
        <v>-1203.235801833041</v>
      </c>
      <c r="J102" s="3">
        <f t="shared" ref="J102" si="32">J65-J25</f>
        <v>-17401861.144257694</v>
      </c>
      <c r="K102" s="3">
        <f t="shared" si="23"/>
        <v>-2102.4530267554474</v>
      </c>
      <c r="L102" s="3">
        <f t="shared" si="23"/>
        <v>-213.98329319054722</v>
      </c>
    </row>
    <row r="103" spans="1:19">
      <c r="A103">
        <v>2036</v>
      </c>
      <c r="B103" s="33" t="s">
        <v>109</v>
      </c>
      <c r="C103" s="3">
        <f t="shared" si="23"/>
        <v>-1329.2370339204062</v>
      </c>
      <c r="D103" s="3">
        <f t="shared" si="23"/>
        <v>-15877672.527719676</v>
      </c>
      <c r="E103" s="3">
        <f t="shared" si="23"/>
        <v>0</v>
      </c>
      <c r="F103" s="3">
        <f t="shared" si="23"/>
        <v>-129.8951918906007</v>
      </c>
      <c r="G103" s="3">
        <f t="shared" si="23"/>
        <v>-2429.3112079878538</v>
      </c>
      <c r="H103" s="3">
        <f t="shared" si="23"/>
        <v>-198.44191538319603</v>
      </c>
      <c r="I103" s="3">
        <f t="shared" si="23"/>
        <v>-1361.2564878664261</v>
      </c>
      <c r="J103" s="3">
        <f t="shared" ref="J103" si="33">J66-J26</f>
        <v>-19709574.723384265</v>
      </c>
      <c r="K103" s="3">
        <f t="shared" si="23"/>
        <v>-2536.6776041600951</v>
      </c>
      <c r="L103" s="3">
        <f t="shared" si="23"/>
        <v>-253.2087584866955</v>
      </c>
    </row>
    <row r="104" spans="1:19">
      <c r="A104">
        <v>2037</v>
      </c>
      <c r="B104" s="33" t="s">
        <v>109</v>
      </c>
      <c r="C104" s="3">
        <f t="shared" si="23"/>
        <v>-1508.8961977442095</v>
      </c>
      <c r="D104" s="3">
        <f t="shared" si="23"/>
        <v>-17378673.352265108</v>
      </c>
      <c r="E104" s="3">
        <f t="shared" si="23"/>
        <v>0</v>
      </c>
      <c r="F104" s="3">
        <f t="shared" si="23"/>
        <v>-140.90960104791804</v>
      </c>
      <c r="G104" s="3">
        <f t="shared" si="23"/>
        <v>-2717.6793837691366</v>
      </c>
      <c r="H104" s="3">
        <f t="shared" si="23"/>
        <v>-213.41428103611497</v>
      </c>
      <c r="I104" s="3">
        <f t="shared" si="23"/>
        <v>-1504.0359419787583</v>
      </c>
      <c r="J104" s="3">
        <f t="shared" ref="J104" si="34">J67-J27</f>
        <v>-21739729.594491769</v>
      </c>
      <c r="K104" s="3">
        <f t="shared" si="23"/>
        <v>-2985.5613983409994</v>
      </c>
      <c r="L104" s="3">
        <f t="shared" si="23"/>
        <v>-292.69119964061838</v>
      </c>
    </row>
    <row r="105" spans="1:19">
      <c r="A105">
        <v>2038</v>
      </c>
      <c r="B105" s="33" t="s">
        <v>109</v>
      </c>
      <c r="C105" s="3">
        <f t="shared" si="23"/>
        <v>-1679.2909661814911</v>
      </c>
      <c r="D105" s="3">
        <f t="shared" si="23"/>
        <v>-18667932.60719258</v>
      </c>
      <c r="E105" s="3">
        <f t="shared" si="23"/>
        <v>0</v>
      </c>
      <c r="F105" s="3">
        <f t="shared" si="23"/>
        <v>-150.4777860136586</v>
      </c>
      <c r="G105" s="3">
        <f t="shared" si="23"/>
        <v>-3009.3743996670455</v>
      </c>
      <c r="H105" s="3">
        <f t="shared" si="23"/>
        <v>-226.1568023526662</v>
      </c>
      <c r="I105" s="3">
        <f t="shared" si="23"/>
        <v>-1634.8116584961977</v>
      </c>
      <c r="J105" s="3">
        <f t="shared" ref="J105" si="35">J68-J28</f>
        <v>-23554476.014343087</v>
      </c>
      <c r="K105" s="3">
        <f t="shared" si="23"/>
        <v>-3448.0142182487721</v>
      </c>
      <c r="L105" s="3">
        <f t="shared" si="23"/>
        <v>-333.32413997816138</v>
      </c>
    </row>
    <row r="106" spans="1:19">
      <c r="A106">
        <v>2039</v>
      </c>
      <c r="B106" s="33" t="s">
        <v>109</v>
      </c>
      <c r="C106" s="3">
        <f t="shared" si="23"/>
        <v>-1840.4478791170295</v>
      </c>
      <c r="D106" s="3">
        <f t="shared" si="23"/>
        <v>-19764643.937036306</v>
      </c>
      <c r="E106" s="3">
        <f t="shared" si="23"/>
        <v>0</v>
      </c>
      <c r="F106" s="3">
        <f t="shared" si="23"/>
        <v>-157.92030467782445</v>
      </c>
      <c r="G106" s="3">
        <f t="shared" si="23"/>
        <v>-3303.9470456397648</v>
      </c>
      <c r="H106" s="3">
        <f t="shared" si="23"/>
        <v>-236.98955437069299</v>
      </c>
      <c r="I106" s="3">
        <f t="shared" si="23"/>
        <v>-1754.4248816380866</v>
      </c>
      <c r="J106" s="3">
        <f t="shared" ref="J106" si="36">J69-J29</f>
        <v>-25178845.139202803</v>
      </c>
      <c r="K106" s="3">
        <f t="shared" si="23"/>
        <v>-3924.2062633063638</v>
      </c>
      <c r="L106" s="3">
        <f t="shared" si="23"/>
        <v>-374.44431622915226</v>
      </c>
    </row>
    <row r="107" spans="1:19">
      <c r="A107">
        <v>2040</v>
      </c>
      <c r="B107" s="33" t="s">
        <v>109</v>
      </c>
      <c r="C107" s="3">
        <f t="shared" si="23"/>
        <v>-1983.9799909460353</v>
      </c>
      <c r="D107" s="3">
        <f t="shared" si="23"/>
        <v>-20685169.476143159</v>
      </c>
      <c r="E107" s="3">
        <f t="shared" si="23"/>
        <v>0</v>
      </c>
      <c r="F107" s="3">
        <f t="shared" si="23"/>
        <v>-163.63767992268708</v>
      </c>
      <c r="G107" s="3">
        <f t="shared" si="23"/>
        <v>-3609.2088450427236</v>
      </c>
      <c r="H107" s="3">
        <f t="shared" si="23"/>
        <v>-246.07972549265634</v>
      </c>
      <c r="I107" s="3">
        <f t="shared" si="23"/>
        <v>-1862.4332321255108</v>
      </c>
      <c r="J107" s="3">
        <f t="shared" ref="J107" si="37">J70-J30</f>
        <v>-26634224.217481934</v>
      </c>
      <c r="K107" s="3">
        <f t="shared" si="23"/>
        <v>-4405.8945643120824</v>
      </c>
      <c r="L107" s="3">
        <f t="shared" si="23"/>
        <v>-416.46847043440806</v>
      </c>
      <c r="M107" s="3">
        <f t="shared" si="23"/>
        <v>-10055.573042513915</v>
      </c>
      <c r="N107" s="3">
        <f t="shared" si="23"/>
        <v>-1208.1681289653873</v>
      </c>
    </row>
    <row r="108" spans="1:19">
      <c r="A108" s="6"/>
      <c r="C108" s="3"/>
      <c r="D108" s="3"/>
      <c r="E108" s="3"/>
      <c r="F108" s="3"/>
      <c r="G108" s="3"/>
      <c r="H108" s="3"/>
      <c r="I108" s="3"/>
      <c r="S108" s="6"/>
    </row>
    <row r="113" spans="17:18">
      <c r="Q113" s="3"/>
      <c r="R113" s="3"/>
    </row>
  </sheetData>
  <sheetProtection algorithmName="SHA-512" hashValue="kVL8wbvnrXE4ZgdoPnWtMSSkeuveM6+5toKNXgB1yHV4wJvYDPiH8HuEF4I2a2yM5h8G0whbs+lKc6zJodjvsg==" saltValue="ROMpCr3FPrgoKDzn1ActZA==" spinCount="100000" sheet="1" objects="1" scenarios="1"/>
  <mergeCells count="1">
    <mergeCell ref="S4:V4"/>
  </mergeCells>
  <pageMargins left="0.7" right="0.7" top="0.75" bottom="0.75" header="0.3" footer="0.3"/>
  <pageSetup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AH90"/>
  <sheetViews>
    <sheetView topLeftCell="K1" workbookViewId="0">
      <selection activeCell="AF1" sqref="AF1:AG1048576"/>
    </sheetView>
  </sheetViews>
  <sheetFormatPr baseColWidth="10" defaultColWidth="8.83203125" defaultRowHeight="15"/>
  <cols>
    <col min="3" max="3" width="12.6640625" customWidth="1"/>
    <col min="4" max="4" width="16.6640625" bestFit="1" customWidth="1"/>
    <col min="5" max="5" width="15.1640625" customWidth="1"/>
    <col min="6" max="6" width="11" customWidth="1"/>
    <col min="7" max="7" width="11.6640625" customWidth="1"/>
    <col min="8" max="8" width="11.5" bestFit="1" customWidth="1"/>
    <col min="9" max="10" width="11.6640625" customWidth="1"/>
    <col min="13" max="13" width="12.33203125" customWidth="1"/>
    <col min="15" max="15" width="24" customWidth="1"/>
    <col min="16" max="19" width="9.1640625" bestFit="1" customWidth="1"/>
    <col min="20" max="20" width="10.5" bestFit="1" customWidth="1"/>
    <col min="21" max="22" width="9.1640625" bestFit="1" customWidth="1"/>
    <col min="24" max="28" width="10.33203125" customWidth="1"/>
    <col min="29" max="29" width="15" customWidth="1"/>
    <col min="30" max="30" width="12.5" customWidth="1"/>
  </cols>
  <sheetData>
    <row r="1" spans="1:34">
      <c r="A1" s="2" t="s">
        <v>435</v>
      </c>
      <c r="D1" s="6"/>
      <c r="F1" s="30"/>
      <c r="AH1" s="2"/>
    </row>
    <row r="2" spans="1:34">
      <c r="A2" s="29" t="s">
        <v>302</v>
      </c>
      <c r="D2" s="6"/>
      <c r="F2" s="30"/>
      <c r="AH2" s="29"/>
    </row>
    <row r="3" spans="1:34">
      <c r="A3" t="s">
        <v>303</v>
      </c>
      <c r="D3" s="6"/>
    </row>
    <row r="4" spans="1:34">
      <c r="A4" s="29" t="s">
        <v>217</v>
      </c>
      <c r="D4" s="6"/>
      <c r="L4" s="280" t="s">
        <v>167</v>
      </c>
      <c r="M4" s="280" t="s">
        <v>275</v>
      </c>
      <c r="AH4" s="29"/>
    </row>
    <row r="5" spans="1:34" ht="15" customHeight="1">
      <c r="F5" s="6"/>
      <c r="L5" s="280"/>
      <c r="M5" s="280"/>
    </row>
    <row r="6" spans="1:34">
      <c r="A6" t="s">
        <v>0</v>
      </c>
      <c r="B6" t="s">
        <v>1</v>
      </c>
      <c r="C6" t="s">
        <v>2</v>
      </c>
      <c r="D6" t="s">
        <v>47</v>
      </c>
      <c r="E6" t="s">
        <v>22</v>
      </c>
      <c r="F6" t="s">
        <v>24</v>
      </c>
      <c r="G6" t="s">
        <v>115</v>
      </c>
      <c r="H6" t="s">
        <v>116</v>
      </c>
      <c r="I6" t="s">
        <v>117</v>
      </c>
      <c r="J6" t="s">
        <v>52</v>
      </c>
      <c r="L6" s="280"/>
      <c r="M6" s="280"/>
    </row>
    <row r="7" spans="1:34">
      <c r="A7">
        <v>2020</v>
      </c>
      <c r="B7">
        <v>20</v>
      </c>
      <c r="C7" s="3"/>
      <c r="D7" s="3"/>
      <c r="E7" s="3"/>
      <c r="F7" s="3"/>
      <c r="G7" s="3"/>
      <c r="H7" s="3"/>
      <c r="I7" s="3"/>
      <c r="J7" s="3"/>
      <c r="P7" s="279" t="s">
        <v>168</v>
      </c>
      <c r="Q7" s="279"/>
      <c r="R7" s="279"/>
      <c r="S7" s="279"/>
      <c r="T7" s="279"/>
      <c r="U7" s="279"/>
      <c r="V7" s="279"/>
      <c r="W7" s="279"/>
      <c r="X7" s="277" t="s">
        <v>169</v>
      </c>
      <c r="Y7" s="277"/>
      <c r="Z7" s="277"/>
      <c r="AA7" s="33"/>
      <c r="AB7" s="33"/>
      <c r="AC7" s="277" t="s">
        <v>453</v>
      </c>
      <c r="AD7" s="277"/>
      <c r="AE7" s="277"/>
      <c r="AF7" s="33"/>
      <c r="AG7" s="33"/>
      <c r="AH7" s="33" t="s">
        <v>19</v>
      </c>
    </row>
    <row r="8" spans="1:34">
      <c r="A8">
        <v>2020</v>
      </c>
      <c r="B8">
        <v>30</v>
      </c>
      <c r="C8" s="3"/>
      <c r="D8" s="3"/>
      <c r="E8" s="3"/>
      <c r="F8" s="3"/>
      <c r="G8" s="3"/>
      <c r="H8" s="3"/>
      <c r="I8" s="3"/>
      <c r="J8" s="3"/>
      <c r="O8" t="s">
        <v>17</v>
      </c>
      <c r="P8" s="63"/>
    </row>
    <row r="9" spans="1:34">
      <c r="A9">
        <v>2020</v>
      </c>
      <c r="B9">
        <v>41</v>
      </c>
      <c r="C9" s="3"/>
      <c r="D9" s="3"/>
      <c r="E9" s="3"/>
      <c r="F9" s="3"/>
      <c r="G9" s="3"/>
      <c r="H9" s="3"/>
      <c r="I9" s="3"/>
      <c r="J9" s="3"/>
      <c r="L9" s="225"/>
      <c r="O9" t="s">
        <v>142</v>
      </c>
      <c r="P9" t="s">
        <v>8</v>
      </c>
      <c r="Q9" t="s">
        <v>10</v>
      </c>
      <c r="R9" t="s">
        <v>14</v>
      </c>
      <c r="S9" t="s">
        <v>15</v>
      </c>
      <c r="T9" s="29" t="s">
        <v>16</v>
      </c>
      <c r="U9" t="s">
        <v>115</v>
      </c>
      <c r="V9" t="s">
        <v>116</v>
      </c>
      <c r="W9" t="s">
        <v>47</v>
      </c>
      <c r="X9" s="33" t="s">
        <v>47</v>
      </c>
      <c r="Y9" t="s">
        <v>8</v>
      </c>
      <c r="Z9" t="s">
        <v>10</v>
      </c>
      <c r="AA9" t="s">
        <v>115</v>
      </c>
      <c r="AB9" t="s">
        <v>116</v>
      </c>
      <c r="AC9" s="33" t="s">
        <v>47</v>
      </c>
      <c r="AD9" t="s">
        <v>8</v>
      </c>
      <c r="AE9" t="s">
        <v>10</v>
      </c>
      <c r="AF9" t="s">
        <v>115</v>
      </c>
      <c r="AG9" t="s">
        <v>116</v>
      </c>
    </row>
    <row r="10" spans="1:34">
      <c r="A10">
        <v>2020</v>
      </c>
      <c r="B10" s="8" t="s">
        <v>109</v>
      </c>
      <c r="C10" s="3">
        <f>'Combined MOVES output'!C8*(1-'BAU Scenario'!$L$10)/454/2000</f>
        <v>32407.701911043594</v>
      </c>
      <c r="D10" s="3">
        <f>'Combined MOVES output'!D8*(1-'BAU Scenario'!$L$10)/454/2000</f>
        <v>54995021.887931824</v>
      </c>
      <c r="E10" s="3">
        <f>'Combined MOVES output'!E8</f>
        <v>569199285.05412686</v>
      </c>
      <c r="F10" s="3">
        <f>'Combined MOVES output'!F8*(1-'BAU Scenario'!$L$10*'Combined MOVES output'!E29)/454/2000</f>
        <v>1685.4297302666362</v>
      </c>
      <c r="G10" s="3">
        <f>'Combined MOVES output'!G8*(1-'BAU Scenario'!$L$10)/454/2000</f>
        <v>29380.623899339513</v>
      </c>
      <c r="H10" s="3">
        <f>'Combined MOVES output'!H8*(1-'BAU Scenario'!$L$10)/454/2000</f>
        <v>680.61166843379374</v>
      </c>
      <c r="I10" s="3">
        <f>'Combined MOVES output'!AB8*(1-'BAU Scenario'!$L$10)/454/2000</f>
        <v>16589.989236154011</v>
      </c>
      <c r="J10" s="3">
        <f>D10+AC10</f>
        <v>54958796.800551549</v>
      </c>
      <c r="L10" s="125">
        <f>'Fleet ZEV fractions'!AA12</f>
        <v>4.4950834174435393E-3</v>
      </c>
      <c r="M10" s="42">
        <f>'ZEV efficiency'!K44</f>
        <v>4.5885492022606078</v>
      </c>
      <c r="O10" s="3">
        <f>E10*L10/M10</f>
        <v>557605.06310077209</v>
      </c>
      <c r="P10" s="3">
        <f>$O10*'GREET factors'!B93/454/2000</f>
        <v>14.06876369610181</v>
      </c>
      <c r="Q10" s="3">
        <f>$O10*'GREET factors'!C93/454/2000</f>
        <v>1.5997071694860485</v>
      </c>
      <c r="R10" s="3">
        <f>$O10*'GREET factors'!D93/454/2000</f>
        <v>2.8296501893902959</v>
      </c>
      <c r="S10" s="3">
        <f>$O10*'GREET factors'!E93/454/2000</f>
        <v>0.23540699554428401</v>
      </c>
      <c r="T10" s="102">
        <f>$O10*'GREET factors'!F93/454/2000</f>
        <v>35192.735554885709</v>
      </c>
      <c r="U10" s="3">
        <f>$O10*'GREET factors'!G93/454/2000</f>
        <v>1.2478160337211031</v>
      </c>
      <c r="V10" s="3">
        <f>$O10*'GREET factors'!H93/454/2000</f>
        <v>3.5469484815580499</v>
      </c>
      <c r="W10" s="3">
        <f>$O10*'GREET factors'!I93/454/2000</f>
        <v>35333.628094292661</v>
      </c>
      <c r="X10" s="3">
        <f>('Combined MOVES output'!V16/454/2000-'BAU Scenario'!D10)*'GREET factors'!$V$1</f>
        <v>71417.822935164368</v>
      </c>
      <c r="Y10" s="266">
        <f>O10*M10*'GREET factors'!$J$3/454/2000</f>
        <v>25.422306562551743</v>
      </c>
      <c r="Z10" s="266">
        <f>O10*M10*'GREET factors'!K$3/454/2000</f>
        <v>2.6539094051975924</v>
      </c>
      <c r="AA10" s="278" t="s">
        <v>562</v>
      </c>
      <c r="AB10" s="278"/>
      <c r="AC10" s="3">
        <f>T10-X10</f>
        <v>-36225.087380278659</v>
      </c>
      <c r="AD10" s="266">
        <f>P10-Y10</f>
        <v>-11.353542866449933</v>
      </c>
      <c r="AE10" s="266">
        <f>Q10-Z10</f>
        <v>-1.0542022357115439</v>
      </c>
      <c r="AF10" s="278" t="s">
        <v>562</v>
      </c>
      <c r="AG10" s="278"/>
      <c r="AH10">
        <v>2020</v>
      </c>
    </row>
    <row r="11" spans="1:34">
      <c r="C11" s="3"/>
      <c r="D11" s="3"/>
      <c r="E11" s="3"/>
      <c r="F11" s="3"/>
      <c r="G11" s="3"/>
      <c r="H11" s="3"/>
      <c r="L11" s="42"/>
      <c r="M11" s="42"/>
      <c r="T11" s="29"/>
    </row>
    <row r="12" spans="1:34">
      <c r="A12">
        <v>2025</v>
      </c>
      <c r="B12">
        <v>20</v>
      </c>
      <c r="C12" s="3"/>
      <c r="D12" s="3"/>
      <c r="E12" s="3"/>
      <c r="F12" s="3"/>
      <c r="G12" s="3"/>
      <c r="H12" s="3"/>
      <c r="I12" s="3"/>
      <c r="J12" s="3"/>
      <c r="L12" s="42"/>
      <c r="M12" s="42"/>
      <c r="T12" s="29"/>
    </row>
    <row r="13" spans="1:34">
      <c r="A13">
        <v>2025</v>
      </c>
      <c r="B13">
        <v>30</v>
      </c>
      <c r="C13" s="3"/>
      <c r="D13" s="3"/>
      <c r="E13" s="3"/>
      <c r="F13" s="3"/>
      <c r="G13" s="3"/>
      <c r="H13" s="3"/>
      <c r="I13" s="3"/>
      <c r="J13" s="3"/>
      <c r="L13" s="42"/>
      <c r="M13" s="42"/>
      <c r="O13" t="s">
        <v>17</v>
      </c>
      <c r="T13" s="29"/>
    </row>
    <row r="14" spans="1:34">
      <c r="A14">
        <v>2025</v>
      </c>
      <c r="B14">
        <v>41</v>
      </c>
      <c r="C14" s="3"/>
      <c r="D14" s="3"/>
      <c r="E14" s="3"/>
      <c r="F14" s="3"/>
      <c r="G14" s="3"/>
      <c r="H14" s="3"/>
      <c r="I14" s="3"/>
      <c r="J14" s="3"/>
      <c r="L14" s="42"/>
      <c r="M14" s="42"/>
      <c r="O14" t="s">
        <v>142</v>
      </c>
      <c r="P14" t="s">
        <v>8</v>
      </c>
      <c r="Q14" t="s">
        <v>10</v>
      </c>
      <c r="R14" t="s">
        <v>14</v>
      </c>
      <c r="S14" t="s">
        <v>15</v>
      </c>
      <c r="T14" s="29" t="s">
        <v>16</v>
      </c>
      <c r="U14" t="s">
        <v>115</v>
      </c>
      <c r="V14" t="s">
        <v>116</v>
      </c>
      <c r="W14" t="s">
        <v>47</v>
      </c>
      <c r="X14" t="s">
        <v>47</v>
      </c>
      <c r="Y14" t="s">
        <v>8</v>
      </c>
      <c r="Z14" t="s">
        <v>10</v>
      </c>
      <c r="AC14" s="33" t="s">
        <v>47</v>
      </c>
      <c r="AD14" t="s">
        <v>8</v>
      </c>
      <c r="AE14" t="s">
        <v>10</v>
      </c>
    </row>
    <row r="15" spans="1:34">
      <c r="A15">
        <v>2025</v>
      </c>
      <c r="B15" s="8" t="s">
        <v>109</v>
      </c>
      <c r="C15" s="3">
        <f>'Combined MOVES output'!C9*(1+'Federal GHG Rule'!D9)/454/2000</f>
        <v>17050.080408492788</v>
      </c>
      <c r="D15" s="3">
        <f>'Combined MOVES output'!D9*(1+'Federal GHG Rule'!J9)/454/2000</f>
        <v>47886080.818615504</v>
      </c>
      <c r="E15" s="3">
        <f>'Combined MOVES output'!E9</f>
        <v>537050465.39282691</v>
      </c>
      <c r="F15" s="3">
        <f>'Combined MOVES output'!F9*(1+'Federal GHG Rule'!C9)/454/2000</f>
        <v>1384.5282955022653</v>
      </c>
      <c r="G15" s="3">
        <f>'Combined MOVES output'!G9*(1+'Federal GHG Rule'!F9)/454/2000</f>
        <v>22990.009683232463</v>
      </c>
      <c r="H15" s="3">
        <f>'Combined MOVES output'!H9*(1+'Federal GHG Rule'!E9)/454/2000</f>
        <v>646.65812259608674</v>
      </c>
      <c r="I15" s="3">
        <f>'Combined MOVES output'!I9*(1-'Federal GHG Rule'!H9)/454/2000</f>
        <v>3674.0792258701908</v>
      </c>
      <c r="J15" s="3">
        <f>D15+AC15</f>
        <v>47502665.367415652</v>
      </c>
      <c r="L15" s="42">
        <f>'Fleet ZEV fractions'!AA17</f>
        <v>2.9253218866083331E-2</v>
      </c>
      <c r="M15" s="42">
        <f>'ZEV efficiency'!K44</f>
        <v>4.5885492022606078</v>
      </c>
      <c r="O15" s="3">
        <f>E15*L15/M15</f>
        <v>3423839.238452171</v>
      </c>
      <c r="P15" s="3">
        <f>$O15*'GREET factors'!B94/454/2000</f>
        <v>86.385846124427104</v>
      </c>
      <c r="Q15" s="3">
        <f>$O15*'GREET factors'!C94/454/2000</f>
        <v>9.8226155739366821</v>
      </c>
      <c r="R15" s="3">
        <f>$O15*'GREET factors'!D94/454/2000</f>
        <v>17.374783678707768</v>
      </c>
      <c r="S15" s="3">
        <f>$O15*'GREET factors'!E94/454/2000</f>
        <v>1.4454598096161706</v>
      </c>
      <c r="T15" s="102">
        <f>$O15*'GREET factors'!F94/454/2000</f>
        <v>216092.49426688298</v>
      </c>
      <c r="U15" s="3">
        <f>$O15*'GREET factors'!G94/454/2000</f>
        <v>7.6619130301045413</v>
      </c>
      <c r="V15" s="3">
        <f>$O15*'GREET factors'!H94/454/2000</f>
        <v>21.7791806272248</v>
      </c>
      <c r="W15" s="3">
        <f>$O15*'GREET factors'!I94/454/2000</f>
        <v>216957.61088211631</v>
      </c>
      <c r="X15" s="3">
        <f>('Combined MOVES output'!D9/454/2000-'BAU Scenario'!D15)*'GREET factors'!$V$1</f>
        <v>599507.94546673249</v>
      </c>
      <c r="Y15" s="266">
        <f>O15*M15*'GREET factors'!$J$3/454/2000</f>
        <v>156.09953442100348</v>
      </c>
      <c r="Z15" s="266">
        <f>O15*M15*'GREET factors'!K$3/454/2000</f>
        <v>16.295689831587183</v>
      </c>
      <c r="AA15" s="266"/>
      <c r="AB15" s="266"/>
      <c r="AC15" s="3">
        <f>T15-X15</f>
        <v>-383415.45119984949</v>
      </c>
      <c r="AD15" s="266">
        <f>P15-Y15</f>
        <v>-69.713688296576379</v>
      </c>
      <c r="AE15" s="266">
        <f>Q15-Z15</f>
        <v>-6.4730742576505005</v>
      </c>
      <c r="AF15" s="266"/>
      <c r="AG15" s="266"/>
      <c r="AH15">
        <v>2025</v>
      </c>
    </row>
    <row r="16" spans="1:34">
      <c r="C16" s="3"/>
      <c r="D16" s="3"/>
      <c r="E16" s="3"/>
      <c r="F16" s="3"/>
      <c r="G16" s="3"/>
      <c r="H16" s="3"/>
      <c r="L16" s="42"/>
      <c r="M16" s="42"/>
      <c r="O16" s="6"/>
    </row>
    <row r="17" spans="1:34">
      <c r="A17">
        <v>2026</v>
      </c>
      <c r="B17">
        <v>20</v>
      </c>
      <c r="C17" s="3"/>
      <c r="D17" s="3"/>
      <c r="E17" s="3"/>
      <c r="F17" s="3"/>
      <c r="G17" s="3"/>
      <c r="H17" s="3"/>
      <c r="I17" s="3"/>
      <c r="J17" s="3"/>
      <c r="L17" s="42"/>
      <c r="M17" s="42"/>
    </row>
    <row r="18" spans="1:34">
      <c r="A18">
        <v>2026</v>
      </c>
      <c r="B18">
        <v>30</v>
      </c>
      <c r="C18" s="3"/>
      <c r="D18" s="3"/>
      <c r="E18" s="3"/>
      <c r="F18" s="3"/>
      <c r="G18" s="3"/>
      <c r="H18" s="3"/>
      <c r="I18" s="3"/>
      <c r="J18" s="3"/>
      <c r="L18" s="42"/>
      <c r="M18" s="42"/>
      <c r="O18" t="s">
        <v>17</v>
      </c>
    </row>
    <row r="19" spans="1:34">
      <c r="A19">
        <v>2026</v>
      </c>
      <c r="B19">
        <v>41</v>
      </c>
      <c r="C19" s="3"/>
      <c r="D19" s="3"/>
      <c r="E19" s="3"/>
      <c r="F19" s="3"/>
      <c r="G19" s="3"/>
      <c r="H19" s="3"/>
      <c r="I19" s="3"/>
      <c r="J19" s="3"/>
      <c r="L19" s="42"/>
      <c r="M19" s="42"/>
      <c r="O19" t="s">
        <v>142</v>
      </c>
      <c r="P19" t="s">
        <v>8</v>
      </c>
      <c r="Q19" t="s">
        <v>10</v>
      </c>
      <c r="R19" t="s">
        <v>14</v>
      </c>
      <c r="S19" t="s">
        <v>15</v>
      </c>
      <c r="T19" t="s">
        <v>16</v>
      </c>
      <c r="U19" t="s">
        <v>115</v>
      </c>
      <c r="V19" t="s">
        <v>116</v>
      </c>
      <c r="W19" t="s">
        <v>47</v>
      </c>
      <c r="X19" t="s">
        <v>47</v>
      </c>
      <c r="Y19" t="s">
        <v>8</v>
      </c>
      <c r="Z19" t="s">
        <v>10</v>
      </c>
      <c r="AC19" s="33" t="s">
        <v>47</v>
      </c>
      <c r="AD19" t="s">
        <v>8</v>
      </c>
      <c r="AE19" t="s">
        <v>10</v>
      </c>
    </row>
    <row r="20" spans="1:34">
      <c r="A20">
        <v>2026</v>
      </c>
      <c r="B20" s="8" t="s">
        <v>109</v>
      </c>
      <c r="C20" s="3">
        <f>'Combined MOVES output'!C10*(1+'Federal GHG Rule'!D10)/454/2000</f>
        <v>15236.856156572934</v>
      </c>
      <c r="D20" s="3">
        <f>'Combined MOVES output'!D10*(1+'Federal GHG Rule'!J10)/454/2000</f>
        <v>46752488.34458518</v>
      </c>
      <c r="E20" s="3">
        <f>'Combined MOVES output'!E10</f>
        <v>532097058.75099254</v>
      </c>
      <c r="F20" s="3">
        <f>'Combined MOVES output'!F10*(1+'Federal GHG Rule'!C10)/454/2000</f>
        <v>1339.4651125326534</v>
      </c>
      <c r="G20" s="3">
        <f>'Combined MOVES output'!G10*(1+'Federal GHG Rule'!F10)/454/2000</f>
        <v>21881.0531232875</v>
      </c>
      <c r="H20" s="3">
        <f>'Combined MOVES output'!H10*(1+'Federal GHG Rule'!E10)/454/2000</f>
        <v>640.97203264430993</v>
      </c>
      <c r="I20" s="3">
        <f>'Combined MOVES output'!I10*(1-'Federal GHG Rule'!H10)/454/2000</f>
        <v>3759.0884119271732</v>
      </c>
      <c r="J20" s="3">
        <f>D20+AC20</f>
        <v>46329398.912889317</v>
      </c>
      <c r="L20" s="42">
        <f>'Fleet ZEV fractions'!AA18</f>
        <v>3.8693424311575082E-2</v>
      </c>
      <c r="M20" s="42">
        <f>'ZEV efficiency'!K45</f>
        <v>4.5196744686874846</v>
      </c>
      <c r="O20" s="3">
        <f>E20*L20/M20</f>
        <v>4555340.7467357283</v>
      </c>
      <c r="P20" s="3">
        <f>$O20*'GREET factors'!B95/454/2000</f>
        <v>103.09592457321783</v>
      </c>
      <c r="Q20" s="3">
        <f>$O20*'GREET factors'!C95/454/2000</f>
        <v>11.722656890616948</v>
      </c>
      <c r="R20" s="3">
        <f>$O20*'GREET factors'!D95/454/2000</f>
        <v>20.735681456843654</v>
      </c>
      <c r="S20" s="3">
        <f>$O20*'GREET factors'!E95/454/2000</f>
        <v>1.7250628684143687</v>
      </c>
      <c r="T20" s="3">
        <f>$O20*'GREET factors'!F95/454/2000</f>
        <v>257892.42670249782</v>
      </c>
      <c r="U20" s="3">
        <f>$O20*'GREET factors'!G95/454/2000</f>
        <v>9.1439980422308</v>
      </c>
      <c r="V20" s="3">
        <f>$O20*'GREET factors'!H95/454/2000</f>
        <v>25.992044576107297</v>
      </c>
      <c r="W20" s="3">
        <f>$O20*'GREET factors'!I95/454/2000</f>
        <v>258924.88747370639</v>
      </c>
      <c r="X20" s="3">
        <f>('Combined MOVES output'!D10/454/2000-D20)*'GREET factors'!V1</f>
        <v>680981.85839835973</v>
      </c>
      <c r="Y20" s="266">
        <f>O20*M20*'GREET factors'!$J$3/454/2000</f>
        <v>204.56949551787494</v>
      </c>
      <c r="Z20" s="266">
        <f>O20*M20*'GREET factors'!K$3/454/2000</f>
        <v>21.355611727660687</v>
      </c>
      <c r="AA20" s="266"/>
      <c r="AB20" s="266"/>
      <c r="AC20" s="3">
        <f>T20-X20</f>
        <v>-423089.43169586192</v>
      </c>
      <c r="AD20" s="266">
        <f>P20-Y20</f>
        <v>-101.47357094465711</v>
      </c>
      <c r="AE20" s="266">
        <f>Q20-Z20</f>
        <v>-9.632954837043739</v>
      </c>
      <c r="AF20" s="266"/>
      <c r="AG20" s="266"/>
      <c r="AH20">
        <v>2026</v>
      </c>
    </row>
    <row r="21" spans="1:34">
      <c r="L21" s="42"/>
      <c r="M21" s="42"/>
    </row>
    <row r="22" spans="1:34">
      <c r="A22">
        <v>2027</v>
      </c>
      <c r="B22">
        <v>20</v>
      </c>
      <c r="C22" s="3"/>
      <c r="D22" s="3"/>
      <c r="E22" s="3"/>
      <c r="F22" s="3"/>
      <c r="G22" s="3"/>
      <c r="H22" s="3"/>
      <c r="I22" s="3"/>
      <c r="J22" s="3"/>
      <c r="L22" s="42"/>
      <c r="M22" s="42"/>
    </row>
    <row r="23" spans="1:34">
      <c r="A23">
        <v>2027</v>
      </c>
      <c r="B23">
        <v>30</v>
      </c>
      <c r="C23" s="3"/>
      <c r="D23" s="3"/>
      <c r="E23" s="3"/>
      <c r="F23" s="3"/>
      <c r="G23" s="3"/>
      <c r="H23" s="3"/>
      <c r="I23" s="3"/>
      <c r="J23" s="3"/>
      <c r="L23" s="42"/>
      <c r="M23" s="42"/>
      <c r="O23" t="s">
        <v>17</v>
      </c>
    </row>
    <row r="24" spans="1:34">
      <c r="A24">
        <v>2027</v>
      </c>
      <c r="B24">
        <v>41</v>
      </c>
      <c r="C24" s="3"/>
      <c r="D24" s="3"/>
      <c r="E24" s="3"/>
      <c r="F24" s="3"/>
      <c r="G24" s="3"/>
      <c r="H24" s="3"/>
      <c r="I24" s="3"/>
      <c r="J24" s="3"/>
      <c r="L24" s="42"/>
      <c r="M24" s="42"/>
      <c r="O24" t="s">
        <v>142</v>
      </c>
      <c r="P24" t="s">
        <v>8</v>
      </c>
      <c r="Q24" t="s">
        <v>10</v>
      </c>
      <c r="R24" t="s">
        <v>14</v>
      </c>
      <c r="S24" t="s">
        <v>15</v>
      </c>
      <c r="T24" t="s">
        <v>16</v>
      </c>
      <c r="U24" t="s">
        <v>115</v>
      </c>
      <c r="V24" t="s">
        <v>116</v>
      </c>
      <c r="W24" t="s">
        <v>47</v>
      </c>
      <c r="X24" t="s">
        <v>47</v>
      </c>
      <c r="Y24" t="s">
        <v>8</v>
      </c>
      <c r="Z24" t="s">
        <v>10</v>
      </c>
      <c r="AC24" s="33" t="s">
        <v>47</v>
      </c>
      <c r="AD24" t="s">
        <v>8</v>
      </c>
      <c r="AE24" t="s">
        <v>10</v>
      </c>
    </row>
    <row r="25" spans="1:34">
      <c r="A25">
        <v>2027</v>
      </c>
      <c r="B25" s="8" t="s">
        <v>109</v>
      </c>
      <c r="C25" s="3">
        <f>'Combined MOVES output'!C11*(1+'Federal GHG Rule'!D11)/454/2000</f>
        <v>13428.33120624762</v>
      </c>
      <c r="D25" s="3">
        <f>'Combined MOVES output'!D11*(1+'Federal GHG Rule'!J11)/454/2000</f>
        <v>45402463.220557913</v>
      </c>
      <c r="E25" s="3">
        <f>'Combined MOVES output'!E11</f>
        <v>527143652.10915816</v>
      </c>
      <c r="F25" s="3">
        <f>'Combined MOVES output'!F11*(1+'Federal GHG Rule'!C11)/454/2000</f>
        <v>1294.3422258296348</v>
      </c>
      <c r="G25" s="3">
        <f>'Combined MOVES output'!G11*(1+'Federal GHG Rule'!F11)/454/2000</f>
        <v>20782.247033965279</v>
      </c>
      <c r="H25" s="3">
        <f>'Combined MOVES output'!H11*(1+'Federal GHG Rule'!E11)/454/2000</f>
        <v>632.09822787081578</v>
      </c>
      <c r="I25" s="3">
        <f>'Combined MOVES output'!I11*(1-'Federal GHG Rule'!H11)/454/2000</f>
        <v>3728.6822438826403</v>
      </c>
      <c r="J25" s="3">
        <f>D25+AC25</f>
        <v>44862739.089287542</v>
      </c>
      <c r="L25" s="42">
        <f>'Fleet ZEV fractions'!AA19</f>
        <v>4.8018048250547833E-2</v>
      </c>
      <c r="M25" s="42">
        <f>'ZEV efficiency'!K46</f>
        <v>4.4510976554340083</v>
      </c>
      <c r="O25" s="3">
        <f>E25*L25/M25</f>
        <v>5686779.1455991874</v>
      </c>
      <c r="P25" s="3">
        <f>$O25*'GREET factors'!B96/454/2000</f>
        <v>113.92361058261224</v>
      </c>
      <c r="Q25" s="3">
        <f>$O25*'GREET factors'!C96/454/2000</f>
        <v>12.953833084369595</v>
      </c>
      <c r="R25" s="3">
        <f>$O25*'GREET factors'!D96/454/2000</f>
        <v>22.91345374934658</v>
      </c>
      <c r="S25" s="3">
        <f>$O25*'GREET factors'!E96/454/2000</f>
        <v>1.9062382074297419</v>
      </c>
      <c r="T25" s="3">
        <f>$O25*'GREET factors'!F96/454/2000</f>
        <v>284977.67019873596</v>
      </c>
      <c r="U25" s="3">
        <f>$O25*'GREET factors'!G96/454/2000</f>
        <v>10.104349676707654</v>
      </c>
      <c r="V25" s="3">
        <f>$O25*'GREET factors'!H96/454/2000</f>
        <v>28.721868267754779</v>
      </c>
      <c r="W25" s="3">
        <f>$O25*'GREET factors'!I96/454/2000</f>
        <v>286118.56552828371</v>
      </c>
      <c r="X25" s="3">
        <f>('Combined MOVES output'!D11/454/2000-D25)*'GREET factors'!V1</f>
        <v>824701.80146910995</v>
      </c>
      <c r="Y25" s="266">
        <f>O25*M25*'GREET factors'!$J$3/454/2000</f>
        <v>251.50483286157828</v>
      </c>
      <c r="Z25" s="266">
        <f>O25*M25*'GREET factors'!K$3/454/2000</f>
        <v>26.255329733424251</v>
      </c>
      <c r="AA25" s="266"/>
      <c r="AB25" s="266"/>
      <c r="AC25" s="3">
        <f>T25-X25</f>
        <v>-539724.13127037394</v>
      </c>
      <c r="AD25" s="266">
        <f>P25-Y25</f>
        <v>-137.58122227896604</v>
      </c>
      <c r="AE25" s="266">
        <f>Q25-Z25</f>
        <v>-13.301496649054656</v>
      </c>
      <c r="AF25" s="266"/>
      <c r="AG25" s="266"/>
      <c r="AH25">
        <v>2027</v>
      </c>
    </row>
    <row r="26" spans="1:34">
      <c r="L26" s="42"/>
      <c r="M26" s="42"/>
      <c r="X26" s="3"/>
      <c r="Y26" s="3"/>
      <c r="Z26" s="3"/>
      <c r="AA26" s="3"/>
      <c r="AB26" s="3"/>
    </row>
    <row r="27" spans="1:34">
      <c r="A27">
        <v>2028</v>
      </c>
      <c r="B27">
        <v>20</v>
      </c>
      <c r="C27" s="3"/>
      <c r="D27" s="3"/>
      <c r="E27" s="3"/>
      <c r="F27" s="3"/>
      <c r="G27" s="3"/>
      <c r="H27" s="3"/>
      <c r="I27" s="3"/>
      <c r="J27" s="3"/>
      <c r="L27" s="42"/>
      <c r="M27" s="42"/>
      <c r="X27" s="3"/>
      <c r="Y27" s="3"/>
      <c r="Z27" s="3"/>
      <c r="AA27" s="3"/>
      <c r="AB27" s="3"/>
    </row>
    <row r="28" spans="1:34">
      <c r="A28">
        <v>2028</v>
      </c>
      <c r="B28">
        <v>30</v>
      </c>
      <c r="C28" s="3"/>
      <c r="D28" s="3"/>
      <c r="E28" s="3"/>
      <c r="F28" s="3"/>
      <c r="G28" s="3"/>
      <c r="H28" s="3"/>
      <c r="I28" s="3"/>
      <c r="J28" s="3"/>
      <c r="L28" s="42"/>
      <c r="M28" s="42"/>
      <c r="O28" t="s">
        <v>17</v>
      </c>
      <c r="X28" s="3"/>
      <c r="Y28" s="3"/>
      <c r="Z28" s="3"/>
      <c r="AA28" s="3"/>
      <c r="AB28" s="3"/>
    </row>
    <row r="29" spans="1:34">
      <c r="A29">
        <v>2028</v>
      </c>
      <c r="B29">
        <v>41</v>
      </c>
      <c r="C29" s="3"/>
      <c r="D29" s="3"/>
      <c r="E29" s="3"/>
      <c r="F29" s="3"/>
      <c r="G29" s="3"/>
      <c r="H29" s="3"/>
      <c r="I29" s="3"/>
      <c r="J29" s="3"/>
      <c r="L29" s="42"/>
      <c r="M29" s="42"/>
      <c r="O29" t="s">
        <v>142</v>
      </c>
      <c r="P29" t="s">
        <v>8</v>
      </c>
      <c r="Q29" t="s">
        <v>10</v>
      </c>
      <c r="R29" t="s">
        <v>14</v>
      </c>
      <c r="S29" t="s">
        <v>15</v>
      </c>
      <c r="T29" t="s">
        <v>16</v>
      </c>
      <c r="U29" t="s">
        <v>115</v>
      </c>
      <c r="V29" t="s">
        <v>116</v>
      </c>
      <c r="W29" t="s">
        <v>47</v>
      </c>
      <c r="X29" t="s">
        <v>47</v>
      </c>
      <c r="Y29" t="s">
        <v>8</v>
      </c>
      <c r="Z29" t="s">
        <v>10</v>
      </c>
      <c r="AC29" s="33" t="s">
        <v>47</v>
      </c>
      <c r="AD29" t="s">
        <v>8</v>
      </c>
      <c r="AE29" t="s">
        <v>10</v>
      </c>
    </row>
    <row r="30" spans="1:34">
      <c r="A30">
        <v>2028</v>
      </c>
      <c r="B30" s="8" t="s">
        <v>109</v>
      </c>
      <c r="C30" s="3">
        <f>'Combined MOVES output'!C12*(1+'Federal GHG Rule'!D12)/454/2000</f>
        <v>11616.495021340574</v>
      </c>
      <c r="D30" s="3">
        <f>'Combined MOVES output'!D12*(1+'Federal GHG Rule'!J12)/454/2000</f>
        <v>43852226.339939386</v>
      </c>
      <c r="E30" s="3">
        <f>'Combined MOVES output'!E12</f>
        <v>522190245.46732378</v>
      </c>
      <c r="F30" s="3">
        <f>'Combined MOVES output'!F12*(1+'Federal GHG Rule'!C12)/454/2000</f>
        <v>1248.0797807042441</v>
      </c>
      <c r="G30" s="3">
        <f>'Combined MOVES output'!G12*(1+'Federal GHG Rule'!F12)/454/2000</f>
        <v>19680.772093808428</v>
      </c>
      <c r="H30" s="3">
        <f>'Combined MOVES output'!H12*(1+'Federal GHG Rule'!E12)/454/2000</f>
        <v>620.12179775444383</v>
      </c>
      <c r="I30" s="3">
        <f>'Combined MOVES output'!I12*(1-'Federal GHG Rule'!H12)/454/2000</f>
        <v>3697.556164544595</v>
      </c>
      <c r="J30" s="3">
        <f>D30+AC30</f>
        <v>43123591.299100243</v>
      </c>
      <c r="L30" s="42">
        <f>'Fleet ZEV fractions'!AA20</f>
        <v>5.7229480983163751E-2</v>
      </c>
      <c r="M30" s="42">
        <f>'ZEV efficiency'!K47</f>
        <v>4.3828360072396775</v>
      </c>
      <c r="O30" s="3">
        <f>E30*L30/M30</f>
        <v>6818570.5952040106</v>
      </c>
      <c r="P30" s="3">
        <f>$O30*'GREET factors'!B97/454/2000</f>
        <v>118.87665162141387</v>
      </c>
      <c r="Q30" s="3">
        <f>$O30*'GREET factors'!C97/454/2000</f>
        <v>13.517025091263916</v>
      </c>
      <c r="R30" s="3">
        <f>$O30*'GREET factors'!D97/454/2000</f>
        <v>23.909658804477779</v>
      </c>
      <c r="S30" s="3">
        <f>$O30*'GREET factors'!E97/454/2000</f>
        <v>1.9891154619588591</v>
      </c>
      <c r="T30" s="3">
        <f>$O30*'GREET factors'!F97/454/2000</f>
        <v>297367.60489636264</v>
      </c>
      <c r="U30" s="3">
        <f>$O30*'GREET factors'!G97/454/2000</f>
        <v>10.543655088142479</v>
      </c>
      <c r="V30" s="3">
        <f>$O30*'GREET factors'!H97/454/2000</f>
        <v>29.970604956433402</v>
      </c>
      <c r="W30" s="3">
        <f>$O30*'GREET factors'!I97/454/2000</f>
        <v>298558.10277413839</v>
      </c>
      <c r="X30" s="3">
        <f>('Combined MOVES output'!D12/454/2000-D30)*'GREET factors'!V1</f>
        <v>1026002.6457355068</v>
      </c>
      <c r="Y30" s="266">
        <f>O30*M30*'GREET factors'!$J$3/454/2000</f>
        <v>296.93501430992649</v>
      </c>
      <c r="Z30" s="266">
        <f>O30*M30*'GREET factors'!K$3/454/2000</f>
        <v>30.997920085285024</v>
      </c>
      <c r="AA30" s="266"/>
      <c r="AB30" s="266"/>
      <c r="AC30" s="3">
        <f>T30-X30</f>
        <v>-728635.04083914415</v>
      </c>
      <c r="AD30" s="266">
        <f>P30-Y30</f>
        <v>-178.0583626885126</v>
      </c>
      <c r="AE30" s="266">
        <f>Q30-Z30</f>
        <v>-17.480894994021106</v>
      </c>
      <c r="AF30" s="266"/>
      <c r="AG30" s="266"/>
      <c r="AH30">
        <v>2028</v>
      </c>
    </row>
    <row r="31" spans="1:34">
      <c r="L31" s="42"/>
      <c r="M31" s="42"/>
      <c r="X31" s="3"/>
      <c r="Y31" s="3"/>
      <c r="Z31" s="3"/>
      <c r="AA31" s="3"/>
      <c r="AB31" s="3"/>
    </row>
    <row r="32" spans="1:34">
      <c r="A32">
        <v>2029</v>
      </c>
      <c r="B32">
        <v>20</v>
      </c>
      <c r="C32" s="3"/>
      <c r="D32" s="3"/>
      <c r="E32" s="3"/>
      <c r="F32" s="3"/>
      <c r="G32" s="3"/>
      <c r="H32" s="3"/>
      <c r="I32" s="3"/>
      <c r="J32" s="3"/>
      <c r="L32" s="42"/>
      <c r="M32" s="42"/>
      <c r="X32" s="3"/>
      <c r="Y32" s="3"/>
      <c r="Z32" s="3"/>
      <c r="AA32" s="3"/>
      <c r="AB32" s="3"/>
    </row>
    <row r="33" spans="1:34">
      <c r="A33">
        <v>2029</v>
      </c>
      <c r="B33">
        <v>30</v>
      </c>
      <c r="C33" s="3"/>
      <c r="D33" s="3"/>
      <c r="E33" s="3"/>
      <c r="F33" s="3"/>
      <c r="G33" s="3"/>
      <c r="H33" s="3"/>
      <c r="I33" s="3"/>
      <c r="J33" s="3"/>
      <c r="L33" s="42"/>
      <c r="M33" s="42"/>
      <c r="O33" t="s">
        <v>17</v>
      </c>
      <c r="X33" s="3"/>
      <c r="Y33" s="3"/>
      <c r="Z33" s="3"/>
      <c r="AA33" s="3"/>
      <c r="AB33" s="3"/>
    </row>
    <row r="34" spans="1:34">
      <c r="A34">
        <v>2029</v>
      </c>
      <c r="B34">
        <v>41</v>
      </c>
      <c r="C34" s="3"/>
      <c r="D34" s="3"/>
      <c r="E34" s="3"/>
      <c r="F34" s="3"/>
      <c r="G34" s="3"/>
      <c r="H34" s="3"/>
      <c r="I34" s="3"/>
      <c r="J34" s="3"/>
      <c r="L34" s="42"/>
      <c r="M34" s="42"/>
      <c r="O34" t="s">
        <v>142</v>
      </c>
      <c r="P34" t="s">
        <v>8</v>
      </c>
      <c r="Q34" t="s">
        <v>10</v>
      </c>
      <c r="R34" t="s">
        <v>14</v>
      </c>
      <c r="S34" t="s">
        <v>15</v>
      </c>
      <c r="T34" t="s">
        <v>16</v>
      </c>
      <c r="U34" t="s">
        <v>115</v>
      </c>
      <c r="V34" t="s">
        <v>116</v>
      </c>
      <c r="W34" t="s">
        <v>47</v>
      </c>
      <c r="X34" t="s">
        <v>47</v>
      </c>
      <c r="Y34" t="s">
        <v>8</v>
      </c>
      <c r="Z34" t="s">
        <v>10</v>
      </c>
      <c r="AC34" s="33" t="s">
        <v>47</v>
      </c>
      <c r="AD34" t="s">
        <v>8</v>
      </c>
      <c r="AE34" t="s">
        <v>10</v>
      </c>
    </row>
    <row r="35" spans="1:34">
      <c r="A35">
        <v>2029</v>
      </c>
      <c r="B35" s="8" t="s">
        <v>109</v>
      </c>
      <c r="C35" s="3">
        <f>'Combined MOVES output'!C13*(1+'Federal GHG Rule'!D13)/454/2000</f>
        <v>9799.4731172034317</v>
      </c>
      <c r="D35" s="3">
        <f>'Combined MOVES output'!D13*(1+'Federal GHG Rule'!J13)/454/2000</f>
        <v>42229572.007697068</v>
      </c>
      <c r="E35" s="3">
        <f>'Combined MOVES output'!E13</f>
        <v>517236838.8254894</v>
      </c>
      <c r="F35" s="3">
        <f>'Combined MOVES output'!F13*(1+'Federal GHG Rule'!C13)/454/2000</f>
        <v>1200.7481268039967</v>
      </c>
      <c r="G35" s="3">
        <f>'Combined MOVES output'!G13*(1+'Federal GHG Rule'!F13)/454/2000</f>
        <v>18571.392314107001</v>
      </c>
      <c r="H35" s="3">
        <f>'Combined MOVES output'!H13*(1+'Federal GHG Rule'!E13)/454/2000</f>
        <v>606.75391277493065</v>
      </c>
      <c r="I35" s="3">
        <f>'Combined MOVES output'!I13*(1-'Federal GHG Rule'!H13)/454/2000</f>
        <v>3667.5867210475362</v>
      </c>
      <c r="J35" s="3">
        <f>D35+AC35</f>
        <v>41276514.121226594</v>
      </c>
      <c r="L35" s="42">
        <f>'Fleet ZEV fractions'!AA21</f>
        <v>6.6330022092642743E-2</v>
      </c>
      <c r="M35" s="42">
        <f>'ZEV efficiency'!K48</f>
        <v>4.3148690137751311</v>
      </c>
      <c r="O35" s="3">
        <f>E35*L35/M35</f>
        <v>7951187.1245441651</v>
      </c>
      <c r="P35" s="3">
        <f>$O35*'GREET factors'!B98/454/2000</f>
        <v>117.9592979021694</v>
      </c>
      <c r="Q35" s="3">
        <f>$O35*'GREET factors'!C98/454/2000</f>
        <v>13.412716187274246</v>
      </c>
      <c r="R35" s="3">
        <f>$O35*'GREET factors'!D98/454/2000</f>
        <v>23.725151467410395</v>
      </c>
      <c r="S35" s="3">
        <f>$O35*'GREET factors'!E98/454/2000</f>
        <v>1.9737657491082157</v>
      </c>
      <c r="T35" s="3">
        <f>$O35*'GREET factors'!F98/454/2000</f>
        <v>295072.86261843191</v>
      </c>
      <c r="U35" s="3">
        <f>$O35*'GREET factors'!G98/454/2000</f>
        <v>10.462291245221147</v>
      </c>
      <c r="V35" s="3">
        <f>$O35*'GREET factors'!H98/454/2000</f>
        <v>29.739326185120518</v>
      </c>
      <c r="W35" s="3">
        <f>$O35*'GREET factors'!I98/454/2000</f>
        <v>296254.17359835142</v>
      </c>
      <c r="X35" s="3">
        <f>('Combined MOVES output'!D13/454/2000-D35)*'GREET factors'!V1</f>
        <v>1248130.7490889034</v>
      </c>
      <c r="Y35" s="266">
        <f>O35*M35*'GREET factors'!$J$3/454/2000</f>
        <v>340.88857092549699</v>
      </c>
      <c r="Z35" s="266">
        <f>O35*M35*'GREET factors'!K$3/454/2000</f>
        <v>35.586361224838292</v>
      </c>
      <c r="AA35" s="266"/>
      <c r="AB35" s="266"/>
      <c r="AC35" s="3">
        <f>T35-X35</f>
        <v>-953057.88647047151</v>
      </c>
      <c r="AD35" s="266">
        <f>P35-Y35</f>
        <v>-222.9292730233276</v>
      </c>
      <c r="AE35" s="266">
        <f>Q35-Z35</f>
        <v>-22.173645037564047</v>
      </c>
      <c r="AF35" s="266"/>
      <c r="AG35" s="266"/>
      <c r="AH35">
        <v>2029</v>
      </c>
    </row>
    <row r="36" spans="1:34">
      <c r="C36" s="3"/>
      <c r="D36" s="3"/>
      <c r="E36" s="3"/>
      <c r="F36" s="3"/>
      <c r="G36" s="3"/>
      <c r="H36" s="3"/>
      <c r="L36" s="42"/>
      <c r="M36" s="42"/>
    </row>
    <row r="37" spans="1:34">
      <c r="A37">
        <v>2030</v>
      </c>
      <c r="B37">
        <v>20</v>
      </c>
      <c r="C37" s="3"/>
      <c r="D37" s="3"/>
      <c r="E37" s="3"/>
      <c r="F37" s="3"/>
      <c r="G37" s="3"/>
      <c r="H37" s="3"/>
      <c r="I37" s="3"/>
      <c r="J37" s="3"/>
      <c r="L37" s="42"/>
      <c r="M37" s="42"/>
    </row>
    <row r="38" spans="1:34">
      <c r="A38">
        <v>2030</v>
      </c>
      <c r="B38">
        <v>30</v>
      </c>
      <c r="C38" s="3"/>
      <c r="D38" s="3"/>
      <c r="E38" s="3"/>
      <c r="F38" s="3"/>
      <c r="G38" s="3"/>
      <c r="H38" s="3"/>
      <c r="I38" s="3"/>
      <c r="J38" s="3"/>
      <c r="L38" s="42"/>
      <c r="M38" s="42"/>
      <c r="O38" t="s">
        <v>17</v>
      </c>
    </row>
    <row r="39" spans="1:34">
      <c r="A39">
        <v>2030</v>
      </c>
      <c r="B39">
        <v>41</v>
      </c>
      <c r="C39" s="3"/>
      <c r="D39" s="3"/>
      <c r="E39" s="3"/>
      <c r="F39" s="3"/>
      <c r="G39" s="3"/>
      <c r="H39" s="3"/>
      <c r="I39" s="3"/>
      <c r="J39" s="3"/>
      <c r="L39" s="42"/>
      <c r="M39" s="42"/>
      <c r="O39" t="s">
        <v>142</v>
      </c>
      <c r="P39" t="s">
        <v>8</v>
      </c>
      <c r="Q39" t="s">
        <v>10</v>
      </c>
      <c r="R39" t="s">
        <v>14</v>
      </c>
      <c r="S39" t="s">
        <v>15</v>
      </c>
      <c r="T39" t="s">
        <v>16</v>
      </c>
      <c r="U39" t="s">
        <v>115</v>
      </c>
      <c r="V39" t="s">
        <v>116</v>
      </c>
      <c r="W39" t="s">
        <v>47</v>
      </c>
      <c r="X39" t="s">
        <v>47</v>
      </c>
      <c r="Y39" t="s">
        <v>8</v>
      </c>
      <c r="Z39" t="s">
        <v>10</v>
      </c>
      <c r="AC39" s="33" t="s">
        <v>47</v>
      </c>
      <c r="AD39" t="s">
        <v>8</v>
      </c>
      <c r="AE39" t="s">
        <v>10</v>
      </c>
    </row>
    <row r="40" spans="1:34">
      <c r="A40">
        <v>2030</v>
      </c>
      <c r="B40" s="8" t="s">
        <v>109</v>
      </c>
      <c r="C40" s="3">
        <f>'Combined MOVES output'!C14*(1+'Federal GHG Rule'!D14)/454/2000</f>
        <v>7975.6235355903336</v>
      </c>
      <c r="D40" s="3">
        <f>'Combined MOVES output'!D14*(1+'Federal GHG Rule'!J14)/454/2000</f>
        <v>40650228.873937994</v>
      </c>
      <c r="E40" s="3">
        <f>'Combined MOVES output'!E14</f>
        <v>512283432.18365502</v>
      </c>
      <c r="F40" s="3">
        <f>'Combined MOVES output'!F14*(1+'Federal GHG Rule'!C15)/454/2000</f>
        <v>1147.5200251087256</v>
      </c>
      <c r="G40" s="3">
        <f>'Combined MOVES output'!G14*(1+'Federal GHG Rule'!F14)/454/2000</f>
        <v>17446.076927642072</v>
      </c>
      <c r="H40" s="3">
        <f>'Combined MOVES output'!H14*(1+'Federal GHG Rule'!E14)/454/2000</f>
        <v>593.61737649316512</v>
      </c>
      <c r="I40" s="3">
        <f>'Combined MOVES output'!I14*(1-'Federal GHG Rule'!H14)/454/2000</f>
        <v>3636.6151544452205</v>
      </c>
      <c r="J40" s="3">
        <f>D40+AC40</f>
        <v>39470518.027915888</v>
      </c>
      <c r="L40" s="42">
        <f>'Fleet ZEV fractions'!AA22</f>
        <v>7.5321884708437994E-2</v>
      </c>
      <c r="M40" s="42">
        <f>'ZEV efficiency'!K49</f>
        <v>4.2471919475656934</v>
      </c>
      <c r="O40" s="3">
        <f>E40*L40/M40</f>
        <v>9085097.6582530234</v>
      </c>
      <c r="P40" s="3">
        <f>$O40*'GREET factors'!B99/454/2000</f>
        <v>111.17085478478411</v>
      </c>
      <c r="Q40" s="3">
        <f>$O40*'GREET factors'!C99/454/2000</f>
        <v>12.640827387440439</v>
      </c>
      <c r="R40" s="3">
        <f>$O40*'GREET factors'!D99/454/2000</f>
        <v>22.359792025194665</v>
      </c>
      <c r="S40" s="3">
        <f>$O40*'GREET factors'!E99/454/2000</f>
        <v>1.8601774457429576</v>
      </c>
      <c r="T40" s="3">
        <f>$O40*'GREET factors'!F99/454/2000</f>
        <v>278091.70573641534</v>
      </c>
      <c r="U40" s="3">
        <f>$O40*'GREET factors'!G99/454/2000</f>
        <v>9.8601965374804745</v>
      </c>
      <c r="V40" s="3">
        <f>$O40*'GREET factors'!H99/454/2000</f>
        <v>28.027856824523852</v>
      </c>
      <c r="W40" s="3">
        <f>$O40*'GREET factors'!I99/454/2000</f>
        <v>279205.03341587662</v>
      </c>
      <c r="X40" s="3">
        <f>('Combined MOVES output'!D14/454/2000-D40)*'GREET factors'!V1</f>
        <v>1457802.5517585194</v>
      </c>
      <c r="Y40" s="266">
        <f>O40*M40*'GREET factors'!$J$3/454/2000</f>
        <v>383.39314099962979</v>
      </c>
      <c r="Z40" s="266">
        <f>O40*M40*'GREET factors'!K$3/454/2000</f>
        <v>40.023538394662282</v>
      </c>
      <c r="AA40" s="266"/>
      <c r="AB40" s="266"/>
      <c r="AC40" s="3">
        <f>T40-X40</f>
        <v>-1179710.8460221039</v>
      </c>
      <c r="AD40" s="266">
        <f>P40-Y40</f>
        <v>-272.22228621484567</v>
      </c>
      <c r="AE40" s="266">
        <f>Q40-Z40</f>
        <v>-27.382711007221843</v>
      </c>
      <c r="AF40" s="266"/>
      <c r="AG40" s="266"/>
      <c r="AH40">
        <v>2030</v>
      </c>
    </row>
    <row r="41" spans="1:34">
      <c r="A41" s="6"/>
      <c r="C41" s="3"/>
      <c r="D41" s="3"/>
      <c r="E41" s="3"/>
      <c r="F41" s="3"/>
      <c r="G41" s="3"/>
      <c r="H41" s="3"/>
      <c r="L41" s="42"/>
      <c r="M41" s="42"/>
      <c r="AH41" s="6"/>
    </row>
    <row r="42" spans="1:34">
      <c r="A42">
        <v>2031</v>
      </c>
      <c r="B42">
        <v>20</v>
      </c>
      <c r="C42" s="3"/>
      <c r="D42" s="3"/>
      <c r="E42" s="3"/>
      <c r="F42" s="3"/>
      <c r="G42" s="3"/>
      <c r="H42" s="3"/>
      <c r="I42" s="3"/>
      <c r="J42" s="3"/>
      <c r="L42" s="42"/>
      <c r="M42" s="42"/>
    </row>
    <row r="43" spans="1:34">
      <c r="A43">
        <v>2031</v>
      </c>
      <c r="B43">
        <v>30</v>
      </c>
      <c r="C43" s="3"/>
      <c r="D43" s="3"/>
      <c r="E43" s="3"/>
      <c r="F43" s="3"/>
      <c r="G43" s="3"/>
      <c r="H43" s="3"/>
      <c r="I43" s="3"/>
      <c r="J43" s="3"/>
      <c r="L43" s="42"/>
      <c r="M43" s="42"/>
      <c r="O43" t="s">
        <v>17</v>
      </c>
    </row>
    <row r="44" spans="1:34">
      <c r="A44">
        <v>2031</v>
      </c>
      <c r="B44">
        <v>41</v>
      </c>
      <c r="C44" s="3"/>
      <c r="D44" s="3"/>
      <c r="E44" s="3"/>
      <c r="F44" s="3"/>
      <c r="G44" s="3"/>
      <c r="H44" s="3"/>
      <c r="I44" s="3"/>
      <c r="J44" s="3"/>
      <c r="L44" s="42"/>
      <c r="M44" s="42"/>
      <c r="O44" t="s">
        <v>142</v>
      </c>
      <c r="P44" t="s">
        <v>8</v>
      </c>
      <c r="Q44" t="s">
        <v>10</v>
      </c>
      <c r="R44" t="s">
        <v>14</v>
      </c>
      <c r="S44" t="s">
        <v>15</v>
      </c>
      <c r="T44" t="s">
        <v>16</v>
      </c>
      <c r="U44" t="s">
        <v>115</v>
      </c>
      <c r="V44" t="s">
        <v>116</v>
      </c>
      <c r="W44" t="s">
        <v>47</v>
      </c>
      <c r="X44" t="s">
        <v>47</v>
      </c>
      <c r="Y44" t="s">
        <v>8</v>
      </c>
      <c r="Z44" t="s">
        <v>10</v>
      </c>
      <c r="AC44" s="33" t="s">
        <v>47</v>
      </c>
      <c r="AD44" t="s">
        <v>8</v>
      </c>
      <c r="AE44" t="s">
        <v>10</v>
      </c>
    </row>
    <row r="45" spans="1:34">
      <c r="A45">
        <v>2031</v>
      </c>
      <c r="B45" s="8" t="s">
        <v>109</v>
      </c>
      <c r="C45" s="3">
        <f>'Combined MOVES output'!C15*(1+'Federal GHG Rule'!D15)/454/2000</f>
        <v>7390.7566596578654</v>
      </c>
      <c r="D45" s="3">
        <f>'Combined MOVES output'!D15*(1+'Federal GHG Rule'!J15)/454/2000</f>
        <v>39679295.976097852</v>
      </c>
      <c r="E45" s="3">
        <f>'Combined MOVES output'!E15</f>
        <v>510209663.98495835</v>
      </c>
      <c r="F45" s="3">
        <f>'Combined MOVES output'!F15*(1+'Federal GHG Rule'!C15)/454/2000</f>
        <v>1131.8609150569873</v>
      </c>
      <c r="G45" s="3">
        <f>'Combined MOVES output'!G15*(1+'Federal GHG Rule'!F15)/454/2000</f>
        <v>17250.452257485118</v>
      </c>
      <c r="H45" s="3">
        <f>'Combined MOVES output'!H15*(1+'Federal GHG Rule'!E15)/454/2000</f>
        <v>581.08485870040568</v>
      </c>
      <c r="I45" s="3">
        <f>'Combined MOVES output'!I15*(1-'Federal GHG Rule'!H15)/454/2000</f>
        <v>3622.4059417458002</v>
      </c>
      <c r="J45" s="3">
        <f>D45+AC45</f>
        <v>38301259.296304271</v>
      </c>
      <c r="L45" s="42">
        <f>'Fleet ZEV fractions'!AA23</f>
        <v>8.4405729995164158E-2</v>
      </c>
      <c r="M45" s="42">
        <f>'ZEV efficiency'!K50</f>
        <v>4.2093733769317128</v>
      </c>
      <c r="O45" s="3">
        <f>E45*L45/M45</f>
        <v>10230648.432196908</v>
      </c>
      <c r="P45" s="3">
        <f>$O45*'GREET factors'!B100/454/2000</f>
        <v>120.17806671143562</v>
      </c>
      <c r="Q45" s="3">
        <f>$O45*'GREET factors'!C100/454/2000</f>
        <v>13.665004195537449</v>
      </c>
      <c r="R45" s="3">
        <f>$O45*'GREET factors'!D100/454/2000</f>
        <v>24.171412398148263</v>
      </c>
      <c r="S45" s="3">
        <f>$O45*'GREET factors'!E100/454/2000</f>
        <v>2.0108915201055249</v>
      </c>
      <c r="T45" s="3">
        <f>$O45*'GREET factors'!F100/454/2000</f>
        <v>300623.06913612119</v>
      </c>
      <c r="U45" s="3">
        <f>$O45*'GREET factors'!G100/454/2000</f>
        <v>10.659082900488611</v>
      </c>
      <c r="V45" s="3">
        <f>$O45*'GREET factors'!H100/454/2000</f>
        <v>30.29871141817662</v>
      </c>
      <c r="W45" s="3">
        <f>$O45*'GREET factors'!I100/454/2000</f>
        <v>301826.60011906637</v>
      </c>
      <c r="X45" s="3">
        <f>('Combined MOVES output'!D15/454/2000-D45)*'GREET factors'!V1</f>
        <v>1678659.7489297001</v>
      </c>
      <c r="Y45" s="266">
        <f>O45*M45*'GREET factors'!$J$3/454/2000</f>
        <v>427.89130426515214</v>
      </c>
      <c r="Z45" s="266">
        <f>O45*M45*'GREET factors'!K$3/454/2000</f>
        <v>44.668832625294598</v>
      </c>
      <c r="AA45" s="266"/>
      <c r="AB45" s="266"/>
      <c r="AC45" s="3">
        <f>T45-X45</f>
        <v>-1378036.679793579</v>
      </c>
      <c r="AD45" s="266">
        <f>P45-Y45</f>
        <v>-307.71323755371651</v>
      </c>
      <c r="AE45" s="266">
        <f>Q45-Z45</f>
        <v>-31.003828429757149</v>
      </c>
      <c r="AF45" s="266"/>
      <c r="AG45" s="266"/>
      <c r="AH45">
        <v>2031</v>
      </c>
    </row>
    <row r="46" spans="1:34">
      <c r="L46" s="42"/>
      <c r="M46" s="42"/>
    </row>
    <row r="47" spans="1:34">
      <c r="A47">
        <v>2032</v>
      </c>
      <c r="B47">
        <v>20</v>
      </c>
      <c r="C47" s="3"/>
      <c r="D47" s="3"/>
      <c r="E47" s="3"/>
      <c r="F47" s="3"/>
      <c r="G47" s="3"/>
      <c r="H47" s="3"/>
      <c r="I47" s="3"/>
      <c r="J47" s="3"/>
      <c r="L47" s="42"/>
      <c r="M47" s="42"/>
    </row>
    <row r="48" spans="1:34">
      <c r="A48">
        <v>2032</v>
      </c>
      <c r="B48">
        <v>30</v>
      </c>
      <c r="C48" s="3"/>
      <c r="D48" s="3"/>
      <c r="E48" s="3"/>
      <c r="F48" s="3"/>
      <c r="G48" s="3"/>
      <c r="H48" s="3"/>
      <c r="I48" s="3"/>
      <c r="J48" s="3"/>
      <c r="L48" s="42"/>
      <c r="M48" s="42"/>
      <c r="O48" t="s">
        <v>17</v>
      </c>
    </row>
    <row r="49" spans="1:34">
      <c r="A49">
        <v>2032</v>
      </c>
      <c r="B49">
        <v>41</v>
      </c>
      <c r="C49" s="3"/>
      <c r="D49" s="3"/>
      <c r="E49" s="3"/>
      <c r="F49" s="3"/>
      <c r="G49" s="3"/>
      <c r="H49" s="3"/>
      <c r="I49" s="3"/>
      <c r="J49" s="3"/>
      <c r="L49" s="42"/>
      <c r="M49" s="42"/>
      <c r="O49" t="s">
        <v>142</v>
      </c>
      <c r="P49" t="s">
        <v>8</v>
      </c>
      <c r="Q49" t="s">
        <v>10</v>
      </c>
      <c r="R49" t="s">
        <v>14</v>
      </c>
      <c r="S49" t="s">
        <v>15</v>
      </c>
      <c r="T49" t="s">
        <v>16</v>
      </c>
      <c r="U49" t="s">
        <v>115</v>
      </c>
      <c r="V49" t="s">
        <v>116</v>
      </c>
      <c r="W49" t="s">
        <v>47</v>
      </c>
      <c r="X49" t="s">
        <v>47</v>
      </c>
      <c r="Y49" t="s">
        <v>8</v>
      </c>
      <c r="Z49" t="s">
        <v>10</v>
      </c>
      <c r="AC49" s="33" t="s">
        <v>47</v>
      </c>
      <c r="AD49" t="s">
        <v>8</v>
      </c>
      <c r="AE49" t="s">
        <v>10</v>
      </c>
    </row>
    <row r="50" spans="1:34">
      <c r="A50">
        <v>2032</v>
      </c>
      <c r="B50" s="8" t="s">
        <v>109</v>
      </c>
      <c r="C50" s="3">
        <f>'Combined MOVES output'!C16*(1+'Federal GHG Rule'!D16)/454/2000</f>
        <v>6803.3197060015809</v>
      </c>
      <c r="D50" s="3">
        <f>'Combined MOVES output'!D16*(1+'Federal GHG Rule'!J16)/454/2000</f>
        <v>38719311.230261266</v>
      </c>
      <c r="E50" s="3">
        <f>'Combined MOVES output'!E16</f>
        <v>508135895.78626168</v>
      </c>
      <c r="F50" s="3">
        <f>'Combined MOVES output'!F16*(1+'Federal GHG Rule'!C16)/454/2000</f>
        <v>1110.6481979128073</v>
      </c>
      <c r="G50" s="3">
        <f>'Combined MOVES output'!G16*(1+'Federal GHG Rule'!F16)/454/2000</f>
        <v>17047.463717596351</v>
      </c>
      <c r="H50" s="3">
        <f>'Combined MOVES output'!H16*(1+'Federal GHG Rule'!E16)/454/2000</f>
        <v>568.64377377109474</v>
      </c>
      <c r="I50" s="3">
        <f>'Combined MOVES output'!I16*(1-'Federal GHG Rule'!H16)/454/2000</f>
        <v>3608.1342438080478</v>
      </c>
      <c r="J50" s="3">
        <f>D50+AC50</f>
        <v>37143482.057121925</v>
      </c>
      <c r="L50" s="42">
        <f>'Fleet ZEV fractions'!AA24</f>
        <v>9.3454356792291193E-2</v>
      </c>
      <c r="M50" s="42">
        <f>'ZEV efficiency'!K51</f>
        <v>4.1717928268709157</v>
      </c>
      <c r="O50" s="3">
        <f>E50*L50/M50</f>
        <v>11382998.934632657</v>
      </c>
      <c r="P50" s="3">
        <f>$O50*'GREET factors'!B101/454/2000</f>
        <v>128.13975848490091</v>
      </c>
      <c r="Q50" s="3">
        <f>$O50*'GREET factors'!C101/454/2000</f>
        <v>14.570298767709385</v>
      </c>
      <c r="R50" s="3">
        <f>$O50*'GREET factors'!D101/454/2000</f>
        <v>25.772747321478835</v>
      </c>
      <c r="S50" s="3">
        <f>$O50*'GREET factors'!E101/454/2000</f>
        <v>2.1441113239437559</v>
      </c>
      <c r="T50" s="3">
        <f>$O50*'GREET factors'!F101/454/2000</f>
        <v>320539.08444532071</v>
      </c>
      <c r="U50" s="3">
        <f>$O50*'GREET factors'!G101/454/2000</f>
        <v>11.365237816803551</v>
      </c>
      <c r="V50" s="3">
        <f>$O50*'GREET factors'!H101/454/2000</f>
        <v>32.305974540688993</v>
      </c>
      <c r="W50" s="3">
        <f>$O50*'GREET factors'!I101/454/2000</f>
        <v>321822.34830289287</v>
      </c>
      <c r="X50" s="3">
        <f>('Combined MOVES output'!D16/454/2000-D50)*'GREET factors'!V1</f>
        <v>1896368.2575846601</v>
      </c>
      <c r="Y50" s="266">
        <f>O50*M50*'GREET factors'!$J$3/454/2000</f>
        <v>471.83730890932759</v>
      </c>
      <c r="Z50" s="266">
        <f>O50*M50*'GREET factors'!K$3/454/2000</f>
        <v>49.256485392326915</v>
      </c>
      <c r="AA50" s="266"/>
      <c r="AB50" s="266"/>
      <c r="AC50" s="3">
        <f>T50-X50</f>
        <v>-1575829.1731393393</v>
      </c>
      <c r="AD50" s="266">
        <f>P50-Y50</f>
        <v>-343.69755042442671</v>
      </c>
      <c r="AE50" s="266">
        <f>Q50-Z50</f>
        <v>-34.686186624617534</v>
      </c>
      <c r="AF50" s="266"/>
      <c r="AG50" s="266"/>
      <c r="AH50">
        <v>2032</v>
      </c>
    </row>
    <row r="51" spans="1:34">
      <c r="A51" s="6"/>
      <c r="C51" s="3"/>
      <c r="D51" s="3"/>
      <c r="E51" s="3"/>
      <c r="F51" s="3"/>
      <c r="G51" s="3"/>
      <c r="H51" s="3"/>
      <c r="L51" s="42"/>
      <c r="M51" s="42"/>
      <c r="X51" s="3"/>
      <c r="Y51" s="3"/>
      <c r="Z51" s="3"/>
      <c r="AA51" s="3"/>
      <c r="AB51" s="3"/>
      <c r="AH51" s="6"/>
    </row>
    <row r="52" spans="1:34">
      <c r="A52">
        <v>2033</v>
      </c>
      <c r="B52">
        <v>20</v>
      </c>
      <c r="C52" s="3"/>
      <c r="D52" s="3"/>
      <c r="E52" s="3"/>
      <c r="F52" s="3"/>
      <c r="G52" s="3"/>
      <c r="H52" s="3"/>
      <c r="I52" s="3"/>
      <c r="J52" s="3"/>
      <c r="L52" s="42"/>
      <c r="M52" s="42"/>
      <c r="X52" s="3"/>
      <c r="Y52" s="3"/>
      <c r="Z52" s="3"/>
      <c r="AA52" s="3"/>
      <c r="AB52" s="3"/>
    </row>
    <row r="53" spans="1:34">
      <c r="A53">
        <v>2033</v>
      </c>
      <c r="B53">
        <v>30</v>
      </c>
      <c r="C53" s="3"/>
      <c r="D53" s="3"/>
      <c r="E53" s="3"/>
      <c r="F53" s="3"/>
      <c r="G53" s="3"/>
      <c r="H53" s="3"/>
      <c r="I53" s="3"/>
      <c r="J53" s="3"/>
      <c r="L53" s="42"/>
      <c r="M53" s="42"/>
      <c r="O53" t="s">
        <v>17</v>
      </c>
      <c r="X53" s="3"/>
      <c r="Y53" s="3"/>
      <c r="Z53" s="3"/>
      <c r="AA53" s="3"/>
      <c r="AB53" s="3"/>
    </row>
    <row r="54" spans="1:34">
      <c r="A54">
        <v>2033</v>
      </c>
      <c r="B54">
        <v>41</v>
      </c>
      <c r="C54" s="3"/>
      <c r="D54" s="3"/>
      <c r="E54" s="3"/>
      <c r="F54" s="3"/>
      <c r="G54" s="3"/>
      <c r="H54" s="3"/>
      <c r="I54" s="3"/>
      <c r="J54" s="3"/>
      <c r="L54" s="42"/>
      <c r="M54" s="42"/>
      <c r="O54" t="s">
        <v>142</v>
      </c>
      <c r="P54" t="s">
        <v>8</v>
      </c>
      <c r="Q54" t="s">
        <v>10</v>
      </c>
      <c r="R54" t="s">
        <v>14</v>
      </c>
      <c r="S54" t="s">
        <v>15</v>
      </c>
      <c r="T54" t="s">
        <v>16</v>
      </c>
      <c r="U54" t="s">
        <v>115</v>
      </c>
      <c r="V54" t="s">
        <v>116</v>
      </c>
      <c r="W54" t="s">
        <v>47</v>
      </c>
      <c r="X54" t="s">
        <v>47</v>
      </c>
      <c r="Y54" t="s">
        <v>8</v>
      </c>
      <c r="Z54" t="s">
        <v>10</v>
      </c>
      <c r="AC54" s="33" t="s">
        <v>47</v>
      </c>
      <c r="AD54" t="s">
        <v>8</v>
      </c>
      <c r="AE54" t="s">
        <v>10</v>
      </c>
    </row>
    <row r="55" spans="1:34">
      <c r="A55">
        <v>2033</v>
      </c>
      <c r="B55" s="8" t="s">
        <v>109</v>
      </c>
      <c r="C55" s="3">
        <f>'Combined MOVES output'!C17*(1+'Federal GHG Rule'!D17)/454/2000</f>
        <v>6214.3412249675202</v>
      </c>
      <c r="D55" s="3">
        <f>'Combined MOVES output'!D17*(1+'Federal GHG Rule'!J17)/454/2000</f>
        <v>37797654.91905342</v>
      </c>
      <c r="E55" s="3">
        <f>'Combined MOVES output'!E17</f>
        <v>506062127.587565</v>
      </c>
      <c r="F55" s="3">
        <f>'Combined MOVES output'!F17*(1+'Federal GHG Rule'!C17)/454/2000</f>
        <v>1088.704273664488</v>
      </c>
      <c r="G55" s="3">
        <f>'Combined MOVES output'!G17*(1+'Federal GHG Rule'!F17)/454/2000</f>
        <v>16836.865656435828</v>
      </c>
      <c r="H55" s="3">
        <f>'Combined MOVES output'!H17*(1+'Federal GHG Rule'!E17)/454/2000</f>
        <v>556.7042816042815</v>
      </c>
      <c r="I55" s="3">
        <f>'Combined MOVES output'!I17*(1-'Federal GHG Rule'!H17)/454/2000</f>
        <v>3593.4932305095922</v>
      </c>
      <c r="J55" s="3">
        <f>D55+AC55</f>
        <v>36032421.785208628</v>
      </c>
      <c r="L55" s="42">
        <f>'Fleet ZEV fractions'!AA25</f>
        <v>0.10246882107806769</v>
      </c>
      <c r="M55" s="42">
        <f>'ZEV efficiency'!K52</f>
        <v>4.1344371829035831</v>
      </c>
      <c r="O55" s="3">
        <f>E55*L55/M55</f>
        <v>12542357.595995372</v>
      </c>
      <c r="P55" s="3">
        <f>$O55*'GREET factors'!B102/454/2000</f>
        <v>135.04818386458942</v>
      </c>
      <c r="Q55" s="3">
        <f>$O55*'GREET factors'!C102/454/2000</f>
        <v>15.355830307542501</v>
      </c>
      <c r="R55" s="3">
        <f>$O55*'GREET factors'!D102/454/2000</f>
        <v>27.16223879395562</v>
      </c>
      <c r="S55" s="3">
        <f>$O55*'GREET factors'!E102/454/2000</f>
        <v>2.2597072425122771</v>
      </c>
      <c r="T55" s="3">
        <f>$O55*'GREET factors'!F102/454/2000</f>
        <v>337820.37459559913</v>
      </c>
      <c r="U55" s="3">
        <f>$O55*'GREET factors'!G102/454/2000</f>
        <v>11.977974240753133</v>
      </c>
      <c r="V55" s="3">
        <f>$O55*'GREET factors'!H102/454/2000</f>
        <v>34.04769324744592</v>
      </c>
      <c r="W55" s="3">
        <f>$O55*'GREET factors'!I102/454/2000</f>
        <v>339172.8233237167</v>
      </c>
      <c r="X55" s="3">
        <f>('Combined MOVES output'!D17/454/2000-D55)*'GREET factors'!V1</f>
        <v>2103053.5084403944</v>
      </c>
      <c r="Y55" s="266">
        <f>O55*M55*'GREET factors'!$J$3/454/2000</f>
        <v>515.23864168578962</v>
      </c>
      <c r="Z55" s="266">
        <f>O55*M55*'GREET factors'!K$3/454/2000</f>
        <v>53.787278260006097</v>
      </c>
      <c r="AA55" s="266"/>
      <c r="AB55" s="266"/>
      <c r="AC55" s="3">
        <f>T55-X55</f>
        <v>-1765233.1338447952</v>
      </c>
      <c r="AD55" s="266">
        <f>P55-Y55</f>
        <v>-380.1904578212002</v>
      </c>
      <c r="AE55" s="266">
        <f>Q55-Z55</f>
        <v>-38.4314479524636</v>
      </c>
      <c r="AF55" s="266"/>
      <c r="AG55" s="266"/>
      <c r="AH55">
        <v>2033</v>
      </c>
    </row>
    <row r="56" spans="1:34">
      <c r="L56" s="42"/>
      <c r="M56" s="42"/>
      <c r="X56" s="3"/>
      <c r="Y56" s="3"/>
      <c r="Z56" s="3"/>
      <c r="AA56" s="3"/>
      <c r="AB56" s="3"/>
    </row>
    <row r="57" spans="1:34">
      <c r="A57">
        <v>2034</v>
      </c>
      <c r="B57">
        <v>20</v>
      </c>
      <c r="C57" s="3"/>
      <c r="D57" s="3"/>
      <c r="E57" s="3"/>
      <c r="F57" s="3"/>
      <c r="G57" s="3"/>
      <c r="H57" s="3"/>
      <c r="I57" s="3"/>
      <c r="J57" s="3"/>
      <c r="L57" s="42"/>
      <c r="M57" s="42"/>
      <c r="X57" s="3"/>
      <c r="Y57" s="3"/>
      <c r="Z57" s="3"/>
      <c r="AA57" s="3"/>
      <c r="AB57" s="3"/>
    </row>
    <row r="58" spans="1:34">
      <c r="A58">
        <v>2034</v>
      </c>
      <c r="B58">
        <v>30</v>
      </c>
      <c r="C58" s="3"/>
      <c r="D58" s="3"/>
      <c r="E58" s="3"/>
      <c r="F58" s="3"/>
      <c r="G58" s="3"/>
      <c r="H58" s="3"/>
      <c r="I58" s="3"/>
      <c r="J58" s="3"/>
      <c r="L58" s="42"/>
      <c r="M58" s="42"/>
      <c r="O58" t="s">
        <v>17</v>
      </c>
      <c r="X58" s="3"/>
      <c r="Y58" s="3"/>
      <c r="Z58" s="3"/>
      <c r="AA58" s="3"/>
      <c r="AB58" s="3"/>
    </row>
    <row r="59" spans="1:34">
      <c r="A59">
        <v>2034</v>
      </c>
      <c r="B59">
        <v>41</v>
      </c>
      <c r="C59" s="3"/>
      <c r="D59" s="3"/>
      <c r="E59" s="3"/>
      <c r="F59" s="3"/>
      <c r="G59" s="3"/>
      <c r="H59" s="3"/>
      <c r="I59" s="3"/>
      <c r="J59" s="3"/>
      <c r="L59" s="42"/>
      <c r="M59" s="42"/>
      <c r="O59" t="s">
        <v>142</v>
      </c>
      <c r="P59" t="s">
        <v>8</v>
      </c>
      <c r="Q59" t="s">
        <v>10</v>
      </c>
      <c r="R59" t="s">
        <v>14</v>
      </c>
      <c r="S59" t="s">
        <v>15</v>
      </c>
      <c r="T59" t="s">
        <v>16</v>
      </c>
      <c r="U59" t="s">
        <v>115</v>
      </c>
      <c r="V59" t="s">
        <v>116</v>
      </c>
      <c r="W59" t="s">
        <v>47</v>
      </c>
      <c r="X59" t="s">
        <v>47</v>
      </c>
      <c r="Y59" t="s">
        <v>8</v>
      </c>
      <c r="Z59" t="s">
        <v>10</v>
      </c>
      <c r="AC59" s="33" t="s">
        <v>47</v>
      </c>
      <c r="AD59" t="s">
        <v>8</v>
      </c>
      <c r="AE59" t="s">
        <v>10</v>
      </c>
    </row>
    <row r="60" spans="1:34">
      <c r="A60">
        <v>2034</v>
      </c>
      <c r="B60" s="8" t="s">
        <v>109</v>
      </c>
      <c r="C60" s="3">
        <f>'Combined MOVES output'!C18*(1+'Federal GHG Rule'!D18)/454/2000</f>
        <v>5623.8884398485698</v>
      </c>
      <c r="D60" s="3">
        <f>'Combined MOVES output'!D18*(1+'Federal GHG Rule'!J18)/454/2000</f>
        <v>36917108.313388035</v>
      </c>
      <c r="E60" s="3">
        <f>'Combined MOVES output'!E18</f>
        <v>503988359.38886833</v>
      </c>
      <c r="F60" s="3">
        <f>'Combined MOVES output'!F18*(1+'Federal GHG Rule'!C18)/454/2000</f>
        <v>1066.1985651788978</v>
      </c>
      <c r="G60" s="3">
        <f>'Combined MOVES output'!G18*(1+'Federal GHG Rule'!F18)/454/2000</f>
        <v>16616.60889238631</v>
      </c>
      <c r="H60" s="3">
        <f>'Combined MOVES output'!H18*(1+'Federal GHG Rule'!E18)/454/2000</f>
        <v>545.31757057299444</v>
      </c>
      <c r="I60" s="3">
        <f>'Combined MOVES output'!I18*(1-'Federal GHG Rule'!H18)/454/2000</f>
        <v>3578.8588134392639</v>
      </c>
      <c r="J60" s="3">
        <f>D60+AC60</f>
        <v>34971640.159965217</v>
      </c>
      <c r="L60" s="42">
        <f>'Fleet ZEV fractions'!AA26</f>
        <v>0.11145014815685043</v>
      </c>
      <c r="M60" s="42">
        <f>'ZEV efficiency'!K53</f>
        <v>4.0972869571642612</v>
      </c>
      <c r="O60" s="3">
        <f>E60*L60/M60</f>
        <v>13708968.37601348</v>
      </c>
      <c r="P60" s="3">
        <f>$O60*'GREET factors'!B103/454/2000</f>
        <v>140.89555345176817</v>
      </c>
      <c r="Q60" s="3">
        <f>$O60*'GREET factors'!C103/454/2000</f>
        <v>16.020713111270048</v>
      </c>
      <c r="R60" s="3">
        <f>$O60*'GREET factors'!D103/454/2000</f>
        <v>28.338320133951395</v>
      </c>
      <c r="S60" s="3">
        <f>$O60*'GREET factors'!E103/454/2000</f>
        <v>2.3575489389177799</v>
      </c>
      <c r="T60" s="3">
        <f>$O60*'GREET factors'!F103/454/2000</f>
        <v>352447.45455929782</v>
      </c>
      <c r="U60" s="3">
        <f>$O60*'GREET factors'!G103/454/2000</f>
        <v>12.496601298793525</v>
      </c>
      <c r="V60" s="3">
        <f>$O60*'GREET factors'!H103/454/2000</f>
        <v>35.521903713010779</v>
      </c>
      <c r="W60" s="3">
        <f>$O60*'GREET factors'!I103/454/2000</f>
        <v>353858.46214644407</v>
      </c>
      <c r="X60" s="3">
        <f>('Combined MOVES output'!D18/454/2000-D60)*'GREET factors'!V1</f>
        <v>2297915.6079821154</v>
      </c>
      <c r="Y60" s="266">
        <f>O60*M60*'GREET factors'!$J$3/454/2000</f>
        <v>558.10254871045765</v>
      </c>
      <c r="Z60" s="266">
        <f>O60*M60*'GREET factors'!K$3/454/2000</f>
        <v>58.261967671699807</v>
      </c>
      <c r="AA60" s="266"/>
      <c r="AB60" s="266"/>
      <c r="AC60" s="3">
        <f>T60-X60</f>
        <v>-1945468.1534228176</v>
      </c>
      <c r="AD60" s="266">
        <f>P60-Y60</f>
        <v>-417.20699525868952</v>
      </c>
      <c r="AE60" s="266">
        <f>Q60-Z60</f>
        <v>-42.241254560429759</v>
      </c>
      <c r="AF60" s="266"/>
      <c r="AG60" s="266"/>
      <c r="AH60">
        <v>2034</v>
      </c>
    </row>
    <row r="61" spans="1:34">
      <c r="L61" s="42"/>
      <c r="M61" s="42"/>
    </row>
    <row r="62" spans="1:34">
      <c r="A62">
        <v>2035</v>
      </c>
      <c r="B62">
        <v>20</v>
      </c>
      <c r="C62" s="3"/>
      <c r="D62" s="3"/>
      <c r="E62" s="3"/>
      <c r="F62" s="3"/>
      <c r="G62" s="3"/>
      <c r="H62" s="3"/>
      <c r="I62" s="3"/>
      <c r="J62" s="3"/>
      <c r="L62" s="42"/>
      <c r="M62" s="42"/>
    </row>
    <row r="63" spans="1:34">
      <c r="A63">
        <v>2035</v>
      </c>
      <c r="B63">
        <v>30</v>
      </c>
      <c r="C63" s="3"/>
      <c r="D63" s="3"/>
      <c r="E63" s="3"/>
      <c r="F63" s="3"/>
      <c r="G63" s="3"/>
      <c r="H63" s="3"/>
      <c r="I63" s="3"/>
      <c r="J63" s="3"/>
      <c r="L63" s="42"/>
      <c r="M63" s="42"/>
      <c r="O63" t="s">
        <v>17</v>
      </c>
    </row>
    <row r="64" spans="1:34">
      <c r="A64">
        <v>2035</v>
      </c>
      <c r="B64">
        <v>41</v>
      </c>
      <c r="C64" s="3"/>
      <c r="D64" s="3"/>
      <c r="E64" s="3"/>
      <c r="F64" s="3"/>
      <c r="G64" s="3"/>
      <c r="H64" s="3"/>
      <c r="I64" s="3"/>
      <c r="J64" s="3"/>
      <c r="L64" s="42"/>
      <c r="M64" s="42"/>
      <c r="O64" t="s">
        <v>142</v>
      </c>
      <c r="P64" t="s">
        <v>8</v>
      </c>
      <c r="Q64" t="s">
        <v>10</v>
      </c>
      <c r="R64" t="s">
        <v>14</v>
      </c>
      <c r="S64" t="s">
        <v>15</v>
      </c>
      <c r="T64" t="s">
        <v>16</v>
      </c>
      <c r="U64" t="s">
        <v>115</v>
      </c>
      <c r="V64" t="s">
        <v>116</v>
      </c>
      <c r="W64" t="s">
        <v>47</v>
      </c>
      <c r="X64" t="s">
        <v>47</v>
      </c>
      <c r="Y64" t="s">
        <v>8</v>
      </c>
      <c r="Z64" t="s">
        <v>10</v>
      </c>
      <c r="AC64" s="33" t="s">
        <v>47</v>
      </c>
      <c r="AD64" t="s">
        <v>8</v>
      </c>
      <c r="AE64" t="s">
        <v>10</v>
      </c>
    </row>
    <row r="65" spans="1:34">
      <c r="A65">
        <v>2035</v>
      </c>
      <c r="B65" s="8" t="s">
        <v>109</v>
      </c>
      <c r="C65" s="3">
        <f>'Combined MOVES output'!C19*(1+'Federal GHG Rule'!D19)/454/2000</f>
        <v>5014.1107577826187</v>
      </c>
      <c r="D65" s="3">
        <f>'Combined MOVES output'!D19*(1+'Federal GHG Rule'!J19)/454/2000</f>
        <v>36095437.890322708</v>
      </c>
      <c r="E65" s="3">
        <f>'Combined MOVES output'!E19</f>
        <v>501914591.19017166</v>
      </c>
      <c r="F65" s="3">
        <f>'Combined MOVES output'!F19*(1+'Federal GHG Rule'!C19)/454/2000</f>
        <v>1036.126675195484</v>
      </c>
      <c r="G65" s="3">
        <f>'Combined MOVES output'!G19*(1+'Federal GHG Rule'!F19)/454/2000</f>
        <v>16149.891846048793</v>
      </c>
      <c r="H65" s="3">
        <f>'Combined MOVES output'!H19*(1+'Federal GHG Rule'!E19)/454/2000</f>
        <v>534.74574561993506</v>
      </c>
      <c r="I65" s="3">
        <f>'Combined MOVES output'!I19*(1-'Federal GHG Rule'!H19)/454/2000</f>
        <v>3564.2309916686627</v>
      </c>
      <c r="J65" s="3">
        <f>D65+AC65</f>
        <v>33983992.014649719</v>
      </c>
      <c r="L65" s="42">
        <f>'Fleet ZEV fractions'!AA27</f>
        <v>0.12039933376483782</v>
      </c>
      <c r="M65" s="42">
        <f>'ZEV efficiency'!K54</f>
        <v>4.0603357356974987</v>
      </c>
      <c r="O65" s="3">
        <f>E65*L65/M65</f>
        <v>14883050.644029241</v>
      </c>
      <c r="P65" s="3">
        <f>$O65*'GREET factors'!B104/454/2000</f>
        <v>145.67335924373532</v>
      </c>
      <c r="Q65" s="3">
        <f>$O65*'GREET factors'!C104/454/2000</f>
        <v>16.563979765321502</v>
      </c>
      <c r="R65" s="3">
        <f>$O65*'GREET factors'!D104/454/2000</f>
        <v>29.299280127035644</v>
      </c>
      <c r="S65" s="3">
        <f>$O65*'GREET factors'!E104/454/2000</f>
        <v>2.4374940521541846</v>
      </c>
      <c r="T65" s="3">
        <f>$O65*'GREET factors'!F104/454/2000</f>
        <v>364399.04173507012</v>
      </c>
      <c r="U65" s="3">
        <f>$O65*'GREET factors'!G104/454/2000</f>
        <v>12.920364381463971</v>
      </c>
      <c r="V65" s="3">
        <f>$O65*'GREET factors'!H104/454/2000</f>
        <v>36.726460940998962</v>
      </c>
      <c r="W65" s="3">
        <f>$O65*'GREET factors'!I104/454/2000</f>
        <v>365857.89696578798</v>
      </c>
      <c r="X65" s="3">
        <f>('Combined MOVES output'!D19/454/2000-D65)*'GREET factors'!V1</f>
        <v>2475844.9174080594</v>
      </c>
      <c r="Y65" s="266">
        <f>O65*M65*'GREET factors'!$J$3/454/2000</f>
        <v>600.43604413605317</v>
      </c>
      <c r="Z65" s="266">
        <f>O65*M65*'GREET factors'!K$3/454/2000</f>
        <v>62.681285855454725</v>
      </c>
      <c r="AA65" s="266"/>
      <c r="AB65" s="266"/>
      <c r="AC65" s="3">
        <f>T65-X65</f>
        <v>-2111445.8756729891</v>
      </c>
      <c r="AD65" s="266">
        <f>P65-Y65</f>
        <v>-454.76268489231785</v>
      </c>
      <c r="AE65" s="266">
        <f>Q65-Z65</f>
        <v>-46.117306090133226</v>
      </c>
      <c r="AF65" s="266"/>
      <c r="AG65" s="266"/>
      <c r="AH65">
        <v>2035</v>
      </c>
    </row>
    <row r="66" spans="1:34">
      <c r="A66" s="6"/>
      <c r="C66" s="3"/>
      <c r="D66" s="3"/>
      <c r="E66" s="3"/>
      <c r="F66" s="3"/>
      <c r="G66" s="3"/>
      <c r="H66" s="3"/>
      <c r="L66" s="42"/>
      <c r="M66" s="42"/>
      <c r="AH66" s="6"/>
    </row>
    <row r="67" spans="1:34">
      <c r="A67">
        <v>2036</v>
      </c>
      <c r="B67">
        <v>20</v>
      </c>
      <c r="C67" s="3"/>
      <c r="D67" s="3"/>
      <c r="E67" s="3"/>
      <c r="F67" s="3"/>
      <c r="G67" s="3"/>
      <c r="H67" s="3"/>
      <c r="I67" s="3"/>
      <c r="J67" s="3"/>
      <c r="L67" s="42"/>
      <c r="M67" s="42"/>
    </row>
    <row r="68" spans="1:34">
      <c r="A68">
        <v>2036</v>
      </c>
      <c r="B68">
        <v>30</v>
      </c>
      <c r="C68" s="3"/>
      <c r="D68" s="3"/>
      <c r="E68" s="3"/>
      <c r="F68" s="3"/>
      <c r="G68" s="3"/>
      <c r="H68" s="3"/>
      <c r="I68" s="3"/>
      <c r="J68" s="3"/>
      <c r="L68" s="42"/>
      <c r="M68" s="42"/>
      <c r="O68" t="s">
        <v>17</v>
      </c>
    </row>
    <row r="69" spans="1:34">
      <c r="A69">
        <v>2036</v>
      </c>
      <c r="B69">
        <v>41</v>
      </c>
      <c r="C69" s="3"/>
      <c r="D69" s="3"/>
      <c r="E69" s="3"/>
      <c r="F69" s="3"/>
      <c r="G69" s="3"/>
      <c r="H69" s="3"/>
      <c r="I69" s="3"/>
      <c r="J69" s="3"/>
      <c r="L69" s="42"/>
      <c r="M69" s="42"/>
      <c r="O69" t="s">
        <v>142</v>
      </c>
      <c r="P69" t="s">
        <v>8</v>
      </c>
      <c r="Q69" t="s">
        <v>10</v>
      </c>
      <c r="R69" t="s">
        <v>14</v>
      </c>
      <c r="S69" t="s">
        <v>15</v>
      </c>
      <c r="T69" t="s">
        <v>16</v>
      </c>
      <c r="U69" t="s">
        <v>115</v>
      </c>
      <c r="V69" t="s">
        <v>116</v>
      </c>
      <c r="W69" t="s">
        <v>47</v>
      </c>
      <c r="X69" t="s">
        <v>47</v>
      </c>
      <c r="Y69" t="s">
        <v>8</v>
      </c>
      <c r="Z69" t="s">
        <v>10</v>
      </c>
      <c r="AC69" s="33" t="s">
        <v>47</v>
      </c>
      <c r="AD69" t="s">
        <v>8</v>
      </c>
      <c r="AE69" t="s">
        <v>10</v>
      </c>
    </row>
    <row r="70" spans="1:34">
      <c r="A70">
        <v>2036</v>
      </c>
      <c r="B70" t="s">
        <v>109</v>
      </c>
      <c r="C70" s="3">
        <f>'Combined MOVES output'!C20*(1+'Federal GHG Rule'!D20)/454/2000</f>
        <v>4932.1874632852741</v>
      </c>
      <c r="D70" s="3">
        <f>'Combined MOVES output'!D20*(1+'Federal GHG Rule'!J20)/454/2000</f>
        <v>35606916.29118745</v>
      </c>
      <c r="E70" s="3">
        <f>'Combined MOVES output'!E20</f>
        <v>503689031.37985212</v>
      </c>
      <c r="F70" s="3">
        <f>'Combined MOVES output'!F20*(1+'Federal GHG Rule'!C20)/454/2000</f>
        <v>1019.0629902309099</v>
      </c>
      <c r="G70" s="3">
        <f>'Combined MOVES output'!G20*(1+'Federal GHG Rule'!F20)/454/2000</f>
        <v>15899.462144774683</v>
      </c>
      <c r="H70" s="3">
        <f>'Combined MOVES output'!H20*(1+'Federal GHG Rule'!E20)/454/2000</f>
        <v>525.89190689937175</v>
      </c>
      <c r="I70" s="3">
        <f>'Combined MOVES output'!I20*(1-'Federal GHG Rule'!H20)/454/2000</f>
        <v>3607.4725886456349</v>
      </c>
      <c r="J70" s="3">
        <f>D70+AC70</f>
        <v>33265710.148463525</v>
      </c>
      <c r="L70" s="42">
        <f>'Fleet ZEV fractions'!AA28</f>
        <v>0.12929655634338094</v>
      </c>
      <c r="M70" s="42">
        <f>'ZEV efficiency'!K55</f>
        <v>4.0592416995872931</v>
      </c>
      <c r="O70" s="3">
        <f>E70*L70/M70</f>
        <v>16043700.288152184</v>
      </c>
      <c r="P70" s="3">
        <f>$O70*'GREET factors'!B105/454/2000</f>
        <v>125.62691730743646</v>
      </c>
      <c r="Q70" s="3">
        <f>$O70*'GREET factors'!C105/454/2000</f>
        <v>14.284572876351675</v>
      </c>
      <c r="R70" s="3">
        <f>$O70*'GREET factors'!D105/454/2000</f>
        <v>25.267339620609558</v>
      </c>
      <c r="S70" s="3">
        <f>$O70*'GREET factors'!E105/454/2000</f>
        <v>2.102064957635764</v>
      </c>
      <c r="T70" s="3">
        <f>$O70*'GREET factors'!F105/454/2000</f>
        <v>314253.26168504229</v>
      </c>
      <c r="U70" s="3">
        <f>$O70*'GREET factors'!G105/454/2000</f>
        <v>11.14236368378335</v>
      </c>
      <c r="V70" s="3">
        <f>$O70*'GREET factors'!H105/454/2000</f>
        <v>31.672449208162881</v>
      </c>
      <c r="W70" s="3">
        <f>$O70*'GREET factors'!I105/454/2000</f>
        <v>315511.36053293303</v>
      </c>
      <c r="X70" s="3">
        <f>('Combined MOVES output'!D20/454/2000-D70)*'GREET factors'!V1</f>
        <v>2655459.4044089676</v>
      </c>
      <c r="Y70" s="266">
        <f>O70*M70*'GREET factors'!$J$3/454/2000</f>
        <v>647.08644385449634</v>
      </c>
      <c r="Z70" s="266">
        <f>O70*M70*'GREET factors'!K$3/454/2000</f>
        <v>67.551258383886733</v>
      </c>
      <c r="AA70" s="266"/>
      <c r="AB70" s="266"/>
      <c r="AC70" s="3">
        <f>T70-X70</f>
        <v>-2341206.1427239254</v>
      </c>
      <c r="AD70" s="266">
        <f>P70-Y70</f>
        <v>-521.45952654705991</v>
      </c>
      <c r="AE70" s="266">
        <f>Q70-Z70</f>
        <v>-53.266685507535058</v>
      </c>
      <c r="AF70" s="266"/>
      <c r="AG70" s="266"/>
      <c r="AH70">
        <v>2036</v>
      </c>
    </row>
    <row r="71" spans="1:34">
      <c r="L71" s="42"/>
      <c r="M71" s="42"/>
    </row>
    <row r="72" spans="1:34">
      <c r="A72">
        <v>2037</v>
      </c>
      <c r="B72">
        <v>20</v>
      </c>
      <c r="C72" s="3"/>
      <c r="D72" s="3"/>
      <c r="E72" s="3"/>
      <c r="F72" s="3"/>
      <c r="G72" s="3"/>
      <c r="H72" s="3"/>
      <c r="I72" s="3"/>
      <c r="J72" s="3"/>
      <c r="L72" s="42"/>
      <c r="M72" s="42"/>
    </row>
    <row r="73" spans="1:34">
      <c r="A73">
        <v>2037</v>
      </c>
      <c r="B73">
        <v>30</v>
      </c>
      <c r="C73" s="3"/>
      <c r="D73" s="3"/>
      <c r="E73" s="3"/>
      <c r="F73" s="3"/>
      <c r="G73" s="3"/>
      <c r="H73" s="3"/>
      <c r="I73" s="3"/>
      <c r="J73" s="3"/>
      <c r="L73" s="42"/>
      <c r="M73" s="42"/>
      <c r="O73" t="s">
        <v>17</v>
      </c>
    </row>
    <row r="74" spans="1:34">
      <c r="A74">
        <v>2037</v>
      </c>
      <c r="B74">
        <v>41</v>
      </c>
      <c r="C74" s="3"/>
      <c r="D74" s="3"/>
      <c r="E74" s="3"/>
      <c r="F74" s="3"/>
      <c r="G74" s="3"/>
      <c r="H74" s="3"/>
      <c r="I74" s="3"/>
      <c r="J74" s="3"/>
      <c r="L74" s="42"/>
      <c r="M74" s="42"/>
      <c r="O74" t="s">
        <v>142</v>
      </c>
      <c r="P74" t="s">
        <v>8</v>
      </c>
      <c r="Q74" t="s">
        <v>10</v>
      </c>
      <c r="R74" t="s">
        <v>14</v>
      </c>
      <c r="S74" t="s">
        <v>15</v>
      </c>
      <c r="T74" t="s">
        <v>16</v>
      </c>
      <c r="U74" t="s">
        <v>115</v>
      </c>
      <c r="V74" t="s">
        <v>116</v>
      </c>
      <c r="W74" t="s">
        <v>47</v>
      </c>
      <c r="X74" t="s">
        <v>47</v>
      </c>
      <c r="Y74" t="s">
        <v>8</v>
      </c>
      <c r="Z74" t="s">
        <v>10</v>
      </c>
      <c r="AC74" s="33" t="s">
        <v>47</v>
      </c>
      <c r="AD74" t="s">
        <v>8</v>
      </c>
      <c r="AE74" t="s">
        <v>10</v>
      </c>
    </row>
    <row r="75" spans="1:34">
      <c r="A75">
        <v>2037</v>
      </c>
      <c r="B75" t="s">
        <v>109</v>
      </c>
      <c r="C75" s="3">
        <f>'Combined MOVES output'!C21*(1+'Federal GHG Rule'!D21)/454/2000</f>
        <v>4846.8312207142981</v>
      </c>
      <c r="D75" s="3">
        <f>'Combined MOVES output'!D21*(1+'Federal GHG Rule'!J21)/454/2000</f>
        <v>35178183.223975696</v>
      </c>
      <c r="E75" s="3">
        <f>'Combined MOVES output'!E21</f>
        <v>505463471.56953257</v>
      </c>
      <c r="F75" s="3">
        <f>'Combined MOVES output'!F21*(1+'Federal GHG Rule'!C21)/454/2000</f>
        <v>1002.0127003509464</v>
      </c>
      <c r="G75" s="3">
        <f>'Combined MOVES output'!G21*(1+'Federal GHG Rule'!F21)/454/2000</f>
        <v>15633.571129713517</v>
      </c>
      <c r="H75" s="3">
        <f>'Combined MOVES output'!H21*(1+'Federal GHG Rule'!E21)/454/2000</f>
        <v>517.97846519140933</v>
      </c>
      <c r="I75" s="3">
        <f>'Combined MOVES output'!I21*(1-'Federal GHG Rule'!H21)/454/2000</f>
        <v>3650.4503121186954</v>
      </c>
      <c r="J75" s="3">
        <f>D75+AC75</f>
        <v>32613045.752515599</v>
      </c>
      <c r="L75" s="42">
        <f>'Fleet ZEV fractions'!AA29</f>
        <v>0.13813207076041464</v>
      </c>
      <c r="M75" s="42">
        <f>'ZEV efficiency'!K56</f>
        <v>4.0583052188942919</v>
      </c>
      <c r="O75" s="3">
        <f>E75*L75/M75</f>
        <v>17204402.39353672</v>
      </c>
      <c r="P75" s="3">
        <f>$O75*'GREET factors'!B106/454/2000</f>
        <v>101.03666850530662</v>
      </c>
      <c r="Q75" s="3">
        <f>$O75*'GREET factors'!C106/454/2000</f>
        <v>11.48850648715556</v>
      </c>
      <c r="R75" s="3">
        <f>$O75*'GREET factors'!D106/454/2000</f>
        <v>20.321503320908185</v>
      </c>
      <c r="S75" s="3">
        <f>$O75*'GREET factors'!E106/454/2000</f>
        <v>1.6906061603144502</v>
      </c>
      <c r="T75" s="3">
        <f>$O75*'GREET factors'!F106/454/2000</f>
        <v>252741.23816857758</v>
      </c>
      <c r="U75" s="3">
        <f>$O75*'GREET factors'!G106/454/2000</f>
        <v>8.9613542225901988</v>
      </c>
      <c r="V75" s="3">
        <f>$O75*'GREET factors'!H106/454/2000</f>
        <v>25.472874921900885</v>
      </c>
      <c r="W75" s="3">
        <f>$O75*'GREET factors'!I106/454/2000</f>
        <v>253753.07638737399</v>
      </c>
      <c r="X75" s="3">
        <f>('Combined MOVES output'!D21/454/2000-D75)*'GREET factors'!V1</f>
        <v>2817878.7096286747</v>
      </c>
      <c r="Y75" s="266">
        <f>O75*M75*'GREET factors'!$J$3/454/2000</f>
        <v>693.74065858180734</v>
      </c>
      <c r="Z75" s="266">
        <f>O75*M75*'GREET factors'!K$3/454/2000</f>
        <v>72.42162917232281</v>
      </c>
      <c r="AA75" s="266"/>
      <c r="AB75" s="266"/>
      <c r="AC75" s="3">
        <f>T75-X75</f>
        <v>-2565137.471460097</v>
      </c>
      <c r="AD75" s="266">
        <f>P75-Y75</f>
        <v>-592.70399007650076</v>
      </c>
      <c r="AE75" s="266">
        <f>Q75-Z75</f>
        <v>-60.933122685167248</v>
      </c>
      <c r="AF75" s="266"/>
      <c r="AG75" s="266"/>
      <c r="AH75">
        <v>2037</v>
      </c>
    </row>
    <row r="76" spans="1:34">
      <c r="C76" s="3"/>
      <c r="D76" s="3"/>
      <c r="E76" s="3"/>
      <c r="F76" s="3"/>
      <c r="G76" s="3"/>
      <c r="H76" s="3"/>
      <c r="L76" s="42"/>
      <c r="M76" s="42"/>
      <c r="X76" s="3"/>
      <c r="Y76" s="3"/>
      <c r="Z76" s="3"/>
      <c r="AA76" s="3"/>
      <c r="AB76" s="3"/>
    </row>
    <row r="77" spans="1:34">
      <c r="A77">
        <v>2038</v>
      </c>
      <c r="B77">
        <v>20</v>
      </c>
      <c r="C77" s="3"/>
      <c r="D77" s="3"/>
      <c r="E77" s="3"/>
      <c r="F77" s="3"/>
      <c r="G77" s="3"/>
      <c r="H77" s="3"/>
      <c r="I77" s="3"/>
      <c r="J77" s="3"/>
      <c r="L77" s="42"/>
      <c r="M77" s="42"/>
      <c r="X77" s="3"/>
      <c r="Y77" s="3"/>
      <c r="Z77" s="3"/>
      <c r="AA77" s="3"/>
      <c r="AB77" s="3"/>
    </row>
    <row r="78" spans="1:34">
      <c r="A78">
        <v>2038</v>
      </c>
      <c r="B78">
        <v>30</v>
      </c>
      <c r="C78" s="3"/>
      <c r="D78" s="3"/>
      <c r="E78" s="3"/>
      <c r="F78" s="3"/>
      <c r="G78" s="3"/>
      <c r="H78" s="3"/>
      <c r="I78" s="3"/>
      <c r="J78" s="3"/>
      <c r="L78" s="42"/>
      <c r="M78" s="42"/>
      <c r="O78" t="s">
        <v>17</v>
      </c>
      <c r="X78" s="3"/>
      <c r="Y78" s="3"/>
      <c r="Z78" s="3"/>
      <c r="AA78" s="3"/>
      <c r="AB78" s="3"/>
    </row>
    <row r="79" spans="1:34">
      <c r="A79">
        <v>2038</v>
      </c>
      <c r="B79">
        <v>41</v>
      </c>
      <c r="C79" s="3"/>
      <c r="D79" s="3"/>
      <c r="E79" s="3"/>
      <c r="F79" s="3"/>
      <c r="G79" s="3"/>
      <c r="H79" s="3"/>
      <c r="I79" s="3"/>
      <c r="J79" s="3"/>
      <c r="L79" s="42"/>
      <c r="M79" s="42"/>
      <c r="O79" t="s">
        <v>142</v>
      </c>
      <c r="P79" t="s">
        <v>8</v>
      </c>
      <c r="Q79" t="s">
        <v>10</v>
      </c>
      <c r="R79" t="s">
        <v>14</v>
      </c>
      <c r="S79" t="s">
        <v>15</v>
      </c>
      <c r="T79" t="s">
        <v>16</v>
      </c>
      <c r="U79" t="s">
        <v>115</v>
      </c>
      <c r="V79" t="s">
        <v>116</v>
      </c>
      <c r="W79" t="s">
        <v>47</v>
      </c>
      <c r="X79" t="s">
        <v>47</v>
      </c>
      <c r="Y79" t="s">
        <v>8</v>
      </c>
      <c r="Z79" t="s">
        <v>10</v>
      </c>
      <c r="AC79" s="33" t="s">
        <v>47</v>
      </c>
      <c r="AD79" t="s">
        <v>8</v>
      </c>
      <c r="AE79" t="s">
        <v>10</v>
      </c>
    </row>
    <row r="80" spans="1:34">
      <c r="A80">
        <v>2038</v>
      </c>
      <c r="B80" t="s">
        <v>109</v>
      </c>
      <c r="C80" s="3">
        <f>'Combined MOVES output'!C22*(1+'Federal GHG Rule'!D22)/454/2000</f>
        <v>4757.561543985812</v>
      </c>
      <c r="D80" s="3">
        <f>'Combined MOVES output'!D22*(1+'Federal GHG Rule'!J22)/454/2000</f>
        <v>34805362.788032554</v>
      </c>
      <c r="E80" s="3">
        <f>'Combined MOVES output'!E22</f>
        <v>507237911.75921297</v>
      </c>
      <c r="F80" s="3">
        <f>'Combined MOVES output'!F22*(1+'Federal GHG Rule'!C22)/454/2000</f>
        <v>984.44488299603131</v>
      </c>
      <c r="G80" s="3">
        <f>'Combined MOVES output'!G22*(1+'Federal GHG Rule'!F22)/454/2000</f>
        <v>15350.632178998176</v>
      </c>
      <c r="H80" s="3">
        <f>'Combined MOVES output'!H22*(1+'Federal GHG Rule'!E22)/454/2000</f>
        <v>510.93913311422193</v>
      </c>
      <c r="I80" s="3">
        <f>'Combined MOVES output'!I22*(1-'Federal GHG Rule'!H22)/454/2000</f>
        <v>3693.4075955607591</v>
      </c>
      <c r="J80" s="3">
        <f>D80+AC80</f>
        <v>32021007.654297985</v>
      </c>
      <c r="L80" s="42">
        <f>'Fleet ZEV fractions'!AA30</f>
        <v>0.14690716593526387</v>
      </c>
      <c r="M80" s="42">
        <f>'ZEV efficiency'!K57</f>
        <v>4.0575094521576283</v>
      </c>
      <c r="O80" s="3">
        <f>E80*L80/M80</f>
        <v>18365178.183834471</v>
      </c>
      <c r="P80" s="3">
        <f>$O80*'GREET factors'!B107/454/2000</f>
        <v>71.902387840686657</v>
      </c>
      <c r="Q80" s="3">
        <f>$O80*'GREET factors'!C107/454/2000</f>
        <v>8.1757550141938626</v>
      </c>
      <c r="R80" s="3">
        <f>$O80*'GREET factors'!D107/454/2000</f>
        <v>14.461725974357508</v>
      </c>
      <c r="S80" s="3">
        <f>$O80*'GREET factors'!E107/454/2000</f>
        <v>1.2031138954111416</v>
      </c>
      <c r="T80" s="3">
        <f>$O80*'GREET factors'!F107/454/2000</f>
        <v>179862.40836096017</v>
      </c>
      <c r="U80" s="3">
        <f>$O80*'GREET factors'!G107/454/2000</f>
        <v>6.3773160420131365</v>
      </c>
      <c r="V80" s="3">
        <f>$O80*'GREET factors'!H107/454/2000</f>
        <v>18.127681357146308</v>
      </c>
      <c r="W80" s="3">
        <f>$O80*'GREET factors'!I107/454/2000</f>
        <v>180582.47945115162</v>
      </c>
      <c r="X80" s="3">
        <f>('Combined MOVES output'!D22/454/2000-D80)*'GREET factors'!V1</f>
        <v>2964217.5420955284</v>
      </c>
      <c r="Y80" s="266">
        <f>O80*M80*'GREET factors'!$J$3/454/2000</f>
        <v>740.40192047265953</v>
      </c>
      <c r="Z80" s="266">
        <f>O80*M80*'GREET factors'!K$3/454/2000</f>
        <v>77.292735634902215</v>
      </c>
      <c r="AA80" s="266"/>
      <c r="AB80" s="266"/>
      <c r="AC80" s="3">
        <f>T80-X80</f>
        <v>-2784355.1337345685</v>
      </c>
      <c r="AD80" s="266">
        <f>P80-Y80</f>
        <v>-668.4995326319729</v>
      </c>
      <c r="AE80" s="266">
        <f>Q80-Z80</f>
        <v>-69.116980620708347</v>
      </c>
      <c r="AF80" s="266"/>
      <c r="AG80" s="266"/>
      <c r="AH80">
        <v>2038</v>
      </c>
    </row>
    <row r="81" spans="1:34">
      <c r="L81" s="42"/>
      <c r="M81" s="42"/>
      <c r="X81" s="3"/>
      <c r="Y81" s="3"/>
      <c r="Z81" s="3"/>
      <c r="AA81" s="3"/>
      <c r="AB81" s="3"/>
    </row>
    <row r="82" spans="1:34">
      <c r="A82">
        <v>2039</v>
      </c>
      <c r="B82">
        <v>20</v>
      </c>
      <c r="C82" s="3"/>
      <c r="D82" s="3"/>
      <c r="E82" s="3"/>
      <c r="F82" s="3"/>
      <c r="G82" s="3"/>
      <c r="H82" s="3"/>
      <c r="I82" s="3"/>
      <c r="J82" s="3"/>
      <c r="L82" s="42"/>
      <c r="M82" s="42"/>
      <c r="X82" s="3"/>
      <c r="Y82" s="3"/>
      <c r="Z82" s="3"/>
      <c r="AA82" s="3"/>
      <c r="AB82" s="3"/>
    </row>
    <row r="83" spans="1:34">
      <c r="A83">
        <v>2039</v>
      </c>
      <c r="B83">
        <v>30</v>
      </c>
      <c r="C83" s="3"/>
      <c r="D83" s="3"/>
      <c r="E83" s="3"/>
      <c r="F83" s="3"/>
      <c r="G83" s="3"/>
      <c r="H83" s="3"/>
      <c r="I83" s="3"/>
      <c r="J83" s="3"/>
      <c r="L83" s="42"/>
      <c r="M83" s="42"/>
      <c r="O83" t="s">
        <v>17</v>
      </c>
      <c r="X83" s="3"/>
      <c r="Y83" s="3"/>
      <c r="Z83" s="3"/>
      <c r="AA83" s="3"/>
      <c r="AB83" s="3"/>
    </row>
    <row r="84" spans="1:34">
      <c r="A84">
        <v>2039</v>
      </c>
      <c r="B84">
        <v>41</v>
      </c>
      <c r="C84" s="3"/>
      <c r="D84" s="3"/>
      <c r="E84" s="3"/>
      <c r="F84" s="3"/>
      <c r="G84" s="3"/>
      <c r="H84" s="3"/>
      <c r="I84" s="3"/>
      <c r="J84" s="3"/>
      <c r="L84" s="42"/>
      <c r="M84" s="42"/>
      <c r="O84" t="s">
        <v>142</v>
      </c>
      <c r="P84" t="s">
        <v>8</v>
      </c>
      <c r="Q84" t="s">
        <v>10</v>
      </c>
      <c r="R84" t="s">
        <v>14</v>
      </c>
      <c r="S84" t="s">
        <v>15</v>
      </c>
      <c r="T84" t="s">
        <v>16</v>
      </c>
      <c r="U84" t="s">
        <v>115</v>
      </c>
      <c r="V84" t="s">
        <v>116</v>
      </c>
      <c r="W84" t="s">
        <v>47</v>
      </c>
      <c r="X84" t="s">
        <v>47</v>
      </c>
      <c r="Y84" t="s">
        <v>8</v>
      </c>
      <c r="Z84" t="s">
        <v>10</v>
      </c>
      <c r="AC84" s="33" t="s">
        <v>47</v>
      </c>
      <c r="AD84" t="s">
        <v>8</v>
      </c>
      <c r="AE84" t="s">
        <v>10</v>
      </c>
    </row>
    <row r="85" spans="1:34">
      <c r="A85">
        <v>2039</v>
      </c>
      <c r="B85" t="s">
        <v>109</v>
      </c>
      <c r="C85" s="3">
        <f>'Combined MOVES output'!C23*(1+'Federal GHG Rule'!D23)/454/2000</f>
        <v>4665.3140282939758</v>
      </c>
      <c r="D85" s="3">
        <f>'Combined MOVES output'!D23*(1+'Federal GHG Rule'!J23)/454/2000</f>
        <v>34484532.225184411</v>
      </c>
      <c r="E85" s="3">
        <f>'Combined MOVES output'!E23</f>
        <v>509012351.94889343</v>
      </c>
      <c r="F85" s="3">
        <f>'Combined MOVES output'!F23*(1+'Federal GHG Rule'!C23)/454/2000</f>
        <v>967.19652605639362</v>
      </c>
      <c r="G85" s="3">
        <f>'Combined MOVES output'!G23*(1+'Federal GHG Rule'!F23)/454/2000</f>
        <v>15051.29744045752</v>
      </c>
      <c r="H85" s="3">
        <f>'Combined MOVES output'!H23*(1+'Federal GHG Rule'!E23)/454/2000</f>
        <v>504.7093285405673</v>
      </c>
      <c r="I85" s="3">
        <f>'Combined MOVES output'!I23*(1-'Federal GHG Rule'!H23)/454/2000</f>
        <v>3736.3444407401448</v>
      </c>
      <c r="J85" s="3">
        <f>D85+AC85</f>
        <v>31484544.061597142</v>
      </c>
      <c r="L85" s="42">
        <f>'Fleet ZEV fractions'!AA31</f>
        <v>0.15562309513932288</v>
      </c>
      <c r="M85" s="42">
        <f>'ZEV efficiency'!K58</f>
        <v>4.0568355972737384</v>
      </c>
      <c r="O85" s="3">
        <f>E85*L85/M85</f>
        <v>19526075.37945741</v>
      </c>
      <c r="P85" s="3">
        <f>$O85*'GREET factors'!B108/454/2000</f>
        <v>38.223735998816601</v>
      </c>
      <c r="Q85" s="3">
        <f>$O85*'GREET factors'!C108/454/2000</f>
        <v>4.346279875238185</v>
      </c>
      <c r="R85" s="3">
        <f>$O85*'GREET factors'!D108/454/2000</f>
        <v>7.6879393345859581</v>
      </c>
      <c r="S85" s="3">
        <f>$O85*'GREET factors'!E108/454/2000</f>
        <v>0.63958248530768325</v>
      </c>
      <c r="T85" s="3">
        <f>$O85*'GREET factors'!F108/454/2000</f>
        <v>95615.923472994749</v>
      </c>
      <c r="U85" s="3">
        <f>$O85*'GREET factors'!G108/454/2000</f>
        <v>3.3902190468421609</v>
      </c>
      <c r="V85" s="3">
        <f>$O85*'GREET factors'!H108/454/2000</f>
        <v>9.6367829675072514</v>
      </c>
      <c r="W85" s="3">
        <f>$O85*'GREET factors'!I108/454/2000</f>
        <v>95998.717536981087</v>
      </c>
      <c r="X85" s="3">
        <f>('Combined MOVES output'!D23/454/2000-D85)*'GREET factors'!V1</f>
        <v>3095604.0870602634</v>
      </c>
      <c r="Y85" s="266">
        <f>O85*M85*'GREET factors'!$J$3/454/2000</f>
        <v>787.07337228930032</v>
      </c>
      <c r="Z85" s="266">
        <f>O85*M85*'GREET factors'!K$3/454/2000</f>
        <v>82.164905853825772</v>
      </c>
      <c r="AA85" s="266"/>
      <c r="AB85" s="266"/>
      <c r="AC85" s="3">
        <f>T85-X85</f>
        <v>-2999988.1635872684</v>
      </c>
      <c r="AD85" s="266">
        <f>P85-Y85</f>
        <v>-748.84963629048377</v>
      </c>
      <c r="AE85" s="266">
        <f>Q85-Z85</f>
        <v>-77.81862597858759</v>
      </c>
      <c r="AF85" s="266"/>
      <c r="AG85" s="266"/>
      <c r="AH85">
        <v>2039</v>
      </c>
    </row>
    <row r="86" spans="1:34">
      <c r="L86" s="42"/>
      <c r="M86" s="42"/>
    </row>
    <row r="87" spans="1:34">
      <c r="A87">
        <v>2040</v>
      </c>
      <c r="B87">
        <v>20</v>
      </c>
      <c r="C87" s="3"/>
      <c r="D87" s="3"/>
      <c r="E87" s="3"/>
      <c r="F87" s="3"/>
      <c r="G87" s="3"/>
      <c r="H87" s="3"/>
      <c r="I87" s="3"/>
      <c r="J87" s="3"/>
      <c r="L87" s="42"/>
      <c r="M87" s="42"/>
    </row>
    <row r="88" spans="1:34">
      <c r="A88">
        <v>2040</v>
      </c>
      <c r="B88">
        <v>30</v>
      </c>
      <c r="C88" s="3"/>
      <c r="D88" s="3"/>
      <c r="E88" s="3"/>
      <c r="F88" s="3"/>
      <c r="G88" s="3"/>
      <c r="H88" s="3"/>
      <c r="I88" s="3"/>
      <c r="J88" s="3"/>
      <c r="L88" s="42"/>
      <c r="M88" s="42"/>
      <c r="O88" t="s">
        <v>17</v>
      </c>
    </row>
    <row r="89" spans="1:34">
      <c r="A89">
        <v>2040</v>
      </c>
      <c r="B89">
        <v>41</v>
      </c>
      <c r="C89" s="3"/>
      <c r="D89" s="3"/>
      <c r="E89" s="3"/>
      <c r="F89" s="3"/>
      <c r="G89" s="3"/>
      <c r="H89" s="3"/>
      <c r="I89" s="3"/>
      <c r="J89" s="3"/>
      <c r="L89" s="42"/>
      <c r="M89" s="42"/>
      <c r="O89" t="s">
        <v>142</v>
      </c>
      <c r="P89" t="s">
        <v>8</v>
      </c>
      <c r="Q89" t="s">
        <v>10</v>
      </c>
      <c r="R89" t="s">
        <v>14</v>
      </c>
      <c r="S89" t="s">
        <v>15</v>
      </c>
      <c r="T89" t="s">
        <v>16</v>
      </c>
      <c r="U89" t="s">
        <v>115</v>
      </c>
      <c r="V89" t="s">
        <v>116</v>
      </c>
      <c r="W89" t="s">
        <v>47</v>
      </c>
      <c r="X89" t="s">
        <v>47</v>
      </c>
      <c r="Y89" t="s">
        <v>8</v>
      </c>
      <c r="Z89" t="s">
        <v>10</v>
      </c>
      <c r="AA89" t="s">
        <v>115</v>
      </c>
      <c r="AB89" t="s">
        <v>116</v>
      </c>
      <c r="AC89" s="33" t="s">
        <v>47</v>
      </c>
      <c r="AD89" t="s">
        <v>8</v>
      </c>
      <c r="AE89" t="s">
        <v>10</v>
      </c>
      <c r="AF89" t="s">
        <v>115</v>
      </c>
      <c r="AG89" t="s">
        <v>116</v>
      </c>
    </row>
    <row r="90" spans="1:34">
      <c r="A90">
        <v>2040</v>
      </c>
      <c r="B90" s="8" t="s">
        <v>109</v>
      </c>
      <c r="C90" s="3">
        <f>'Combined MOVES output'!C24*(1+'Federal GHG Rule'!D24)/454/2000</f>
        <v>4568.1069077065658</v>
      </c>
      <c r="D90" s="3">
        <f>'Combined MOVES output'!D24*(1+'Federal GHG Rule'!J24)/454/2000</f>
        <v>34220282.902956769</v>
      </c>
      <c r="E90" s="3">
        <f>'Combined MOVES output'!E24</f>
        <v>510786792.13857388</v>
      </c>
      <c r="F90" s="3">
        <f>'Combined MOVES output'!F24*(1+'Federal GHG Rule'!C24)/454/2000</f>
        <v>949.50100748347836</v>
      </c>
      <c r="G90" s="3">
        <f>'Combined MOVES output'!G24*(1+'Federal GHG Rule'!F24)/454/2000</f>
        <v>14740.028189153352</v>
      </c>
      <c r="H90" s="3">
        <f>'Combined MOVES output'!H24*(1+'Federal GHG Rule'!E24)/454/2000</f>
        <v>499.34647661453272</v>
      </c>
      <c r="I90" s="3">
        <f>'Combined MOVES output'!I24*(1-'Federal GHG Rule'!H24)/454/2000</f>
        <v>3779.2608494251735</v>
      </c>
      <c r="J90" s="3">
        <f>D90+AC90</f>
        <v>31009565.035734229</v>
      </c>
      <c r="L90" s="42">
        <f>'Fleet ZEV fractions'!AA32</f>
        <v>0.16428107721999591</v>
      </c>
      <c r="M90" s="42">
        <f>'ZEV efficiency'!K59</f>
        <v>4.0562696752233567</v>
      </c>
      <c r="O90" s="3">
        <f>E90*L90/M90</f>
        <v>20687136.497562986</v>
      </c>
      <c r="P90" s="3">
        <f>$O90*'GREET factors'!B109/454/2000</f>
        <v>0</v>
      </c>
      <c r="Q90" s="3">
        <f>$O90*'GREET factors'!C109/454/2000</f>
        <v>0</v>
      </c>
      <c r="R90" s="3">
        <f>$O90*'GREET factors'!D109/454/2000</f>
        <v>0</v>
      </c>
      <c r="S90" s="3">
        <f>$O90*'GREET factors'!E109/454/2000</f>
        <v>0</v>
      </c>
      <c r="T90" s="3">
        <f>$O90*'GREET factors'!F109/454/2000</f>
        <v>0</v>
      </c>
      <c r="U90" s="3">
        <f>$O90*'GREET factors'!G109/454/2000</f>
        <v>0</v>
      </c>
      <c r="V90" s="3">
        <f>$O90*'GREET factors'!H109/454/2000</f>
        <v>0</v>
      </c>
      <c r="W90" s="3">
        <f>$O90*'GREET factors'!I109/454/2000</f>
        <v>0</v>
      </c>
      <c r="X90" s="3">
        <f>('Combined MOVES output'!D24/454/2000-D90)*'GREET factors'!V1</f>
        <v>3210717.8672225415</v>
      </c>
      <c r="Y90" s="266">
        <f>O90*M90*'GREET factors'!$J$3/454/2000</f>
        <v>833.75807047076148</v>
      </c>
      <c r="Z90" s="266">
        <f>O90*M90*'GREET factors'!K$3/454/2000</f>
        <v>87.038458899759732</v>
      </c>
      <c r="AA90" s="266">
        <f>O90*M90*'GREET factors'!L7/454/2000</f>
        <v>2219.1980815266561</v>
      </c>
      <c r="AB90" s="266">
        <f>O90*M90*'GREET factors'!M7/454/2000</f>
        <v>331.20448579111917</v>
      </c>
      <c r="AC90" s="3">
        <f>T90-X90</f>
        <v>-3210717.8672225415</v>
      </c>
      <c r="AD90" s="266">
        <f>P90-Y90</f>
        <v>-833.75807047076148</v>
      </c>
      <c r="AE90" s="266">
        <f>Q90-Z90</f>
        <v>-87.038458899759732</v>
      </c>
      <c r="AF90" s="266">
        <f>U90-AA90</f>
        <v>-2219.1980815266561</v>
      </c>
      <c r="AG90" s="266">
        <f>V90-AB90</f>
        <v>-331.20448579111917</v>
      </c>
      <c r="AH90">
        <v>2040</v>
      </c>
    </row>
  </sheetData>
  <sheetProtection algorithmName="SHA-512" hashValue="P34sXaF6PW0oWgNwfdhmloWuBXM1bc2P8nKDzcYBJHDmuaxZAtSnxQdo7IPEpaM6X+ejRVVKncTHnUU0Ol6UTQ==" saltValue="AR+IPxVvaXZSVH8s8hXWuw==" spinCount="100000" sheet="1" objects="1" scenarios="1"/>
  <mergeCells count="7">
    <mergeCell ref="AA10:AB10"/>
    <mergeCell ref="AF10:AG10"/>
    <mergeCell ref="P7:W7"/>
    <mergeCell ref="L4:L6"/>
    <mergeCell ref="M4:M6"/>
    <mergeCell ref="X7:Z7"/>
    <mergeCell ref="AC7:AE7"/>
  </mergeCells>
  <phoneticPr fontId="34" type="noConversion"/>
  <pageMargins left="0.7" right="0.7" top="0.75" bottom="0.75" header="0.3" footer="0.3"/>
  <pageSetup orientation="portrait"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AH90"/>
  <sheetViews>
    <sheetView topLeftCell="O1" workbookViewId="0">
      <selection activeCell="AF1" sqref="AF1:AG1048576"/>
    </sheetView>
  </sheetViews>
  <sheetFormatPr baseColWidth="10" defaultColWidth="8.83203125" defaultRowHeight="15"/>
  <cols>
    <col min="2" max="2" width="9.5" customWidth="1"/>
    <col min="3" max="3" width="12.6640625" customWidth="1"/>
    <col min="4" max="4" width="16.6640625" customWidth="1"/>
    <col min="5" max="5" width="15.1640625" customWidth="1"/>
    <col min="6" max="6" width="11" customWidth="1"/>
    <col min="7" max="7" width="11.6640625" customWidth="1"/>
    <col min="8" max="8" width="11.5" customWidth="1"/>
    <col min="9" max="10" width="11.6640625" customWidth="1"/>
    <col min="11" max="11" width="8.83203125" customWidth="1"/>
    <col min="12" max="12" width="12" customWidth="1"/>
    <col min="13" max="13" width="14.5" customWidth="1"/>
    <col min="14" max="14" width="8.83203125" customWidth="1"/>
    <col min="15" max="15" width="24" customWidth="1"/>
    <col min="16" max="19" width="9.1640625" bestFit="1" customWidth="1"/>
    <col min="20" max="20" width="10.5" bestFit="1" customWidth="1"/>
    <col min="21" max="22" width="9.1640625" bestFit="1" customWidth="1"/>
    <col min="24" max="28" width="10.33203125" customWidth="1"/>
  </cols>
  <sheetData>
    <row r="1" spans="1:34">
      <c r="A1" s="2" t="s">
        <v>144</v>
      </c>
      <c r="D1" s="29"/>
      <c r="F1" s="30"/>
      <c r="AH1" s="2"/>
    </row>
    <row r="2" spans="1:34">
      <c r="A2" s="29" t="s">
        <v>475</v>
      </c>
      <c r="D2" s="6"/>
      <c r="AH2" s="29"/>
    </row>
    <row r="3" spans="1:34">
      <c r="A3" t="s">
        <v>476</v>
      </c>
      <c r="D3" s="29"/>
    </row>
    <row r="4" spans="1:34">
      <c r="A4" s="29" t="s">
        <v>217</v>
      </c>
      <c r="D4" s="29"/>
      <c r="AH4" s="29"/>
    </row>
    <row r="5" spans="1:34">
      <c r="G5" s="6"/>
      <c r="L5" s="280" t="s">
        <v>167</v>
      </c>
      <c r="M5" s="280" t="s">
        <v>275</v>
      </c>
    </row>
    <row r="6" spans="1:34">
      <c r="A6" t="s">
        <v>0</v>
      </c>
      <c r="B6" t="s">
        <v>1</v>
      </c>
      <c r="C6" t="s">
        <v>42</v>
      </c>
      <c r="D6" t="s">
        <v>47</v>
      </c>
      <c r="E6" t="s">
        <v>22</v>
      </c>
      <c r="F6" t="s">
        <v>24</v>
      </c>
      <c r="G6" t="s">
        <v>115</v>
      </c>
      <c r="H6" t="s">
        <v>116</v>
      </c>
      <c r="I6" t="s">
        <v>117</v>
      </c>
      <c r="J6" t="s">
        <v>52</v>
      </c>
      <c r="L6" s="280"/>
      <c r="M6" s="280"/>
      <c r="O6" s="6"/>
      <c r="T6" s="3"/>
    </row>
    <row r="7" spans="1:34">
      <c r="A7">
        <v>2020</v>
      </c>
      <c r="B7">
        <v>20</v>
      </c>
      <c r="C7" s="281" t="s">
        <v>145</v>
      </c>
      <c r="D7" s="281"/>
      <c r="E7" s="281"/>
      <c r="F7" s="281"/>
      <c r="G7" s="281"/>
      <c r="H7" s="281"/>
      <c r="I7" s="281"/>
      <c r="J7" s="3"/>
      <c r="P7" s="279" t="s">
        <v>168</v>
      </c>
      <c r="Q7" s="279"/>
      <c r="R7" s="279"/>
      <c r="S7" s="279"/>
      <c r="T7" s="279"/>
      <c r="U7" s="279"/>
      <c r="V7" s="279"/>
      <c r="W7" s="279"/>
      <c r="X7" s="277" t="s">
        <v>169</v>
      </c>
      <c r="Y7" s="277"/>
      <c r="Z7" s="277"/>
      <c r="AA7" s="33"/>
      <c r="AB7" s="33"/>
      <c r="AC7" s="277" t="s">
        <v>452</v>
      </c>
      <c r="AD7" s="277"/>
      <c r="AE7" s="277"/>
      <c r="AF7" s="33"/>
      <c r="AG7" s="33"/>
      <c r="AH7" s="33" t="s">
        <v>19</v>
      </c>
    </row>
    <row r="8" spans="1:34">
      <c r="A8">
        <v>2020</v>
      </c>
      <c r="B8">
        <v>30</v>
      </c>
      <c r="C8" s="281"/>
      <c r="D8" s="281"/>
      <c r="E8" s="281"/>
      <c r="F8" s="281"/>
      <c r="G8" s="281"/>
      <c r="H8" s="281"/>
      <c r="I8" s="281"/>
      <c r="J8" s="3"/>
      <c r="O8" t="s">
        <v>17</v>
      </c>
      <c r="P8" s="63"/>
    </row>
    <row r="9" spans="1:34">
      <c r="A9">
        <v>2020</v>
      </c>
      <c r="B9">
        <v>41</v>
      </c>
      <c r="C9" s="281"/>
      <c r="D9" s="281"/>
      <c r="E9" s="281"/>
      <c r="F9" s="281"/>
      <c r="G9" s="281"/>
      <c r="H9" s="281"/>
      <c r="I9" s="281"/>
      <c r="J9" s="3"/>
      <c r="O9" t="s">
        <v>142</v>
      </c>
      <c r="P9" t="s">
        <v>8</v>
      </c>
      <c r="Q9" t="s">
        <v>10</v>
      </c>
      <c r="R9" t="s">
        <v>14</v>
      </c>
      <c r="S9" t="s">
        <v>15</v>
      </c>
      <c r="T9" t="s">
        <v>16</v>
      </c>
      <c r="U9" t="s">
        <v>115</v>
      </c>
      <c r="V9" t="s">
        <v>116</v>
      </c>
      <c r="W9" t="s">
        <v>47</v>
      </c>
      <c r="X9" s="33" t="s">
        <v>47</v>
      </c>
      <c r="Y9" t="s">
        <v>8</v>
      </c>
      <c r="Z9" t="s">
        <v>10</v>
      </c>
      <c r="AA9" t="s">
        <v>115</v>
      </c>
      <c r="AB9" t="s">
        <v>116</v>
      </c>
      <c r="AC9" s="33" t="s">
        <v>47</v>
      </c>
      <c r="AD9" t="s">
        <v>8</v>
      </c>
      <c r="AE9" t="s">
        <v>10</v>
      </c>
      <c r="AF9" t="s">
        <v>115</v>
      </c>
      <c r="AG9" t="s">
        <v>116</v>
      </c>
    </row>
    <row r="10" spans="1:34">
      <c r="A10">
        <v>2020</v>
      </c>
      <c r="B10" s="8" t="s">
        <v>109</v>
      </c>
      <c r="C10" s="3">
        <f>'BAU Scenario'!C10</f>
        <v>32407.701911043594</v>
      </c>
      <c r="D10" s="3">
        <f>'BAU Scenario'!D10</f>
        <v>54995021.887931824</v>
      </c>
      <c r="E10" s="3">
        <f>'BAU Scenario'!E10</f>
        <v>569199285.05412686</v>
      </c>
      <c r="F10" s="3">
        <f>'BAU Scenario'!F10</f>
        <v>1685.4297302666362</v>
      </c>
      <c r="G10" s="3">
        <f>'BAU Scenario'!G10</f>
        <v>29380.623899339513</v>
      </c>
      <c r="H10" s="3">
        <f>'BAU Scenario'!H10</f>
        <v>680.61166843379374</v>
      </c>
      <c r="I10" s="3">
        <f>'BAU Scenario'!I10</f>
        <v>16589.989236154011</v>
      </c>
      <c r="J10" s="3">
        <f>D10+AC10</f>
        <v>54958796.800551549</v>
      </c>
      <c r="L10" s="42">
        <f>'BAU Scenario'!L10</f>
        <v>4.4950834174435393E-3</v>
      </c>
      <c r="M10" s="42">
        <f>'ZEV efficiency'!L44</f>
        <v>4.5885492022606078</v>
      </c>
      <c r="O10" s="3">
        <f>E10*L10/M10</f>
        <v>557605.06310077209</v>
      </c>
      <c r="P10" s="3">
        <f>'BAU Scenario'!P10</f>
        <v>14.06876369610181</v>
      </c>
      <c r="Q10" s="3">
        <f>'BAU Scenario'!Q10</f>
        <v>1.5997071694860485</v>
      </c>
      <c r="R10" s="3">
        <f>'BAU Scenario'!R10</f>
        <v>2.8296501893902959</v>
      </c>
      <c r="S10" s="3">
        <f>'BAU Scenario'!S10</f>
        <v>0.23540699554428401</v>
      </c>
      <c r="T10" s="3">
        <f>'BAU Scenario'!T10</f>
        <v>35192.735554885709</v>
      </c>
      <c r="U10" s="3">
        <f>'BAU Scenario'!U10</f>
        <v>1.2478160337211031</v>
      </c>
      <c r="V10" s="3">
        <f>'BAU Scenario'!V10</f>
        <v>3.5469484815580499</v>
      </c>
      <c r="W10" s="3">
        <f>$O10*'GREET factors'!I93/454/2000</f>
        <v>35333.628094292661</v>
      </c>
      <c r="X10" s="3">
        <f>('Combined MOVES output'!V16/454/2000-'BAU Scenario'!D10)*'GREET factors'!$V$1</f>
        <v>71417.822935164368</v>
      </c>
      <c r="Y10" s="266">
        <f>O10*M10*'GREET factors'!$J$3/454/2000</f>
        <v>25.422306562551743</v>
      </c>
      <c r="Z10" s="266">
        <f>O10*M10*'GREET factors'!K$3/454/2000</f>
        <v>2.6539094051975924</v>
      </c>
      <c r="AA10" s="278" t="s">
        <v>562</v>
      </c>
      <c r="AB10" s="278"/>
      <c r="AC10" s="3">
        <f>T10-X10</f>
        <v>-36225.087380278659</v>
      </c>
      <c r="AD10" s="266">
        <f>P10-Y10</f>
        <v>-11.353542866449933</v>
      </c>
      <c r="AE10" s="266">
        <f>Q10-Z10</f>
        <v>-1.0542022357115439</v>
      </c>
      <c r="AF10" s="278" t="s">
        <v>562</v>
      </c>
      <c r="AG10" s="278"/>
      <c r="AH10">
        <v>2020</v>
      </c>
    </row>
    <row r="11" spans="1:34">
      <c r="C11" s="3"/>
      <c r="D11" s="3"/>
      <c r="E11" s="3"/>
      <c r="F11" s="3"/>
      <c r="G11" s="3"/>
      <c r="H11" s="3"/>
      <c r="L11" s="42"/>
      <c r="M11" s="42"/>
    </row>
    <row r="12" spans="1:34">
      <c r="A12">
        <v>2025</v>
      </c>
      <c r="B12">
        <v>20</v>
      </c>
      <c r="C12" s="281" t="s">
        <v>145</v>
      </c>
      <c r="D12" s="281"/>
      <c r="E12" s="281"/>
      <c r="F12" s="281"/>
      <c r="G12" s="281"/>
      <c r="H12" s="281"/>
      <c r="I12" s="281"/>
      <c r="J12" s="3"/>
      <c r="L12" s="42"/>
      <c r="M12" s="42"/>
    </row>
    <row r="13" spans="1:34">
      <c r="A13">
        <v>2025</v>
      </c>
      <c r="B13">
        <v>30</v>
      </c>
      <c r="C13" s="281"/>
      <c r="D13" s="281"/>
      <c r="E13" s="281"/>
      <c r="F13" s="281"/>
      <c r="G13" s="281"/>
      <c r="H13" s="281"/>
      <c r="I13" s="281"/>
      <c r="J13" s="3"/>
      <c r="L13" s="42"/>
      <c r="M13" s="42"/>
      <c r="O13" t="s">
        <v>17</v>
      </c>
    </row>
    <row r="14" spans="1:34">
      <c r="A14">
        <v>2025</v>
      </c>
      <c r="B14">
        <v>41</v>
      </c>
      <c r="C14" s="281"/>
      <c r="D14" s="281"/>
      <c r="E14" s="281"/>
      <c r="F14" s="281"/>
      <c r="G14" s="281"/>
      <c r="H14" s="281"/>
      <c r="I14" s="281"/>
      <c r="J14" s="3"/>
      <c r="L14" s="42"/>
      <c r="M14" s="42"/>
      <c r="O14" t="s">
        <v>142</v>
      </c>
      <c r="P14" t="s">
        <v>8</v>
      </c>
      <c r="Q14" t="s">
        <v>10</v>
      </c>
      <c r="R14" t="s">
        <v>14</v>
      </c>
      <c r="S14" t="s">
        <v>15</v>
      </c>
      <c r="T14" t="s">
        <v>16</v>
      </c>
      <c r="U14" t="s">
        <v>115</v>
      </c>
      <c r="V14" t="s">
        <v>116</v>
      </c>
      <c r="W14" t="s">
        <v>47</v>
      </c>
      <c r="X14" t="s">
        <v>47</v>
      </c>
      <c r="Y14" t="s">
        <v>8</v>
      </c>
      <c r="Z14" t="s">
        <v>10</v>
      </c>
      <c r="AC14" s="33" t="s">
        <v>47</v>
      </c>
      <c r="AD14" t="s">
        <v>8</v>
      </c>
      <c r="AE14" t="s">
        <v>10</v>
      </c>
    </row>
    <row r="15" spans="1:34">
      <c r="A15">
        <v>2025</v>
      </c>
      <c r="B15" s="8" t="s">
        <v>109</v>
      </c>
      <c r="C15" s="3">
        <f>'BAU Scenario'!C15</f>
        <v>17050.080408492788</v>
      </c>
      <c r="D15" s="3">
        <f>'BAU Scenario'!D15</f>
        <v>47886080.818615504</v>
      </c>
      <c r="E15" s="3">
        <f>'BAU Scenario'!E15</f>
        <v>537050465.39282691</v>
      </c>
      <c r="F15" s="3">
        <f>'BAU Scenario'!F15</f>
        <v>1384.5282955022653</v>
      </c>
      <c r="G15" s="3">
        <f>'BAU Scenario'!G15</f>
        <v>22990.009683232463</v>
      </c>
      <c r="H15" s="3">
        <f>'BAU Scenario'!H15</f>
        <v>646.65812259608674</v>
      </c>
      <c r="I15" s="3">
        <f>'BAU Scenario'!I15</f>
        <v>3674.0792258701908</v>
      </c>
      <c r="J15" s="3">
        <f>D15+AC15</f>
        <v>47502665.367415652</v>
      </c>
      <c r="L15" s="42">
        <f>'BAU Scenario'!L15</f>
        <v>2.9253218866083331E-2</v>
      </c>
      <c r="M15" s="42">
        <f>'ZEV efficiency'!L44</f>
        <v>4.5885492022606078</v>
      </c>
      <c r="O15" s="3">
        <f>E15*L15/M15</f>
        <v>3423839.238452171</v>
      </c>
      <c r="P15" s="3">
        <f>'BAU Scenario'!P15</f>
        <v>86.385846124427104</v>
      </c>
      <c r="Q15" s="3">
        <f>'BAU Scenario'!Q15</f>
        <v>9.8226155739366821</v>
      </c>
      <c r="R15" s="3">
        <f>'BAU Scenario'!R15</f>
        <v>17.374783678707768</v>
      </c>
      <c r="S15" s="3">
        <f>'BAU Scenario'!S15</f>
        <v>1.4454598096161706</v>
      </c>
      <c r="T15" s="3">
        <f>'BAU Scenario'!T15</f>
        <v>216092.49426688298</v>
      </c>
      <c r="U15" s="3">
        <f>'BAU Scenario'!U15</f>
        <v>7.6619130301045413</v>
      </c>
      <c r="V15" s="3">
        <f>'BAU Scenario'!V15</f>
        <v>21.7791806272248</v>
      </c>
      <c r="W15" s="3">
        <f>$O15*'GREET factors'!I94/454/2000</f>
        <v>216957.61088211631</v>
      </c>
      <c r="X15" s="3">
        <f>('Combined MOVES output'!D9/454/2000-'BAU Scenario'!D15)*'GREET factors'!$V$1</f>
        <v>599507.94546673249</v>
      </c>
      <c r="Y15" s="266">
        <f>O15*M15*'GREET factors'!$J$3/454/2000</f>
        <v>156.09953442100348</v>
      </c>
      <c r="Z15" s="266">
        <f>O15*M15*'GREET factors'!K$3/454/2000</f>
        <v>16.295689831587183</v>
      </c>
      <c r="AA15" s="266"/>
      <c r="AB15" s="266"/>
      <c r="AC15" s="3">
        <f>T15-X15</f>
        <v>-383415.45119984949</v>
      </c>
      <c r="AD15" s="266">
        <f>P15-Y15</f>
        <v>-69.713688296576379</v>
      </c>
      <c r="AE15" s="266">
        <f>Q15-Z15</f>
        <v>-6.4730742576505005</v>
      </c>
      <c r="AF15" s="266"/>
      <c r="AG15" s="266"/>
      <c r="AH15">
        <v>2025</v>
      </c>
    </row>
    <row r="16" spans="1:34">
      <c r="C16" s="3"/>
      <c r="D16" s="3"/>
      <c r="E16" s="3"/>
      <c r="F16" s="3"/>
      <c r="G16" s="3"/>
      <c r="H16" s="3"/>
      <c r="L16" s="42"/>
      <c r="M16" s="42"/>
      <c r="O16" s="6"/>
    </row>
    <row r="17" spans="1:34">
      <c r="A17">
        <v>2026</v>
      </c>
      <c r="B17">
        <v>20</v>
      </c>
      <c r="C17" s="122"/>
      <c r="D17" s="3"/>
      <c r="E17" s="3"/>
      <c r="F17" s="3"/>
      <c r="G17" s="3"/>
      <c r="H17" s="3"/>
      <c r="I17" s="3"/>
      <c r="J17" s="3"/>
      <c r="L17" s="42"/>
      <c r="M17" s="42"/>
    </row>
    <row r="18" spans="1:34">
      <c r="A18">
        <v>2026</v>
      </c>
      <c r="B18">
        <v>30</v>
      </c>
      <c r="C18" s="3"/>
      <c r="D18" s="3"/>
      <c r="E18" s="3"/>
      <c r="F18" s="3"/>
      <c r="G18" s="3"/>
      <c r="H18" s="3"/>
      <c r="I18" s="3"/>
      <c r="J18" s="3"/>
      <c r="L18" s="42"/>
      <c r="M18" s="42"/>
      <c r="O18" t="s">
        <v>17</v>
      </c>
    </row>
    <row r="19" spans="1:34">
      <c r="A19">
        <v>2026</v>
      </c>
      <c r="B19">
        <v>41</v>
      </c>
      <c r="C19" s="3"/>
      <c r="D19" s="3"/>
      <c r="E19" s="3"/>
      <c r="F19" s="3"/>
      <c r="G19" s="3"/>
      <c r="H19" s="3"/>
      <c r="I19" s="3"/>
      <c r="J19" s="3"/>
      <c r="L19" s="42"/>
      <c r="M19" s="42"/>
      <c r="O19" t="s">
        <v>142</v>
      </c>
      <c r="P19" t="s">
        <v>8</v>
      </c>
      <c r="Q19" t="s">
        <v>10</v>
      </c>
      <c r="R19" t="s">
        <v>14</v>
      </c>
      <c r="S19" t="s">
        <v>15</v>
      </c>
      <c r="T19" t="s">
        <v>16</v>
      </c>
      <c r="U19" t="s">
        <v>115</v>
      </c>
      <c r="V19" t="s">
        <v>116</v>
      </c>
      <c r="W19" t="s">
        <v>47</v>
      </c>
      <c r="X19" t="s">
        <v>47</v>
      </c>
      <c r="Y19" t="s">
        <v>8</v>
      </c>
      <c r="Z19" t="s">
        <v>10</v>
      </c>
      <c r="AC19" s="33" t="s">
        <v>47</v>
      </c>
      <c r="AD19" t="s">
        <v>8</v>
      </c>
      <c r="AE19" t="s">
        <v>10</v>
      </c>
    </row>
    <row r="20" spans="1:34">
      <c r="A20">
        <v>2026</v>
      </c>
      <c r="B20" s="8" t="s">
        <v>109</v>
      </c>
      <c r="C20" s="3">
        <f>'BAU Scenario'!C20*(1-'ACC emissions benefits'!C10)</f>
        <v>15141.780922344893</v>
      </c>
      <c r="D20" s="3">
        <f>'BAU Scenario'!D20*(1-'ACC emissions benefits'!D10)</f>
        <v>46112751.825714618</v>
      </c>
      <c r="E20" s="3">
        <f>'Combined MOVES output'!E10*(1-'ACC emissions benefits'!E10)</f>
        <v>532097058.75099254</v>
      </c>
      <c r="F20" s="3">
        <f>'BAU Scenario'!F20*(1-'ACC emissions benefits'!F10)</f>
        <v>1333.4569874459453</v>
      </c>
      <c r="G20" s="3">
        <f>'BAU Scenario'!G20*(1-'ACC emissions benefits'!G10)</f>
        <v>21807.09457331428</v>
      </c>
      <c r="H20" s="3">
        <f>'BAU Scenario'!H20*(1-'ACC emissions benefits'!H10)</f>
        <v>630.57777805722935</v>
      </c>
      <c r="I20" s="3">
        <f>'BAU Scenario'!I20*(1-'ACC emissions benefits'!I10)</f>
        <v>3698.1295557229155</v>
      </c>
      <c r="J20" s="3">
        <f>D20+AC20</f>
        <v>45546376.563528232</v>
      </c>
      <c r="L20" s="42">
        <f>'Fleet ZEV fractions'!AM18</f>
        <v>4.4800380154087452E-2</v>
      </c>
      <c r="M20" s="42">
        <f>'ZEV efficiency'!L45</f>
        <v>4.5196833584062999</v>
      </c>
      <c r="O20" s="3">
        <f>E20*L20/M20</f>
        <v>5274296.5868568979</v>
      </c>
      <c r="P20" s="3">
        <f>$O20*'GREET factors'!B95/454/2000</f>
        <v>119.36724678280677</v>
      </c>
      <c r="Q20" s="3">
        <f>$O20*'GREET factors'!C95/454/2000</f>
        <v>13.572808855491392</v>
      </c>
      <c r="R20" s="3">
        <f>$O20*'GREET factors'!D95/454/2000</f>
        <v>24.008332200473049</v>
      </c>
      <c r="S20" s="3">
        <f>$O20*'GREET factors'!E95/454/2000</f>
        <v>1.9973243945606671</v>
      </c>
      <c r="T20" s="3">
        <f>$O20*'GREET factors'!F95/454/2000</f>
        <v>298594.81903915125</v>
      </c>
      <c r="U20" s="3">
        <f>$O20*'GREET factors'!G95/454/2000</f>
        <v>10.587167973970654</v>
      </c>
      <c r="V20" s="3">
        <f>$O20*'GREET factors'!H95/454/2000</f>
        <v>30.094291429555732</v>
      </c>
      <c r="W20" s="3">
        <f>$O20*'GREET factors'!I95/454/2000</f>
        <v>299790.23001374217</v>
      </c>
      <c r="X20" s="3">
        <f>('Combined MOVES output'!D10/454/2000-D20)*'GREET factors'!V1</f>
        <v>864970.08122553339</v>
      </c>
      <c r="Y20" s="266">
        <f>O20*M20*'GREET factors'!$J$3/454/2000</f>
        <v>236.85655457454698</v>
      </c>
      <c r="Z20" s="266">
        <f>O20*M20*'GREET factors'!K$3/454/2000</f>
        <v>24.726152850113081</v>
      </c>
      <c r="AA20" s="266"/>
      <c r="AB20" s="266"/>
      <c r="AC20" s="3">
        <f>T20-X20</f>
        <v>-566375.2621863822</v>
      </c>
      <c r="AD20" s="266">
        <f>P20-Y20</f>
        <v>-117.4893077917402</v>
      </c>
      <c r="AE20" s="266">
        <f>Q20-Z20</f>
        <v>-11.153343994621689</v>
      </c>
      <c r="AF20" s="266"/>
      <c r="AG20" s="266"/>
      <c r="AH20">
        <v>2026</v>
      </c>
    </row>
    <row r="21" spans="1:34">
      <c r="L21" s="42"/>
      <c r="M21" s="42"/>
    </row>
    <row r="22" spans="1:34">
      <c r="A22">
        <v>2027</v>
      </c>
      <c r="B22">
        <v>20</v>
      </c>
      <c r="C22" s="3"/>
      <c r="D22" s="3"/>
      <c r="E22" s="3"/>
      <c r="F22" s="3"/>
      <c r="G22" s="3"/>
      <c r="H22" s="3"/>
      <c r="I22" s="3"/>
      <c r="J22" s="3"/>
      <c r="L22" s="42"/>
      <c r="M22" s="42"/>
    </row>
    <row r="23" spans="1:34">
      <c r="A23">
        <v>2027</v>
      </c>
      <c r="B23">
        <v>30</v>
      </c>
      <c r="C23" s="3"/>
      <c r="D23" s="3"/>
      <c r="E23" s="3"/>
      <c r="F23" s="3"/>
      <c r="G23" s="3"/>
      <c r="H23" s="3"/>
      <c r="I23" s="3"/>
      <c r="J23" s="3"/>
      <c r="L23" s="42"/>
      <c r="M23" s="42"/>
      <c r="O23" t="s">
        <v>17</v>
      </c>
    </row>
    <row r="24" spans="1:34">
      <c r="A24">
        <v>2027</v>
      </c>
      <c r="B24">
        <v>41</v>
      </c>
      <c r="C24" s="3"/>
      <c r="D24" s="3"/>
      <c r="E24" s="3"/>
      <c r="F24" s="3"/>
      <c r="G24" s="3"/>
      <c r="H24" s="3"/>
      <c r="I24" s="3"/>
      <c r="J24" s="3"/>
      <c r="L24" s="42"/>
      <c r="M24" s="42"/>
      <c r="O24" t="s">
        <v>142</v>
      </c>
      <c r="P24" t="s">
        <v>8</v>
      </c>
      <c r="Q24" t="s">
        <v>10</v>
      </c>
      <c r="R24" t="s">
        <v>14</v>
      </c>
      <c r="S24" t="s">
        <v>15</v>
      </c>
      <c r="T24" t="s">
        <v>16</v>
      </c>
      <c r="U24" t="s">
        <v>115</v>
      </c>
      <c r="V24" t="s">
        <v>116</v>
      </c>
      <c r="W24" t="s">
        <v>47</v>
      </c>
      <c r="X24" t="s">
        <v>47</v>
      </c>
      <c r="Y24" t="s">
        <v>8</v>
      </c>
      <c r="Z24" t="s">
        <v>10</v>
      </c>
      <c r="AC24" s="33" t="s">
        <v>47</v>
      </c>
      <c r="AD24" t="s">
        <v>8</v>
      </c>
      <c r="AE24" t="s">
        <v>10</v>
      </c>
    </row>
    <row r="25" spans="1:34">
      <c r="A25">
        <v>2027</v>
      </c>
      <c r="B25" s="8" t="s">
        <v>109</v>
      </c>
      <c r="C25" s="3">
        <f>'BAU Scenario'!C25*(1-'ACC emissions benefits'!C11)</f>
        <v>13208.558476102042</v>
      </c>
      <c r="D25" s="3">
        <f>'BAU Scenario'!D25*(1-'ACC emissions benefits'!D11)</f>
        <v>43763131.943390854</v>
      </c>
      <c r="E25" s="3">
        <f>'Combined MOVES output'!E11*(1-'ACC emissions benefits'!E11)</f>
        <v>527143652.10915816</v>
      </c>
      <c r="F25" s="3">
        <f>'BAU Scenario'!F25*(1-'ACC emissions benefits'!F11)</f>
        <v>1279.5188552202592</v>
      </c>
      <c r="G25" s="3">
        <f>'BAU Scenario'!G25*(1-'ACC emissions benefits'!G11)</f>
        <v>20586.513502582173</v>
      </c>
      <c r="H25" s="3">
        <f>'BAU Scenario'!H25*(1-'ACC emissions benefits'!H11)</f>
        <v>608.12000717874616</v>
      </c>
      <c r="I25" s="3">
        <f>'BAU Scenario'!I25*(1-'ACC emissions benefits'!I11)</f>
        <v>3587.2371934265084</v>
      </c>
      <c r="J25" s="3">
        <f>D25+AC25</f>
        <v>42845388.542801015</v>
      </c>
      <c r="L25" s="42">
        <f>'Fleet ZEV fractions'!AM19</f>
        <v>6.3764789896004787E-2</v>
      </c>
      <c r="M25" s="42">
        <f>'ZEV efficiency'!L46</f>
        <v>4.4511142158008035</v>
      </c>
      <c r="O25" s="3">
        <f>E25*L25/M25</f>
        <v>7551638.2173324516</v>
      </c>
      <c r="P25" s="3">
        <f>$O25*'GREET factors'!B96/454/2000</f>
        <v>151.28245171925136</v>
      </c>
      <c r="Q25" s="3">
        <f>$O25*'GREET factors'!C96/454/2000</f>
        <v>17.201768958545312</v>
      </c>
      <c r="R25" s="3">
        <f>$O25*'GREET factors'!D96/454/2000</f>
        <v>30.427436795844375</v>
      </c>
      <c r="S25" s="3">
        <f>$O25*'GREET factors'!E96/454/2000</f>
        <v>2.5313487529589986</v>
      </c>
      <c r="T25" s="3">
        <f>$O25*'GREET factors'!F96/454/2000</f>
        <v>378430.07619252062</v>
      </c>
      <c r="U25" s="3">
        <f>$O25*'GREET factors'!G96/454/2000</f>
        <v>13.417857670622888</v>
      </c>
      <c r="V25" s="3">
        <f>$O25*'GREET factors'!H96/454/2000</f>
        <v>38.140598136612162</v>
      </c>
      <c r="W25" s="3">
        <f>$O25*'GREET factors'!I96/454/2000</f>
        <v>379945.10404079856</v>
      </c>
      <c r="X25" s="3">
        <f>('Combined MOVES output'!D11/454/2000-'ACC II - MY2026'!D25)*'GREET factors'!V1</f>
        <v>1296173.4767823564</v>
      </c>
      <c r="Y25" s="266">
        <f>O25*M25*'GREET factors'!$J$3/454/2000</f>
        <v>333.98177163657158</v>
      </c>
      <c r="Z25" s="266">
        <f>O25*M25*'GREET factors'!K$3/454/2000</f>
        <v>34.865340118921317</v>
      </c>
      <c r="AA25" s="266"/>
      <c r="AB25" s="266"/>
      <c r="AC25" s="3">
        <f>T25-X25</f>
        <v>-917743.40058983583</v>
      </c>
      <c r="AD25" s="266">
        <f>P25-Y25</f>
        <v>-182.69931991732022</v>
      </c>
      <c r="AE25" s="266">
        <f>Q25-Z25</f>
        <v>-17.663571160376005</v>
      </c>
      <c r="AF25" s="266"/>
      <c r="AG25" s="266"/>
      <c r="AH25">
        <v>2027</v>
      </c>
    </row>
    <row r="26" spans="1:34">
      <c r="L26" s="42"/>
      <c r="M26" s="42"/>
      <c r="X26" s="3"/>
      <c r="Y26" s="3"/>
      <c r="Z26" s="3"/>
      <c r="AA26" s="3"/>
      <c r="AB26" s="3"/>
    </row>
    <row r="27" spans="1:34">
      <c r="A27">
        <v>2028</v>
      </c>
      <c r="B27">
        <v>20</v>
      </c>
      <c r="C27" s="3"/>
      <c r="D27" s="3"/>
      <c r="E27" s="3"/>
      <c r="F27" s="3"/>
      <c r="G27" s="3"/>
      <c r="H27" s="3"/>
      <c r="I27" s="3"/>
      <c r="J27" s="3"/>
      <c r="L27" s="42"/>
      <c r="M27" s="42"/>
      <c r="X27" s="3"/>
      <c r="Y27" s="3"/>
      <c r="Z27" s="3"/>
      <c r="AA27" s="3"/>
      <c r="AB27" s="3"/>
    </row>
    <row r="28" spans="1:34">
      <c r="A28">
        <v>2028</v>
      </c>
      <c r="B28">
        <v>30</v>
      </c>
      <c r="C28" s="3"/>
      <c r="D28" s="3"/>
      <c r="E28" s="3"/>
      <c r="F28" s="3"/>
      <c r="G28" s="3"/>
      <c r="H28" s="3"/>
      <c r="I28" s="3"/>
      <c r="J28" s="3"/>
      <c r="L28" s="42"/>
      <c r="M28" s="42"/>
      <c r="O28" t="s">
        <v>17</v>
      </c>
      <c r="X28" s="3"/>
      <c r="Y28" s="3"/>
      <c r="Z28" s="3"/>
      <c r="AA28" s="3"/>
      <c r="AB28" s="3"/>
    </row>
    <row r="29" spans="1:34">
      <c r="A29">
        <v>2028</v>
      </c>
      <c r="B29">
        <v>41</v>
      </c>
      <c r="C29" s="3"/>
      <c r="D29" s="3"/>
      <c r="E29" s="3"/>
      <c r="F29" s="3"/>
      <c r="G29" s="3"/>
      <c r="H29" s="3"/>
      <c r="I29" s="3"/>
      <c r="J29" s="3"/>
      <c r="L29" s="42"/>
      <c r="M29" s="42"/>
      <c r="O29" t="s">
        <v>142</v>
      </c>
      <c r="P29" t="s">
        <v>8</v>
      </c>
      <c r="Q29" t="s">
        <v>10</v>
      </c>
      <c r="R29" t="s">
        <v>14</v>
      </c>
      <c r="S29" t="s">
        <v>15</v>
      </c>
      <c r="T29" t="s">
        <v>16</v>
      </c>
      <c r="U29" t="s">
        <v>115</v>
      </c>
      <c r="V29" t="s">
        <v>116</v>
      </c>
      <c r="W29" t="s">
        <v>47</v>
      </c>
      <c r="X29" t="s">
        <v>47</v>
      </c>
      <c r="Y29" t="s">
        <v>8</v>
      </c>
      <c r="Z29" t="s">
        <v>10</v>
      </c>
      <c r="AC29" s="33" t="s">
        <v>47</v>
      </c>
      <c r="AD29" t="s">
        <v>8</v>
      </c>
      <c r="AE29" t="s">
        <v>10</v>
      </c>
    </row>
    <row r="30" spans="1:34">
      <c r="A30">
        <v>2028</v>
      </c>
      <c r="B30" s="8" t="s">
        <v>109</v>
      </c>
      <c r="C30" s="3">
        <f>'BAU Scenario'!C30*(1-'ACC emissions benefits'!C12)</f>
        <v>11274.106034906958</v>
      </c>
      <c r="D30" s="3">
        <f>'BAU Scenario'!D30*(1-'ACC emissions benefits'!D12)</f>
        <v>41006853.491983458</v>
      </c>
      <c r="E30" s="3">
        <f>'Combined MOVES output'!E12*(1-'ACC emissions benefits'!E12)</f>
        <v>522190245.46732378</v>
      </c>
      <c r="F30" s="3">
        <f>'BAU Scenario'!F30*(1-'ACC emissions benefits'!F12)</f>
        <v>1222.9622622302327</v>
      </c>
      <c r="G30" s="3">
        <f>'BAU Scenario'!G30*(1-'ACC emissions benefits'!G12)</f>
        <v>19335.189434228698</v>
      </c>
      <c r="H30" s="3">
        <f>'BAU Scenario'!H30*(1-'ACC emissions benefits'!H12)</f>
        <v>579.87715279058284</v>
      </c>
      <c r="I30" s="3">
        <f>'BAU Scenario'!I30*(1-'ACC emissions benefits'!I12)</f>
        <v>3457.5922806513254</v>
      </c>
      <c r="J30" s="3">
        <f>D30+AC30</f>
        <v>39609961.01318796</v>
      </c>
      <c r="L30" s="42">
        <f>'Fleet ZEV fractions'!AM20</f>
        <v>8.6095437437911648E-2</v>
      </c>
      <c r="M30" s="42">
        <f>'ZEV efficiency'!L47</f>
        <v>4.3820263375286919</v>
      </c>
      <c r="O30" s="3">
        <f>E30*L30/M30</f>
        <v>10259682.198686769</v>
      </c>
      <c r="P30" s="3">
        <f>$O30*'GREET factors'!B97/454/2000</f>
        <v>178.86984514577972</v>
      </c>
      <c r="Q30" s="3">
        <f>$O30*'GREET factors'!C97/454/2000</f>
        <v>20.338629595708323</v>
      </c>
      <c r="R30" s="3">
        <f>$O30*'GREET factors'!D97/454/2000</f>
        <v>35.976088739994275</v>
      </c>
      <c r="S30" s="3">
        <f>$O30*'GREET factors'!E97/454/2000</f>
        <v>2.992957572448705</v>
      </c>
      <c r="T30" s="3">
        <f>$O30*'GREET factors'!F97/454/2000</f>
        <v>447439.3980121357</v>
      </c>
      <c r="U30" s="3">
        <f>$O30*'GREET factors'!G97/454/2000</f>
        <v>15.864696112847389</v>
      </c>
      <c r="V30" s="3">
        <f>$O30*'GREET factors'!H97/454/2000</f>
        <v>45.095797991982693</v>
      </c>
      <c r="W30" s="3">
        <f>$O30*'GREET factors'!I97/454/2000</f>
        <v>449230.70158722537</v>
      </c>
      <c r="X30" s="3">
        <f>('Combined MOVES output'!D12/454/2000-'ACC II - MY2026'!D30)*'GREET factors'!V1</f>
        <v>1844331.8768076317</v>
      </c>
      <c r="Y30" s="266">
        <f>O30*M30*'GREET factors'!$J$3/454/2000</f>
        <v>446.70595484111647</v>
      </c>
      <c r="Z30" s="266">
        <f>O30*M30*'GREET factors'!K$3/454/2000</f>
        <v>46.632949374347213</v>
      </c>
      <c r="AA30" s="266"/>
      <c r="AB30" s="266"/>
      <c r="AC30" s="3">
        <f>T30-X30</f>
        <v>-1396892.478795496</v>
      </c>
      <c r="AD30" s="266">
        <f>P30-Y30</f>
        <v>-267.83610969533675</v>
      </c>
      <c r="AE30" s="266">
        <f>Q30-Z30</f>
        <v>-26.29431977863889</v>
      </c>
      <c r="AF30" s="266"/>
      <c r="AG30" s="266"/>
      <c r="AH30">
        <v>2028</v>
      </c>
    </row>
    <row r="31" spans="1:34">
      <c r="L31" s="42"/>
      <c r="M31" s="42"/>
      <c r="X31" s="3"/>
      <c r="Y31" s="3"/>
      <c r="Z31" s="3"/>
      <c r="AA31" s="3"/>
      <c r="AB31" s="3"/>
    </row>
    <row r="32" spans="1:34">
      <c r="A32">
        <v>2029</v>
      </c>
      <c r="B32">
        <v>20</v>
      </c>
      <c r="C32" s="3"/>
      <c r="D32" s="3"/>
      <c r="E32" s="3"/>
      <c r="F32" s="3"/>
      <c r="G32" s="3"/>
      <c r="H32" s="3"/>
      <c r="I32" s="3"/>
      <c r="J32" s="3"/>
      <c r="L32" s="42"/>
      <c r="M32" s="42"/>
      <c r="X32" s="3"/>
      <c r="Y32" s="3"/>
      <c r="Z32" s="3"/>
      <c r="AA32" s="3"/>
      <c r="AB32" s="3"/>
    </row>
    <row r="33" spans="1:34">
      <c r="A33">
        <v>2029</v>
      </c>
      <c r="B33">
        <v>30</v>
      </c>
      <c r="C33" s="3"/>
      <c r="D33" s="3"/>
      <c r="E33" s="3"/>
      <c r="F33" s="3"/>
      <c r="G33" s="3"/>
      <c r="H33" s="3"/>
      <c r="I33" s="3"/>
      <c r="J33" s="3"/>
      <c r="L33" s="42"/>
      <c r="M33" s="42"/>
      <c r="O33" t="s">
        <v>17</v>
      </c>
      <c r="X33" s="3"/>
      <c r="Y33" s="3"/>
      <c r="Z33" s="3"/>
      <c r="AA33" s="3"/>
      <c r="AB33" s="3"/>
    </row>
    <row r="34" spans="1:34">
      <c r="A34">
        <v>2029</v>
      </c>
      <c r="B34">
        <v>41</v>
      </c>
      <c r="C34" s="3"/>
      <c r="D34" s="3"/>
      <c r="E34" s="3"/>
      <c r="F34" s="3"/>
      <c r="G34" s="3"/>
      <c r="H34" s="3"/>
      <c r="I34" s="3"/>
      <c r="J34" s="3"/>
      <c r="L34" s="42"/>
      <c r="M34" s="42"/>
      <c r="O34" t="s">
        <v>142</v>
      </c>
      <c r="P34" t="s">
        <v>8</v>
      </c>
      <c r="Q34" t="s">
        <v>10</v>
      </c>
      <c r="R34" t="s">
        <v>14</v>
      </c>
      <c r="S34" t="s">
        <v>15</v>
      </c>
      <c r="T34" t="s">
        <v>16</v>
      </c>
      <c r="U34" t="s">
        <v>115</v>
      </c>
      <c r="V34" t="s">
        <v>116</v>
      </c>
      <c r="W34" t="s">
        <v>47</v>
      </c>
      <c r="X34" t="s">
        <v>47</v>
      </c>
      <c r="Y34" t="s">
        <v>8</v>
      </c>
      <c r="Z34" t="s">
        <v>10</v>
      </c>
      <c r="AC34" s="33" t="s">
        <v>47</v>
      </c>
      <c r="AD34" t="s">
        <v>8</v>
      </c>
      <c r="AE34" t="s">
        <v>10</v>
      </c>
    </row>
    <row r="35" spans="1:34">
      <c r="A35">
        <v>2029</v>
      </c>
      <c r="B35" s="8" t="s">
        <v>109</v>
      </c>
      <c r="C35" s="3">
        <f>'BAU Scenario'!C35*(1-'ACC emissions benefits'!C13)</f>
        <v>9335.3579897470408</v>
      </c>
      <c r="D35" s="3">
        <f>'BAU Scenario'!D35*(1-'ACC emissions benefits'!D13)</f>
        <v>38025821.6936092</v>
      </c>
      <c r="E35" s="3">
        <f>'Combined MOVES output'!E13*(1-'ACC emissions benefits'!E13)</f>
        <v>517236838.8254894</v>
      </c>
      <c r="F35" s="3">
        <f>'BAU Scenario'!F35*(1-'ACC emissions benefits'!F13)</f>
        <v>1163.9647847895676</v>
      </c>
      <c r="G35" s="3">
        <f>'BAU Scenario'!G35*(1-'ACC emissions benefits'!G13)</f>
        <v>18030.224027460474</v>
      </c>
      <c r="H35" s="3">
        <f>'BAU Scenario'!H35*(1-'ACC emissions benefits'!H13)</f>
        <v>547.06744788816127</v>
      </c>
      <c r="I35" s="3">
        <f>'BAU Scenario'!I35*(1-'ACC emissions benefits'!I13)</f>
        <v>3306.805716696294</v>
      </c>
      <c r="J35" s="3">
        <f>D35+AC35</f>
        <v>36065957.926196001</v>
      </c>
      <c r="L35" s="42">
        <f>'Fleet ZEV fractions'!AM21</f>
        <v>0.11174221854282171</v>
      </c>
      <c r="M35" s="42">
        <f>'ZEV efficiency'!L48</f>
        <v>4.3133593585787438</v>
      </c>
      <c r="O35" s="3">
        <f>E35*L35/M35</f>
        <v>13399577.238442825</v>
      </c>
      <c r="P35" s="3">
        <f>$O35*'GREET factors'!B98/454/2000</f>
        <v>198.78852031459644</v>
      </c>
      <c r="Q35" s="3">
        <f>$O35*'GREET factors'!C98/454/2000</f>
        <v>22.603508597340056</v>
      </c>
      <c r="R35" s="3">
        <f>$O35*'GREET factors'!D98/454/2000</f>
        <v>39.982331518772561</v>
      </c>
      <c r="S35" s="3">
        <f>$O35*'GREET factors'!E98/454/2000</f>
        <v>3.326248796752437</v>
      </c>
      <c r="T35" s="3">
        <f>$O35*'GREET factors'!F98/454/2000</f>
        <v>497265.57200737222</v>
      </c>
      <c r="U35" s="3">
        <f>$O35*'GREET factors'!G98/454/2000</f>
        <v>17.631364654804539</v>
      </c>
      <c r="V35" s="3">
        <f>$O35*'GREET factors'!H98/454/2000</f>
        <v>50.117597786961014</v>
      </c>
      <c r="W35" s="3">
        <f>$O35*'GREET factors'!I98/454/2000</f>
        <v>499256.35243677377</v>
      </c>
      <c r="X35" s="3">
        <f>('Combined MOVES output'!D13/454/2000-'ACC II - MY2026'!D35)*'GREET factors'!V1</f>
        <v>2457129.3394205743</v>
      </c>
      <c r="Y35" s="266">
        <f>O35*M35*'GREET factors'!$J$3/454/2000</f>
        <v>574.27457415745619</v>
      </c>
      <c r="Z35" s="266">
        <f>O35*M35*'GREET factors'!K$3/454/2000</f>
        <v>59.95021300574458</v>
      </c>
      <c r="AA35" s="266"/>
      <c r="AB35" s="266"/>
      <c r="AC35" s="3">
        <f>T35-X35</f>
        <v>-1959863.767413202</v>
      </c>
      <c r="AD35" s="266">
        <f>P35-Y35</f>
        <v>-375.48605384285975</v>
      </c>
      <c r="AE35" s="266">
        <f>Q35-Z35</f>
        <v>-37.34670440840452</v>
      </c>
      <c r="AF35" s="266"/>
      <c r="AG35" s="266"/>
      <c r="AH35">
        <v>2029</v>
      </c>
    </row>
    <row r="36" spans="1:34">
      <c r="C36" s="3"/>
      <c r="D36" s="3"/>
      <c r="E36" s="3"/>
      <c r="F36" s="3"/>
      <c r="G36" s="3"/>
      <c r="H36" s="3"/>
      <c r="L36" s="42"/>
      <c r="M36" s="42"/>
    </row>
    <row r="37" spans="1:34">
      <c r="A37">
        <v>2030</v>
      </c>
      <c r="B37">
        <v>20</v>
      </c>
      <c r="C37" s="3"/>
      <c r="D37" s="3"/>
      <c r="E37" s="3"/>
      <c r="F37" s="3"/>
      <c r="G37" s="3"/>
      <c r="H37" s="3"/>
      <c r="I37" s="3"/>
      <c r="J37" s="3"/>
      <c r="L37" s="42"/>
      <c r="M37" s="42"/>
    </row>
    <row r="38" spans="1:34">
      <c r="A38">
        <v>2030</v>
      </c>
      <c r="B38">
        <v>30</v>
      </c>
      <c r="C38" s="3"/>
      <c r="D38" s="3"/>
      <c r="E38" s="3"/>
      <c r="F38" s="3"/>
      <c r="G38" s="3"/>
      <c r="H38" s="3"/>
      <c r="I38" s="3"/>
      <c r="J38" s="3"/>
      <c r="L38" s="42"/>
      <c r="M38" s="42"/>
      <c r="O38" t="s">
        <v>17</v>
      </c>
    </row>
    <row r="39" spans="1:34">
      <c r="A39">
        <v>2030</v>
      </c>
      <c r="B39">
        <v>41</v>
      </c>
      <c r="C39" s="3"/>
      <c r="D39" s="3"/>
      <c r="E39" s="3"/>
      <c r="F39" s="3"/>
      <c r="G39" s="3"/>
      <c r="H39" s="3"/>
      <c r="I39" s="3"/>
      <c r="J39" s="3"/>
      <c r="L39" s="42"/>
      <c r="M39" s="42"/>
      <c r="O39" t="s">
        <v>142</v>
      </c>
      <c r="P39" t="s">
        <v>8</v>
      </c>
      <c r="Q39" t="s">
        <v>10</v>
      </c>
      <c r="R39" t="s">
        <v>14</v>
      </c>
      <c r="S39" t="s">
        <v>15</v>
      </c>
      <c r="T39" t="s">
        <v>16</v>
      </c>
      <c r="U39" t="s">
        <v>115</v>
      </c>
      <c r="V39" t="s">
        <v>116</v>
      </c>
      <c r="W39" t="s">
        <v>47</v>
      </c>
      <c r="X39" t="s">
        <v>47</v>
      </c>
      <c r="Y39" t="s">
        <v>8</v>
      </c>
      <c r="Z39" t="s">
        <v>10</v>
      </c>
      <c r="AC39" s="33" t="s">
        <v>47</v>
      </c>
      <c r="AD39" t="s">
        <v>8</v>
      </c>
      <c r="AE39" t="s">
        <v>10</v>
      </c>
    </row>
    <row r="40" spans="1:34">
      <c r="A40">
        <v>2030</v>
      </c>
      <c r="B40" s="8" t="s">
        <v>109</v>
      </c>
      <c r="C40" s="3">
        <f>'BAU Scenario'!C40*(1-'ACC emissions benefits'!C14)</f>
        <v>7422.1715043810727</v>
      </c>
      <c r="D40" s="3">
        <f>'BAU Scenario'!D40*(1-'ACC emissions benefits'!D14)</f>
        <v>34948046.878297649</v>
      </c>
      <c r="E40" s="3">
        <f>'Combined MOVES output'!E14*(1-'ACC emissions benefits'!E14)</f>
        <v>512283432.18365502</v>
      </c>
      <c r="F40" s="3">
        <f>'BAU Scenario'!F40*(1-'ACC emissions benefits'!F14)</f>
        <v>1098.373940085384</v>
      </c>
      <c r="G40" s="3">
        <f>'BAU Scenario'!G40*(1-'ACC emissions benefits'!G14)</f>
        <v>16695.033373676346</v>
      </c>
      <c r="H40" s="3">
        <f>'BAU Scenario'!H40*(1-'ACC emissions benefits'!H14)</f>
        <v>512.48939121665933</v>
      </c>
      <c r="I40" s="3">
        <f>'BAU Scenario'!I40*(1-'ACC emissions benefits'!I14)</f>
        <v>3139.6093854276978</v>
      </c>
      <c r="J40" s="3">
        <f>D40+AC40</f>
        <v>32371522.44725835</v>
      </c>
      <c r="L40" s="42">
        <f>'Fleet ZEV fractions'!AM22</f>
        <v>0.14110311552256255</v>
      </c>
      <c r="M40" s="42">
        <f>'ZEV efficiency'!L49</f>
        <v>4.2450182265177867</v>
      </c>
      <c r="O40" s="3">
        <f>E40*L40/M40</f>
        <v>17028145.570767254</v>
      </c>
      <c r="P40" s="3">
        <f>$O40*'GREET factors'!B99/454/2000</f>
        <v>208.3668849483719</v>
      </c>
      <c r="Q40" s="3">
        <f>$O40*'GREET factors'!C99/454/2000</f>
        <v>23.692629070722372</v>
      </c>
      <c r="R40" s="3">
        <f>$O40*'GREET factors'!D99/454/2000</f>
        <v>41.908827825446757</v>
      </c>
      <c r="S40" s="3">
        <f>$O40*'GREET factors'!E99/454/2000</f>
        <v>3.4865197409072155</v>
      </c>
      <c r="T40" s="3">
        <f>$O40*'GREET factors'!F99/454/2000</f>
        <v>521225.66266538302</v>
      </c>
      <c r="U40" s="3">
        <f>$O40*'GREET factors'!G99/454/2000</f>
        <v>18.480908880937495</v>
      </c>
      <c r="V40" s="3">
        <f>$O40*'GREET factors'!H99/454/2000</f>
        <v>52.532448631530443</v>
      </c>
      <c r="W40" s="3">
        <f>$O40*'GREET factors'!I99/454/2000</f>
        <v>523312.36624380952</v>
      </c>
      <c r="X40" s="3">
        <f>('Combined MOVES output'!D14/454/2000-D40)*'GREET factors'!V1</f>
        <v>3097750.0937046828</v>
      </c>
      <c r="Y40" s="266">
        <f>O40*M40*'GREET factors'!$J$3/454/2000</f>
        <v>718.22375229238662</v>
      </c>
      <c r="Z40" s="266">
        <f>O40*M40*'GREET factors'!K$3/454/2000</f>
        <v>74.977491383604345</v>
      </c>
      <c r="AA40" s="266"/>
      <c r="AB40" s="266"/>
      <c r="AC40" s="3">
        <f>T40-X40</f>
        <v>-2576524.4310392998</v>
      </c>
      <c r="AD40" s="266">
        <f>P40-Y40</f>
        <v>-509.85686734401474</v>
      </c>
      <c r="AE40" s="266">
        <f>Q40-Z40</f>
        <v>-51.28486231288197</v>
      </c>
      <c r="AF40" s="266"/>
      <c r="AG40" s="266"/>
      <c r="AH40">
        <v>2030</v>
      </c>
    </row>
    <row r="41" spans="1:34">
      <c r="A41" s="6"/>
      <c r="C41" s="3"/>
      <c r="D41" s="3"/>
      <c r="E41" s="3"/>
      <c r="F41" s="3"/>
      <c r="G41" s="3"/>
      <c r="H41" s="3"/>
      <c r="L41" s="42"/>
      <c r="M41" s="42"/>
      <c r="AH41" s="6"/>
    </row>
    <row r="42" spans="1:34">
      <c r="A42">
        <v>2031</v>
      </c>
      <c r="B42">
        <v>20</v>
      </c>
      <c r="C42" s="3"/>
      <c r="D42" s="3"/>
      <c r="E42" s="3"/>
      <c r="F42" s="3"/>
      <c r="G42" s="3"/>
      <c r="H42" s="3"/>
      <c r="I42" s="3"/>
      <c r="J42" s="3"/>
      <c r="L42" s="42"/>
      <c r="M42" s="42"/>
    </row>
    <row r="43" spans="1:34">
      <c r="A43">
        <v>2031</v>
      </c>
      <c r="B43">
        <v>30</v>
      </c>
      <c r="C43" s="3"/>
      <c r="D43" s="3"/>
      <c r="E43" s="3"/>
      <c r="F43" s="3"/>
      <c r="G43" s="3"/>
      <c r="H43" s="3"/>
      <c r="I43" s="3"/>
      <c r="J43" s="3"/>
      <c r="L43" s="42"/>
      <c r="M43" s="42"/>
      <c r="O43" t="s">
        <v>17</v>
      </c>
    </row>
    <row r="44" spans="1:34">
      <c r="A44">
        <v>2031</v>
      </c>
      <c r="B44">
        <v>41</v>
      </c>
      <c r="C44" s="3"/>
      <c r="D44" s="3"/>
      <c r="E44" s="3"/>
      <c r="F44" s="3"/>
      <c r="G44" s="3"/>
      <c r="H44" s="3"/>
      <c r="I44" s="3"/>
      <c r="J44" s="3"/>
      <c r="L44" s="42"/>
      <c r="M44" s="42"/>
      <c r="O44" t="s">
        <v>142</v>
      </c>
      <c r="P44" t="s">
        <v>8</v>
      </c>
      <c r="Q44" t="s">
        <v>10</v>
      </c>
      <c r="R44" t="s">
        <v>14</v>
      </c>
      <c r="S44" t="s">
        <v>15</v>
      </c>
      <c r="T44" t="s">
        <v>16</v>
      </c>
      <c r="U44" t="s">
        <v>115</v>
      </c>
      <c r="V44" t="s">
        <v>116</v>
      </c>
      <c r="W44" t="s">
        <v>47</v>
      </c>
      <c r="X44" t="s">
        <v>47</v>
      </c>
      <c r="Y44" t="s">
        <v>8</v>
      </c>
      <c r="Z44" t="s">
        <v>10</v>
      </c>
      <c r="AC44" s="33" t="s">
        <v>47</v>
      </c>
      <c r="AD44" t="s">
        <v>8</v>
      </c>
      <c r="AE44" t="s">
        <v>10</v>
      </c>
    </row>
    <row r="45" spans="1:34">
      <c r="A45">
        <v>2031</v>
      </c>
      <c r="B45" s="8" t="s">
        <v>109</v>
      </c>
      <c r="C45" s="3">
        <f>'BAU Scenario'!C45*(1-'ACC emissions benefits'!C15)</f>
        <v>6681.1837586430229</v>
      </c>
      <c r="D45" s="3">
        <f>'BAU Scenario'!D45*(1-'ACC emissions benefits'!D15)</f>
        <v>32222256.527128138</v>
      </c>
      <c r="E45" s="3">
        <f>'Combined MOVES output'!E15*(1-'ACC emissions benefits'!E15)</f>
        <v>510209663.98495835</v>
      </c>
      <c r="F45" s="3">
        <f>'BAU Scenario'!F45*(1-'ACC emissions benefits'!F15)</f>
        <v>1067.8651632659269</v>
      </c>
      <c r="G45" s="3">
        <f>'BAU Scenario'!G45*(1-'ACC emissions benefits'!G15)</f>
        <v>16227.977094382779</v>
      </c>
      <c r="H45" s="3">
        <f>'BAU Scenario'!H45*(1-'ACC emissions benefits'!H15)</f>
        <v>477.18043719774994</v>
      </c>
      <c r="I45" s="3">
        <f>'BAU Scenario'!I45*(1-'ACC emissions benefits'!I15)</f>
        <v>2974.6795586033072</v>
      </c>
      <c r="J45" s="3">
        <f>D45+AC45</f>
        <v>29049972.340327047</v>
      </c>
      <c r="L45" s="42">
        <f>'Fleet ZEV fractions'!AM23</f>
        <v>0.18266426621422699</v>
      </c>
      <c r="M45" s="42">
        <f>'ZEV efficiency'!L50</f>
        <v>4.2065593236946501</v>
      </c>
      <c r="O45" s="3">
        <f>E45*L45/M45</f>
        <v>22155178.785251051</v>
      </c>
      <c r="P45" s="3">
        <f>$O45*'GREET factors'!B100/454/2000</f>
        <v>260.25393910304962</v>
      </c>
      <c r="Q45" s="3">
        <f>$O45*'GREET factors'!C100/454/2000</f>
        <v>29.592514400216359</v>
      </c>
      <c r="R45" s="3">
        <f>$O45*'GREET factors'!D100/454/2000</f>
        <v>52.344870095199994</v>
      </c>
      <c r="S45" s="3">
        <f>$O45*'GREET factors'!E100/454/2000</f>
        <v>4.3547250637090089</v>
      </c>
      <c r="T45" s="3">
        <f>$O45*'GREET factors'!F100/454/2000</f>
        <v>651020.10765229876</v>
      </c>
      <c r="U45" s="3">
        <f>$O45*'GREET factors'!G100/454/2000</f>
        <v>23.082983342867774</v>
      </c>
      <c r="V45" s="3">
        <f>$O45*'GREET factors'!H100/454/2000</f>
        <v>65.613961117055283</v>
      </c>
      <c r="W45" s="3">
        <f>$O45*'GREET factors'!I100/454/2000</f>
        <v>653626.43747366418</v>
      </c>
      <c r="X45" s="3">
        <f>('Combined MOVES output'!D15/454/2000-'ACC II - MY2026'!D45)*'GREET factors'!V1</f>
        <v>3823304.2944533899</v>
      </c>
      <c r="Y45" s="266">
        <f>O45*M45*'GREET factors'!$J$3/454/2000</f>
        <v>926.00882804426385</v>
      </c>
      <c r="Z45" s="266">
        <f>O45*M45*'GREET factors'!K$3/454/2000</f>
        <v>96.668786996013608</v>
      </c>
      <c r="AA45" s="266"/>
      <c r="AB45" s="266"/>
      <c r="AC45" s="3">
        <f>T45-X45</f>
        <v>-3172284.1868010913</v>
      </c>
      <c r="AD45" s="266">
        <f>P45-Y45</f>
        <v>-665.75488894121418</v>
      </c>
      <c r="AE45" s="266">
        <f>Q45-Z45</f>
        <v>-67.076272595797249</v>
      </c>
      <c r="AF45" s="266"/>
      <c r="AG45" s="266"/>
      <c r="AH45">
        <v>2031</v>
      </c>
    </row>
    <row r="46" spans="1:34">
      <c r="L46" s="42"/>
      <c r="M46" s="42"/>
    </row>
    <row r="47" spans="1:34">
      <c r="A47">
        <v>2032</v>
      </c>
      <c r="B47">
        <v>20</v>
      </c>
      <c r="C47" s="3"/>
      <c r="D47" s="3"/>
      <c r="E47" s="3"/>
      <c r="F47" s="3"/>
      <c r="G47" s="3"/>
      <c r="H47" s="3"/>
      <c r="I47" s="3"/>
      <c r="J47" s="3"/>
      <c r="L47" s="42"/>
      <c r="M47" s="42"/>
    </row>
    <row r="48" spans="1:34">
      <c r="A48">
        <v>2032</v>
      </c>
      <c r="B48">
        <v>30</v>
      </c>
      <c r="C48" s="3"/>
      <c r="D48" s="3"/>
      <c r="E48" s="3"/>
      <c r="F48" s="3"/>
      <c r="G48" s="3"/>
      <c r="H48" s="3"/>
      <c r="I48" s="3"/>
      <c r="J48" s="3"/>
      <c r="L48" s="42"/>
      <c r="M48" s="42"/>
      <c r="O48" t="s">
        <v>17</v>
      </c>
    </row>
    <row r="49" spans="1:34">
      <c r="A49">
        <v>2032</v>
      </c>
      <c r="B49">
        <v>41</v>
      </c>
      <c r="C49" s="3"/>
      <c r="D49" s="3"/>
      <c r="E49" s="3"/>
      <c r="F49" s="3"/>
      <c r="G49" s="3"/>
      <c r="H49" s="3"/>
      <c r="I49" s="3"/>
      <c r="J49" s="3"/>
      <c r="L49" s="42"/>
      <c r="M49" s="42"/>
      <c r="O49" t="s">
        <v>142</v>
      </c>
      <c r="P49" t="s">
        <v>8</v>
      </c>
      <c r="Q49" t="s">
        <v>10</v>
      </c>
      <c r="R49" t="s">
        <v>14</v>
      </c>
      <c r="S49" t="s">
        <v>15</v>
      </c>
      <c r="T49" t="s">
        <v>16</v>
      </c>
      <c r="U49" t="s">
        <v>115</v>
      </c>
      <c r="V49" t="s">
        <v>116</v>
      </c>
      <c r="W49" t="s">
        <v>47</v>
      </c>
      <c r="X49" t="s">
        <v>47</v>
      </c>
      <c r="Y49" t="s">
        <v>8</v>
      </c>
      <c r="Z49" t="s">
        <v>10</v>
      </c>
      <c r="AC49" s="33" t="s">
        <v>47</v>
      </c>
      <c r="AD49" t="s">
        <v>8</v>
      </c>
      <c r="AE49" t="s">
        <v>10</v>
      </c>
    </row>
    <row r="50" spans="1:34">
      <c r="A50">
        <v>2032</v>
      </c>
      <c r="B50" s="8" t="s">
        <v>109</v>
      </c>
      <c r="C50" s="3">
        <f>'BAU Scenario'!C50*(1-'ACC emissions benefits'!C16)</f>
        <v>5941.0745752251669</v>
      </c>
      <c r="D50" s="3">
        <f>'BAU Scenario'!D50*(1-'ACC emissions benefits'!D16)</f>
        <v>29440005.842486948</v>
      </c>
      <c r="E50" s="3">
        <f>'Combined MOVES output'!E16*(1-'ACC emissions benefits'!E16)</f>
        <v>508135895.78626168</v>
      </c>
      <c r="F50" s="3">
        <f>'BAU Scenario'!F50*(1-'ACC emissions benefits'!F16)</f>
        <v>1031.5417425261983</v>
      </c>
      <c r="G50" s="3">
        <f>'BAU Scenario'!G50*(1-'ACC emissions benefits'!G16)</f>
        <v>15735.216447561294</v>
      </c>
      <c r="H50" s="3">
        <f>'BAU Scenario'!H50*(1-'ACC emissions benefits'!H16)</f>
        <v>442.10954467517263</v>
      </c>
      <c r="I50" s="3">
        <f>'BAU Scenario'!I50*(1-'ACC emissions benefits'!I16)</f>
        <v>2805.2546448860121</v>
      </c>
      <c r="J50" s="3">
        <f>D50+AC50</f>
        <v>25655586.076623127</v>
      </c>
      <c r="L50" s="42">
        <f>'Fleet ZEV fractions'!AM24</f>
        <v>0.22742229395660887</v>
      </c>
      <c r="M50" s="42">
        <f>'ZEV efficiency'!L51</f>
        <v>4.1683672854151466</v>
      </c>
      <c r="O50" s="3">
        <f>E50*L50/M50</f>
        <v>27723428.179121859</v>
      </c>
      <c r="P50" s="3">
        <f>$O50*'GREET factors'!B101/454/2000</f>
        <v>312.08589332621369</v>
      </c>
      <c r="Q50" s="3">
        <f>$O50*'GREET factors'!C101/454/2000</f>
        <v>35.486134519960267</v>
      </c>
      <c r="R50" s="3">
        <f>$O50*'GREET factors'!D101/454/2000</f>
        <v>62.769830116717998</v>
      </c>
      <c r="S50" s="3">
        <f>$O50*'GREET factors'!E101/454/2000</f>
        <v>5.2220084213962776</v>
      </c>
      <c r="T50" s="3">
        <f>$O50*'GREET factors'!F101/454/2000</f>
        <v>780676.72124473413</v>
      </c>
      <c r="U50" s="3">
        <f>$O50*'GREET factors'!G101/454/2000</f>
        <v>27.680170767138971</v>
      </c>
      <c r="V50" s="3">
        <f>$O50*'GREET factors'!H101/454/2000</f>
        <v>78.681582075034569</v>
      </c>
      <c r="W50" s="3">
        <f>$O50*'GREET factors'!I101/454/2000</f>
        <v>783802.12550722831</v>
      </c>
      <c r="X50" s="3">
        <f>('Combined MOVES output'!D16/454/2000-'ACC II - MY2026'!D50)*'GREET factors'!V1</f>
        <v>4565096.4871085547</v>
      </c>
      <c r="Y50" s="266">
        <f>O50*M50*'GREET factors'!$J$3/454/2000</f>
        <v>1148.2217292979515</v>
      </c>
      <c r="Z50" s="266">
        <f>O50*M50*'GREET factors'!K$3/454/2000</f>
        <v>119.86624577664641</v>
      </c>
      <c r="AA50" s="266"/>
      <c r="AB50" s="266"/>
      <c r="AC50" s="3">
        <f>T50-X50</f>
        <v>-3784419.7658638204</v>
      </c>
      <c r="AD50" s="266">
        <f>P50-Y50</f>
        <v>-836.13583597173783</v>
      </c>
      <c r="AE50" s="266">
        <f>Q50-Z50</f>
        <v>-84.380111256686149</v>
      </c>
      <c r="AF50" s="266"/>
      <c r="AG50" s="266"/>
      <c r="AH50">
        <v>2032</v>
      </c>
    </row>
    <row r="51" spans="1:34">
      <c r="A51" s="6"/>
      <c r="C51" s="3"/>
      <c r="D51" s="3"/>
      <c r="E51" s="3"/>
      <c r="F51" s="3"/>
      <c r="G51" s="3"/>
      <c r="H51" s="3"/>
      <c r="L51" s="42"/>
      <c r="M51" s="42"/>
      <c r="X51" s="3"/>
      <c r="Y51" s="3"/>
      <c r="Z51" s="3"/>
      <c r="AA51" s="3"/>
      <c r="AB51" s="3"/>
      <c r="AH51" s="6"/>
    </row>
    <row r="52" spans="1:34">
      <c r="A52">
        <v>2033</v>
      </c>
      <c r="B52">
        <v>20</v>
      </c>
      <c r="C52" s="3"/>
      <c r="D52" s="3"/>
      <c r="E52" s="3"/>
      <c r="F52" s="3"/>
      <c r="G52" s="3"/>
      <c r="H52" s="3"/>
      <c r="I52" s="3"/>
      <c r="J52" s="3"/>
      <c r="L52" s="42"/>
      <c r="M52" s="42"/>
      <c r="X52" s="3"/>
      <c r="Y52" s="3"/>
      <c r="Z52" s="3"/>
      <c r="AA52" s="3"/>
      <c r="AB52" s="3"/>
    </row>
    <row r="53" spans="1:34">
      <c r="A53">
        <v>2033</v>
      </c>
      <c r="B53">
        <v>30</v>
      </c>
      <c r="C53" s="3"/>
      <c r="D53" s="3"/>
      <c r="E53" s="3"/>
      <c r="F53" s="3"/>
      <c r="G53" s="3"/>
      <c r="H53" s="3"/>
      <c r="I53" s="3"/>
      <c r="J53" s="3"/>
      <c r="L53" s="42"/>
      <c r="M53" s="42"/>
      <c r="O53" t="s">
        <v>17</v>
      </c>
      <c r="X53" s="3"/>
      <c r="Y53" s="3"/>
      <c r="Z53" s="3"/>
      <c r="AA53" s="3"/>
      <c r="AB53" s="3"/>
    </row>
    <row r="54" spans="1:34">
      <c r="A54">
        <v>2033</v>
      </c>
      <c r="B54">
        <v>41</v>
      </c>
      <c r="C54" s="3"/>
      <c r="D54" s="3"/>
      <c r="E54" s="3"/>
      <c r="F54" s="3"/>
      <c r="G54" s="3"/>
      <c r="H54" s="3"/>
      <c r="I54" s="3"/>
      <c r="J54" s="3"/>
      <c r="L54" s="42"/>
      <c r="M54" s="42"/>
      <c r="O54" t="s">
        <v>142</v>
      </c>
      <c r="P54" t="s">
        <v>8</v>
      </c>
      <c r="Q54" t="s">
        <v>10</v>
      </c>
      <c r="R54" t="s">
        <v>14</v>
      </c>
      <c r="S54" t="s">
        <v>15</v>
      </c>
      <c r="T54" t="s">
        <v>16</v>
      </c>
      <c r="U54" t="s">
        <v>115</v>
      </c>
      <c r="V54" t="s">
        <v>116</v>
      </c>
      <c r="W54" t="s">
        <v>47</v>
      </c>
      <c r="X54" t="s">
        <v>47</v>
      </c>
      <c r="Y54" t="s">
        <v>8</v>
      </c>
      <c r="Z54" t="s">
        <v>10</v>
      </c>
      <c r="AC54" s="33" t="s">
        <v>47</v>
      </c>
      <c r="AD54" t="s">
        <v>8</v>
      </c>
      <c r="AE54" t="s">
        <v>10</v>
      </c>
    </row>
    <row r="55" spans="1:34">
      <c r="A55">
        <v>2033</v>
      </c>
      <c r="B55" s="8" t="s">
        <v>109</v>
      </c>
      <c r="C55" s="3">
        <f>'BAU Scenario'!C55*(1-'ACC emissions benefits'!C17)</f>
        <v>5214.6714681827334</v>
      </c>
      <c r="D55" s="3">
        <f>'BAU Scenario'!D55*(1-'ACC emissions benefits'!D17)</f>
        <v>26708393.099684093</v>
      </c>
      <c r="E55" s="3">
        <f>'Combined MOVES output'!E17*(1-'ACC emissions benefits'!E17)</f>
        <v>506062127.587565</v>
      </c>
      <c r="F55" s="3">
        <f>'BAU Scenario'!F55*(1-'ACC emissions benefits'!F17)</f>
        <v>994.49290008926766</v>
      </c>
      <c r="G55" s="3">
        <f>'BAU Scenario'!G55*(1-'ACC emissions benefits'!G17)</f>
        <v>15224.082648877225</v>
      </c>
      <c r="H55" s="3">
        <f>'BAU Scenario'!H55*(1-'ACC emissions benefits'!H17)</f>
        <v>408.34119724481229</v>
      </c>
      <c r="I55" s="3">
        <f>'BAU Scenario'!I55*(1-'ACC emissions benefits'!I17)</f>
        <v>2635.8182908326494</v>
      </c>
      <c r="J55" s="3">
        <f>D55+AC55</f>
        <v>22324813.875962906</v>
      </c>
      <c r="L55" s="42">
        <f>'Fleet ZEV fractions'!AM25</f>
        <v>0.27537681925336449</v>
      </c>
      <c r="M55" s="42">
        <f>'ZEV efficiency'!L52</f>
        <v>4.1304310049999096</v>
      </c>
      <c r="O55" s="3">
        <f>E55*L55/M55</f>
        <v>33739282.624733493</v>
      </c>
      <c r="P55" s="3">
        <f>$O55*'GREET factors'!B102/454/2000</f>
        <v>363.28328294667432</v>
      </c>
      <c r="Q55" s="3">
        <f>$O55*'GREET factors'!C102/454/2000</f>
        <v>41.30760064192765</v>
      </c>
      <c r="R55" s="3">
        <f>$O55*'GREET factors'!D102/454/2000</f>
        <v>73.067160171096987</v>
      </c>
      <c r="S55" s="3">
        <f>$O55*'GREET factors'!E102/454/2000</f>
        <v>6.0786738634068067</v>
      </c>
      <c r="T55" s="3">
        <f>$O55*'GREET factors'!F102/454/2000</f>
        <v>908745.98396982776</v>
      </c>
      <c r="U55" s="3">
        <f>$O55*'GREET factors'!G102/454/2000</f>
        <v>32.221076068631703</v>
      </c>
      <c r="V55" s="3">
        <f>$O55*'GREET factors'!H102/454/2000</f>
        <v>91.589219682477292</v>
      </c>
      <c r="W55" s="3">
        <f>$O55*'GREET factors'!I102/454/2000</f>
        <v>912384.10778540035</v>
      </c>
      <c r="X55" s="3">
        <f>('Combined MOVES output'!D17/454/2000-'ACC II - MY2026'!D55)*'GREET factors'!V1</f>
        <v>5292325.2076910138</v>
      </c>
      <c r="Y55" s="266">
        <f>O55*M55*'GREET factors'!$J$3/454/2000</f>
        <v>1384.6629326959783</v>
      </c>
      <c r="Z55" s="266">
        <f>O55*M55*'GREET factors'!K$3/454/2000</f>
        <v>144.54903889497771</v>
      </c>
      <c r="AA55" s="266"/>
      <c r="AB55" s="266"/>
      <c r="AC55" s="3">
        <f>T55-X55</f>
        <v>-4383579.2237211857</v>
      </c>
      <c r="AD55" s="266">
        <f>P55-Y55</f>
        <v>-1021.379649749304</v>
      </c>
      <c r="AE55" s="266">
        <f>Q55-Z55</f>
        <v>-103.24143825305006</v>
      </c>
      <c r="AF55" s="266"/>
      <c r="AG55" s="266"/>
      <c r="AH55">
        <v>2033</v>
      </c>
    </row>
    <row r="56" spans="1:34">
      <c r="L56" s="42"/>
      <c r="M56" s="42"/>
      <c r="X56" s="3"/>
      <c r="Y56" s="3"/>
      <c r="Z56" s="3"/>
      <c r="AA56" s="3"/>
      <c r="AB56" s="3"/>
    </row>
    <row r="57" spans="1:34">
      <c r="A57">
        <v>2034</v>
      </c>
      <c r="B57">
        <v>20</v>
      </c>
      <c r="C57" s="3"/>
      <c r="D57" s="3"/>
      <c r="E57" s="3"/>
      <c r="F57" s="3"/>
      <c r="G57" s="3"/>
      <c r="H57" s="3"/>
      <c r="I57" s="3"/>
      <c r="J57" s="3"/>
      <c r="L57" s="42"/>
      <c r="M57" s="42"/>
      <c r="X57" s="3"/>
      <c r="Y57" s="3"/>
      <c r="Z57" s="3"/>
      <c r="AA57" s="3"/>
      <c r="AB57" s="3"/>
    </row>
    <row r="58" spans="1:34">
      <c r="A58">
        <v>2034</v>
      </c>
      <c r="B58">
        <v>30</v>
      </c>
      <c r="C58" s="3"/>
      <c r="D58" s="3"/>
      <c r="E58" s="3"/>
      <c r="F58" s="3"/>
      <c r="G58" s="3"/>
      <c r="H58" s="3"/>
      <c r="I58" s="3"/>
      <c r="J58" s="3"/>
      <c r="L58" s="42"/>
      <c r="M58" s="42"/>
      <c r="O58" t="s">
        <v>17</v>
      </c>
      <c r="X58" s="3"/>
      <c r="Y58" s="3"/>
      <c r="Z58" s="3"/>
      <c r="AA58" s="3"/>
      <c r="AB58" s="3"/>
    </row>
    <row r="59" spans="1:34">
      <c r="A59">
        <v>2034</v>
      </c>
      <c r="B59">
        <v>41</v>
      </c>
      <c r="C59" s="3"/>
      <c r="D59" s="3"/>
      <c r="E59" s="3"/>
      <c r="F59" s="3"/>
      <c r="G59" s="3"/>
      <c r="H59" s="3"/>
      <c r="I59" s="3"/>
      <c r="J59" s="3"/>
      <c r="L59" s="42"/>
      <c r="M59" s="42"/>
      <c r="O59" t="s">
        <v>142</v>
      </c>
      <c r="P59" t="s">
        <v>8</v>
      </c>
      <c r="Q59" t="s">
        <v>10</v>
      </c>
      <c r="R59" t="s">
        <v>14</v>
      </c>
      <c r="S59" t="s">
        <v>15</v>
      </c>
      <c r="T59" t="s">
        <v>16</v>
      </c>
      <c r="U59" t="s">
        <v>115</v>
      </c>
      <c r="V59" t="s">
        <v>116</v>
      </c>
      <c r="W59" t="s">
        <v>47</v>
      </c>
      <c r="X59" t="s">
        <v>47</v>
      </c>
      <c r="Y59" t="s">
        <v>8</v>
      </c>
      <c r="Z59" t="s">
        <v>10</v>
      </c>
      <c r="AC59" s="33" t="s">
        <v>47</v>
      </c>
      <c r="AD59" t="s">
        <v>8</v>
      </c>
      <c r="AE59" t="s">
        <v>10</v>
      </c>
    </row>
    <row r="60" spans="1:34">
      <c r="A60">
        <v>2034</v>
      </c>
      <c r="B60" s="8" t="s">
        <v>109</v>
      </c>
      <c r="C60" s="3">
        <f>'BAU Scenario'!C60*(1-'ACC emissions benefits'!C18)</f>
        <v>4507.2266287348175</v>
      </c>
      <c r="D60" s="3">
        <f>'BAU Scenario'!D60*(1-'ACC emissions benefits'!D18)</f>
        <v>23934361.231508672</v>
      </c>
      <c r="E60" s="3">
        <f>'Combined MOVES output'!E18*(1-'ACC emissions benefits'!E18)</f>
        <v>503988359.38886833</v>
      </c>
      <c r="F60" s="3">
        <f>'BAU Scenario'!F60*(1-'ACC emissions benefits'!F18)</f>
        <v>957.16681964537372</v>
      </c>
      <c r="G60" s="3">
        <f>'BAU Scenario'!G60*(1-'ACC emissions benefits'!G18)</f>
        <v>14682.488085166264</v>
      </c>
      <c r="H60" s="3">
        <f>'BAU Scenario'!H60*(1-'ACC emissions benefits'!H18)</f>
        <v>375.61435899937379</v>
      </c>
      <c r="I60" s="3">
        <f>'BAU Scenario'!I60*(1-'ACC emissions benefits'!I18)</f>
        <v>2465.1154330984627</v>
      </c>
      <c r="J60" s="3">
        <f>D60+AC60</f>
        <v>18936672.93883891</v>
      </c>
      <c r="L60" s="42">
        <f>'Fleet ZEV fractions'!AM26</f>
        <v>0.32652776774738262</v>
      </c>
      <c r="M60" s="42">
        <f>'ZEV efficiency'!L53</f>
        <v>4.0914969525160645</v>
      </c>
      <c r="O60" s="3">
        <f>E60*L60/M60</f>
        <v>40221512.046028264</v>
      </c>
      <c r="P60" s="3">
        <f>$O60*'GREET factors'!B103/454/2000</f>
        <v>413.38137523956152</v>
      </c>
      <c r="Q60" s="3">
        <f>$O60*'GREET factors'!C103/454/2000</f>
        <v>47.004069724048328</v>
      </c>
      <c r="R60" s="3">
        <f>$O60*'GREET factors'!D103/454/2000</f>
        <v>83.143388573734811</v>
      </c>
      <c r="S60" s="3">
        <f>$O60*'GREET factors'!E103/454/2000</f>
        <v>6.9169452029443814</v>
      </c>
      <c r="T60" s="3">
        <f>$O60*'GREET factors'!F103/454/2000</f>
        <v>1034065.3760608585</v>
      </c>
      <c r="U60" s="3">
        <f>$O60*'GREET factors'!G103/454/2000</f>
        <v>36.664480206496755</v>
      </c>
      <c r="V60" s="3">
        <f>$O60*'GREET factors'!H103/454/2000</f>
        <v>104.21970777834657</v>
      </c>
      <c r="W60" s="3">
        <f>$O60*'GREET factors'!I103/454/2000</f>
        <v>1038205.2104456794</v>
      </c>
      <c r="X60" s="3">
        <f>('Combined MOVES output'!D18/454/2000-'ACC II - MY2026'!D60)*'GREET factors'!V1</f>
        <v>6031753.6687306203</v>
      </c>
      <c r="Y60" s="266">
        <f>O60*M60*'GREET factors'!$J$3/454/2000</f>
        <v>1635.1344741873208</v>
      </c>
      <c r="Z60" s="266">
        <f>O60*M60*'GREET factors'!K$3/454/2000</f>
        <v>170.69650030107175</v>
      </c>
      <c r="AA60" s="266"/>
      <c r="AB60" s="266"/>
      <c r="AC60" s="3">
        <f>T60-X60</f>
        <v>-4997688.2926697619</v>
      </c>
      <c r="AD60" s="266">
        <f>P60-Y60</f>
        <v>-1221.7530989477593</v>
      </c>
      <c r="AE60" s="266">
        <f>Q60-Z60</f>
        <v>-123.69243057702343</v>
      </c>
      <c r="AF60" s="266"/>
      <c r="AG60" s="266"/>
      <c r="AH60">
        <v>2034</v>
      </c>
    </row>
    <row r="61" spans="1:34">
      <c r="L61" s="42"/>
      <c r="M61" s="42"/>
    </row>
    <row r="62" spans="1:34">
      <c r="A62">
        <v>2035</v>
      </c>
      <c r="B62">
        <v>20</v>
      </c>
      <c r="C62" s="3"/>
      <c r="D62" s="3"/>
      <c r="E62" s="3"/>
      <c r="F62" s="3"/>
      <c r="G62" s="3"/>
      <c r="H62" s="3"/>
      <c r="I62" s="3"/>
      <c r="J62" s="3"/>
      <c r="L62" s="42"/>
      <c r="M62" s="42"/>
    </row>
    <row r="63" spans="1:34">
      <c r="A63">
        <v>2035</v>
      </c>
      <c r="B63">
        <v>30</v>
      </c>
      <c r="C63" s="3"/>
      <c r="D63" s="3"/>
      <c r="E63" s="3"/>
      <c r="F63" s="3"/>
      <c r="G63" s="3"/>
      <c r="H63" s="3"/>
      <c r="I63" s="3"/>
      <c r="J63" s="3"/>
      <c r="L63" s="42"/>
      <c r="M63" s="42"/>
      <c r="O63" t="s">
        <v>17</v>
      </c>
    </row>
    <row r="64" spans="1:34">
      <c r="A64">
        <v>2035</v>
      </c>
      <c r="B64">
        <v>41</v>
      </c>
      <c r="C64" s="3"/>
      <c r="D64" s="3"/>
      <c r="E64" s="3"/>
      <c r="F64" s="3"/>
      <c r="G64" s="3"/>
      <c r="H64" s="3"/>
      <c r="I64" s="3"/>
      <c r="J64" s="3"/>
      <c r="L64" s="42"/>
      <c r="M64" s="42"/>
      <c r="O64" t="s">
        <v>142</v>
      </c>
      <c r="P64" t="s">
        <v>8</v>
      </c>
      <c r="Q64" t="s">
        <v>10</v>
      </c>
      <c r="R64" t="s">
        <v>14</v>
      </c>
      <c r="S64" t="s">
        <v>15</v>
      </c>
      <c r="T64" t="s">
        <v>16</v>
      </c>
      <c r="U64" t="s">
        <v>115</v>
      </c>
      <c r="V64" t="s">
        <v>116</v>
      </c>
      <c r="W64" t="s">
        <v>47</v>
      </c>
      <c r="X64" t="s">
        <v>47</v>
      </c>
      <c r="Y64" t="s">
        <v>8</v>
      </c>
      <c r="Z64" t="s">
        <v>10</v>
      </c>
      <c r="AC64" s="33" t="s">
        <v>47</v>
      </c>
      <c r="AD64" t="s">
        <v>8</v>
      </c>
      <c r="AE64" t="s">
        <v>10</v>
      </c>
    </row>
    <row r="65" spans="1:34">
      <c r="A65">
        <v>2035</v>
      </c>
      <c r="B65" s="8" t="s">
        <v>109</v>
      </c>
      <c r="C65" s="3">
        <f>'BAU Scenario'!C65*(1-'ACC emissions benefits'!C19)</f>
        <v>3812.9845257940269</v>
      </c>
      <c r="D65" s="3">
        <f>'BAU Scenario'!D65*(1-'ACC emissions benefits'!D19)</f>
        <v>21241913.715967689</v>
      </c>
      <c r="E65" s="3">
        <f>'Combined MOVES output'!E19*(1-'ACC emissions benefits'!E19)</f>
        <v>501914591.19017166</v>
      </c>
      <c r="F65" s="3">
        <f>'BAU Scenario'!F65*(1-'ACC emissions benefits'!F19)</f>
        <v>913.48600400393934</v>
      </c>
      <c r="G65" s="3">
        <f>'BAU Scenario'!G65*(1-'ACC emissions benefits'!G19)</f>
        <v>13927.426428773939</v>
      </c>
      <c r="H65" s="3">
        <f>'BAU Scenario'!H65*(1-'ACC emissions benefits'!H19)</f>
        <v>344.80362203795897</v>
      </c>
      <c r="I65" s="3">
        <f>'BAU Scenario'!I65*(1-'ACC emissions benefits'!I19)</f>
        <v>2298.2132457782495</v>
      </c>
      <c r="J65" s="3">
        <f>D65+AC65</f>
        <v>15650906.524829719</v>
      </c>
      <c r="L65" s="42">
        <f>'Fleet ZEV fractions'!AM27</f>
        <v>0.38087535922111809</v>
      </c>
      <c r="M65" s="42">
        <f>'ZEV efficiency'!L54</f>
        <v>4.0464389688696487</v>
      </c>
      <c r="O65" s="3">
        <f>E65*L65/M65</f>
        <v>47243243.17963919</v>
      </c>
      <c r="P65" s="3">
        <f>$O65*'GREET factors'!B104/454/2000</f>
        <v>462.4107046432494</v>
      </c>
      <c r="Q65" s="3">
        <f>$O65*'GREET factors'!C104/454/2000</f>
        <v>52.579013724558102</v>
      </c>
      <c r="R65" s="3">
        <f>$O65*'GREET factors'!D104/454/2000</f>
        <v>93.004656715672937</v>
      </c>
      <c r="S65" s="3">
        <f>$O65*'GREET factors'!E104/454/2000</f>
        <v>7.7373333605527979</v>
      </c>
      <c r="T65" s="3">
        <f>$O65*'GREET factors'!F104/454/2000</f>
        <v>1156711.2788145924</v>
      </c>
      <c r="U65" s="3">
        <f>$O65*'GREET factors'!G104/454/2000</f>
        <v>41.01309140461268</v>
      </c>
      <c r="V65" s="3">
        <f>$O65*'GREET factors'!H104/454/2000</f>
        <v>116.58074455717922</v>
      </c>
      <c r="W65" s="3">
        <f>$O65*'GREET factors'!I104/454/2000</f>
        <v>1161342.120573929</v>
      </c>
      <c r="X65" s="3">
        <f>('Combined MOVES output'!D19/454/2000-'ACC II - MY2026'!D65)*'GREET factors'!V1</f>
        <v>6747718.4699525628</v>
      </c>
      <c r="Y65" s="266">
        <f>O65*M65*'GREET factors'!$J$3/454/2000</f>
        <v>1899.4398627346459</v>
      </c>
      <c r="Z65" s="266">
        <f>O65*M65*'GREET factors'!K$3/454/2000</f>
        <v>198.28811771722735</v>
      </c>
      <c r="AA65" s="266"/>
      <c r="AB65" s="266"/>
      <c r="AC65" s="3">
        <f>T65-X65</f>
        <v>-5591007.1911379704</v>
      </c>
      <c r="AD65" s="266">
        <f>P65-Y65</f>
        <v>-1437.0291580913965</v>
      </c>
      <c r="AE65" s="266">
        <f>Q65-Z65</f>
        <v>-145.70910399266924</v>
      </c>
      <c r="AF65" s="266"/>
      <c r="AG65" s="266"/>
      <c r="AH65">
        <v>2035</v>
      </c>
    </row>
    <row r="66" spans="1:34">
      <c r="A66" s="6"/>
      <c r="C66" s="3"/>
      <c r="D66" s="3"/>
      <c r="E66" s="3"/>
      <c r="F66" s="3"/>
      <c r="G66" s="3"/>
      <c r="H66" s="3"/>
      <c r="L66" s="42"/>
      <c r="M66" s="42"/>
      <c r="AH66" s="6"/>
    </row>
    <row r="67" spans="1:34">
      <c r="A67">
        <v>2036</v>
      </c>
      <c r="B67">
        <v>20</v>
      </c>
      <c r="C67" s="3"/>
      <c r="D67" s="3"/>
      <c r="E67" s="3"/>
      <c r="F67" s="3"/>
      <c r="G67" s="3"/>
      <c r="H67" s="3"/>
      <c r="I67" s="3"/>
      <c r="J67" s="3"/>
      <c r="L67" s="42"/>
      <c r="M67" s="42"/>
    </row>
    <row r="68" spans="1:34">
      <c r="A68">
        <v>2036</v>
      </c>
      <c r="B68">
        <v>30</v>
      </c>
      <c r="C68" s="3"/>
      <c r="D68" s="3"/>
      <c r="E68" s="3"/>
      <c r="F68" s="3"/>
      <c r="G68" s="3"/>
      <c r="H68" s="3"/>
      <c r="I68" s="3"/>
      <c r="J68" s="3"/>
      <c r="L68" s="42"/>
      <c r="M68" s="42"/>
      <c r="O68" t="s">
        <v>17</v>
      </c>
    </row>
    <row r="69" spans="1:34">
      <c r="A69">
        <v>2036</v>
      </c>
      <c r="B69">
        <v>41</v>
      </c>
      <c r="C69" s="3"/>
      <c r="D69" s="3"/>
      <c r="E69" s="3"/>
      <c r="F69" s="3"/>
      <c r="G69" s="3"/>
      <c r="H69" s="3"/>
      <c r="I69" s="3"/>
      <c r="J69" s="3"/>
      <c r="L69" s="42"/>
      <c r="M69" s="42"/>
      <c r="O69" t="s">
        <v>142</v>
      </c>
      <c r="P69" t="s">
        <v>8</v>
      </c>
      <c r="Q69" t="s">
        <v>10</v>
      </c>
      <c r="R69" t="s">
        <v>14</v>
      </c>
      <c r="S69" t="s">
        <v>15</v>
      </c>
      <c r="T69" t="s">
        <v>16</v>
      </c>
      <c r="U69" t="s">
        <v>115</v>
      </c>
      <c r="V69" t="s">
        <v>116</v>
      </c>
      <c r="W69" t="s">
        <v>47</v>
      </c>
      <c r="X69" t="s">
        <v>47</v>
      </c>
      <c r="Y69" t="s">
        <v>8</v>
      </c>
      <c r="Z69" t="s">
        <v>10</v>
      </c>
      <c r="AC69" s="33" t="s">
        <v>47</v>
      </c>
      <c r="AD69" t="s">
        <v>8</v>
      </c>
      <c r="AE69" t="s">
        <v>10</v>
      </c>
    </row>
    <row r="70" spans="1:34">
      <c r="A70">
        <v>2036</v>
      </c>
      <c r="B70" t="s">
        <v>109</v>
      </c>
      <c r="C70" s="3">
        <f>'BAU Scenario'!C70*(1-'ACC emissions benefits'!C20)</f>
        <v>3538.9812018059879</v>
      </c>
      <c r="D70" s="3">
        <f>'BAU Scenario'!D70*(1-'ACC emissions benefits'!D20)</f>
        <v>18965134.412680686</v>
      </c>
      <c r="E70" s="3">
        <f>'Combined MOVES output'!E20*(1-'ACC emissions benefits'!E20)</f>
        <v>503689031.37985212</v>
      </c>
      <c r="F70" s="3">
        <f>'BAU Scenario'!F70*(1-'ACC emissions benefits'!F20)</f>
        <v>882.91662200620794</v>
      </c>
      <c r="G70" s="3">
        <f>'BAU Scenario'!G70*(1-'ACC emissions benefits'!G20)</f>
        <v>13353.240891768914</v>
      </c>
      <c r="H70" s="3">
        <f>'BAU Scenario'!H70*(1-'ACC emissions benefits'!H20)</f>
        <v>317.90001982683157</v>
      </c>
      <c r="I70" s="3">
        <f>'BAU Scenario'!I70*(1-'ACC emissions benefits'!I20)</f>
        <v>2180.7059443389371</v>
      </c>
      <c r="J70" s="3">
        <f>D70+AC70</f>
        <v>12586013.373492522</v>
      </c>
      <c r="L70" s="42">
        <f>'Fleet ZEV fractions'!AM28</f>
        <v>0.43485663483697601</v>
      </c>
      <c r="M70" s="42">
        <f>'ZEV efficiency'!L55</f>
        <v>4.0378375834843245</v>
      </c>
      <c r="O70" s="3">
        <f>E70*L70/M70</f>
        <v>54245004.327571616</v>
      </c>
      <c r="P70" s="3">
        <f>$O70*'GREET factors'!B105/454/2000</f>
        <v>424.7544238927091</v>
      </c>
      <c r="Q70" s="3">
        <f>$O70*'GREET factors'!C105/454/2000</f>
        <v>48.297257090212895</v>
      </c>
      <c r="R70" s="3">
        <f>$O70*'GREET factors'!D105/454/2000</f>
        <v>85.430849644975979</v>
      </c>
      <c r="S70" s="3">
        <f>$O70*'GREET factors'!E105/454/2000</f>
        <v>7.1072458769373794</v>
      </c>
      <c r="T70" s="3">
        <f>$O70*'GREET factors'!F105/454/2000</f>
        <v>1062514.83347935</v>
      </c>
      <c r="U70" s="3">
        <f>$O70*'GREET factors'!G105/454/2000</f>
        <v>37.673202278189507</v>
      </c>
      <c r="V70" s="3">
        <f>$O70*'GREET factors'!H105/454/2000</f>
        <v>107.08702565519346</v>
      </c>
      <c r="W70" s="3">
        <f>$O70*'GREET factors'!I105/454/2000</f>
        <v>1066768.5639918018</v>
      </c>
      <c r="X70" s="3">
        <f>('Combined MOVES output'!D20/454/2000-'ACC II - MY2026'!D70)*'GREET factors'!V1</f>
        <v>7441635.8726675138</v>
      </c>
      <c r="Y70" s="266">
        <f>O70*M70*'GREET factors'!$J$3/454/2000</f>
        <v>2176.3134408304541</v>
      </c>
      <c r="Z70" s="266">
        <f>O70*M70*'GREET factors'!K$3/454/2000</f>
        <v>227.19176543114361</v>
      </c>
      <c r="AA70" s="266"/>
      <c r="AB70" s="266"/>
      <c r="AC70" s="3">
        <f>T70-X70</f>
        <v>-6379121.0391881634</v>
      </c>
      <c r="AD70" s="266">
        <f>P70-Y70</f>
        <v>-1751.5590169377449</v>
      </c>
      <c r="AE70" s="266">
        <f>Q70-Z70</f>
        <v>-178.89450834093071</v>
      </c>
      <c r="AF70" s="266"/>
      <c r="AG70" s="266"/>
      <c r="AH70">
        <v>2036</v>
      </c>
    </row>
    <row r="71" spans="1:34">
      <c r="L71" s="42"/>
      <c r="M71" s="42"/>
    </row>
    <row r="72" spans="1:34">
      <c r="A72">
        <v>2037</v>
      </c>
      <c r="B72">
        <v>20</v>
      </c>
      <c r="C72" s="3"/>
      <c r="D72" s="3"/>
      <c r="E72" s="3"/>
      <c r="F72" s="3"/>
      <c r="G72" s="3"/>
      <c r="H72" s="3"/>
      <c r="I72" s="3"/>
      <c r="J72" s="3"/>
      <c r="L72" s="42"/>
      <c r="M72" s="42"/>
    </row>
    <row r="73" spans="1:34">
      <c r="A73">
        <v>2037</v>
      </c>
      <c r="B73">
        <v>30</v>
      </c>
      <c r="C73" s="3"/>
      <c r="D73" s="3"/>
      <c r="E73" s="3"/>
      <c r="F73" s="3"/>
      <c r="G73" s="3"/>
      <c r="H73" s="3"/>
      <c r="I73" s="3"/>
      <c r="J73" s="3"/>
      <c r="L73" s="42"/>
      <c r="M73" s="42"/>
      <c r="O73" t="s">
        <v>17</v>
      </c>
    </row>
    <row r="74" spans="1:34">
      <c r="A74">
        <v>2037</v>
      </c>
      <c r="B74">
        <v>41</v>
      </c>
      <c r="C74" s="3"/>
      <c r="D74" s="3"/>
      <c r="E74" s="3"/>
      <c r="F74" s="3"/>
      <c r="G74" s="3"/>
      <c r="H74" s="3"/>
      <c r="I74" s="3"/>
      <c r="J74" s="3"/>
      <c r="L74" s="42"/>
      <c r="M74" s="42"/>
      <c r="O74" t="s">
        <v>142</v>
      </c>
      <c r="P74" t="s">
        <v>8</v>
      </c>
      <c r="Q74" t="s">
        <v>10</v>
      </c>
      <c r="R74" t="s">
        <v>14</v>
      </c>
      <c r="S74" t="s">
        <v>15</v>
      </c>
      <c r="T74" t="s">
        <v>16</v>
      </c>
      <c r="U74" t="s">
        <v>115</v>
      </c>
      <c r="V74" t="s">
        <v>116</v>
      </c>
      <c r="W74" t="s">
        <v>47</v>
      </c>
      <c r="X74" t="s">
        <v>47</v>
      </c>
      <c r="Y74" t="s">
        <v>8</v>
      </c>
      <c r="Z74" t="s">
        <v>10</v>
      </c>
      <c r="AC74" s="33" t="s">
        <v>47</v>
      </c>
      <c r="AD74" t="s">
        <v>8</v>
      </c>
      <c r="AE74" t="s">
        <v>10</v>
      </c>
    </row>
    <row r="75" spans="1:34">
      <c r="A75">
        <v>2037</v>
      </c>
      <c r="B75" t="s">
        <v>109</v>
      </c>
      <c r="C75" s="3">
        <f>'BAU Scenario'!C75*(1-'ACC emissions benefits'!C21)</f>
        <v>3271.426035983905</v>
      </c>
      <c r="D75" s="3">
        <f>'BAU Scenario'!D75*(1-'ACC emissions benefits'!D21)</f>
        <v>17033494.315736033</v>
      </c>
      <c r="E75" s="3">
        <f>'Combined MOVES output'!E21*(1-'ACC emissions benefits'!E21)</f>
        <v>505463471.56953257</v>
      </c>
      <c r="F75" s="3">
        <f>'BAU Scenario'!F75*(1-'ACC emissions benefits'!F21)</f>
        <v>854.89209894638702</v>
      </c>
      <c r="G75" s="3">
        <f>'BAU Scenario'!G75*(1-'ACC emissions benefits'!G21)</f>
        <v>12796.102125533154</v>
      </c>
      <c r="H75" s="3">
        <f>'BAU Scenario'!H75*(1-'ACC emissions benefits'!H21)</f>
        <v>295.15732922298264</v>
      </c>
      <c r="I75" s="3">
        <f>'BAU Scenario'!I75*(1-'ACC emissions benefits'!I21)</f>
        <v>2080.119613057665</v>
      </c>
      <c r="J75" s="3">
        <f>D75+AC75</f>
        <v>9897288.2045631595</v>
      </c>
      <c r="L75" s="42">
        <f>'Fleet ZEV fractions'!AM29</f>
        <v>0.48844754599658374</v>
      </c>
      <c r="M75" s="42">
        <f>'ZEV efficiency'!L56</f>
        <v>4.0295879456542387</v>
      </c>
      <c r="O75" s="3">
        <f>E75*L75/M75</f>
        <v>61269885.558724798</v>
      </c>
      <c r="P75" s="3">
        <f>$O75*'GREET factors'!B106/454/2000</f>
        <v>359.82099086920766</v>
      </c>
      <c r="Q75" s="3">
        <f>$O75*'GREET factors'!C106/454/2000</f>
        <v>40.913916194678556</v>
      </c>
      <c r="R75" s="3">
        <f>$O75*'GREET factors'!D106/454/2000</f>
        <v>72.3707894277713</v>
      </c>
      <c r="S75" s="3">
        <f>$O75*'GREET factors'!E106/454/2000</f>
        <v>6.0207407149611445</v>
      </c>
      <c r="T75" s="3">
        <f>$O75*'GREET factors'!F106/454/2000</f>
        <v>900085.12846552907</v>
      </c>
      <c r="U75" s="3">
        <f>$O75*'GREET factors'!G106/454/2000</f>
        <v>31.91399126281571</v>
      </c>
      <c r="V75" s="3">
        <f>$O75*'GREET factors'!H106/454/2000</f>
        <v>90.716323393069615</v>
      </c>
      <c r="W75" s="3">
        <f>$O75*'GREET factors'!I106/454/2000</f>
        <v>903688.57893428183</v>
      </c>
      <c r="X75" s="3">
        <f>('Combined MOVES output'!D21/454/2000-'ACC II - MY2026'!D75)*'GREET factors'!V1</f>
        <v>8036291.2396384021</v>
      </c>
      <c r="Y75" s="266">
        <f>O75*M75*'GREET factors'!$J$3/454/2000</f>
        <v>2453.1299674068568</v>
      </c>
      <c r="Z75" s="266">
        <f>O75*M75*'GREET factors'!K$3/454/2000</f>
        <v>256.08945736903462</v>
      </c>
      <c r="AA75" s="266"/>
      <c r="AB75" s="266"/>
      <c r="AC75" s="3">
        <f>T75-X75</f>
        <v>-7136206.1111728735</v>
      </c>
      <c r="AD75" s="266">
        <f>P75-Y75</f>
        <v>-2093.308976537649</v>
      </c>
      <c r="AE75" s="266">
        <f>Q75-Z75</f>
        <v>-215.17554117435606</v>
      </c>
      <c r="AF75" s="266"/>
      <c r="AG75" s="266"/>
      <c r="AH75">
        <v>2037</v>
      </c>
    </row>
    <row r="76" spans="1:34">
      <c r="C76" s="3"/>
      <c r="D76" s="3"/>
      <c r="E76" s="3"/>
      <c r="F76" s="3"/>
      <c r="G76" s="3"/>
      <c r="H76" s="3"/>
      <c r="L76" s="42"/>
      <c r="M76" s="42"/>
      <c r="X76" s="3"/>
      <c r="Y76" s="3"/>
      <c r="Z76" s="3"/>
      <c r="AA76" s="3"/>
      <c r="AB76" s="3"/>
    </row>
    <row r="77" spans="1:34">
      <c r="A77">
        <v>2038</v>
      </c>
      <c r="B77">
        <v>20</v>
      </c>
      <c r="C77" s="3"/>
      <c r="D77" s="3"/>
      <c r="E77" s="3"/>
      <c r="F77" s="3"/>
      <c r="G77" s="3"/>
      <c r="H77" s="3"/>
      <c r="I77" s="3"/>
      <c r="J77" s="3"/>
      <c r="L77" s="42"/>
      <c r="M77" s="42"/>
      <c r="X77" s="3"/>
      <c r="Y77" s="3"/>
      <c r="Z77" s="3"/>
      <c r="AA77" s="3"/>
      <c r="AB77" s="3"/>
    </row>
    <row r="78" spans="1:34">
      <c r="A78">
        <v>2038</v>
      </c>
      <c r="B78">
        <v>30</v>
      </c>
      <c r="C78" s="3"/>
      <c r="D78" s="3"/>
      <c r="E78" s="3"/>
      <c r="F78" s="3"/>
      <c r="G78" s="3"/>
      <c r="H78" s="3"/>
      <c r="I78" s="3"/>
      <c r="J78" s="3"/>
      <c r="L78" s="42"/>
      <c r="M78" s="42"/>
      <c r="O78" t="s">
        <v>17</v>
      </c>
      <c r="X78" s="3"/>
      <c r="Y78" s="3"/>
      <c r="Z78" s="3"/>
      <c r="AA78" s="3"/>
      <c r="AB78" s="3"/>
    </row>
    <row r="79" spans="1:34">
      <c r="A79">
        <v>2038</v>
      </c>
      <c r="B79">
        <v>41</v>
      </c>
      <c r="C79" s="3"/>
      <c r="D79" s="3"/>
      <c r="E79" s="3"/>
      <c r="F79" s="3"/>
      <c r="G79" s="3"/>
      <c r="H79" s="3"/>
      <c r="I79" s="3"/>
      <c r="J79" s="3"/>
      <c r="L79" s="42"/>
      <c r="M79" s="42"/>
      <c r="O79" t="s">
        <v>142</v>
      </c>
      <c r="P79" t="s">
        <v>8</v>
      </c>
      <c r="Q79" t="s">
        <v>10</v>
      </c>
      <c r="R79" t="s">
        <v>14</v>
      </c>
      <c r="S79" t="s">
        <v>15</v>
      </c>
      <c r="T79" t="s">
        <v>16</v>
      </c>
      <c r="U79" t="s">
        <v>115</v>
      </c>
      <c r="V79" t="s">
        <v>116</v>
      </c>
      <c r="W79" t="s">
        <v>47</v>
      </c>
      <c r="X79" t="s">
        <v>47</v>
      </c>
      <c r="Y79" t="s">
        <v>8</v>
      </c>
      <c r="Z79" t="s">
        <v>10</v>
      </c>
      <c r="AC79" s="33" t="s">
        <v>47</v>
      </c>
      <c r="AD79" t="s">
        <v>8</v>
      </c>
      <c r="AE79" t="s">
        <v>10</v>
      </c>
    </row>
    <row r="80" spans="1:34">
      <c r="A80">
        <v>2038</v>
      </c>
      <c r="B80" t="s">
        <v>109</v>
      </c>
      <c r="C80" s="3">
        <f>'BAU Scenario'!C80*(1-'ACC emissions benefits'!C22)</f>
        <v>3010.9376097718336</v>
      </c>
      <c r="D80" s="3">
        <f>'BAU Scenario'!D80*(1-'ACC emissions benefits'!D22)</f>
        <v>15388919.449354932</v>
      </c>
      <c r="E80" s="3">
        <f>'Combined MOVES output'!E22*(1-'ACC emissions benefits'!E22)</f>
        <v>507237911.75921297</v>
      </c>
      <c r="F80" s="3">
        <f>'BAU Scenario'!F80*(1-'ACC emissions benefits'!F22)</f>
        <v>827.93352914969614</v>
      </c>
      <c r="G80" s="3">
        <f>'BAU Scenario'!G80*(1-'ACC emissions benefits'!G22)</f>
        <v>12220.593692921302</v>
      </c>
      <c r="H80" s="3">
        <f>'BAU Scenario'!H80*(1-'ACC emissions benefits'!H22)</f>
        <v>275.71433179663069</v>
      </c>
      <c r="I80" s="3">
        <f>'BAU Scenario'!I80*(1-'ACC emissions benefits'!I22)</f>
        <v>1993.0464144639816</v>
      </c>
      <c r="J80" s="3">
        <f>D80+AC80</f>
        <v>7509601.2213142943</v>
      </c>
      <c r="L80" s="42">
        <f>'Fleet ZEV fractions'!AM30</f>
        <v>0.54165624637490295</v>
      </c>
      <c r="M80" s="42">
        <f>'ZEV efficiency'!L57</f>
        <v>4.021704797126664</v>
      </c>
      <c r="O80" s="3">
        <f>E80*L80/M80</f>
        <v>68316447.169080049</v>
      </c>
      <c r="P80" s="3">
        <f>$O80*'GREET factors'!B107/454/2000</f>
        <v>267.46899110256123</v>
      </c>
      <c r="Q80" s="3">
        <f>$O80*'GREET factors'!C107/454/2000</f>
        <v>30.412911320738345</v>
      </c>
      <c r="R80" s="3">
        <f>$O80*'GREET factors'!D107/454/2000</f>
        <v>53.796033374211895</v>
      </c>
      <c r="S80" s="3">
        <f>$O80*'GREET factors'!E107/454/2000</f>
        <v>4.4754516428590598</v>
      </c>
      <c r="T80" s="3">
        <f>$O80*'GREET factors'!F107/454/2000</f>
        <v>669068.41825857607</v>
      </c>
      <c r="U80" s="3">
        <f>$O80*'GREET factors'!G107/454/2000</f>
        <v>23.722915732351055</v>
      </c>
      <c r="V80" s="3">
        <f>$O80*'GREET factors'!H107/454/2000</f>
        <v>67.432985040324468</v>
      </c>
      <c r="W80" s="3">
        <f>$O80*'GREET factors'!I107/454/2000</f>
        <v>671747.00368250336</v>
      </c>
      <c r="X80" s="3">
        <f>('Combined MOVES output'!D22/454/2000-'ACC II - MY2026'!D80)*'GREET factors'!V1</f>
        <v>8548386.6462992132</v>
      </c>
      <c r="Y80" s="266">
        <f>O80*M80*'GREET factors'!$J$3/454/2000</f>
        <v>2729.9098890023779</v>
      </c>
      <c r="Z80" s="266">
        <f>O80*M80*'GREET factors'!K$3/454/2000</f>
        <v>284.98332800523531</v>
      </c>
      <c r="AA80" s="266"/>
      <c r="AB80" s="266"/>
      <c r="AC80" s="3">
        <f>T80-X80</f>
        <v>-7879318.2280406374</v>
      </c>
      <c r="AD80" s="266">
        <f>P80-Y80</f>
        <v>-2462.4408978998167</v>
      </c>
      <c r="AE80" s="266">
        <f>Q80-Z80</f>
        <v>-254.57041668449696</v>
      </c>
      <c r="AF80" s="266"/>
      <c r="AG80" s="266"/>
      <c r="AH80">
        <v>2038</v>
      </c>
    </row>
    <row r="81" spans="1:34">
      <c r="L81" s="42"/>
      <c r="M81" s="42"/>
      <c r="X81" s="3"/>
      <c r="Y81" s="3"/>
      <c r="Z81" s="3"/>
      <c r="AA81" s="3"/>
      <c r="AB81" s="3"/>
    </row>
    <row r="82" spans="1:34">
      <c r="A82">
        <v>2039</v>
      </c>
      <c r="B82">
        <v>20</v>
      </c>
      <c r="C82" s="3"/>
      <c r="D82" s="3"/>
      <c r="E82" s="3"/>
      <c r="F82" s="3"/>
      <c r="G82" s="3"/>
      <c r="H82" s="3"/>
      <c r="I82" s="3"/>
      <c r="J82" s="3"/>
      <c r="L82" s="42"/>
      <c r="M82" s="42"/>
      <c r="X82" s="3"/>
      <c r="Y82" s="3"/>
      <c r="Z82" s="3"/>
      <c r="AA82" s="3"/>
      <c r="AB82" s="3"/>
    </row>
    <row r="83" spans="1:34">
      <c r="A83">
        <v>2039</v>
      </c>
      <c r="B83">
        <v>30</v>
      </c>
      <c r="C83" s="3"/>
      <c r="D83" s="3"/>
      <c r="E83" s="3"/>
      <c r="F83" s="3"/>
      <c r="G83" s="3"/>
      <c r="H83" s="3"/>
      <c r="I83" s="3"/>
      <c r="J83" s="3"/>
      <c r="L83" s="42"/>
      <c r="M83" s="42"/>
      <c r="O83" t="s">
        <v>17</v>
      </c>
      <c r="X83" s="3"/>
      <c r="Y83" s="3"/>
      <c r="Z83" s="3"/>
      <c r="AA83" s="3"/>
      <c r="AB83" s="3"/>
    </row>
    <row r="84" spans="1:34">
      <c r="A84">
        <v>2039</v>
      </c>
      <c r="B84">
        <v>41</v>
      </c>
      <c r="C84" s="3"/>
      <c r="D84" s="3"/>
      <c r="E84" s="3"/>
      <c r="F84" s="3"/>
      <c r="G84" s="3"/>
      <c r="H84" s="3"/>
      <c r="I84" s="3"/>
      <c r="J84" s="3"/>
      <c r="L84" s="42"/>
      <c r="M84" s="42"/>
      <c r="O84" t="s">
        <v>142</v>
      </c>
      <c r="P84" t="s">
        <v>8</v>
      </c>
      <c r="Q84" t="s">
        <v>10</v>
      </c>
      <c r="R84" t="s">
        <v>14</v>
      </c>
      <c r="S84" t="s">
        <v>15</v>
      </c>
      <c r="T84" t="s">
        <v>16</v>
      </c>
      <c r="U84" t="s">
        <v>115</v>
      </c>
      <c r="V84" t="s">
        <v>116</v>
      </c>
      <c r="W84" t="s">
        <v>47</v>
      </c>
      <c r="X84" t="s">
        <v>47</v>
      </c>
      <c r="Y84" t="s">
        <v>8</v>
      </c>
      <c r="Z84" t="s">
        <v>10</v>
      </c>
      <c r="AC84" s="33" t="s">
        <v>47</v>
      </c>
      <c r="AD84" t="s">
        <v>8</v>
      </c>
      <c r="AE84" t="s">
        <v>10</v>
      </c>
    </row>
    <row r="85" spans="1:34">
      <c r="A85">
        <v>2039</v>
      </c>
      <c r="B85" t="s">
        <v>109</v>
      </c>
      <c r="C85" s="3">
        <f>'BAU Scenario'!C85*(1-'ACC emissions benefits'!C23)</f>
        <v>2759.0990810468647</v>
      </c>
      <c r="D85" s="3">
        <f>'BAU Scenario'!D85*(1-'ACC emissions benefits'!D23)</f>
        <v>14013613.093331132</v>
      </c>
      <c r="E85" s="3">
        <f>'Combined MOVES output'!E23*(1-'ACC emissions benefits'!E23)</f>
        <v>509012351.94889343</v>
      </c>
      <c r="F85" s="3">
        <f>'BAU Scenario'!F85*(1-'ACC emissions benefits'!F23)</f>
        <v>803.63305399810929</v>
      </c>
      <c r="G85" s="3">
        <f>'BAU Scenario'!G85*(1-'ACC emissions benefits'!G23)</f>
        <v>11629.286247001182</v>
      </c>
      <c r="H85" s="3">
        <f>'BAU Scenario'!H85*(1-'ACC emissions benefits'!H23)</f>
        <v>259.25112458448507</v>
      </c>
      <c r="I85" s="3">
        <f>'BAU Scenario'!I85*(1-'ACC emissions benefits'!I23)</f>
        <v>1919.2264603031083</v>
      </c>
      <c r="J85" s="3">
        <f>D85+AC85</f>
        <v>5399719.6544639058</v>
      </c>
      <c r="L85" s="42">
        <f>'Fleet ZEV fractions'!AM31</f>
        <v>0.59449066413887908</v>
      </c>
      <c r="M85" s="42">
        <f>'ZEV efficiency'!L58</f>
        <v>4.0141101927609322</v>
      </c>
      <c r="O85" s="3">
        <f>E85*L85/M85</f>
        <v>75384849.103222564</v>
      </c>
      <c r="P85" s="3">
        <f>$O85*'GREET factors'!B108/454/2000</f>
        <v>147.57141486116072</v>
      </c>
      <c r="Q85" s="3">
        <f>$O85*'GREET factors'!C108/454/2000</f>
        <v>16.779800660807862</v>
      </c>
      <c r="R85" s="3">
        <f>$O85*'GREET factors'!D108/454/2000</f>
        <v>29.681036019261558</v>
      </c>
      <c r="S85" s="3">
        <f>$O85*'GREET factors'!E108/454/2000</f>
        <v>2.469253457594895</v>
      </c>
      <c r="T85" s="3">
        <f>$O85*'GREET factors'!F108/454/2000</f>
        <v>369146.99051403953</v>
      </c>
      <c r="U85" s="3">
        <f>$O85*'GREET factors'!G108/454/2000</f>
        <v>13.088710675671329</v>
      </c>
      <c r="V85" s="3">
        <f>$O85*'GREET factors'!H108/454/2000</f>
        <v>37.204989519313557</v>
      </c>
      <c r="W85" s="3">
        <f>$O85*'GREET factors'!I108/454/2000</f>
        <v>370624.85394488432</v>
      </c>
      <c r="X85" s="3">
        <f>('Combined MOVES output'!D23/454/2000-'ACC II - MY2026'!D85)*'GREET factors'!V1</f>
        <v>8983040.4293812662</v>
      </c>
      <c r="Y85" s="266">
        <f>O85*M85*'GREET factors'!$J$3/454/2000</f>
        <v>3006.6730866610446</v>
      </c>
      <c r="Z85" s="266">
        <f>O85*M85*'GREET factors'!K$3/454/2000</f>
        <v>313.8754527804457</v>
      </c>
      <c r="AA85" s="266"/>
      <c r="AB85" s="266"/>
      <c r="AC85" s="3">
        <f>T85-X85</f>
        <v>-8613893.4388672262</v>
      </c>
      <c r="AD85" s="266">
        <f>P85-Y85</f>
        <v>-2859.1016717998841</v>
      </c>
      <c r="AE85" s="266">
        <f>Q85-Z85</f>
        <v>-297.09565211963786</v>
      </c>
      <c r="AF85" s="266"/>
      <c r="AG85" s="266"/>
      <c r="AH85">
        <v>2039</v>
      </c>
    </row>
    <row r="86" spans="1:34">
      <c r="L86" s="42"/>
      <c r="M86" s="42"/>
    </row>
    <row r="87" spans="1:34">
      <c r="A87">
        <v>2040</v>
      </c>
      <c r="B87">
        <v>20</v>
      </c>
      <c r="C87" s="3"/>
      <c r="D87" s="3"/>
      <c r="E87" s="3"/>
      <c r="F87" s="3"/>
      <c r="G87" s="3"/>
      <c r="H87" s="3"/>
      <c r="I87" s="3"/>
      <c r="J87" s="3"/>
      <c r="L87" s="42"/>
      <c r="M87" s="42"/>
    </row>
    <row r="88" spans="1:34">
      <c r="A88">
        <v>2040</v>
      </c>
      <c r="B88">
        <v>30</v>
      </c>
      <c r="C88" s="3"/>
      <c r="D88" s="3"/>
      <c r="E88" s="3"/>
      <c r="F88" s="3"/>
      <c r="G88" s="3"/>
      <c r="H88" s="3"/>
      <c r="I88" s="3"/>
      <c r="J88" s="3"/>
      <c r="L88" s="42"/>
      <c r="M88" s="42"/>
      <c r="O88" t="s">
        <v>17</v>
      </c>
    </row>
    <row r="89" spans="1:34">
      <c r="A89">
        <v>2040</v>
      </c>
      <c r="B89">
        <v>41</v>
      </c>
      <c r="C89" s="3"/>
      <c r="D89" s="3"/>
      <c r="E89" s="3"/>
      <c r="F89" s="3"/>
      <c r="G89" s="3"/>
      <c r="H89" s="3"/>
      <c r="I89" s="3"/>
      <c r="J89" s="3"/>
      <c r="L89" s="42"/>
      <c r="M89" s="42"/>
      <c r="O89" t="s">
        <v>142</v>
      </c>
      <c r="P89" t="s">
        <v>8</v>
      </c>
      <c r="Q89" t="s">
        <v>10</v>
      </c>
      <c r="R89" t="s">
        <v>14</v>
      </c>
      <c r="S89" t="s">
        <v>15</v>
      </c>
      <c r="T89" t="s">
        <v>16</v>
      </c>
      <c r="U89" t="s">
        <v>115</v>
      </c>
      <c r="V89" t="s">
        <v>116</v>
      </c>
      <c r="W89" t="s">
        <v>47</v>
      </c>
      <c r="X89" t="s">
        <v>47</v>
      </c>
      <c r="Y89" t="s">
        <v>8</v>
      </c>
      <c r="Z89" t="s">
        <v>10</v>
      </c>
      <c r="AA89" t="s">
        <v>115</v>
      </c>
      <c r="AB89" t="s">
        <v>116</v>
      </c>
      <c r="AC89" s="33" t="s">
        <v>47</v>
      </c>
      <c r="AD89" t="s">
        <v>8</v>
      </c>
      <c r="AE89" t="s">
        <v>10</v>
      </c>
      <c r="AF89" t="s">
        <v>115</v>
      </c>
      <c r="AG89" t="s">
        <v>116</v>
      </c>
    </row>
    <row r="90" spans="1:34">
      <c r="A90">
        <v>2040</v>
      </c>
      <c r="B90" s="8" t="s">
        <v>109</v>
      </c>
      <c r="C90" s="3">
        <f>'BAU Scenario'!C90*(1-'ACC emissions benefits'!C24)</f>
        <v>2522.5043262131326</v>
      </c>
      <c r="D90" s="3">
        <f>'BAU Scenario'!D90*(1-'ACC emissions benefits'!D24)</f>
        <v>12892630.269297438</v>
      </c>
      <c r="E90" s="3">
        <f>'Combined MOVES output'!E24*(1-'ACC emissions benefits'!E24)</f>
        <v>510786792.13857388</v>
      </c>
      <c r="F90" s="3">
        <f>'BAU Scenario'!F90*(1-'ACC emissions benefits'!F24)</f>
        <v>780.78072703355849</v>
      </c>
      <c r="G90" s="3">
        <f>'BAU Scenario'!G90*(1-'ACC emissions benefits'!G24)</f>
        <v>11018.717004433271</v>
      </c>
      <c r="H90" s="3">
        <f>'BAU Scenario'!H90*(1-'ACC emissions benefits'!H24)</f>
        <v>245.62349351078558</v>
      </c>
      <c r="I90" s="3">
        <f>'BAU Scenario'!I90*(1-'ACC emissions benefits'!I24)</f>
        <v>1858.980279620409</v>
      </c>
      <c r="J90" s="3">
        <f>D90+AC90</f>
        <v>3548079.5046344716</v>
      </c>
      <c r="L90" s="42">
        <f>'Fleet ZEV fractions'!AM32</f>
        <v>0.64695850969006374</v>
      </c>
      <c r="M90" s="42">
        <f>'ZEV efficiency'!L59</f>
        <v>4.0068080026283281</v>
      </c>
      <c r="O90" s="3">
        <f>E90*L90/M90</f>
        <v>82474094.489821121</v>
      </c>
      <c r="P90" s="3">
        <f>$O90*'GREET factors'!B109/454/2000</f>
        <v>0</v>
      </c>
      <c r="Q90" s="3">
        <f>$O90*'GREET factors'!C109/454/2000</f>
        <v>0</v>
      </c>
      <c r="R90" s="3">
        <f>$O90*'GREET factors'!D109/454/2000</f>
        <v>0</v>
      </c>
      <c r="S90" s="3">
        <f>$O90*'GREET factors'!E109/454/2000</f>
        <v>0</v>
      </c>
      <c r="T90" s="3">
        <f>$O90*'GREET factors'!F109/454/2000</f>
        <v>0</v>
      </c>
      <c r="U90" s="3">
        <f>$O90*'GREET factors'!G109/454/2000</f>
        <v>0</v>
      </c>
      <c r="V90" s="3">
        <f>$O90*'GREET factors'!H109/454/2000</f>
        <v>0</v>
      </c>
      <c r="W90" s="3">
        <f>$O90*'GREET factors'!I109/454/2000</f>
        <v>0</v>
      </c>
      <c r="X90" s="3">
        <f>('Combined MOVES output'!D24/454/2000-D90)*'GREET factors'!V1</f>
        <v>9344550.7646629661</v>
      </c>
      <c r="Y90" s="266">
        <f>O90*M90*'GREET factors'!$J$3/454/2000</f>
        <v>3283.4388953481475</v>
      </c>
      <c r="Z90" s="266">
        <f>O90*M90*'GREET factors'!K$3/454/2000</f>
        <v>342.76785012859938</v>
      </c>
      <c r="AA90" s="266">
        <f>O90*M90*'GREET factors'!L7/454/2000</f>
        <v>8739.4671853100099</v>
      </c>
      <c r="AB90" s="266">
        <f>O90*M90*'GREET factors'!M7/454/2000</f>
        <v>1304.3228359352715</v>
      </c>
      <c r="AC90" s="3">
        <f>T90-X90</f>
        <v>-9344550.7646629661</v>
      </c>
      <c r="AD90" s="266">
        <f>P90-Y90</f>
        <v>-3283.4388953481475</v>
      </c>
      <c r="AE90" s="266">
        <f>Q90-Z90</f>
        <v>-342.76785012859938</v>
      </c>
      <c r="AF90" s="266">
        <f>U90-AA90</f>
        <v>-8739.4671853100099</v>
      </c>
      <c r="AG90" s="266">
        <f>V90-AB90</f>
        <v>-1304.3228359352715</v>
      </c>
      <c r="AH90">
        <v>2040</v>
      </c>
    </row>
  </sheetData>
  <sheetProtection algorithmName="SHA-512" hashValue="RxU/Wn6TBDcSOpxNUv4YyTZy6SlvOoRowg67XRNwZN6aOnX4QH0GTGXhdJPlz0vkXF5P0WJHAh9ZeIQK7Cb/zA==" saltValue="L3rwwJsxBAeIusPOJrrB+Q==" spinCount="100000" sheet="1" objects="1" scenarios="1"/>
  <mergeCells count="9">
    <mergeCell ref="C7:I9"/>
    <mergeCell ref="C12:I14"/>
    <mergeCell ref="P7:W7"/>
    <mergeCell ref="L5:L6"/>
    <mergeCell ref="M5:M6"/>
    <mergeCell ref="X7:Z7"/>
    <mergeCell ref="AA10:AB10"/>
    <mergeCell ref="AF10:AG10"/>
    <mergeCell ref="AC7:AE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AH91"/>
  <sheetViews>
    <sheetView topLeftCell="M70" workbookViewId="0">
      <selection activeCell="AF1" sqref="AF1:AG1048576"/>
    </sheetView>
  </sheetViews>
  <sheetFormatPr baseColWidth="10" defaultColWidth="8.83203125" defaultRowHeight="15"/>
  <cols>
    <col min="3" max="3" width="12.6640625" customWidth="1"/>
    <col min="4" max="4" width="16.6640625" bestFit="1" customWidth="1"/>
    <col min="5" max="5" width="15.1640625" customWidth="1"/>
    <col min="6" max="6" width="11" customWidth="1"/>
    <col min="7" max="7" width="11.6640625" customWidth="1"/>
    <col min="8" max="8" width="11.5" bestFit="1" customWidth="1"/>
    <col min="9" max="10" width="11.6640625" customWidth="1"/>
    <col min="12" max="12" width="12.6640625" customWidth="1"/>
    <col min="13" max="13" width="14.5" customWidth="1"/>
    <col min="15" max="15" width="24" customWidth="1"/>
    <col min="16" max="19" width="9.1640625" bestFit="1" customWidth="1"/>
    <col min="20" max="20" width="10.5" bestFit="1" customWidth="1"/>
    <col min="21" max="22" width="9.1640625" bestFit="1" customWidth="1"/>
    <col min="24" max="28" width="10.33203125" customWidth="1"/>
  </cols>
  <sheetData>
    <row r="1" spans="1:34">
      <c r="A1" s="2" t="s">
        <v>147</v>
      </c>
      <c r="D1" s="29"/>
      <c r="F1" s="30"/>
      <c r="AH1" s="2"/>
    </row>
    <row r="2" spans="1:34">
      <c r="A2" s="29" t="s">
        <v>475</v>
      </c>
      <c r="D2" s="6"/>
      <c r="AH2" s="29"/>
    </row>
    <row r="3" spans="1:34">
      <c r="A3" t="s">
        <v>476</v>
      </c>
      <c r="D3" s="29"/>
    </row>
    <row r="4" spans="1:34">
      <c r="A4" s="29" t="s">
        <v>217</v>
      </c>
      <c r="D4" s="29"/>
      <c r="AH4" s="29"/>
    </row>
    <row r="5" spans="1:34" ht="15" customHeight="1">
      <c r="G5" s="6"/>
      <c r="L5" s="280" t="s">
        <v>167</v>
      </c>
      <c r="M5" s="280" t="s">
        <v>275</v>
      </c>
    </row>
    <row r="6" spans="1:34">
      <c r="A6" t="s">
        <v>0</v>
      </c>
      <c r="B6" t="s">
        <v>1</v>
      </c>
      <c r="C6" t="s">
        <v>42</v>
      </c>
      <c r="D6" t="s">
        <v>47</v>
      </c>
      <c r="E6" t="s">
        <v>22</v>
      </c>
      <c r="F6" t="s">
        <v>24</v>
      </c>
      <c r="G6" t="s">
        <v>115</v>
      </c>
      <c r="H6" t="s">
        <v>116</v>
      </c>
      <c r="I6" t="s">
        <v>117</v>
      </c>
      <c r="J6" t="s">
        <v>52</v>
      </c>
      <c r="L6" s="280"/>
      <c r="M6" s="280"/>
      <c r="P6" s="6"/>
    </row>
    <row r="7" spans="1:34">
      <c r="A7">
        <v>2020</v>
      </c>
      <c r="B7">
        <v>20</v>
      </c>
      <c r="C7" s="281" t="s">
        <v>145</v>
      </c>
      <c r="D7" s="281"/>
      <c r="E7" s="281"/>
      <c r="F7" s="281"/>
      <c r="G7" s="281"/>
      <c r="H7" s="281"/>
      <c r="I7" s="281"/>
      <c r="J7" s="3"/>
      <c r="P7" s="279" t="s">
        <v>168</v>
      </c>
      <c r="Q7" s="279"/>
      <c r="R7" s="279"/>
      <c r="S7" s="279"/>
      <c r="T7" s="279"/>
      <c r="U7" s="279"/>
      <c r="V7" s="279"/>
      <c r="W7" s="279"/>
      <c r="X7" s="277" t="s">
        <v>169</v>
      </c>
      <c r="Y7" s="277"/>
      <c r="Z7" s="277"/>
      <c r="AA7" s="33"/>
      <c r="AB7" s="33"/>
      <c r="AC7" s="277" t="s">
        <v>452</v>
      </c>
      <c r="AD7" s="277"/>
      <c r="AE7" s="277"/>
      <c r="AF7" s="33"/>
      <c r="AG7" s="33"/>
      <c r="AH7" s="33" t="s">
        <v>19</v>
      </c>
    </row>
    <row r="8" spans="1:34">
      <c r="A8">
        <v>2020</v>
      </c>
      <c r="B8">
        <v>30</v>
      </c>
      <c r="C8" s="281"/>
      <c r="D8" s="281"/>
      <c r="E8" s="281"/>
      <c r="F8" s="281"/>
      <c r="G8" s="281"/>
      <c r="H8" s="281"/>
      <c r="I8" s="281"/>
      <c r="J8" s="3"/>
      <c r="O8" t="s">
        <v>17</v>
      </c>
      <c r="P8" s="63"/>
    </row>
    <row r="9" spans="1:34">
      <c r="A9">
        <v>2020</v>
      </c>
      <c r="B9">
        <v>41</v>
      </c>
      <c r="C9" s="281"/>
      <c r="D9" s="281"/>
      <c r="E9" s="281"/>
      <c r="F9" s="281"/>
      <c r="G9" s="281"/>
      <c r="H9" s="281"/>
      <c r="I9" s="281"/>
      <c r="J9" s="3"/>
      <c r="O9" t="s">
        <v>142</v>
      </c>
      <c r="P9" s="33" t="s">
        <v>8</v>
      </c>
      <c r="Q9" s="33" t="s">
        <v>10</v>
      </c>
      <c r="R9" s="33" t="s">
        <v>14</v>
      </c>
      <c r="S9" s="33" t="s">
        <v>15</v>
      </c>
      <c r="T9" s="33" t="s">
        <v>16</v>
      </c>
      <c r="U9" s="33" t="s">
        <v>115</v>
      </c>
      <c r="V9" s="33" t="s">
        <v>116</v>
      </c>
      <c r="W9" s="33" t="s">
        <v>47</v>
      </c>
      <c r="X9" s="33" t="s">
        <v>47</v>
      </c>
      <c r="Y9" s="33" t="s">
        <v>8</v>
      </c>
      <c r="Z9" s="33" t="s">
        <v>10</v>
      </c>
      <c r="AA9" t="s">
        <v>115</v>
      </c>
      <c r="AB9" t="s">
        <v>116</v>
      </c>
      <c r="AC9" s="33" t="s">
        <v>47</v>
      </c>
      <c r="AD9" s="33" t="s">
        <v>8</v>
      </c>
      <c r="AE9" s="33" t="s">
        <v>10</v>
      </c>
      <c r="AF9" t="s">
        <v>115</v>
      </c>
      <c r="AG9" t="s">
        <v>116</v>
      </c>
    </row>
    <row r="10" spans="1:34">
      <c r="A10">
        <v>2020</v>
      </c>
      <c r="B10" s="8" t="s">
        <v>109</v>
      </c>
      <c r="C10" s="3">
        <f>'BAU Scenario'!C10</f>
        <v>32407.701911043594</v>
      </c>
      <c r="D10" s="3">
        <f>'BAU Scenario'!D10</f>
        <v>54995021.887931824</v>
      </c>
      <c r="E10" s="3">
        <f>'BAU Scenario'!E10</f>
        <v>569199285.05412686</v>
      </c>
      <c r="F10" s="3">
        <f>'BAU Scenario'!F10</f>
        <v>1685.4297302666362</v>
      </c>
      <c r="G10" s="3">
        <f>'BAU Scenario'!G10</f>
        <v>29380.623899339513</v>
      </c>
      <c r="H10" s="3">
        <f>'BAU Scenario'!H10</f>
        <v>680.61166843379374</v>
      </c>
      <c r="I10" s="3">
        <f>'BAU Scenario'!I10</f>
        <v>16589.989236154011</v>
      </c>
      <c r="J10" s="3">
        <f>D10+AC10</f>
        <v>54958796.800551549</v>
      </c>
      <c r="L10" s="42">
        <f>'BAU Scenario'!L10</f>
        <v>4.4950834174435393E-3</v>
      </c>
      <c r="M10" s="42">
        <f>'ZEV efficiency'!L44</f>
        <v>4.5885492022606078</v>
      </c>
      <c r="O10" s="3">
        <f>E10*L10/M10</f>
        <v>557605.06310077209</v>
      </c>
      <c r="P10" s="133">
        <f>'BAU Scenario'!P10</f>
        <v>14.06876369610181</v>
      </c>
      <c r="Q10" s="133">
        <f>'BAU Scenario'!Q10</f>
        <v>1.5997071694860485</v>
      </c>
      <c r="R10" s="133">
        <f>'BAU Scenario'!R10</f>
        <v>2.8296501893902959</v>
      </c>
      <c r="S10" s="133">
        <f>'BAU Scenario'!S10</f>
        <v>0.23540699554428401</v>
      </c>
      <c r="T10" s="133">
        <f>'BAU Scenario'!T10</f>
        <v>35192.735554885709</v>
      </c>
      <c r="U10" s="133">
        <f>'BAU Scenario'!U10</f>
        <v>1.2478160337211031</v>
      </c>
      <c r="V10" s="133">
        <f>'BAU Scenario'!V10</f>
        <v>3.5469484815580499</v>
      </c>
      <c r="W10" s="133">
        <f>$O10*'GREET factors'!I93/454/2000</f>
        <v>35333.628094292661</v>
      </c>
      <c r="X10" s="3">
        <f>('Combined MOVES output'!V16/454/2000-'BAU Scenario'!D10)*'GREET factors'!$V$1</f>
        <v>71417.822935164368</v>
      </c>
      <c r="Y10" s="266">
        <f>O10*M10*'GREET factors'!$J$3/454/2000</f>
        <v>25.422306562551743</v>
      </c>
      <c r="Z10" s="266">
        <f>O10*M10*'GREET factors'!K$3/454/2000</f>
        <v>2.6539094051975924</v>
      </c>
      <c r="AA10" s="278" t="s">
        <v>562</v>
      </c>
      <c r="AB10" s="278"/>
      <c r="AC10" s="133">
        <f>T10-X10</f>
        <v>-36225.087380278659</v>
      </c>
      <c r="AD10" s="266">
        <f>P10-Y10</f>
        <v>-11.353542866449933</v>
      </c>
      <c r="AE10" s="266">
        <f>Q10-Z10</f>
        <v>-1.0542022357115439</v>
      </c>
      <c r="AF10" s="278" t="s">
        <v>562</v>
      </c>
      <c r="AG10" s="278"/>
      <c r="AH10">
        <v>2020</v>
      </c>
    </row>
    <row r="11" spans="1:34">
      <c r="C11" s="3"/>
      <c r="D11" s="3"/>
      <c r="E11" s="3"/>
      <c r="F11" s="3"/>
      <c r="G11" s="3"/>
      <c r="H11" s="3"/>
      <c r="L11" s="42"/>
      <c r="M11" s="42"/>
      <c r="P11" s="33"/>
      <c r="Q11" s="33"/>
      <c r="R11" s="33"/>
      <c r="S11" s="33"/>
      <c r="T11" s="33"/>
      <c r="U11" s="33"/>
      <c r="V11" s="33"/>
      <c r="W11" s="33"/>
      <c r="AC11" s="33"/>
    </row>
    <row r="12" spans="1:34">
      <c r="A12">
        <v>2025</v>
      </c>
      <c r="B12">
        <v>20</v>
      </c>
      <c r="C12" s="281" t="s">
        <v>145</v>
      </c>
      <c r="D12" s="281"/>
      <c r="E12" s="281"/>
      <c r="F12" s="281"/>
      <c r="G12" s="281"/>
      <c r="H12" s="281"/>
      <c r="I12" s="281"/>
      <c r="J12" s="3"/>
      <c r="L12" s="42"/>
      <c r="M12" s="42"/>
      <c r="P12" s="33"/>
      <c r="Q12" s="33"/>
      <c r="R12" s="33"/>
      <c r="S12" s="33"/>
      <c r="T12" s="33"/>
      <c r="U12" s="33"/>
      <c r="V12" s="33"/>
      <c r="W12" s="33"/>
      <c r="AC12" s="33"/>
    </row>
    <row r="13" spans="1:34">
      <c r="A13">
        <v>2025</v>
      </c>
      <c r="B13">
        <v>30</v>
      </c>
      <c r="C13" s="281"/>
      <c r="D13" s="281"/>
      <c r="E13" s="281"/>
      <c r="F13" s="281"/>
      <c r="G13" s="281"/>
      <c r="H13" s="281"/>
      <c r="I13" s="281"/>
      <c r="J13" s="3"/>
      <c r="L13" s="42"/>
      <c r="M13" s="42"/>
      <c r="O13" t="s">
        <v>17</v>
      </c>
      <c r="P13" s="33"/>
      <c r="Q13" s="33"/>
      <c r="R13" s="33"/>
      <c r="S13" s="33"/>
      <c r="T13" s="33"/>
      <c r="U13" s="33"/>
      <c r="V13" s="33"/>
      <c r="W13" s="33"/>
      <c r="AC13" s="33"/>
    </row>
    <row r="14" spans="1:34">
      <c r="A14">
        <v>2025</v>
      </c>
      <c r="B14">
        <v>41</v>
      </c>
      <c r="C14" s="281"/>
      <c r="D14" s="281"/>
      <c r="E14" s="281"/>
      <c r="F14" s="281"/>
      <c r="G14" s="281"/>
      <c r="H14" s="281"/>
      <c r="I14" s="281"/>
      <c r="J14" s="3"/>
      <c r="L14" s="42"/>
      <c r="M14" s="42"/>
      <c r="O14" t="s">
        <v>142</v>
      </c>
      <c r="P14" s="33" t="s">
        <v>8</v>
      </c>
      <c r="Q14" s="33" t="s">
        <v>10</v>
      </c>
      <c r="R14" s="33" t="s">
        <v>14</v>
      </c>
      <c r="S14" s="33" t="s">
        <v>15</v>
      </c>
      <c r="T14" s="33" t="s">
        <v>16</v>
      </c>
      <c r="U14" s="33" t="s">
        <v>115</v>
      </c>
      <c r="V14" s="33" t="s">
        <v>116</v>
      </c>
      <c r="W14" s="33" t="s">
        <v>47</v>
      </c>
      <c r="X14" t="s">
        <v>47</v>
      </c>
      <c r="Y14" s="33" t="s">
        <v>8</v>
      </c>
      <c r="Z14" s="33" t="s">
        <v>10</v>
      </c>
      <c r="AC14" s="33" t="s">
        <v>47</v>
      </c>
      <c r="AD14" s="33" t="s">
        <v>8</v>
      </c>
      <c r="AE14" s="33" t="s">
        <v>10</v>
      </c>
    </row>
    <row r="15" spans="1:34">
      <c r="A15">
        <v>2025</v>
      </c>
      <c r="B15" s="8" t="s">
        <v>109</v>
      </c>
      <c r="C15" s="3">
        <f>'BAU Scenario'!C15</f>
        <v>17050.080408492788</v>
      </c>
      <c r="D15" s="3">
        <f>'BAU Scenario'!D15</f>
        <v>47886080.818615504</v>
      </c>
      <c r="E15" s="3">
        <f>'BAU Scenario'!E15</f>
        <v>537050465.39282691</v>
      </c>
      <c r="F15" s="3">
        <f>'BAU Scenario'!F15</f>
        <v>1384.5282955022653</v>
      </c>
      <c r="G15" s="3">
        <f>'BAU Scenario'!G15</f>
        <v>22990.009683232463</v>
      </c>
      <c r="H15" s="3">
        <f>'BAU Scenario'!H15</f>
        <v>646.65812259608674</v>
      </c>
      <c r="I15" s="3">
        <f>'BAU Scenario'!I15</f>
        <v>3674.0792258701908</v>
      </c>
      <c r="J15" s="3">
        <f>D15+AC15</f>
        <v>47502665.367415652</v>
      </c>
      <c r="L15" s="42">
        <f>'BAU Scenario'!L15</f>
        <v>2.9253218866083331E-2</v>
      </c>
      <c r="M15" s="42">
        <f>'ZEV efficiency'!L44</f>
        <v>4.5885492022606078</v>
      </c>
      <c r="O15" s="3">
        <f>E15*L15/M15</f>
        <v>3423839.238452171</v>
      </c>
      <c r="P15" s="133">
        <f>'BAU Scenario'!P15</f>
        <v>86.385846124427104</v>
      </c>
      <c r="Q15" s="133">
        <f>'BAU Scenario'!Q15</f>
        <v>9.8226155739366821</v>
      </c>
      <c r="R15" s="133">
        <f>'BAU Scenario'!R15</f>
        <v>17.374783678707768</v>
      </c>
      <c r="S15" s="133">
        <f>'BAU Scenario'!S15</f>
        <v>1.4454598096161706</v>
      </c>
      <c r="T15" s="133">
        <f>'BAU Scenario'!T15</f>
        <v>216092.49426688298</v>
      </c>
      <c r="U15" s="133">
        <f>'BAU Scenario'!U15</f>
        <v>7.6619130301045413</v>
      </c>
      <c r="V15" s="133">
        <f>'BAU Scenario'!V15</f>
        <v>21.7791806272248</v>
      </c>
      <c r="W15" s="133">
        <f>$O15*'GREET factors'!I94/454/2000</f>
        <v>216957.61088211631</v>
      </c>
      <c r="X15" s="3">
        <f>('Combined MOVES output'!D9/454/2000-'BAU Scenario'!D15)*'GREET factors'!$V$1</f>
        <v>599507.94546673249</v>
      </c>
      <c r="Y15" s="266">
        <f>O15*M15*'GREET factors'!$J$3/454/2000</f>
        <v>156.09953442100348</v>
      </c>
      <c r="Z15" s="266">
        <f>O15*M15*'GREET factors'!K$3/454/2000</f>
        <v>16.295689831587183</v>
      </c>
      <c r="AA15" s="266"/>
      <c r="AB15" s="266"/>
      <c r="AC15" s="133">
        <f>T15-X15</f>
        <v>-383415.45119984949</v>
      </c>
      <c r="AD15" s="266">
        <f>P15-Y15</f>
        <v>-69.713688296576379</v>
      </c>
      <c r="AE15" s="266">
        <f>Q15-Z15</f>
        <v>-6.4730742576505005</v>
      </c>
      <c r="AF15" s="266"/>
      <c r="AG15" s="266"/>
      <c r="AH15">
        <v>2025</v>
      </c>
    </row>
    <row r="16" spans="1:34">
      <c r="C16" s="3"/>
      <c r="D16" s="3"/>
      <c r="E16" s="3"/>
      <c r="F16" s="3"/>
      <c r="G16" s="3"/>
      <c r="H16" s="3"/>
      <c r="L16" s="42"/>
      <c r="M16" s="42"/>
      <c r="O16" s="6"/>
      <c r="P16" s="33"/>
      <c r="Q16" s="33"/>
      <c r="R16" s="33"/>
      <c r="S16" s="33"/>
      <c r="T16" s="33"/>
      <c r="U16" s="33"/>
      <c r="V16" s="33"/>
      <c r="W16" s="33"/>
      <c r="AC16" s="33"/>
    </row>
    <row r="17" spans="1:34">
      <c r="A17">
        <v>2026</v>
      </c>
      <c r="B17">
        <v>20</v>
      </c>
      <c r="C17" s="281" t="s">
        <v>145</v>
      </c>
      <c r="D17" s="281"/>
      <c r="E17" s="281"/>
      <c r="F17" s="281"/>
      <c r="G17" s="281"/>
      <c r="H17" s="281"/>
      <c r="I17" s="281"/>
      <c r="J17" s="3"/>
      <c r="L17" s="42"/>
      <c r="M17" s="42"/>
      <c r="P17" s="33"/>
      <c r="Q17" s="33"/>
      <c r="R17" s="33"/>
      <c r="S17" s="33"/>
      <c r="T17" s="33"/>
      <c r="U17" s="33"/>
      <c r="V17" s="33"/>
      <c r="W17" s="33"/>
      <c r="AC17" s="33"/>
    </row>
    <row r="18" spans="1:34">
      <c r="A18">
        <v>2026</v>
      </c>
      <c r="B18">
        <v>30</v>
      </c>
      <c r="C18" s="281"/>
      <c r="D18" s="281"/>
      <c r="E18" s="281"/>
      <c r="F18" s="281"/>
      <c r="G18" s="281"/>
      <c r="H18" s="281"/>
      <c r="I18" s="281"/>
      <c r="J18" s="3"/>
      <c r="L18" s="42"/>
      <c r="M18" s="42"/>
      <c r="O18" t="s">
        <v>17</v>
      </c>
      <c r="P18" s="33"/>
      <c r="Q18" s="33"/>
      <c r="R18" s="33"/>
      <c r="S18" s="33"/>
      <c r="T18" s="33"/>
      <c r="U18" s="33"/>
      <c r="V18" s="33"/>
      <c r="W18" s="33"/>
      <c r="AC18" s="33"/>
    </row>
    <row r="19" spans="1:34">
      <c r="A19">
        <v>2026</v>
      </c>
      <c r="B19">
        <v>41</v>
      </c>
      <c r="C19" s="281"/>
      <c r="D19" s="281"/>
      <c r="E19" s="281"/>
      <c r="F19" s="281"/>
      <c r="G19" s="281"/>
      <c r="H19" s="281"/>
      <c r="I19" s="281"/>
      <c r="J19" s="3"/>
      <c r="L19" s="42"/>
      <c r="M19" s="42"/>
      <c r="O19" t="s">
        <v>142</v>
      </c>
      <c r="P19" s="33" t="s">
        <v>8</v>
      </c>
      <c r="Q19" s="33" t="s">
        <v>10</v>
      </c>
      <c r="R19" s="33" t="s">
        <v>14</v>
      </c>
      <c r="S19" s="33" t="s">
        <v>15</v>
      </c>
      <c r="T19" s="33" t="s">
        <v>16</v>
      </c>
      <c r="U19" s="33" t="s">
        <v>115</v>
      </c>
      <c r="V19" s="33" t="s">
        <v>116</v>
      </c>
      <c r="W19" s="33" t="s">
        <v>47</v>
      </c>
      <c r="X19" t="s">
        <v>47</v>
      </c>
      <c r="Y19" s="33" t="s">
        <v>8</v>
      </c>
      <c r="Z19" s="33" t="s">
        <v>10</v>
      </c>
      <c r="AC19" s="33" t="s">
        <v>47</v>
      </c>
      <c r="AD19" s="33" t="s">
        <v>8</v>
      </c>
      <c r="AE19" s="33" t="s">
        <v>10</v>
      </c>
    </row>
    <row r="20" spans="1:34">
      <c r="A20">
        <v>2026</v>
      </c>
      <c r="B20" s="8" t="s">
        <v>109</v>
      </c>
      <c r="C20" s="3">
        <f>'BAU Scenario'!C20</f>
        <v>15236.856156572934</v>
      </c>
      <c r="D20" s="3">
        <f>'BAU Scenario'!D20</f>
        <v>46752488.34458518</v>
      </c>
      <c r="E20" s="3">
        <f>'BAU Scenario'!E20</f>
        <v>532097058.75099254</v>
      </c>
      <c r="F20" s="3">
        <f>'BAU Scenario'!F20</f>
        <v>1339.4651125326534</v>
      </c>
      <c r="G20" s="3">
        <f>'BAU Scenario'!G20</f>
        <v>21881.0531232875</v>
      </c>
      <c r="H20" s="3">
        <f>'BAU Scenario'!H20</f>
        <v>640.97203264430993</v>
      </c>
      <c r="I20" s="3">
        <f>'BAU Scenario'!I20</f>
        <v>3759.0884119271732</v>
      </c>
      <c r="J20" s="3">
        <f>D20+AC20</f>
        <v>46329398.912889317</v>
      </c>
      <c r="L20" s="42">
        <f>'BAU Scenario'!L20</f>
        <v>3.8693424311575082E-2</v>
      </c>
      <c r="M20" s="42">
        <f>'ZEV efficiency'!L45</f>
        <v>4.5196833584062999</v>
      </c>
      <c r="O20" s="3">
        <f>E20*L20/M20</f>
        <v>4555331.7868827619</v>
      </c>
      <c r="P20" s="133">
        <f>'BAU Scenario'!P20</f>
        <v>103.09592457321783</v>
      </c>
      <c r="Q20" s="133">
        <f>'BAU Scenario'!Q20</f>
        <v>11.722656890616948</v>
      </c>
      <c r="R20" s="133">
        <f>'BAU Scenario'!R20</f>
        <v>20.735681456843654</v>
      </c>
      <c r="S20" s="133">
        <f>'BAU Scenario'!S20</f>
        <v>1.7250628684143687</v>
      </c>
      <c r="T20" s="133">
        <f>'BAU Scenario'!T20</f>
        <v>257892.42670249782</v>
      </c>
      <c r="U20" s="133">
        <f>'BAU Scenario'!U20</f>
        <v>9.1439980422308</v>
      </c>
      <c r="V20" s="133">
        <f>'BAU Scenario'!V20</f>
        <v>25.992044576107297</v>
      </c>
      <c r="W20" s="133">
        <f>$O20*'GREET factors'!I95/454/2000</f>
        <v>258924.37819700234</v>
      </c>
      <c r="X20" s="3">
        <f>('Combined MOVES output'!D10/454/2000-D20)*'GREET factors'!V1</f>
        <v>680981.85839835973</v>
      </c>
      <c r="Y20" s="266">
        <f>O20*M20*'GREET factors'!$J$3/454/2000</f>
        <v>204.56949551787494</v>
      </c>
      <c r="Z20" s="266">
        <f>O20*M20*'GREET factors'!K$3/454/2000</f>
        <v>21.355611727660687</v>
      </c>
      <c r="AA20" s="266"/>
      <c r="AB20" s="266"/>
      <c r="AC20" s="133">
        <f>T20-X20</f>
        <v>-423089.43169586192</v>
      </c>
      <c r="AD20" s="266">
        <f>P20-Y20</f>
        <v>-101.47357094465711</v>
      </c>
      <c r="AE20" s="266">
        <f>Q20-Z20</f>
        <v>-9.632954837043739</v>
      </c>
      <c r="AF20" s="266"/>
      <c r="AG20" s="266"/>
      <c r="AH20">
        <v>2026</v>
      </c>
    </row>
    <row r="21" spans="1:34">
      <c r="L21" s="42"/>
      <c r="M21" s="42"/>
      <c r="O21" s="6"/>
      <c r="P21" s="33"/>
      <c r="Q21" s="33"/>
      <c r="R21" s="33"/>
      <c r="S21" s="33"/>
      <c r="T21" s="33"/>
      <c r="U21" s="33"/>
      <c r="V21" s="33"/>
      <c r="W21" s="33"/>
      <c r="AC21" s="33"/>
    </row>
    <row r="22" spans="1:34">
      <c r="A22">
        <v>2027</v>
      </c>
      <c r="B22">
        <v>20</v>
      </c>
      <c r="C22" s="122"/>
      <c r="D22" s="3"/>
      <c r="E22" s="3"/>
      <c r="F22" s="3"/>
      <c r="G22" s="3"/>
      <c r="H22" s="3"/>
      <c r="I22" s="3"/>
      <c r="J22" s="3"/>
      <c r="L22" s="42"/>
      <c r="M22" s="42"/>
      <c r="P22" s="33"/>
      <c r="Q22" s="33"/>
      <c r="R22" s="33"/>
      <c r="S22" s="33"/>
      <c r="T22" s="33"/>
      <c r="U22" s="33"/>
      <c r="V22" s="33"/>
      <c r="W22" s="33"/>
      <c r="AC22" s="33"/>
    </row>
    <row r="23" spans="1:34">
      <c r="A23">
        <v>2027</v>
      </c>
      <c r="B23">
        <v>30</v>
      </c>
      <c r="C23" s="3"/>
      <c r="D23" s="3"/>
      <c r="E23" s="3"/>
      <c r="F23" s="3"/>
      <c r="G23" s="3"/>
      <c r="H23" s="3"/>
      <c r="I23" s="3"/>
      <c r="J23" s="3"/>
      <c r="L23" s="42"/>
      <c r="M23" s="42"/>
      <c r="O23" s="29" t="s">
        <v>17</v>
      </c>
      <c r="P23" s="33"/>
      <c r="Q23" s="33"/>
      <c r="R23" s="33"/>
      <c r="S23" s="33"/>
      <c r="T23" s="33"/>
      <c r="U23" s="33"/>
      <c r="V23" s="33"/>
      <c r="W23" s="33"/>
      <c r="AC23" s="33"/>
    </row>
    <row r="24" spans="1:34">
      <c r="A24">
        <v>2027</v>
      </c>
      <c r="B24">
        <v>41</v>
      </c>
      <c r="C24" s="3"/>
      <c r="D24" s="3"/>
      <c r="E24" s="3"/>
      <c r="F24" s="3"/>
      <c r="G24" s="3"/>
      <c r="H24" s="3"/>
      <c r="I24" s="3"/>
      <c r="J24" s="3"/>
      <c r="L24" s="42"/>
      <c r="M24" s="42"/>
      <c r="O24" s="29" t="s">
        <v>142</v>
      </c>
      <c r="P24" s="33" t="s">
        <v>8</v>
      </c>
      <c r="Q24" s="33" t="s">
        <v>10</v>
      </c>
      <c r="R24" s="33" t="s">
        <v>14</v>
      </c>
      <c r="S24" s="33" t="s">
        <v>15</v>
      </c>
      <c r="T24" s="33" t="s">
        <v>16</v>
      </c>
      <c r="U24" s="33" t="s">
        <v>115</v>
      </c>
      <c r="V24" s="33" t="s">
        <v>116</v>
      </c>
      <c r="W24" s="33" t="s">
        <v>47</v>
      </c>
      <c r="X24" t="s">
        <v>47</v>
      </c>
      <c r="Y24" s="33" t="s">
        <v>8</v>
      </c>
      <c r="Z24" s="33" t="s">
        <v>10</v>
      </c>
      <c r="AC24" s="33" t="s">
        <v>47</v>
      </c>
      <c r="AD24" s="33" t="s">
        <v>8</v>
      </c>
      <c r="AE24" s="33" t="s">
        <v>10</v>
      </c>
    </row>
    <row r="25" spans="1:34">
      <c r="A25">
        <v>2027</v>
      </c>
      <c r="B25" s="8" t="s">
        <v>109</v>
      </c>
      <c r="C25" s="3">
        <f>'BAU Scenario'!C25*(1-'ACC emissions benefits'!C30)</f>
        <v>13224.483584438422</v>
      </c>
      <c r="D25" s="3">
        <f>'BAU Scenario'!D25*(1-'ACC emissions benefits'!D30)</f>
        <v>43881920.694710501</v>
      </c>
      <c r="E25" s="3">
        <f>'Combined MOVES output'!E11</f>
        <v>527143652.10915816</v>
      </c>
      <c r="F25" s="3">
        <f>'BAU Scenario'!F25*(1-'ACC emissions benefits'!F30)</f>
        <v>1280.5929820362123</v>
      </c>
      <c r="G25" s="3">
        <f>'BAU Scenario'!G25*(1-'ACC emissions benefits'!G30)</f>
        <v>20600.69668941465</v>
      </c>
      <c r="H25" s="3">
        <f>'BAU Scenario'!H25*(1-'ACC emissions benefits'!H30)</f>
        <v>609.85751010725744</v>
      </c>
      <c r="I25" s="3">
        <f>'BAU Scenario'!I25*(1-'ACC emissions benefits'!I30)</f>
        <v>3597.4865439745345</v>
      </c>
      <c r="J25" s="3">
        <f>D25+AC25</f>
        <v>42962448.022821702</v>
      </c>
      <c r="L25" s="42">
        <f>'Fleet ZEV fractions'!AS19</f>
        <v>5.7716897820661507E-2</v>
      </c>
      <c r="M25" s="42">
        <f>'ZEV efficiency'!L46</f>
        <v>4.4511142158008035</v>
      </c>
      <c r="O25" s="3">
        <f>E25*L25/M25</f>
        <v>6835388.8106465535</v>
      </c>
      <c r="P25" s="133">
        <f>$O25*'GREET factors'!B96/454/2000</f>
        <v>136.9337815145262</v>
      </c>
      <c r="Q25" s="133">
        <f>$O25*'GREET factors'!C96/454/2000</f>
        <v>15.57023465354809</v>
      </c>
      <c r="R25" s="133">
        <f>$O25*'GREET factors'!D96/454/2000</f>
        <v>27.541489015404416</v>
      </c>
      <c r="S25" s="133">
        <f>$O25*'GREET factors'!E96/454/2000</f>
        <v>2.2912581937660792</v>
      </c>
      <c r="T25" s="133">
        <f>$O25*'GREET factors'!F96/454/2000</f>
        <v>342537.16001403111</v>
      </c>
      <c r="U25" s="133">
        <f>$O25*'GREET factors'!G96/454/2000</f>
        <v>12.145215587012281</v>
      </c>
      <c r="V25" s="133">
        <f>$O25*'GREET factors'!H96/454/2000</f>
        <v>34.523080983407802</v>
      </c>
      <c r="W25" s="133">
        <f>$O25*'GREET factors'!I96/454/2000</f>
        <v>343908.49218115851</v>
      </c>
      <c r="X25" s="3">
        <f>('Combined MOVES output'!D11/454/2000-D25)*'GREET factors'!V1</f>
        <v>1262009.831902826</v>
      </c>
      <c r="Y25" s="266">
        <f>O25*M25*'GREET factors'!$J$3/454/2000</f>
        <v>302.30463895434679</v>
      </c>
      <c r="Z25" s="266">
        <f>O25*M25*'GREET factors'!K$3/454/2000</f>
        <v>31.558471005837582</v>
      </c>
      <c r="AA25" s="266"/>
      <c r="AB25" s="266"/>
      <c r="AC25" s="133">
        <f>T25-X25</f>
        <v>-919472.67188879487</v>
      </c>
      <c r="AD25" s="266">
        <f>P25-Y25</f>
        <v>-165.37085743982058</v>
      </c>
      <c r="AE25" s="266">
        <f>Q25-Z25</f>
        <v>-15.988236352289492</v>
      </c>
      <c r="AF25" s="266"/>
      <c r="AG25" s="266"/>
      <c r="AH25">
        <v>2027</v>
      </c>
    </row>
    <row r="26" spans="1:34">
      <c r="L26" s="42"/>
      <c r="M26" s="42"/>
      <c r="O26" s="29"/>
      <c r="P26" s="134"/>
      <c r="Q26" s="33"/>
      <c r="R26" s="33"/>
      <c r="S26" s="33"/>
      <c r="T26" s="33"/>
      <c r="U26" s="33"/>
      <c r="V26" s="33"/>
      <c r="W26" s="33"/>
      <c r="X26" s="3"/>
      <c r="Y26" s="3"/>
      <c r="Z26" s="3"/>
      <c r="AA26" s="3"/>
      <c r="AB26" s="3"/>
      <c r="AC26" s="33"/>
    </row>
    <row r="27" spans="1:34">
      <c r="A27">
        <v>2028</v>
      </c>
      <c r="B27">
        <v>20</v>
      </c>
      <c r="C27" s="3"/>
      <c r="D27" s="3"/>
      <c r="E27" s="3"/>
      <c r="F27" s="3"/>
      <c r="G27" s="3"/>
      <c r="H27" s="3"/>
      <c r="I27" s="3"/>
      <c r="J27" s="3"/>
      <c r="L27" s="42"/>
      <c r="M27" s="42"/>
      <c r="O27" s="29"/>
      <c r="P27" s="134"/>
      <c r="Q27" s="33"/>
      <c r="R27" s="33"/>
      <c r="S27" s="33"/>
      <c r="T27" s="33"/>
      <c r="U27" s="33"/>
      <c r="V27" s="33"/>
      <c r="W27" s="33"/>
      <c r="X27" s="3"/>
      <c r="Y27" s="3"/>
      <c r="Z27" s="3"/>
      <c r="AA27" s="3"/>
      <c r="AB27" s="3"/>
      <c r="AC27" s="33"/>
    </row>
    <row r="28" spans="1:34">
      <c r="A28">
        <v>2028</v>
      </c>
      <c r="B28">
        <v>30</v>
      </c>
      <c r="C28" s="3"/>
      <c r="D28" s="3"/>
      <c r="E28" s="3"/>
      <c r="F28" s="3"/>
      <c r="G28" s="3"/>
      <c r="H28" s="3"/>
      <c r="I28" s="3"/>
      <c r="J28" s="3"/>
      <c r="L28" s="42"/>
      <c r="M28" s="42"/>
      <c r="O28" s="29" t="s">
        <v>17</v>
      </c>
      <c r="P28" s="33"/>
      <c r="Q28" s="33"/>
      <c r="R28" s="33"/>
      <c r="S28" s="33"/>
      <c r="T28" s="33"/>
      <c r="U28" s="33"/>
      <c r="V28" s="33"/>
      <c r="W28" s="33"/>
      <c r="X28" s="3"/>
      <c r="Y28" s="3"/>
      <c r="Z28" s="3"/>
      <c r="AA28" s="3"/>
      <c r="AB28" s="3"/>
      <c r="AC28" s="33"/>
      <c r="AE28" s="6"/>
    </row>
    <row r="29" spans="1:34">
      <c r="A29">
        <v>2028</v>
      </c>
      <c r="B29">
        <v>41</v>
      </c>
      <c r="C29" s="3"/>
      <c r="D29" s="3"/>
      <c r="E29" s="3"/>
      <c r="F29" s="3"/>
      <c r="G29" s="3"/>
      <c r="H29" s="3"/>
      <c r="I29" s="3"/>
      <c r="J29" s="3"/>
      <c r="L29" s="42"/>
      <c r="M29" s="42"/>
      <c r="O29" s="29" t="s">
        <v>142</v>
      </c>
      <c r="P29" s="33" t="s">
        <v>8</v>
      </c>
      <c r="Q29" s="33" t="s">
        <v>10</v>
      </c>
      <c r="R29" s="33" t="s">
        <v>14</v>
      </c>
      <c r="S29" s="33" t="s">
        <v>15</v>
      </c>
      <c r="T29" s="33" t="s">
        <v>16</v>
      </c>
      <c r="U29" s="33" t="s">
        <v>115</v>
      </c>
      <c r="V29" s="33" t="s">
        <v>116</v>
      </c>
      <c r="W29" s="33" t="s">
        <v>47</v>
      </c>
      <c r="X29" t="s">
        <v>47</v>
      </c>
      <c r="Y29" s="33" t="s">
        <v>8</v>
      </c>
      <c r="Z29" s="33" t="s">
        <v>10</v>
      </c>
      <c r="AC29" s="33" t="s">
        <v>47</v>
      </c>
      <c r="AD29" s="33" t="s">
        <v>8</v>
      </c>
      <c r="AE29" s="33" t="s">
        <v>10</v>
      </c>
    </row>
    <row r="30" spans="1:34">
      <c r="A30">
        <v>2028</v>
      </c>
      <c r="B30" s="8" t="s">
        <v>109</v>
      </c>
      <c r="C30" s="3">
        <f>'BAU Scenario'!C30*(1-'ACC emissions benefits'!C31)</f>
        <v>11298.185425722761</v>
      </c>
      <c r="D30" s="3">
        <f>'BAU Scenario'!D30*(1-'ACC emissions benefits'!D31)</f>
        <v>41206961.69504299</v>
      </c>
      <c r="E30" s="3">
        <f>'Combined MOVES output'!E12</f>
        <v>522190245.46732378</v>
      </c>
      <c r="F30" s="3">
        <f>'BAU Scenario'!F30*(1-'ACC emissions benefits'!F31)</f>
        <v>1224.7287166654608</v>
      </c>
      <c r="G30" s="3">
        <f>'BAU Scenario'!G30*(1-'ACC emissions benefits'!G31)</f>
        <v>19359.493428366659</v>
      </c>
      <c r="H30" s="3">
        <f>'BAU Scenario'!H30*(1-'ACC emissions benefits'!H31)</f>
        <v>582.70746151173068</v>
      </c>
      <c r="I30" s="3">
        <f>'BAU Scenario'!I30*(1-'ACC emissions benefits'!I31)</f>
        <v>3474.4683612815197</v>
      </c>
      <c r="J30" s="3">
        <f>D30+AC30</f>
        <v>39836490.41607663</v>
      </c>
      <c r="L30" s="42">
        <f>'Fleet ZEV fractions'!AS20</f>
        <v>8.0105477596329203E-2</v>
      </c>
      <c r="M30" s="42">
        <f>'ZEV efficiency'!L47</f>
        <v>4.3820263375286919</v>
      </c>
      <c r="O30" s="3">
        <f>E30*L30/M30</f>
        <v>9545880.3273407891</v>
      </c>
      <c r="P30" s="133">
        <f>$O30*'GREET factors'!B97/454/2000</f>
        <v>166.4252462079329</v>
      </c>
      <c r="Q30" s="133">
        <f>$O30*'GREET factors'!C97/454/2000</f>
        <v>18.923600203483328</v>
      </c>
      <c r="R30" s="133">
        <f>$O30*'GREET factors'!D97/454/2000</f>
        <v>33.473106779246606</v>
      </c>
      <c r="S30" s="133">
        <f>$O30*'GREET factors'!E97/454/2000</f>
        <v>2.7847270761525857</v>
      </c>
      <c r="T30" s="133">
        <f>$O30*'GREET factors'!F97/454/2000</f>
        <v>416309.47864135227</v>
      </c>
      <c r="U30" s="133">
        <f>$O30*'GREET factors'!G97/454/2000</f>
        <v>14.760933875929831</v>
      </c>
      <c r="V30" s="133">
        <f>$O30*'GREET factors'!H97/454/2000</f>
        <v>41.958326053462237</v>
      </c>
      <c r="W30" s="133">
        <f>$O30*'GREET factors'!I97/454/2000</f>
        <v>417976.15497952694</v>
      </c>
      <c r="X30" s="3">
        <f>('Combined MOVES output'!D12/454/2000-D30)*'GREET factors'!V1</f>
        <v>1786780.7576077103</v>
      </c>
      <c r="Y30" s="266">
        <f>O30*M30*'GREET factors'!$J$3/454/2000</f>
        <v>415.62706366963403</v>
      </c>
      <c r="Z30" s="266">
        <f>O30*M30*'GREET factors'!K$3/454/2000</f>
        <v>43.388532453318994</v>
      </c>
      <c r="AA30" s="266"/>
      <c r="AB30" s="266"/>
      <c r="AC30" s="133">
        <f>T30-X30</f>
        <v>-1370471.2789663579</v>
      </c>
      <c r="AD30" s="266">
        <f>P30-Y30</f>
        <v>-249.20181746170113</v>
      </c>
      <c r="AE30" s="266">
        <f>Q30-Z30</f>
        <v>-24.464932249835666</v>
      </c>
      <c r="AF30" s="266"/>
      <c r="AG30" s="266"/>
      <c r="AH30">
        <v>2028</v>
      </c>
    </row>
    <row r="31" spans="1:34">
      <c r="L31" s="42"/>
      <c r="M31" s="42"/>
      <c r="O31" s="29"/>
      <c r="P31" s="33"/>
      <c r="Q31" s="33"/>
      <c r="R31" s="33"/>
      <c r="S31" s="33"/>
      <c r="T31" s="33"/>
      <c r="U31" s="33"/>
      <c r="V31" s="33"/>
      <c r="W31" s="33"/>
      <c r="X31" s="3"/>
      <c r="Y31" s="3"/>
      <c r="Z31" s="3"/>
      <c r="AA31" s="3"/>
      <c r="AB31" s="3"/>
      <c r="AC31" s="33"/>
    </row>
    <row r="32" spans="1:34">
      <c r="A32">
        <v>2029</v>
      </c>
      <c r="B32">
        <v>20</v>
      </c>
      <c r="C32" s="3"/>
      <c r="D32" s="3"/>
      <c r="E32" s="3"/>
      <c r="F32" s="3"/>
      <c r="G32" s="3"/>
      <c r="H32" s="3"/>
      <c r="I32" s="3"/>
      <c r="J32" s="3"/>
      <c r="L32" s="42"/>
      <c r="M32" s="42"/>
      <c r="O32" s="29"/>
      <c r="P32" s="33"/>
      <c r="Q32" s="33"/>
      <c r="R32" s="33"/>
      <c r="S32" s="33"/>
      <c r="T32" s="33"/>
      <c r="U32" s="33"/>
      <c r="V32" s="33"/>
      <c r="W32" s="33"/>
      <c r="X32" s="3"/>
      <c r="Y32" s="3"/>
      <c r="Z32" s="3"/>
      <c r="AA32" s="3"/>
      <c r="AB32" s="3"/>
      <c r="AC32" s="33"/>
    </row>
    <row r="33" spans="1:34">
      <c r="A33">
        <v>2029</v>
      </c>
      <c r="B33">
        <v>30</v>
      </c>
      <c r="C33" s="3"/>
      <c r="D33" s="3"/>
      <c r="E33" s="3"/>
      <c r="F33" s="3"/>
      <c r="G33" s="3"/>
      <c r="H33" s="3"/>
      <c r="I33" s="3"/>
      <c r="J33" s="3"/>
      <c r="L33" s="42"/>
      <c r="M33" s="42"/>
      <c r="O33" s="29" t="s">
        <v>17</v>
      </c>
      <c r="P33" s="33"/>
      <c r="Q33" s="33"/>
      <c r="R33" s="33"/>
      <c r="S33" s="33"/>
      <c r="T33" s="33"/>
      <c r="U33" s="33"/>
      <c r="V33" s="33"/>
      <c r="W33" s="33"/>
      <c r="X33" s="3"/>
      <c r="Y33" s="3"/>
      <c r="Z33" s="3"/>
      <c r="AA33" s="3"/>
      <c r="AB33" s="3"/>
      <c r="AC33" s="33"/>
    </row>
    <row r="34" spans="1:34">
      <c r="A34">
        <v>2029</v>
      </c>
      <c r="B34">
        <v>41</v>
      </c>
      <c r="C34" s="3"/>
      <c r="D34" s="3"/>
      <c r="E34" s="3"/>
      <c r="F34" s="3"/>
      <c r="G34" s="3"/>
      <c r="H34" s="3"/>
      <c r="I34" s="3"/>
      <c r="J34" s="3"/>
      <c r="L34" s="42"/>
      <c r="M34" s="42"/>
      <c r="O34" s="29" t="s">
        <v>142</v>
      </c>
      <c r="P34" s="33" t="s">
        <v>8</v>
      </c>
      <c r="Q34" s="33" t="s">
        <v>10</v>
      </c>
      <c r="R34" s="33" t="s">
        <v>14</v>
      </c>
      <c r="S34" s="33" t="s">
        <v>15</v>
      </c>
      <c r="T34" s="33" t="s">
        <v>16</v>
      </c>
      <c r="U34" s="33" t="s">
        <v>115</v>
      </c>
      <c r="V34" s="33" t="s">
        <v>116</v>
      </c>
      <c r="W34" s="33" t="s">
        <v>47</v>
      </c>
      <c r="X34" t="s">
        <v>47</v>
      </c>
      <c r="Y34" s="33" t="s">
        <v>8</v>
      </c>
      <c r="Z34" s="33" t="s">
        <v>10</v>
      </c>
      <c r="AC34" s="33" t="s">
        <v>47</v>
      </c>
      <c r="AD34" s="33" t="s">
        <v>8</v>
      </c>
      <c r="AE34" s="33" t="s">
        <v>10</v>
      </c>
    </row>
    <row r="35" spans="1:34">
      <c r="A35">
        <v>2029</v>
      </c>
      <c r="B35" s="8" t="s">
        <v>109</v>
      </c>
      <c r="C35" s="3">
        <f>'BAU Scenario'!C35*(1-'ACC emissions benefits'!C32)</f>
        <v>9366.9925507304797</v>
      </c>
      <c r="D35" s="3">
        <f>'BAU Scenario'!D35*(1-'ACC emissions benefits'!D32)</f>
        <v>38312353.607358672</v>
      </c>
      <c r="E35" s="3">
        <f>'Combined MOVES output'!E13</f>
        <v>517236838.8254894</v>
      </c>
      <c r="F35" s="3">
        <f>'BAU Scenario'!F35*(1-'ACC emissions benefits'!F32)</f>
        <v>1166.4719749397948</v>
      </c>
      <c r="G35" s="3">
        <f>'BAU Scenario'!G35*(1-'ACC emissions benefits'!G32)</f>
        <v>18067.110610451309</v>
      </c>
      <c r="H35" s="3">
        <f>'BAU Scenario'!H35*(1-'ACC emissions benefits'!H32)</f>
        <v>551.13573827915639</v>
      </c>
      <c r="I35" s="3">
        <f>'BAU Scenario'!I35*(1-'ACC emissions benefits'!I32)</f>
        <v>3331.3969183370718</v>
      </c>
      <c r="J35" s="3">
        <f>D35+AC35</f>
        <v>36408493.329187952</v>
      </c>
      <c r="L35" s="42">
        <f>'Fleet ZEV fractions'!AS21</f>
        <v>0.10580909160965475</v>
      </c>
      <c r="M35" s="42">
        <f>'ZEV efficiency'!L48</f>
        <v>4.3133593585787438</v>
      </c>
      <c r="O35" s="3">
        <f>E35*L35/M35</f>
        <v>12688105.838973612</v>
      </c>
      <c r="P35" s="133">
        <f>$O35*'GREET factors'!B98/454/2000</f>
        <v>188.2335345691599</v>
      </c>
      <c r="Q35" s="133">
        <f>$O35*'GREET factors'!C98/454/2000</f>
        <v>21.403340143627499</v>
      </c>
      <c r="R35" s="133">
        <f>$O35*'GREET factors'!D98/454/2000</f>
        <v>37.859407425459224</v>
      </c>
      <c r="S35" s="133">
        <f>$O35*'GREET factors'!E98/454/2000</f>
        <v>3.1496364421761474</v>
      </c>
      <c r="T35" s="133">
        <f>$O35*'GREET factors'!F98/454/2000</f>
        <v>470862.48285550444</v>
      </c>
      <c r="U35" s="133">
        <f>$O35*'GREET factors'!G98/454/2000</f>
        <v>16.695199918986088</v>
      </c>
      <c r="V35" s="133">
        <f>$O35*'GREET factors'!H98/454/2000</f>
        <v>47.456525963498912</v>
      </c>
      <c r="W35" s="133">
        <f>$O35*'GREET factors'!I98/454/2000</f>
        <v>472747.55970090936</v>
      </c>
      <c r="X35" s="3">
        <f>('Combined MOVES output'!D13/454/2000-D35)*'GREET factors'!V1</f>
        <v>2374722.7610262264</v>
      </c>
      <c r="Y35" s="266">
        <f>O35*M35*'GREET factors'!$J$3/454/2000</f>
        <v>543.78257223196306</v>
      </c>
      <c r="Z35" s="266">
        <f>O35*M35*'GREET factors'!K$3/454/2000</f>
        <v>56.767063180442243</v>
      </c>
      <c r="AA35" s="266"/>
      <c r="AB35" s="266"/>
      <c r="AC35" s="133">
        <f>T35-X35</f>
        <v>-1903860.2781707221</v>
      </c>
      <c r="AD35" s="266">
        <f>P35-Y35</f>
        <v>-355.54903766280313</v>
      </c>
      <c r="AE35" s="266">
        <f>Q35-Z35</f>
        <v>-35.363723036814747</v>
      </c>
      <c r="AF35" s="266"/>
      <c r="AG35" s="266"/>
      <c r="AH35">
        <v>2029</v>
      </c>
    </row>
    <row r="36" spans="1:34">
      <c r="C36" s="3"/>
      <c r="D36" s="3"/>
      <c r="E36" s="3"/>
      <c r="F36" s="3"/>
      <c r="G36" s="3"/>
      <c r="H36" s="3"/>
      <c r="L36" s="42"/>
      <c r="M36" s="42"/>
      <c r="O36" s="29"/>
      <c r="P36" s="33"/>
      <c r="Q36" s="33"/>
      <c r="R36" s="33"/>
      <c r="S36" s="33"/>
      <c r="T36" s="33"/>
      <c r="U36" s="33"/>
      <c r="V36" s="33"/>
      <c r="W36" s="33"/>
      <c r="AC36" s="33"/>
    </row>
    <row r="37" spans="1:34">
      <c r="A37">
        <v>2030</v>
      </c>
      <c r="B37">
        <v>20</v>
      </c>
      <c r="C37" s="3"/>
      <c r="D37" s="3"/>
      <c r="E37" s="3"/>
      <c r="F37" s="3"/>
      <c r="G37" s="3"/>
      <c r="H37" s="3"/>
      <c r="I37" s="3"/>
      <c r="J37" s="3"/>
      <c r="L37" s="42"/>
      <c r="M37" s="42"/>
      <c r="O37" s="29"/>
      <c r="P37" s="33"/>
      <c r="Q37" s="33"/>
      <c r="R37" s="33"/>
      <c r="S37" s="33"/>
      <c r="T37" s="33"/>
      <c r="U37" s="33"/>
      <c r="V37" s="33"/>
      <c r="W37" s="33"/>
      <c r="AC37" s="33"/>
    </row>
    <row r="38" spans="1:34">
      <c r="A38">
        <v>2030</v>
      </c>
      <c r="B38">
        <v>30</v>
      </c>
      <c r="C38" s="3"/>
      <c r="D38" s="3"/>
      <c r="E38" s="3"/>
      <c r="F38" s="3"/>
      <c r="G38" s="3"/>
      <c r="H38" s="3"/>
      <c r="I38" s="3"/>
      <c r="J38" s="3"/>
      <c r="L38" s="42"/>
      <c r="M38" s="42"/>
      <c r="O38" s="29" t="s">
        <v>17</v>
      </c>
      <c r="P38" s="33"/>
      <c r="Q38" s="33"/>
      <c r="R38" s="33"/>
      <c r="S38" s="33"/>
      <c r="T38" s="33"/>
      <c r="U38" s="33"/>
      <c r="V38" s="33"/>
      <c r="W38" s="33"/>
      <c r="AC38" s="33"/>
    </row>
    <row r="39" spans="1:34">
      <c r="A39">
        <v>2030</v>
      </c>
      <c r="B39">
        <v>41</v>
      </c>
      <c r="C39" s="3"/>
      <c r="D39" s="3"/>
      <c r="E39" s="3"/>
      <c r="F39" s="3"/>
      <c r="G39" s="3"/>
      <c r="H39" s="3"/>
      <c r="I39" s="3"/>
      <c r="J39" s="3"/>
      <c r="L39" s="42"/>
      <c r="M39" s="42"/>
      <c r="O39" s="29" t="s">
        <v>142</v>
      </c>
      <c r="P39" s="33" t="s">
        <v>8</v>
      </c>
      <c r="Q39" s="33" t="s">
        <v>10</v>
      </c>
      <c r="R39" s="33" t="s">
        <v>14</v>
      </c>
      <c r="S39" s="33" t="s">
        <v>15</v>
      </c>
      <c r="T39" s="33" t="s">
        <v>16</v>
      </c>
      <c r="U39" s="33" t="s">
        <v>115</v>
      </c>
      <c r="V39" s="33" t="s">
        <v>116</v>
      </c>
      <c r="W39" s="33" t="s">
        <v>47</v>
      </c>
      <c r="X39" t="s">
        <v>47</v>
      </c>
      <c r="Y39" s="33" t="s">
        <v>8</v>
      </c>
      <c r="Z39" s="33" t="s">
        <v>10</v>
      </c>
      <c r="AC39" s="33" t="s">
        <v>47</v>
      </c>
      <c r="AD39" s="33" t="s">
        <v>8</v>
      </c>
      <c r="AE39" s="33" t="s">
        <v>10</v>
      </c>
    </row>
    <row r="40" spans="1:34">
      <c r="A40">
        <v>2030</v>
      </c>
      <c r="B40" s="8" t="s">
        <v>109</v>
      </c>
      <c r="C40" s="3">
        <f>'BAU Scenario'!C40*(1-'ACC emissions benefits'!C33)</f>
        <v>7458.5301830756216</v>
      </c>
      <c r="D40" s="3">
        <f>'BAU Scenario'!D40*(1-'ACC emissions benefits'!D33)</f>
        <v>35322648.092759445</v>
      </c>
      <c r="E40" s="3">
        <f>'Combined MOVES output'!E14</f>
        <v>512283432.18365502</v>
      </c>
      <c r="F40" s="3">
        <f>'BAU Scenario'!F40*(1-'ACC emissions benefits'!F33)</f>
        <v>1101.6025608396606</v>
      </c>
      <c r="G40" s="3">
        <f>'BAU Scenario'!G40*(1-'ACC emissions benefits'!G33)</f>
        <v>16744.372701611574</v>
      </c>
      <c r="H40" s="3">
        <f>'BAU Scenario'!H40*(1-'ACC emissions benefits'!H33)</f>
        <v>517.81904253867128</v>
      </c>
      <c r="I40" s="3">
        <f>'BAU Scenario'!I40*(1-'ACC emissions benefits'!I33)</f>
        <v>3172.2598628784049</v>
      </c>
      <c r="J40" s="3">
        <f>D40+AC40</f>
        <v>32832148.379594099</v>
      </c>
      <c r="L40" s="42">
        <f>'Fleet ZEV fractions'!AS22</f>
        <v>0.13522575316965352</v>
      </c>
      <c r="M40" s="42">
        <f>'ZEV efficiency'!L49</f>
        <v>4.2450182265177867</v>
      </c>
      <c r="O40" s="3">
        <f>E40*L40/M40</f>
        <v>16318872.913343335</v>
      </c>
      <c r="P40" s="133">
        <f>$O40*'GREET factors'!B99/454/2000</f>
        <v>199.68778753331404</v>
      </c>
      <c r="Q40" s="133">
        <f>$O40*'GREET factors'!C99/454/2000</f>
        <v>22.705760952141137</v>
      </c>
      <c r="R40" s="133">
        <f>$O40*'GREET factors'!D99/454/2000</f>
        <v>40.163201118313978</v>
      </c>
      <c r="S40" s="133">
        <f>$O40*'GREET factors'!E99/454/2000</f>
        <v>3.3412958754242061</v>
      </c>
      <c r="T40" s="133">
        <f>$O40*'GREET factors'!F99/454/2000</f>
        <v>499515.07126012276</v>
      </c>
      <c r="U40" s="133">
        <f>$O40*'GREET factors'!G99/454/2000</f>
        <v>17.711124332225701</v>
      </c>
      <c r="V40" s="133">
        <f>$O40*'GREET factors'!H99/454/2000</f>
        <v>50.344316677465159</v>
      </c>
      <c r="W40" s="133">
        <f>$O40*'GREET factors'!I99/454/2000</f>
        <v>501514.85745895701</v>
      </c>
      <c r="X40" s="3">
        <f>('Combined MOVES output'!D14/454/2000-D40)*'GREET factors'!V1</f>
        <v>2990014.78442547</v>
      </c>
      <c r="Y40" s="266">
        <f>O40*M40*'GREET factors'!$J$3/454/2000</f>
        <v>688.30760744288932</v>
      </c>
      <c r="Z40" s="266">
        <f>O40*M40*'GREET factors'!K$3/454/2000</f>
        <v>71.85445697333229</v>
      </c>
      <c r="AA40" s="266"/>
      <c r="AB40" s="266"/>
      <c r="AC40" s="133">
        <f>T40-X40</f>
        <v>-2490499.7131653475</v>
      </c>
      <c r="AD40" s="266">
        <f>P40-Y40</f>
        <v>-488.61981990957531</v>
      </c>
      <c r="AE40" s="266">
        <f>Q40-Z40</f>
        <v>-49.148696021191157</v>
      </c>
      <c r="AF40" s="266"/>
      <c r="AG40" s="266"/>
      <c r="AH40">
        <v>2030</v>
      </c>
    </row>
    <row r="41" spans="1:34">
      <c r="A41" s="6"/>
      <c r="C41" s="3"/>
      <c r="D41" s="3"/>
      <c r="E41" s="3"/>
      <c r="F41" s="3"/>
      <c r="G41" s="3"/>
      <c r="H41" s="3"/>
      <c r="L41" s="42"/>
      <c r="M41" s="42"/>
      <c r="O41" s="29"/>
      <c r="P41" s="33"/>
      <c r="Q41" s="33"/>
      <c r="R41" s="33"/>
      <c r="S41" s="33"/>
      <c r="T41" s="33"/>
      <c r="U41" s="33"/>
      <c r="V41" s="33"/>
      <c r="W41" s="33"/>
      <c r="AC41" s="33"/>
      <c r="AH41" s="6"/>
    </row>
    <row r="42" spans="1:34">
      <c r="A42">
        <v>2031</v>
      </c>
      <c r="B42">
        <v>20</v>
      </c>
      <c r="C42" s="3"/>
      <c r="D42" s="3"/>
      <c r="E42" s="3"/>
      <c r="F42" s="3"/>
      <c r="G42" s="3"/>
      <c r="H42" s="3"/>
      <c r="I42" s="3"/>
      <c r="J42" s="3"/>
      <c r="L42" s="42"/>
      <c r="M42" s="42"/>
      <c r="O42" s="29"/>
      <c r="P42" s="33"/>
      <c r="Q42" s="33"/>
      <c r="R42" s="33"/>
      <c r="S42" s="33"/>
      <c r="T42" s="33"/>
      <c r="U42" s="33"/>
      <c r="V42" s="33"/>
      <c r="W42" s="33"/>
      <c r="AC42" s="33"/>
    </row>
    <row r="43" spans="1:34">
      <c r="A43">
        <v>2031</v>
      </c>
      <c r="B43">
        <v>30</v>
      </c>
      <c r="C43" s="3"/>
      <c r="D43" s="3"/>
      <c r="E43" s="3"/>
      <c r="F43" s="3"/>
      <c r="G43" s="3"/>
      <c r="H43" s="3"/>
      <c r="I43" s="3"/>
      <c r="J43" s="3"/>
      <c r="L43" s="42"/>
      <c r="M43" s="42"/>
      <c r="O43" s="29" t="s">
        <v>17</v>
      </c>
      <c r="P43" s="33"/>
      <c r="Q43" s="33"/>
      <c r="R43" s="33"/>
      <c r="S43" s="33"/>
      <c r="T43" s="33"/>
      <c r="U43" s="33"/>
      <c r="V43" s="33"/>
      <c r="W43" s="33"/>
      <c r="AC43" s="33"/>
    </row>
    <row r="44" spans="1:34">
      <c r="A44">
        <v>2031</v>
      </c>
      <c r="B44">
        <v>41</v>
      </c>
      <c r="C44" s="3"/>
      <c r="D44" s="3"/>
      <c r="E44" s="3"/>
      <c r="F44" s="3"/>
      <c r="G44" s="3"/>
      <c r="H44" s="3"/>
      <c r="I44" s="3"/>
      <c r="J44" s="3"/>
      <c r="L44" s="42"/>
      <c r="M44" s="42"/>
      <c r="O44" s="29" t="s">
        <v>142</v>
      </c>
      <c r="P44" s="33" t="s">
        <v>8</v>
      </c>
      <c r="Q44" s="33" t="s">
        <v>10</v>
      </c>
      <c r="R44" s="33" t="s">
        <v>14</v>
      </c>
      <c r="S44" s="33" t="s">
        <v>15</v>
      </c>
      <c r="T44" s="33" t="s">
        <v>16</v>
      </c>
      <c r="U44" s="33" t="s">
        <v>115</v>
      </c>
      <c r="V44" s="33" t="s">
        <v>116</v>
      </c>
      <c r="W44" s="33" t="s">
        <v>47</v>
      </c>
      <c r="X44" t="s">
        <v>47</v>
      </c>
      <c r="Y44" s="33" t="s">
        <v>8</v>
      </c>
      <c r="Z44" s="33" t="s">
        <v>10</v>
      </c>
      <c r="AC44" s="33" t="s">
        <v>47</v>
      </c>
      <c r="AD44" s="33" t="s">
        <v>8</v>
      </c>
      <c r="AE44" s="33" t="s">
        <v>10</v>
      </c>
    </row>
    <row r="45" spans="1:34">
      <c r="A45">
        <v>2031</v>
      </c>
      <c r="B45" s="8" t="s">
        <v>109</v>
      </c>
      <c r="C45" s="3">
        <f>'BAU Scenario'!C45*(1-'ACC emissions benefits'!C34)</f>
        <v>6725.8078383669872</v>
      </c>
      <c r="D45" s="3">
        <f>'BAU Scenario'!D45*(1-'ACC emissions benefits'!D34)</f>
        <v>32691219.649028149</v>
      </c>
      <c r="E45" s="3">
        <f>'Combined MOVES output'!E15</f>
        <v>510209663.98495835</v>
      </c>
      <c r="F45" s="3">
        <f>'BAU Scenario'!F45*(1-'ACC emissions benefits'!F34)</f>
        <v>1071.8897695126352</v>
      </c>
      <c r="G45" s="3">
        <f>'BAU Scenario'!G45*(1-'ACC emissions benefits'!G34)</f>
        <v>16292.279174026457</v>
      </c>
      <c r="H45" s="3">
        <f>'BAU Scenario'!H45*(1-'ACC emissions benefits'!H34)</f>
        <v>483.71484568794943</v>
      </c>
      <c r="I45" s="3">
        <f>'BAU Scenario'!I45*(1-'ACC emissions benefits'!I34)</f>
        <v>3015.414194493892</v>
      </c>
      <c r="J45" s="3">
        <f>D45+AC45</f>
        <v>29633017.691236734</v>
      </c>
      <c r="L45" s="42">
        <f>'Fleet ZEV fractions'!AS23</f>
        <v>0.17683053559376891</v>
      </c>
      <c r="M45" s="42">
        <f>'ZEV efficiency'!L50</f>
        <v>4.2065593236946501</v>
      </c>
      <c r="O45" s="3">
        <f>E45*L45/M45</f>
        <v>21447611.029608786</v>
      </c>
      <c r="P45" s="133">
        <f>$O45*'GREET factors'!B100/454/2000</f>
        <v>251.94223476641872</v>
      </c>
      <c r="Q45" s="133">
        <f>$O45*'GREET factors'!C100/454/2000</f>
        <v>28.64742119194527</v>
      </c>
      <c r="R45" s="133">
        <f>$O45*'GREET factors'!D100/454/2000</f>
        <v>50.673137151329421</v>
      </c>
      <c r="S45" s="133">
        <f>$O45*'GREET factors'!E100/454/2000</f>
        <v>4.2156486396532973</v>
      </c>
      <c r="T45" s="133">
        <f>$O45*'GREET factors'!F100/454/2000</f>
        <v>630228.54280353419</v>
      </c>
      <c r="U45" s="133">
        <f>$O45*'GREET factors'!G100/454/2000</f>
        <v>22.345784384748168</v>
      </c>
      <c r="V45" s="133">
        <f>$O45*'GREET factors'!H100/454/2000</f>
        <v>63.518454524379976</v>
      </c>
      <c r="W45" s="133">
        <f>$O45*'GREET factors'!I100/454/2000</f>
        <v>632751.63452693413</v>
      </c>
      <c r="X45" s="3">
        <f>('Combined MOVES output'!D15/454/2000-D45)*'GREET factors'!V1</f>
        <v>3688430.500594947</v>
      </c>
      <c r="Y45" s="266">
        <f>O45*M45*'GREET factors'!$J$3/454/2000</f>
        <v>896.43497560483388</v>
      </c>
      <c r="Z45" s="266">
        <f>O45*M45*'GREET factors'!K$3/454/2000</f>
        <v>93.581485497866154</v>
      </c>
      <c r="AA45" s="266"/>
      <c r="AB45" s="266"/>
      <c r="AC45" s="133">
        <f>T45-X45</f>
        <v>-3058201.9577914127</v>
      </c>
      <c r="AD45" s="266">
        <f>P45-Y45</f>
        <v>-644.4927408384151</v>
      </c>
      <c r="AE45" s="266">
        <f>Q45-Z45</f>
        <v>-64.934064305920884</v>
      </c>
      <c r="AF45" s="266"/>
      <c r="AG45" s="266"/>
      <c r="AH45">
        <v>2031</v>
      </c>
    </row>
    <row r="46" spans="1:34">
      <c r="L46" s="42"/>
      <c r="M46" s="42"/>
      <c r="O46" s="29"/>
      <c r="P46" s="33"/>
      <c r="Q46" s="33"/>
      <c r="R46" s="33"/>
      <c r="S46" s="33"/>
      <c r="T46" s="33"/>
      <c r="U46" s="33"/>
      <c r="V46" s="33"/>
      <c r="W46" s="33"/>
      <c r="AC46" s="33"/>
    </row>
    <row r="47" spans="1:34">
      <c r="A47">
        <v>2032</v>
      </c>
      <c r="B47">
        <v>20</v>
      </c>
      <c r="C47" s="3"/>
      <c r="D47" s="3"/>
      <c r="E47" s="3"/>
      <c r="F47" s="3"/>
      <c r="G47" s="3"/>
      <c r="H47" s="3"/>
      <c r="I47" s="3"/>
      <c r="J47" s="3"/>
      <c r="L47" s="42"/>
      <c r="M47" s="42"/>
      <c r="O47" s="29"/>
      <c r="P47" s="33"/>
      <c r="Q47" s="33"/>
      <c r="R47" s="33"/>
      <c r="S47" s="33"/>
      <c r="T47" s="33"/>
      <c r="U47" s="33"/>
      <c r="V47" s="33"/>
      <c r="W47" s="33"/>
      <c r="AC47" s="33"/>
    </row>
    <row r="48" spans="1:34">
      <c r="A48">
        <v>2032</v>
      </c>
      <c r="B48">
        <v>30</v>
      </c>
      <c r="C48" s="3"/>
      <c r="D48" s="3"/>
      <c r="E48" s="3"/>
      <c r="F48" s="3"/>
      <c r="G48" s="3"/>
      <c r="H48" s="3"/>
      <c r="I48" s="3"/>
      <c r="J48" s="3"/>
      <c r="L48" s="42"/>
      <c r="M48" s="42"/>
      <c r="O48" s="29" t="s">
        <v>17</v>
      </c>
      <c r="P48" s="33"/>
      <c r="Q48" s="33"/>
      <c r="R48" s="33"/>
      <c r="S48" s="33"/>
      <c r="T48" s="33"/>
      <c r="U48" s="33"/>
      <c r="V48" s="33"/>
      <c r="W48" s="33"/>
      <c r="AC48" s="33"/>
    </row>
    <row r="49" spans="1:34">
      <c r="A49">
        <v>2032</v>
      </c>
      <c r="B49">
        <v>41</v>
      </c>
      <c r="C49" s="3"/>
      <c r="D49" s="3"/>
      <c r="E49" s="3"/>
      <c r="F49" s="3"/>
      <c r="G49" s="3"/>
      <c r="H49" s="3"/>
      <c r="I49" s="3"/>
      <c r="J49" s="3"/>
      <c r="L49" s="42"/>
      <c r="M49" s="42"/>
      <c r="O49" s="29" t="s">
        <v>142</v>
      </c>
      <c r="P49" s="33" t="s">
        <v>8</v>
      </c>
      <c r="Q49" s="33" t="s">
        <v>10</v>
      </c>
      <c r="R49" s="33" t="s">
        <v>14</v>
      </c>
      <c r="S49" s="33" t="s">
        <v>15</v>
      </c>
      <c r="T49" s="33" t="s">
        <v>16</v>
      </c>
      <c r="U49" s="33" t="s">
        <v>115</v>
      </c>
      <c r="V49" s="33" t="s">
        <v>116</v>
      </c>
      <c r="W49" s="33" t="s">
        <v>47</v>
      </c>
      <c r="X49" t="s">
        <v>47</v>
      </c>
      <c r="Y49" s="33" t="s">
        <v>8</v>
      </c>
      <c r="Z49" s="33" t="s">
        <v>10</v>
      </c>
      <c r="AC49" s="33" t="s">
        <v>47</v>
      </c>
      <c r="AD49" s="33" t="s">
        <v>8</v>
      </c>
      <c r="AE49" s="33" t="s">
        <v>10</v>
      </c>
    </row>
    <row r="50" spans="1:34">
      <c r="A50">
        <v>2032</v>
      </c>
      <c r="B50" s="8" t="s">
        <v>109</v>
      </c>
      <c r="C50" s="3">
        <f>'BAU Scenario'!C50*(1-'ACC emissions benefits'!C35)</f>
        <v>5992.7042026868694</v>
      </c>
      <c r="D50" s="3">
        <f>'BAU Scenario'!D50*(1-'ACC emissions benefits'!D35)</f>
        <v>29995633.31218661</v>
      </c>
      <c r="E50" s="3">
        <f>'Combined MOVES output'!E16</f>
        <v>508135895.78626168</v>
      </c>
      <c r="F50" s="3">
        <f>'BAU Scenario'!F50*(1-'ACC emissions benefits'!F35)</f>
        <v>1036.2784892767986</v>
      </c>
      <c r="G50" s="3">
        <f>'BAU Scenario'!G50*(1-'ACC emissions benefits'!G35)</f>
        <v>15813.7913623637</v>
      </c>
      <c r="H50" s="3">
        <f>'BAU Scenario'!H50*(1-'ACC emissions benefits'!H35)</f>
        <v>449.68617790416346</v>
      </c>
      <c r="I50" s="3">
        <f>'BAU Scenario'!I50*(1-'ACC emissions benefits'!I35)</f>
        <v>2853.3295752154181</v>
      </c>
      <c r="J50" s="3">
        <f>D50+AC50</f>
        <v>26351134.019512542</v>
      </c>
      <c r="L50" s="42">
        <f>'Fleet ZEV fractions'!AS24</f>
        <v>0.22163155202520424</v>
      </c>
      <c r="M50" s="42">
        <f>'ZEV efficiency'!L51</f>
        <v>4.1683672854151466</v>
      </c>
      <c r="O50" s="3">
        <f>E50*L50/M50</f>
        <v>27017520.173155852</v>
      </c>
      <c r="P50" s="133">
        <f>$O50*'GREET factors'!B101/454/2000</f>
        <v>304.13940383636282</v>
      </c>
      <c r="Q50" s="133">
        <f>$O50*'GREET factors'!C101/454/2000</f>
        <v>34.582568543322083</v>
      </c>
      <c r="R50" s="133">
        <f>$O50*'GREET factors'!D101/454/2000</f>
        <v>61.171552828417617</v>
      </c>
      <c r="S50" s="133">
        <f>$O50*'GREET factors'!E101/454/2000</f>
        <v>5.0890429912889861</v>
      </c>
      <c r="T50" s="133">
        <f>$O50*'GREET factors'!F101/454/2000</f>
        <v>760798.73414886091</v>
      </c>
      <c r="U50" s="133">
        <f>$O50*'GREET factors'!G101/454/2000</f>
        <v>26.975364203362538</v>
      </c>
      <c r="V50" s="133">
        <f>$O50*'GREET factors'!H101/454/2000</f>
        <v>76.678151678548971</v>
      </c>
      <c r="W50" s="133">
        <f>$O50*'GREET factors'!I101/454/2000</f>
        <v>763844.55778097548</v>
      </c>
      <c r="X50" s="3">
        <f>('Combined MOVES output'!D16/454/2000-D50)*'GREET factors'!V1</f>
        <v>4405298.0268229311</v>
      </c>
      <c r="Y50" s="266">
        <f>O50*M50*'GREET factors'!$J$3/454/2000</f>
        <v>1118.9851245714851</v>
      </c>
      <c r="Z50" s="266">
        <f>O50*M50*'GREET factors'!K$3/454/2000</f>
        <v>116.81415055984542</v>
      </c>
      <c r="AA50" s="266"/>
      <c r="AB50" s="266"/>
      <c r="AC50" s="133">
        <f>T50-X50</f>
        <v>-3644499.2926740702</v>
      </c>
      <c r="AD50" s="266">
        <f>P50-Y50</f>
        <v>-814.84572073512231</v>
      </c>
      <c r="AE50" s="266">
        <f>Q50-Z50</f>
        <v>-82.231582016523333</v>
      </c>
      <c r="AF50" s="266"/>
      <c r="AG50" s="266"/>
      <c r="AH50">
        <v>2032</v>
      </c>
    </row>
    <row r="51" spans="1:34">
      <c r="A51" s="6"/>
      <c r="C51" s="3"/>
      <c r="D51" s="3"/>
      <c r="E51" s="3"/>
      <c r="F51" s="3"/>
      <c r="G51" s="3"/>
      <c r="H51" s="3"/>
      <c r="L51" s="42"/>
      <c r="M51" s="42"/>
      <c r="O51" s="29"/>
      <c r="P51" s="33"/>
      <c r="Q51" s="33"/>
      <c r="R51" s="33"/>
      <c r="S51" s="33"/>
      <c r="T51" s="33"/>
      <c r="U51" s="33"/>
      <c r="V51" s="33"/>
      <c r="W51" s="33"/>
      <c r="X51" s="3"/>
      <c r="Y51" s="3"/>
      <c r="Z51" s="3"/>
      <c r="AA51" s="3"/>
      <c r="AB51" s="3"/>
      <c r="AC51" s="33"/>
      <c r="AH51" s="6"/>
    </row>
    <row r="52" spans="1:34">
      <c r="A52">
        <v>2033</v>
      </c>
      <c r="B52">
        <v>20</v>
      </c>
      <c r="C52" s="3"/>
      <c r="D52" s="3"/>
      <c r="E52" s="3"/>
      <c r="F52" s="3"/>
      <c r="G52" s="3"/>
      <c r="H52" s="3"/>
      <c r="I52" s="3"/>
      <c r="J52" s="3"/>
      <c r="L52" s="42"/>
      <c r="M52" s="42"/>
      <c r="O52" s="29"/>
      <c r="P52" s="33"/>
      <c r="Q52" s="33"/>
      <c r="R52" s="33"/>
      <c r="S52" s="33"/>
      <c r="T52" s="33"/>
      <c r="U52" s="33"/>
      <c r="V52" s="33"/>
      <c r="W52" s="33"/>
      <c r="X52" s="3"/>
      <c r="Y52" s="3"/>
      <c r="Z52" s="3"/>
      <c r="AA52" s="3"/>
      <c r="AB52" s="3"/>
      <c r="AC52" s="33"/>
    </row>
    <row r="53" spans="1:34">
      <c r="A53">
        <v>2033</v>
      </c>
      <c r="B53">
        <v>30</v>
      </c>
      <c r="C53" s="3"/>
      <c r="D53" s="3"/>
      <c r="E53" s="3"/>
      <c r="F53" s="3"/>
      <c r="G53" s="3"/>
      <c r="H53" s="3"/>
      <c r="I53" s="3"/>
      <c r="J53" s="3"/>
      <c r="L53" s="42"/>
      <c r="M53" s="42"/>
      <c r="O53" s="29" t="s">
        <v>17</v>
      </c>
      <c r="P53" s="33"/>
      <c r="Q53" s="33"/>
      <c r="R53" s="33"/>
      <c r="S53" s="33"/>
      <c r="T53" s="33"/>
      <c r="U53" s="33"/>
      <c r="V53" s="33"/>
      <c r="W53" s="33"/>
      <c r="X53" s="3"/>
      <c r="Y53" s="3"/>
      <c r="Z53" s="3"/>
      <c r="AA53" s="3"/>
      <c r="AB53" s="3"/>
      <c r="AC53" s="33"/>
    </row>
    <row r="54" spans="1:34">
      <c r="A54">
        <v>2033</v>
      </c>
      <c r="B54">
        <v>41</v>
      </c>
      <c r="C54" s="3"/>
      <c r="D54" s="3"/>
      <c r="E54" s="3"/>
      <c r="F54" s="3"/>
      <c r="G54" s="3"/>
      <c r="H54" s="3"/>
      <c r="I54" s="3"/>
      <c r="J54" s="3"/>
      <c r="L54" s="42"/>
      <c r="M54" s="42"/>
      <c r="O54" s="29" t="s">
        <v>142</v>
      </c>
      <c r="P54" s="33" t="s">
        <v>8</v>
      </c>
      <c r="Q54" s="33" t="s">
        <v>10</v>
      </c>
      <c r="R54" s="33" t="s">
        <v>14</v>
      </c>
      <c r="S54" s="33" t="s">
        <v>15</v>
      </c>
      <c r="T54" s="33" t="s">
        <v>16</v>
      </c>
      <c r="U54" s="33" t="s">
        <v>115</v>
      </c>
      <c r="V54" s="33" t="s">
        <v>116</v>
      </c>
      <c r="W54" s="33" t="s">
        <v>47</v>
      </c>
      <c r="X54" t="s">
        <v>47</v>
      </c>
      <c r="Y54" s="33" t="s">
        <v>8</v>
      </c>
      <c r="Z54" s="33" t="s">
        <v>10</v>
      </c>
      <c r="AC54" s="33" t="s">
        <v>47</v>
      </c>
      <c r="AD54" s="33" t="s">
        <v>8</v>
      </c>
      <c r="AE54" s="33" t="s">
        <v>10</v>
      </c>
    </row>
    <row r="55" spans="1:34">
      <c r="A55">
        <v>2033</v>
      </c>
      <c r="B55" s="8" t="s">
        <v>109</v>
      </c>
      <c r="C55" s="3">
        <f>'BAU Scenario'!C55*(1-'ACC emissions benefits'!C36)</f>
        <v>5271.2803051138708</v>
      </c>
      <c r="D55" s="3">
        <f>'BAU Scenario'!D55*(1-'ACC emissions benefits'!D36)</f>
        <v>27336350.692437921</v>
      </c>
      <c r="E55" s="3">
        <f>'Combined MOVES output'!E17</f>
        <v>506062127.587565</v>
      </c>
      <c r="F55" s="3">
        <f>'BAU Scenario'!F55*(1-'ACC emissions benefits'!F36)</f>
        <v>999.82785820676759</v>
      </c>
      <c r="G55" s="3">
        <f>'BAU Scenario'!G55*(1-'ACC emissions benefits'!G36)</f>
        <v>15315.410579586896</v>
      </c>
      <c r="H55" s="3">
        <f>'BAU Scenario'!H55*(1-'ACC emissions benefits'!H36)</f>
        <v>416.74263341121019</v>
      </c>
      <c r="I55" s="3">
        <f>'BAU Scenario'!I55*(1-'ACC emissions benefits'!I36)</f>
        <v>2690.049064670975</v>
      </c>
      <c r="J55" s="3">
        <f>D55+AC55</f>
        <v>23114402.359440461</v>
      </c>
      <c r="L55" s="42">
        <f>'Fleet ZEV fractions'!AS25</f>
        <v>0.26962843707936307</v>
      </c>
      <c r="M55" s="42">
        <f>'ZEV efficiency'!L52</f>
        <v>4.1304310049999096</v>
      </c>
      <c r="O55" s="3">
        <f>E55*L55/M55</f>
        <v>33034988.445835419</v>
      </c>
      <c r="P55" s="133">
        <f>$O55*'GREET factors'!B102/454/2000</f>
        <v>355.6998881153105</v>
      </c>
      <c r="Q55" s="133">
        <f>$O55*'GREET factors'!C102/454/2000</f>
        <v>40.44532081814063</v>
      </c>
      <c r="R55" s="133">
        <f>$O55*'GREET factors'!D102/454/2000</f>
        <v>71.54191210493353</v>
      </c>
      <c r="S55" s="133">
        <f>$O55*'GREET factors'!E102/454/2000</f>
        <v>5.9517839509852886</v>
      </c>
      <c r="T55" s="133">
        <f>$O55*'GREET factors'!F102/454/2000</f>
        <v>889776.27101755049</v>
      </c>
      <c r="U55" s="133">
        <f>$O55*'GREET factors'!G102/454/2000</f>
        <v>31.548473851051252</v>
      </c>
      <c r="V55" s="133">
        <f>$O55*'GREET factors'!H102/454/2000</f>
        <v>89.67733095059009</v>
      </c>
      <c r="W55" s="133">
        <f>$O55*'GREET factors'!I102/454/2000</f>
        <v>893338.45043756731</v>
      </c>
      <c r="X55" s="3">
        <f>('Combined MOVES output'!D17/454/2000-D55)*'GREET factors'!V1</f>
        <v>5111724.6040150123</v>
      </c>
      <c r="Y55" s="266">
        <f>O55*M55*'GREET factors'!$J$3/454/2000</f>
        <v>1355.7586416925053</v>
      </c>
      <c r="Z55" s="266">
        <f>O55*M55*'GREET factors'!K$3/454/2000</f>
        <v>141.53163488578832</v>
      </c>
      <c r="AA55" s="266"/>
      <c r="AB55" s="266"/>
      <c r="AC55" s="133">
        <f>T55-X55</f>
        <v>-4221948.3329974618</v>
      </c>
      <c r="AD55" s="266">
        <f>P55-Y55</f>
        <v>-1000.0587535771948</v>
      </c>
      <c r="AE55" s="266">
        <f>Q55-Z55</f>
        <v>-101.08631406764769</v>
      </c>
      <c r="AF55" s="266"/>
      <c r="AG55" s="266"/>
      <c r="AH55">
        <v>2033</v>
      </c>
    </row>
    <row r="56" spans="1:34">
      <c r="L56" s="42"/>
      <c r="M56" s="42"/>
      <c r="O56" s="29"/>
      <c r="P56" s="33"/>
      <c r="Q56" s="33"/>
      <c r="R56" s="33"/>
      <c r="S56" s="33"/>
      <c r="T56" s="33"/>
      <c r="U56" s="33"/>
      <c r="V56" s="33"/>
      <c r="W56" s="33"/>
      <c r="X56" s="3"/>
      <c r="Y56" s="3"/>
      <c r="Z56" s="3"/>
      <c r="AA56" s="3"/>
      <c r="AB56" s="3"/>
      <c r="AC56" s="33"/>
    </row>
    <row r="57" spans="1:34">
      <c r="A57">
        <v>2034</v>
      </c>
      <c r="B57">
        <v>20</v>
      </c>
      <c r="C57" s="3"/>
      <c r="D57" s="3"/>
      <c r="E57" s="3"/>
      <c r="F57" s="3"/>
      <c r="G57" s="3"/>
      <c r="H57" s="3"/>
      <c r="I57" s="3"/>
      <c r="J57" s="3"/>
      <c r="L57" s="42"/>
      <c r="M57" s="42"/>
      <c r="O57" s="29"/>
      <c r="P57" s="33"/>
      <c r="Q57" s="33"/>
      <c r="R57" s="33"/>
      <c r="S57" s="33"/>
      <c r="T57" s="33"/>
      <c r="U57" s="33"/>
      <c r="V57" s="33"/>
      <c r="W57" s="33"/>
      <c r="X57" s="3"/>
      <c r="Y57" s="3"/>
      <c r="Z57" s="3"/>
      <c r="AA57" s="3"/>
      <c r="AB57" s="3"/>
      <c r="AC57" s="33"/>
    </row>
    <row r="58" spans="1:34">
      <c r="A58">
        <v>2034</v>
      </c>
      <c r="B58">
        <v>30</v>
      </c>
      <c r="C58" s="3"/>
      <c r="D58" s="3"/>
      <c r="E58" s="3"/>
      <c r="F58" s="3"/>
      <c r="G58" s="3"/>
      <c r="H58" s="3"/>
      <c r="I58" s="3"/>
      <c r="J58" s="3"/>
      <c r="L58" s="42"/>
      <c r="M58" s="42"/>
      <c r="O58" s="29" t="s">
        <v>17</v>
      </c>
      <c r="P58" s="33"/>
      <c r="Q58" s="33"/>
      <c r="R58" s="33"/>
      <c r="S58" s="33"/>
      <c r="T58" s="33"/>
      <c r="U58" s="33"/>
      <c r="V58" s="33"/>
      <c r="W58" s="33"/>
      <c r="X58" s="3"/>
      <c r="Y58" s="3"/>
      <c r="Z58" s="3"/>
      <c r="AA58" s="3"/>
      <c r="AB58" s="3"/>
      <c r="AC58" s="33"/>
    </row>
    <row r="59" spans="1:34">
      <c r="A59">
        <v>2034</v>
      </c>
      <c r="B59">
        <v>41</v>
      </c>
      <c r="C59" s="3"/>
      <c r="D59" s="3"/>
      <c r="E59" s="3"/>
      <c r="F59" s="3"/>
      <c r="G59" s="3"/>
      <c r="H59" s="3"/>
      <c r="I59" s="3"/>
      <c r="J59" s="3"/>
      <c r="L59" s="42"/>
      <c r="M59" s="42"/>
      <c r="O59" s="29" t="s">
        <v>142</v>
      </c>
      <c r="P59" s="33" t="s">
        <v>8</v>
      </c>
      <c r="Q59" s="33" t="s">
        <v>10</v>
      </c>
      <c r="R59" s="33" t="s">
        <v>14</v>
      </c>
      <c r="S59" s="33" t="s">
        <v>15</v>
      </c>
      <c r="T59" s="33" t="s">
        <v>16</v>
      </c>
      <c r="U59" s="33" t="s">
        <v>115</v>
      </c>
      <c r="V59" s="33" t="s">
        <v>116</v>
      </c>
      <c r="W59" s="33" t="s">
        <v>47</v>
      </c>
      <c r="X59" t="s">
        <v>47</v>
      </c>
      <c r="Y59" s="33" t="s">
        <v>8</v>
      </c>
      <c r="Z59" s="33" t="s">
        <v>10</v>
      </c>
      <c r="AC59" s="33" t="s">
        <v>47</v>
      </c>
      <c r="AD59" s="33" t="s">
        <v>8</v>
      </c>
      <c r="AE59" s="33" t="s">
        <v>10</v>
      </c>
    </row>
    <row r="60" spans="1:34">
      <c r="A60">
        <v>2034</v>
      </c>
      <c r="B60" s="8" t="s">
        <v>109</v>
      </c>
      <c r="C60" s="3">
        <f>'BAU Scenario'!C60*(1-'ACC emissions benefits'!C37)</f>
        <v>4566.6095315096363</v>
      </c>
      <c r="D60" s="3">
        <f>'BAU Scenario'!D60*(1-'ACC emissions benefits'!D37)</f>
        <v>24624770.091237079</v>
      </c>
      <c r="E60" s="3">
        <f>'Combined MOVES output'!E18</f>
        <v>503988359.38886833</v>
      </c>
      <c r="F60" s="3">
        <f>'BAU Scenario'!F60*(1-'ACC emissions benefits'!F37)</f>
        <v>962.96501340461782</v>
      </c>
      <c r="G60" s="3">
        <f>'BAU Scenario'!G60*(1-'ACC emissions benefits'!G37)</f>
        <v>14785.342599135311</v>
      </c>
      <c r="H60" s="3">
        <f>'BAU Scenario'!H60*(1-'ACC emissions benefits'!H37)</f>
        <v>384.63899762599578</v>
      </c>
      <c r="I60" s="3">
        <f>'BAU Scenario'!I60*(1-'ACC emissions benefits'!I37)</f>
        <v>2524.3431367887242</v>
      </c>
      <c r="J60" s="3">
        <f>D60+AC60</f>
        <v>19807571.305207461</v>
      </c>
      <c r="L60" s="42">
        <f>'Fleet ZEV fractions'!AS26</f>
        <v>0.32082113010096575</v>
      </c>
      <c r="M60" s="42">
        <f>'ZEV efficiency'!L53</f>
        <v>4.0914969525160645</v>
      </c>
      <c r="O60" s="3">
        <f>E60*L60/M60</f>
        <v>39518571.538330764</v>
      </c>
      <c r="P60" s="133">
        <f>$O60*'GREET factors'!B103/454/2000</f>
        <v>406.15682054228779</v>
      </c>
      <c r="Q60" s="133">
        <f>$O60*'GREET factors'!C103/454/2000</f>
        <v>46.18259228685352</v>
      </c>
      <c r="R60" s="133">
        <f>$O60*'GREET factors'!D103/454/2000</f>
        <v>81.690314017292749</v>
      </c>
      <c r="S60" s="133">
        <f>$O60*'GREET factors'!E103/454/2000</f>
        <v>6.7960596189536711</v>
      </c>
      <c r="T60" s="133">
        <f>$O60*'GREET factors'!F103/454/2000</f>
        <v>1015993.2946431136</v>
      </c>
      <c r="U60" s="133">
        <f>$O60*'GREET factors'!G103/454/2000</f>
        <v>36.02370498399079</v>
      </c>
      <c r="V60" s="133">
        <f>$O60*'GREET factors'!H103/454/2000</f>
        <v>102.39828808099756</v>
      </c>
      <c r="W60" s="133">
        <f>$O60*'GREET factors'!I103/454/2000</f>
        <v>1020060.7782599942</v>
      </c>
      <c r="X60" s="3">
        <f>('Combined MOVES output'!D18/454/2000-D60)*'GREET factors'!V1</f>
        <v>5833192.0806727307</v>
      </c>
      <c r="Y60" s="266">
        <f>O60*M60*'GREET factors'!$J$3/454/2000</f>
        <v>1606.5576704081996</v>
      </c>
      <c r="Z60" s="266">
        <f>O60*M60*'GREET factors'!K$3/454/2000</f>
        <v>167.71328364709541</v>
      </c>
      <c r="AA60" s="266"/>
      <c r="AB60" s="266"/>
      <c r="AC60" s="133">
        <f>T60-X60</f>
        <v>-4817198.7860296173</v>
      </c>
      <c r="AD60" s="266">
        <f>P60-Y60</f>
        <v>-1200.4008498659118</v>
      </c>
      <c r="AE60" s="266">
        <f>Q60-Z60</f>
        <v>-121.53069136024189</v>
      </c>
      <c r="AF60" s="266"/>
      <c r="AG60" s="266"/>
      <c r="AH60">
        <v>2034</v>
      </c>
    </row>
    <row r="61" spans="1:34">
      <c r="L61" s="42"/>
      <c r="M61" s="42"/>
      <c r="O61" s="29"/>
      <c r="P61" s="33"/>
      <c r="Q61" s="33"/>
      <c r="R61" s="33"/>
      <c r="S61" s="33"/>
      <c r="T61" s="33"/>
      <c r="U61" s="33"/>
      <c r="V61" s="33"/>
      <c r="W61" s="33"/>
      <c r="AC61" s="33"/>
    </row>
    <row r="62" spans="1:34">
      <c r="A62">
        <v>2035</v>
      </c>
      <c r="B62">
        <v>20</v>
      </c>
      <c r="C62" s="3"/>
      <c r="D62" s="3"/>
      <c r="E62" s="3"/>
      <c r="F62" s="3"/>
      <c r="G62" s="3"/>
      <c r="H62" s="3"/>
      <c r="I62" s="3"/>
      <c r="J62" s="3"/>
      <c r="L62" s="42"/>
      <c r="M62" s="42"/>
      <c r="O62" s="29"/>
      <c r="P62" s="33"/>
      <c r="Q62" s="33"/>
      <c r="R62" s="33"/>
      <c r="S62" s="33"/>
      <c r="T62" s="33"/>
      <c r="U62" s="33"/>
      <c r="V62" s="33"/>
      <c r="W62" s="33"/>
      <c r="AC62" s="33"/>
    </row>
    <row r="63" spans="1:34">
      <c r="A63">
        <v>2035</v>
      </c>
      <c r="B63">
        <v>30</v>
      </c>
      <c r="C63" s="3"/>
      <c r="D63" s="3"/>
      <c r="E63" s="3"/>
      <c r="F63" s="3"/>
      <c r="G63" s="3"/>
      <c r="H63" s="3"/>
      <c r="I63" s="3"/>
      <c r="J63" s="3"/>
      <c r="L63" s="42"/>
      <c r="M63" s="42"/>
      <c r="O63" s="29" t="s">
        <v>17</v>
      </c>
      <c r="P63" s="33"/>
      <c r="Q63" s="33"/>
      <c r="R63" s="33"/>
      <c r="S63" s="33"/>
      <c r="T63" s="33"/>
      <c r="U63" s="33"/>
      <c r="V63" s="33"/>
      <c r="W63" s="33"/>
      <c r="AC63" s="33"/>
    </row>
    <row r="64" spans="1:34">
      <c r="A64">
        <v>2035</v>
      </c>
      <c r="B64">
        <v>41</v>
      </c>
      <c r="C64" s="3"/>
      <c r="D64" s="3"/>
      <c r="E64" s="3"/>
      <c r="F64" s="3"/>
      <c r="G64" s="3"/>
      <c r="H64" s="3"/>
      <c r="I64" s="3"/>
      <c r="J64" s="3"/>
      <c r="L64" s="42"/>
      <c r="M64" s="42"/>
      <c r="O64" s="29" t="s">
        <v>142</v>
      </c>
      <c r="P64" s="33" t="s">
        <v>8</v>
      </c>
      <c r="Q64" s="33" t="s">
        <v>10</v>
      </c>
      <c r="R64" s="33" t="s">
        <v>14</v>
      </c>
      <c r="S64" s="33" t="s">
        <v>15</v>
      </c>
      <c r="T64" s="33" t="s">
        <v>16</v>
      </c>
      <c r="U64" s="33" t="s">
        <v>115</v>
      </c>
      <c r="V64" s="33" t="s">
        <v>116</v>
      </c>
      <c r="W64" s="33" t="s">
        <v>47</v>
      </c>
      <c r="X64" t="s">
        <v>47</v>
      </c>
      <c r="Y64" s="33" t="s">
        <v>8</v>
      </c>
      <c r="Z64" s="33" t="s">
        <v>10</v>
      </c>
      <c r="AC64" s="33" t="s">
        <v>47</v>
      </c>
      <c r="AD64" s="33" t="s">
        <v>8</v>
      </c>
      <c r="AE64" s="33" t="s">
        <v>10</v>
      </c>
    </row>
    <row r="65" spans="1:34">
      <c r="A65">
        <v>2035</v>
      </c>
      <c r="B65" s="8" t="s">
        <v>109</v>
      </c>
      <c r="C65" s="3">
        <f>'BAU Scenario'!C65*(1-'ACC emissions benefits'!C38)</f>
        <v>3872.5484933192324</v>
      </c>
      <c r="D65" s="3">
        <f>'BAU Scenario'!D65*(1-'ACC emissions benefits'!D38)</f>
        <v>21978501.435054764</v>
      </c>
      <c r="E65" s="3">
        <f>'Combined MOVES output'!E19</f>
        <v>501914591.19017166</v>
      </c>
      <c r="F65" s="3">
        <f>'BAU Scenario'!F65*(1-'ACC emissions benefits'!F38)</f>
        <v>919.56776690410379</v>
      </c>
      <c r="G65" s="3">
        <f>'BAU Scenario'!G65*(1-'ACC emissions benefits'!G38)</f>
        <v>14037.638706563663</v>
      </c>
      <c r="H65" s="3">
        <f>'BAU Scenario'!H65*(1-'ACC emissions benefits'!H38)</f>
        <v>354.22287055605534</v>
      </c>
      <c r="I65" s="3">
        <f>'BAU Scenario'!I65*(1-'ACC emissions benefits'!I38)</f>
        <v>2360.9951898356217</v>
      </c>
      <c r="J65" s="3">
        <f>D65+AC65</f>
        <v>16582130.870392025</v>
      </c>
      <c r="L65" s="42">
        <f>'Fleet ZEV fractions'!AS27</f>
        <v>0.37520986417915941</v>
      </c>
      <c r="M65" s="42">
        <f>'ZEV efficiency'!L54</f>
        <v>4.0464389688696487</v>
      </c>
      <c r="O65" s="3">
        <f>E65*L65/M65</f>
        <v>46540503.153223075</v>
      </c>
      <c r="P65" s="133">
        <f>$O65*'GREET factors'!B104/454/2000</f>
        <v>455.53237688830512</v>
      </c>
      <c r="Q65" s="133">
        <f>$O65*'GREET factors'!C104/454/2000</f>
        <v>51.796904474495989</v>
      </c>
      <c r="R65" s="133">
        <f>$O65*'GREET factors'!D104/454/2000</f>
        <v>91.621218777920149</v>
      </c>
      <c r="S65" s="133">
        <f>$O65*'GREET factors'!E104/454/2000</f>
        <v>7.6222410535003355</v>
      </c>
      <c r="T65" s="133">
        <f>$O65*'GREET factors'!F104/454/2000</f>
        <v>1139505.2772803812</v>
      </c>
      <c r="U65" s="133">
        <f>$O65*'GREET factors'!G104/454/2000</f>
        <v>40.403024461759237</v>
      </c>
      <c r="V65" s="133">
        <f>$O65*'GREET factors'!H104/454/2000</f>
        <v>114.84661391762501</v>
      </c>
      <c r="W65" s="133">
        <f>$O65*'GREET factors'!I104/454/2000</f>
        <v>1144067.2355837724</v>
      </c>
      <c r="X65" s="3">
        <f>('Combined MOVES output'!D19/454/2000-D65)*'GREET factors'!V1</f>
        <v>6535875.8419431197</v>
      </c>
      <c r="Y65" s="266">
        <f>O65*M65*'GREET factors'!$J$3/454/2000</f>
        <v>1871.1858240726845</v>
      </c>
      <c r="Z65" s="266">
        <f>O65*M65*'GREET factors'!K$3/454/2000</f>
        <v>195.3385954637962</v>
      </c>
      <c r="AA65" s="266"/>
      <c r="AB65" s="266"/>
      <c r="AC65" s="133">
        <f>T65-X65</f>
        <v>-5396370.5646627387</v>
      </c>
      <c r="AD65" s="266">
        <f>P65-Y65</f>
        <v>-1415.6534471843793</v>
      </c>
      <c r="AE65" s="266">
        <f>Q65-Z65</f>
        <v>-143.54169098930021</v>
      </c>
      <c r="AF65" s="266"/>
      <c r="AG65" s="266"/>
      <c r="AH65">
        <v>2035</v>
      </c>
    </row>
    <row r="66" spans="1:34">
      <c r="A66" s="6"/>
      <c r="C66" s="3"/>
      <c r="D66" s="3"/>
      <c r="E66" s="3"/>
      <c r="F66" s="3"/>
      <c r="G66" s="3"/>
      <c r="H66" s="3"/>
      <c r="L66" s="42"/>
      <c r="M66" s="42"/>
      <c r="O66" s="29"/>
      <c r="P66" s="33"/>
      <c r="Q66" s="33"/>
      <c r="R66" s="33"/>
      <c r="S66" s="33"/>
      <c r="T66" s="33"/>
      <c r="U66" s="33"/>
      <c r="V66" s="33"/>
      <c r="W66" s="33"/>
      <c r="AC66" s="33"/>
      <c r="AH66" s="6"/>
    </row>
    <row r="67" spans="1:34">
      <c r="A67">
        <v>2036</v>
      </c>
      <c r="B67">
        <v>20</v>
      </c>
      <c r="C67" s="3"/>
      <c r="D67" s="3"/>
      <c r="E67" s="3"/>
      <c r="F67" s="3"/>
      <c r="G67" s="3"/>
      <c r="H67" s="3"/>
      <c r="I67" s="3"/>
      <c r="J67" s="3"/>
      <c r="L67" s="42"/>
      <c r="M67" s="42"/>
      <c r="O67" s="29"/>
      <c r="P67" s="33"/>
      <c r="Q67" s="33"/>
      <c r="R67" s="33"/>
      <c r="S67" s="33"/>
      <c r="T67" s="33"/>
      <c r="U67" s="33"/>
      <c r="V67" s="33"/>
      <c r="W67" s="33"/>
      <c r="AC67" s="33"/>
    </row>
    <row r="68" spans="1:34">
      <c r="A68">
        <v>2036</v>
      </c>
      <c r="B68">
        <v>30</v>
      </c>
      <c r="C68" s="3"/>
      <c r="D68" s="3"/>
      <c r="E68" s="3"/>
      <c r="F68" s="3"/>
      <c r="G68" s="3"/>
      <c r="H68" s="3"/>
      <c r="I68" s="3"/>
      <c r="J68" s="3"/>
      <c r="L68" s="42"/>
      <c r="M68" s="42"/>
      <c r="O68" s="29" t="s">
        <v>17</v>
      </c>
      <c r="P68" s="33"/>
      <c r="Q68" s="33"/>
      <c r="R68" s="33"/>
      <c r="S68" s="33"/>
      <c r="T68" s="33"/>
      <c r="U68" s="33"/>
      <c r="V68" s="33"/>
      <c r="W68" s="33"/>
      <c r="AC68" s="33"/>
    </row>
    <row r="69" spans="1:34">
      <c r="A69">
        <v>2036</v>
      </c>
      <c r="B69">
        <v>41</v>
      </c>
      <c r="C69" s="3"/>
      <c r="D69" s="3"/>
      <c r="E69" s="3"/>
      <c r="F69" s="3"/>
      <c r="G69" s="3"/>
      <c r="H69" s="3"/>
      <c r="I69" s="3"/>
      <c r="J69" s="3"/>
      <c r="L69" s="42"/>
      <c r="M69" s="42"/>
      <c r="O69" s="29" t="s">
        <v>142</v>
      </c>
      <c r="P69" s="33" t="s">
        <v>8</v>
      </c>
      <c r="Q69" s="33" t="s">
        <v>10</v>
      </c>
      <c r="R69" s="33" t="s">
        <v>14</v>
      </c>
      <c r="S69" s="33" t="s">
        <v>15</v>
      </c>
      <c r="T69" s="33" t="s">
        <v>16</v>
      </c>
      <c r="U69" s="33" t="s">
        <v>115</v>
      </c>
      <c r="V69" s="33" t="s">
        <v>116</v>
      </c>
      <c r="W69" s="33" t="s">
        <v>47</v>
      </c>
      <c r="X69" t="s">
        <v>47</v>
      </c>
      <c r="Y69" s="33" t="s">
        <v>8</v>
      </c>
      <c r="Z69" s="33" t="s">
        <v>10</v>
      </c>
      <c r="AC69" s="33" t="s">
        <v>47</v>
      </c>
      <c r="AD69" s="33" t="s">
        <v>8</v>
      </c>
      <c r="AE69" s="33" t="s">
        <v>10</v>
      </c>
    </row>
    <row r="70" spans="1:34">
      <c r="A70">
        <v>2036</v>
      </c>
      <c r="B70" t="s">
        <v>109</v>
      </c>
      <c r="C70" s="3">
        <f>'BAU Scenario'!C70*(1-'ACC emissions benefits'!C39)</f>
        <v>3602.9504293648679</v>
      </c>
      <c r="D70" s="3">
        <f>'BAU Scenario'!D70*(1-'ACC emissions benefits'!D39)</f>
        <v>19729243.763467774</v>
      </c>
      <c r="E70" s="3">
        <f>'Combined MOVES output'!E20</f>
        <v>503689031.37985212</v>
      </c>
      <c r="F70" s="3">
        <f>'BAU Scenario'!F70*(1-'ACC emissions benefits'!F39)</f>
        <v>889.16779834030922</v>
      </c>
      <c r="G70" s="3">
        <f>'BAU Scenario'!G70*(1-'ACC emissions benefits'!G39)</f>
        <v>13470.150936786829</v>
      </c>
      <c r="H70" s="3">
        <f>'BAU Scenario'!H70*(1-'ACC emissions benefits'!H39)</f>
        <v>327.44999151617571</v>
      </c>
      <c r="I70" s="3">
        <f>'BAU Scenario'!I70*(1-'ACC emissions benefits'!I39)</f>
        <v>2246.2161007792088</v>
      </c>
      <c r="J70" s="3">
        <f>D70+AC70</f>
        <v>13556135.42507926</v>
      </c>
      <c r="L70" s="42">
        <f>'Fleet ZEV fractions'!AS28</f>
        <v>0.4292311425351929</v>
      </c>
      <c r="M70" s="42">
        <f>'ZEV efficiency'!L55</f>
        <v>4.0378375834843245</v>
      </c>
      <c r="O70" s="3">
        <f>E70*L70/M70</f>
        <v>53543267.64056132</v>
      </c>
      <c r="P70" s="133">
        <f>$O70*'GREET factors'!B105/454/2000</f>
        <v>419.25961813298426</v>
      </c>
      <c r="Q70" s="133">
        <f>$O70*'GREET factors'!C105/454/2000</f>
        <v>47.672463017425919</v>
      </c>
      <c r="R70" s="133">
        <f>$O70*'GREET factors'!D105/454/2000</f>
        <v>84.325679461260677</v>
      </c>
      <c r="S70" s="133">
        <f>$O70*'GREET factors'!E105/454/2000</f>
        <v>7.0153034900342108</v>
      </c>
      <c r="T70" s="133">
        <f>$O70*'GREET factors'!F105/454/2000</f>
        <v>1048769.6849926326</v>
      </c>
      <c r="U70" s="133">
        <f>$O70*'GREET factors'!G105/454/2000</f>
        <v>37.185845543989231</v>
      </c>
      <c r="V70" s="133">
        <f>$O70*'GREET factors'!H105/454/2000</f>
        <v>105.70170187217246</v>
      </c>
      <c r="W70" s="133">
        <f>$O70*'GREET factors'!I105/454/2000</f>
        <v>1052968.3874191944</v>
      </c>
      <c r="X70" s="3">
        <f>('Combined MOVES output'!D20/454/2000-D70)*'GREET factors'!V1</f>
        <v>7221878.0233811475</v>
      </c>
      <c r="Y70" s="266">
        <f>O70*M70*'GREET factors'!$J$3/454/2000</f>
        <v>2148.1597149197328</v>
      </c>
      <c r="Z70" s="266">
        <f>O70*M70*'GREET factors'!K$3/454/2000</f>
        <v>224.2527151210557</v>
      </c>
      <c r="AA70" s="266"/>
      <c r="AB70" s="266"/>
      <c r="AC70" s="133">
        <f>T70-X70</f>
        <v>-6173108.3383885147</v>
      </c>
      <c r="AD70" s="266">
        <f>P70-Y70</f>
        <v>-1728.9000967867485</v>
      </c>
      <c r="AE70" s="266">
        <f>Q70-Z70</f>
        <v>-176.58025210362979</v>
      </c>
      <c r="AF70" s="266"/>
      <c r="AG70" s="266"/>
      <c r="AH70">
        <v>2036</v>
      </c>
    </row>
    <row r="71" spans="1:34">
      <c r="L71" s="42"/>
      <c r="M71" s="42"/>
      <c r="O71" s="29"/>
      <c r="P71" s="33"/>
      <c r="Q71" s="33"/>
      <c r="R71" s="33"/>
      <c r="S71" s="33"/>
      <c r="T71" s="33"/>
      <c r="U71" s="33"/>
      <c r="V71" s="33"/>
      <c r="W71" s="33"/>
      <c r="AC71" s="33"/>
    </row>
    <row r="72" spans="1:34">
      <c r="A72">
        <v>2037</v>
      </c>
      <c r="B72">
        <v>20</v>
      </c>
      <c r="C72" s="3"/>
      <c r="D72" s="3"/>
      <c r="E72" s="3"/>
      <c r="F72" s="3"/>
      <c r="G72" s="3"/>
      <c r="H72" s="3"/>
      <c r="I72" s="3"/>
      <c r="J72" s="3"/>
      <c r="L72" s="42"/>
      <c r="M72" s="42"/>
      <c r="O72" s="29"/>
      <c r="P72" s="33"/>
      <c r="Q72" s="33"/>
      <c r="R72" s="33"/>
      <c r="S72" s="33"/>
      <c r="T72" s="33"/>
      <c r="U72" s="33"/>
      <c r="V72" s="33"/>
      <c r="W72" s="33"/>
      <c r="AC72" s="33"/>
    </row>
    <row r="73" spans="1:34">
      <c r="A73">
        <v>2037</v>
      </c>
      <c r="B73">
        <v>30</v>
      </c>
      <c r="C73" s="3"/>
      <c r="D73" s="3"/>
      <c r="E73" s="3"/>
      <c r="F73" s="3"/>
      <c r="G73" s="3"/>
      <c r="H73" s="3"/>
      <c r="I73" s="3"/>
      <c r="J73" s="3"/>
      <c r="L73" s="42"/>
      <c r="M73" s="42"/>
      <c r="O73" s="29" t="s">
        <v>17</v>
      </c>
      <c r="P73" s="33"/>
      <c r="Q73" s="33"/>
      <c r="R73" s="33"/>
      <c r="S73" s="33"/>
      <c r="T73" s="33"/>
      <c r="U73" s="33"/>
      <c r="V73" s="33"/>
      <c r="W73" s="33"/>
      <c r="AC73" s="33"/>
    </row>
    <row r="74" spans="1:34">
      <c r="A74">
        <v>2037</v>
      </c>
      <c r="B74">
        <v>41</v>
      </c>
      <c r="C74" s="3"/>
      <c r="D74" s="3"/>
      <c r="E74" s="3"/>
      <c r="F74" s="3"/>
      <c r="G74" s="3"/>
      <c r="H74" s="3"/>
      <c r="I74" s="3"/>
      <c r="J74" s="3"/>
      <c r="L74" s="42"/>
      <c r="M74" s="42"/>
      <c r="O74" s="29" t="s">
        <v>142</v>
      </c>
      <c r="P74" s="33" t="s">
        <v>8</v>
      </c>
      <c r="Q74" s="33" t="s">
        <v>10</v>
      </c>
      <c r="R74" s="33" t="s">
        <v>14</v>
      </c>
      <c r="S74" s="33" t="s">
        <v>15</v>
      </c>
      <c r="T74" s="33" t="s">
        <v>16</v>
      </c>
      <c r="U74" s="33" t="s">
        <v>115</v>
      </c>
      <c r="V74" s="33" t="s">
        <v>116</v>
      </c>
      <c r="W74" s="33" t="s">
        <v>47</v>
      </c>
      <c r="X74" t="s">
        <v>47</v>
      </c>
      <c r="Y74" s="33" t="s">
        <v>8</v>
      </c>
      <c r="Z74" s="33" t="s">
        <v>10</v>
      </c>
      <c r="AC74" s="33" t="s">
        <v>47</v>
      </c>
      <c r="AD74" s="33" t="s">
        <v>8</v>
      </c>
      <c r="AE74" s="33" t="s">
        <v>10</v>
      </c>
    </row>
    <row r="75" spans="1:34">
      <c r="A75">
        <v>2037</v>
      </c>
      <c r="B75" t="s">
        <v>109</v>
      </c>
      <c r="C75" s="3">
        <f>'BAU Scenario'!C75*(1-'ACC emissions benefits'!C40)</f>
        <v>3337.9350229700885</v>
      </c>
      <c r="D75" s="3">
        <f>'BAU Scenario'!D75*(1-'ACC emissions benefits'!D40)</f>
        <v>17799509.871710587</v>
      </c>
      <c r="E75" s="3">
        <f>'Combined MOVES output'!E21</f>
        <v>505463471.56953257</v>
      </c>
      <c r="F75" s="3">
        <f>'BAU Scenario'!F75*(1-'ACC emissions benefits'!F40)</f>
        <v>861.10309930302833</v>
      </c>
      <c r="G75" s="3">
        <f>'BAU Scenario'!G75*(1-'ACC emissions benefits'!G40)</f>
        <v>12915.89174594438</v>
      </c>
      <c r="H75" s="3">
        <f>'BAU Scenario'!H75*(1-'ACC emissions benefits'!H40)</f>
        <v>304.56418415529436</v>
      </c>
      <c r="I75" s="3">
        <f>'BAU Scenario'!I75*(1-'ACC emissions benefits'!I40)</f>
        <v>2146.4143701399371</v>
      </c>
      <c r="J75" s="3">
        <f>D75+AC75</f>
        <v>10873316.158023831</v>
      </c>
      <c r="L75" s="42">
        <f>'Fleet ZEV fractions'!AS29</f>
        <v>0.4828614954955866</v>
      </c>
      <c r="M75" s="42">
        <f>'ZEV efficiency'!L56</f>
        <v>4.0295879456542387</v>
      </c>
      <c r="O75" s="3">
        <f>E75*L75/M75</f>
        <v>60569182.529860064</v>
      </c>
      <c r="P75" s="133">
        <f>$O75*'GREET factors'!B106/454/2000</f>
        <v>355.70595693611006</v>
      </c>
      <c r="Q75" s="133">
        <f>$O75*'GREET factors'!C106/454/2000</f>
        <v>40.446010881343973</v>
      </c>
      <c r="R75" s="133">
        <f>$O75*'GREET factors'!D106/454/2000</f>
        <v>71.543132726751878</v>
      </c>
      <c r="S75" s="133">
        <f>$O75*'GREET factors'!E106/454/2000</f>
        <v>5.9518854981362503</v>
      </c>
      <c r="T75" s="133">
        <f>$O75*'GREET factors'!F106/454/2000</f>
        <v>889791.45205336402</v>
      </c>
      <c r="U75" s="133">
        <f>$O75*'GREET factors'!G106/454/2000</f>
        <v>31.549012119520526</v>
      </c>
      <c r="V75" s="133">
        <f>$O75*'GREET factors'!H106/454/2000</f>
        <v>89.678860992261448</v>
      </c>
      <c r="W75" s="133">
        <f>$O75*'GREET factors'!I106/454/2000</f>
        <v>893353.6922499775</v>
      </c>
      <c r="X75" s="3">
        <f>('Combined MOVES output'!D21/454/2000-D75)*'GREET factors'!V1</f>
        <v>7815985.1657401202</v>
      </c>
      <c r="Y75" s="266">
        <f>O75*M75*'GREET factors'!$J$3/454/2000</f>
        <v>2425.0751476094001</v>
      </c>
      <c r="Z75" s="266">
        <f>O75*M75*'GREET factors'!K$3/454/2000</f>
        <v>253.16073215921156</v>
      </c>
      <c r="AA75" s="266"/>
      <c r="AB75" s="266"/>
      <c r="AC75" s="133">
        <f>T75-X75</f>
        <v>-6926193.7136867559</v>
      </c>
      <c r="AD75" s="266">
        <f>P75-Y75</f>
        <v>-2069.3691906732902</v>
      </c>
      <c r="AE75" s="266">
        <f>Q75-Z75</f>
        <v>-212.7147212778676</v>
      </c>
      <c r="AF75" s="266"/>
      <c r="AG75" s="266"/>
      <c r="AH75">
        <v>2037</v>
      </c>
    </row>
    <row r="76" spans="1:34">
      <c r="C76" s="3"/>
      <c r="D76" s="3"/>
      <c r="E76" s="3"/>
      <c r="F76" s="3"/>
      <c r="G76" s="3"/>
      <c r="H76" s="3"/>
      <c r="L76" s="42"/>
      <c r="M76" s="42"/>
      <c r="O76" s="29"/>
      <c r="P76" s="33"/>
      <c r="Q76" s="33"/>
      <c r="R76" s="33"/>
      <c r="S76" s="33"/>
      <c r="T76" s="33"/>
      <c r="U76" s="33"/>
      <c r="V76" s="33"/>
      <c r="W76" s="33"/>
      <c r="X76" s="3"/>
      <c r="Y76" s="3"/>
      <c r="Z76" s="3"/>
      <c r="AA76" s="3"/>
      <c r="AB76" s="3"/>
      <c r="AC76" s="33"/>
    </row>
    <row r="77" spans="1:34">
      <c r="A77">
        <v>2038</v>
      </c>
      <c r="B77">
        <v>20</v>
      </c>
      <c r="C77" s="3"/>
      <c r="D77" s="3"/>
      <c r="E77" s="3"/>
      <c r="F77" s="3"/>
      <c r="G77" s="3"/>
      <c r="H77" s="3"/>
      <c r="I77" s="3"/>
      <c r="J77" s="3"/>
      <c r="L77" s="42"/>
      <c r="M77" s="42"/>
      <c r="O77" s="29"/>
      <c r="P77" s="33"/>
      <c r="Q77" s="33"/>
      <c r="R77" s="33"/>
      <c r="S77" s="33"/>
      <c r="T77" s="33"/>
      <c r="U77" s="33"/>
      <c r="V77" s="33"/>
      <c r="W77" s="33"/>
      <c r="X77" s="3"/>
      <c r="Y77" s="3"/>
      <c r="Z77" s="3"/>
      <c r="AA77" s="3"/>
      <c r="AB77" s="3"/>
      <c r="AC77" s="33"/>
    </row>
    <row r="78" spans="1:34">
      <c r="A78">
        <v>2038</v>
      </c>
      <c r="B78">
        <v>30</v>
      </c>
      <c r="C78" s="3"/>
      <c r="D78" s="3"/>
      <c r="E78" s="3"/>
      <c r="F78" s="3"/>
      <c r="G78" s="3"/>
      <c r="H78" s="3"/>
      <c r="I78" s="3"/>
      <c r="J78" s="3"/>
      <c r="L78" s="42"/>
      <c r="M78" s="42"/>
      <c r="O78" s="29" t="s">
        <v>17</v>
      </c>
      <c r="P78" s="33"/>
      <c r="Q78" s="33"/>
      <c r="R78" s="33"/>
      <c r="S78" s="33"/>
      <c r="T78" s="33"/>
      <c r="U78" s="33"/>
      <c r="V78" s="33"/>
      <c r="W78" s="33"/>
      <c r="X78" s="3"/>
      <c r="Y78" s="3"/>
      <c r="Z78" s="3"/>
      <c r="AA78" s="3"/>
      <c r="AB78" s="3"/>
      <c r="AC78" s="33"/>
    </row>
    <row r="79" spans="1:34">
      <c r="A79">
        <v>2038</v>
      </c>
      <c r="B79">
        <v>41</v>
      </c>
      <c r="C79" s="3"/>
      <c r="D79" s="3"/>
      <c r="E79" s="3"/>
      <c r="F79" s="3"/>
      <c r="G79" s="3"/>
      <c r="H79" s="3"/>
      <c r="I79" s="3"/>
      <c r="J79" s="3"/>
      <c r="L79" s="42"/>
      <c r="M79" s="42"/>
      <c r="O79" s="29" t="s">
        <v>142</v>
      </c>
      <c r="P79" s="33" t="s">
        <v>8</v>
      </c>
      <c r="Q79" s="33" t="s">
        <v>10</v>
      </c>
      <c r="R79" s="33" t="s">
        <v>14</v>
      </c>
      <c r="S79" s="33" t="s">
        <v>15</v>
      </c>
      <c r="T79" s="33" t="s">
        <v>16</v>
      </c>
      <c r="U79" s="33" t="s">
        <v>115</v>
      </c>
      <c r="V79" s="33" t="s">
        <v>116</v>
      </c>
      <c r="W79" s="33" t="s">
        <v>47</v>
      </c>
      <c r="X79" t="s">
        <v>47</v>
      </c>
      <c r="Y79" s="33" t="s">
        <v>8</v>
      </c>
      <c r="Z79" s="33" t="s">
        <v>10</v>
      </c>
      <c r="AC79" s="33" t="s">
        <v>47</v>
      </c>
      <c r="AD79" s="33" t="s">
        <v>8</v>
      </c>
      <c r="AE79" s="33" t="s">
        <v>10</v>
      </c>
    </row>
    <row r="80" spans="1:34">
      <c r="A80">
        <v>2038</v>
      </c>
      <c r="B80" t="s">
        <v>109</v>
      </c>
      <c r="C80" s="3">
        <f>'BAU Scenario'!C80*(1-'ACC emissions benefits'!C41)</f>
        <v>3078.270577804321</v>
      </c>
      <c r="D80" s="3">
        <f>'BAU Scenario'!D80*(1-'ACC emissions benefits'!D41)</f>
        <v>16137430.180839974</v>
      </c>
      <c r="E80" s="3">
        <f>'Combined MOVES output'!E22</f>
        <v>507237911.75921297</v>
      </c>
      <c r="F80" s="3">
        <f>'BAU Scenario'!F80*(1-'ACC emissions benefits'!F41)</f>
        <v>833.96709698237271</v>
      </c>
      <c r="G80" s="3">
        <f>'BAU Scenario'!G80*(1-'ACC emissions benefits'!G41)</f>
        <v>12341.25777933113</v>
      </c>
      <c r="H80" s="3">
        <f>'BAU Scenario'!H80*(1-'ACC emissions benefits'!H41)</f>
        <v>284.78233076155573</v>
      </c>
      <c r="I80" s="3">
        <f>'BAU Scenario'!I80*(1-'ACC emissions benefits'!I41)</f>
        <v>2058.5959370645614</v>
      </c>
      <c r="J80" s="3">
        <f>D80+AC80</f>
        <v>8466531.6399548985</v>
      </c>
      <c r="L80" s="42">
        <f>'Fleet ZEV fractions'!AS30</f>
        <v>0.5361090884518338</v>
      </c>
      <c r="M80" s="42">
        <f>'ZEV efficiency'!L57</f>
        <v>4.021704797126664</v>
      </c>
      <c r="O80" s="3">
        <f>E80*L80/M80</f>
        <v>67616811.332281083</v>
      </c>
      <c r="P80" s="133">
        <f>$O80*'GREET factors'!B107/454/2000</f>
        <v>264.72981336188229</v>
      </c>
      <c r="Q80" s="133">
        <f>$O80*'GREET factors'!C107/454/2000</f>
        <v>30.101449534549211</v>
      </c>
      <c r="R80" s="133">
        <f>$O80*'GREET factors'!D107/454/2000</f>
        <v>53.245102604450395</v>
      </c>
      <c r="S80" s="133">
        <f>$O80*'GREET factors'!E107/454/2000</f>
        <v>4.4296180773714475</v>
      </c>
      <c r="T80" s="133">
        <f>$O80*'GREET factors'!F107/454/2000</f>
        <v>662216.41903903871</v>
      </c>
      <c r="U80" s="133">
        <f>$O80*'GREET factors'!G107/454/2000</f>
        <v>23.479966886392525</v>
      </c>
      <c r="V80" s="133">
        <f>$O80*'GREET factors'!H107/454/2000</f>
        <v>66.742396831019974</v>
      </c>
      <c r="W80" s="133">
        <f>$O80*'GREET factors'!I107/454/2000</f>
        <v>664867.57279120677</v>
      </c>
      <c r="X80" s="3">
        <f>('Combined MOVES output'!D22/454/2000-D80)*'GREET factors'!V1</f>
        <v>8333114.9599241149</v>
      </c>
      <c r="Y80" s="266">
        <f>O80*M80*'GREET factors'!$J$3/454/2000</f>
        <v>2701.9525980611365</v>
      </c>
      <c r="Z80" s="266">
        <f>O80*M80*'GREET factors'!K$3/454/2000</f>
        <v>282.06478411976025</v>
      </c>
      <c r="AA80" s="266"/>
      <c r="AB80" s="266"/>
      <c r="AC80" s="133">
        <f>T80-X80</f>
        <v>-7670898.5408850759</v>
      </c>
      <c r="AD80" s="266">
        <f>P80-Y80</f>
        <v>-2437.2227846992541</v>
      </c>
      <c r="AE80" s="266">
        <f>Q80-Z80</f>
        <v>-251.96333458521104</v>
      </c>
      <c r="AF80" s="266"/>
      <c r="AG80" s="266"/>
      <c r="AH80">
        <v>2038</v>
      </c>
    </row>
    <row r="81" spans="1:34">
      <c r="L81" s="42"/>
      <c r="M81" s="42"/>
      <c r="O81" s="29"/>
      <c r="P81" s="33"/>
      <c r="Q81" s="33"/>
      <c r="R81" s="33"/>
      <c r="S81" s="33"/>
      <c r="T81" s="33"/>
      <c r="U81" s="33"/>
      <c r="V81" s="33"/>
      <c r="W81" s="33"/>
      <c r="X81" s="3"/>
      <c r="Y81" s="3"/>
      <c r="Z81" s="3"/>
      <c r="AA81" s="3"/>
      <c r="AB81" s="3"/>
      <c r="AC81" s="33"/>
    </row>
    <row r="82" spans="1:34">
      <c r="A82">
        <v>2039</v>
      </c>
      <c r="B82">
        <v>20</v>
      </c>
      <c r="C82" s="3"/>
      <c r="D82" s="3"/>
      <c r="E82" s="3"/>
      <c r="F82" s="3"/>
      <c r="G82" s="3"/>
      <c r="H82" s="3"/>
      <c r="I82" s="3"/>
      <c r="J82" s="3"/>
      <c r="L82" s="42"/>
      <c r="M82" s="42"/>
      <c r="O82" s="29"/>
      <c r="P82" s="33"/>
      <c r="Q82" s="33"/>
      <c r="R82" s="33"/>
      <c r="S82" s="33"/>
      <c r="T82" s="33"/>
      <c r="U82" s="33"/>
      <c r="V82" s="33"/>
      <c r="W82" s="33"/>
      <c r="X82" s="3"/>
      <c r="Y82" s="3"/>
      <c r="Z82" s="3"/>
      <c r="AA82" s="3"/>
      <c r="AB82" s="3"/>
      <c r="AC82" s="33"/>
    </row>
    <row r="83" spans="1:34">
      <c r="A83">
        <v>2039</v>
      </c>
      <c r="B83">
        <v>30</v>
      </c>
      <c r="C83" s="3"/>
      <c r="D83" s="3"/>
      <c r="E83" s="3"/>
      <c r="F83" s="3"/>
      <c r="G83" s="3"/>
      <c r="H83" s="3"/>
      <c r="I83" s="3"/>
      <c r="J83" s="3"/>
      <c r="L83" s="42"/>
      <c r="M83" s="42"/>
      <c r="O83" s="29" t="s">
        <v>17</v>
      </c>
      <c r="P83" s="33"/>
      <c r="Q83" s="33"/>
      <c r="R83" s="33"/>
      <c r="S83" s="33"/>
      <c r="T83" s="33"/>
      <c r="U83" s="33"/>
      <c r="V83" s="33"/>
      <c r="W83" s="33"/>
      <c r="X83" s="3"/>
      <c r="Y83" s="3"/>
      <c r="Z83" s="3"/>
      <c r="AA83" s="3"/>
      <c r="AB83" s="3"/>
      <c r="AC83" s="33"/>
    </row>
    <row r="84" spans="1:34">
      <c r="A84">
        <v>2039</v>
      </c>
      <c r="B84">
        <v>41</v>
      </c>
      <c r="C84" s="3"/>
      <c r="D84" s="3"/>
      <c r="E84" s="3"/>
      <c r="F84" s="3"/>
      <c r="G84" s="3"/>
      <c r="H84" s="3"/>
      <c r="I84" s="3"/>
      <c r="J84" s="3"/>
      <c r="L84" s="42"/>
      <c r="M84" s="42"/>
      <c r="O84" s="29" t="s">
        <v>142</v>
      </c>
      <c r="P84" s="33" t="s">
        <v>8</v>
      </c>
      <c r="Q84" s="33" t="s">
        <v>10</v>
      </c>
      <c r="R84" s="33" t="s">
        <v>14</v>
      </c>
      <c r="S84" s="33" t="s">
        <v>15</v>
      </c>
      <c r="T84" s="33" t="s">
        <v>16</v>
      </c>
      <c r="U84" s="33" t="s">
        <v>115</v>
      </c>
      <c r="V84" s="33" t="s">
        <v>116</v>
      </c>
      <c r="W84" s="33" t="s">
        <v>47</v>
      </c>
      <c r="X84" t="s">
        <v>47</v>
      </c>
      <c r="Y84" s="33" t="s">
        <v>8</v>
      </c>
      <c r="Z84" s="33" t="s">
        <v>10</v>
      </c>
      <c r="AC84" s="33" t="s">
        <v>47</v>
      </c>
      <c r="AD84" s="33" t="s">
        <v>8</v>
      </c>
      <c r="AE84" s="33" t="s">
        <v>10</v>
      </c>
    </row>
    <row r="85" spans="1:34">
      <c r="A85">
        <v>2039</v>
      </c>
      <c r="B85" t="s">
        <v>109</v>
      </c>
      <c r="C85" s="3">
        <f>'BAU Scenario'!C85*(1-'ACC emissions benefits'!C42)</f>
        <v>2824.8661491769462</v>
      </c>
      <c r="D85" s="3">
        <f>'BAU Scenario'!D85*(1-'ACC emissions benefits'!D42)</f>
        <v>14719888.288148105</v>
      </c>
      <c r="E85" s="3">
        <f>'Combined MOVES output'!E23</f>
        <v>509012351.94889343</v>
      </c>
      <c r="F85" s="3">
        <f>'BAU Scenario'!F85*(1-'ACC emissions benefits'!F42)</f>
        <v>809.27622137856918</v>
      </c>
      <c r="G85" s="3">
        <f>'BAU Scenario'!G85*(1-'ACC emissions benefits'!G42)</f>
        <v>11747.350394817755</v>
      </c>
      <c r="H85" s="3">
        <f>'BAU Scenario'!H85*(1-'ACC emissions benefits'!H42)</f>
        <v>267.71977416987431</v>
      </c>
      <c r="I85" s="3">
        <f>'BAU Scenario'!I85*(1-'ACC emissions benefits'!I42)</f>
        <v>1981.9195591020582</v>
      </c>
      <c r="J85" s="3">
        <f>D85+AC85</f>
        <v>6305698.922394339</v>
      </c>
      <c r="L85" s="42">
        <f>'Fleet ZEV fractions'!AS31</f>
        <v>0.58898186096336458</v>
      </c>
      <c r="M85" s="42">
        <f>'ZEV efficiency'!L58</f>
        <v>4.0141101927609322</v>
      </c>
      <c r="O85" s="3">
        <f>E85*L85/M85</f>
        <v>74686301.049945652</v>
      </c>
      <c r="P85" s="133">
        <f>$O85*'GREET factors'!B108/454/2000</f>
        <v>146.20395540747884</v>
      </c>
      <c r="Q85" s="133">
        <f>$O85*'GREET factors'!C108/454/2000</f>
        <v>16.624311895818334</v>
      </c>
      <c r="R85" s="133">
        <f>$O85*'GREET factors'!D108/454/2000</f>
        <v>29.405998923914893</v>
      </c>
      <c r="S85" s="133">
        <f>$O85*'GREET factors'!E108/454/2000</f>
        <v>2.4463723055282727</v>
      </c>
      <c r="T85" s="133">
        <f>$O85*'GREET factors'!F108/454/2000</f>
        <v>365726.31759813934</v>
      </c>
      <c r="U85" s="133">
        <f>$O85*'GREET factors'!G108/454/2000</f>
        <v>12.967425119340566</v>
      </c>
      <c r="V85" s="133">
        <f>$O85*'GREET factors'!H108/454/2000</f>
        <v>36.860232272863186</v>
      </c>
      <c r="W85" s="133">
        <f>$O85*'GREET factors'!I108/454/2000</f>
        <v>367190.48651828466</v>
      </c>
      <c r="X85" s="3">
        <f>('Combined MOVES output'!D23/454/2000-D85)*'GREET factors'!V1</f>
        <v>8779915.683351906</v>
      </c>
      <c r="Y85" s="266">
        <f>O85*M85*'GREET factors'!$J$3/454/2000</f>
        <v>2978.8119758872972</v>
      </c>
      <c r="Z85" s="266">
        <f>O85*M85*'GREET factors'!K$3/454/2000</f>
        <v>310.96694942573367</v>
      </c>
      <c r="AA85" s="266"/>
      <c r="AB85" s="266"/>
      <c r="AC85" s="133">
        <f>T85-X85</f>
        <v>-8414189.3657537661</v>
      </c>
      <c r="AD85" s="266">
        <f>P85-Y85</f>
        <v>-2832.6080204798182</v>
      </c>
      <c r="AE85" s="266">
        <f>Q85-Z85</f>
        <v>-294.34263752991535</v>
      </c>
      <c r="AF85" s="266"/>
      <c r="AG85" s="266"/>
      <c r="AH85">
        <v>2039</v>
      </c>
    </row>
    <row r="86" spans="1:34">
      <c r="L86" s="42"/>
      <c r="M86" s="42"/>
      <c r="O86" s="29"/>
      <c r="P86" s="33"/>
      <c r="Q86" s="33"/>
      <c r="R86" s="33"/>
      <c r="S86" s="33"/>
      <c r="T86" s="33"/>
      <c r="U86" s="33"/>
      <c r="V86" s="33"/>
      <c r="W86" s="33"/>
    </row>
    <row r="87" spans="1:34">
      <c r="A87">
        <v>2040</v>
      </c>
      <c r="B87">
        <v>20</v>
      </c>
      <c r="C87" s="3"/>
      <c r="D87" s="3"/>
      <c r="E87" s="3"/>
      <c r="F87" s="3"/>
      <c r="G87" s="3"/>
      <c r="H87" s="3"/>
      <c r="I87" s="3"/>
      <c r="J87" s="3"/>
      <c r="L87" s="42"/>
      <c r="M87" s="42"/>
      <c r="O87" s="29"/>
      <c r="P87" s="33"/>
      <c r="Q87" s="33"/>
      <c r="R87" s="33"/>
      <c r="S87" s="33"/>
      <c r="T87" s="33"/>
      <c r="U87" s="33"/>
      <c r="V87" s="33"/>
      <c r="W87" s="33"/>
    </row>
    <row r="88" spans="1:34">
      <c r="A88">
        <v>2040</v>
      </c>
      <c r="B88">
        <v>30</v>
      </c>
      <c r="C88" s="3"/>
      <c r="D88" s="3"/>
      <c r="E88" s="3"/>
      <c r="F88" s="3"/>
      <c r="G88" s="3"/>
      <c r="H88" s="3"/>
      <c r="I88" s="3"/>
      <c r="J88" s="3"/>
      <c r="L88" s="42"/>
      <c r="M88" s="42"/>
      <c r="O88" s="29" t="s">
        <v>17</v>
      </c>
      <c r="P88" s="33"/>
      <c r="Q88" s="33"/>
      <c r="R88" s="33"/>
      <c r="S88" s="33"/>
      <c r="T88" s="33"/>
      <c r="U88" s="33"/>
      <c r="V88" s="33"/>
      <c r="W88" s="33"/>
    </row>
    <row r="89" spans="1:34">
      <c r="A89">
        <v>2040</v>
      </c>
      <c r="B89">
        <v>41</v>
      </c>
      <c r="C89" s="3"/>
      <c r="D89" s="3"/>
      <c r="E89" s="3"/>
      <c r="F89" s="3"/>
      <c r="G89" s="3"/>
      <c r="H89" s="3"/>
      <c r="I89" s="3"/>
      <c r="J89" s="3"/>
      <c r="L89" s="42"/>
      <c r="M89" s="42"/>
      <c r="O89" s="29" t="s">
        <v>142</v>
      </c>
      <c r="P89" s="33" t="s">
        <v>8</v>
      </c>
      <c r="Q89" s="33" t="s">
        <v>10</v>
      </c>
      <c r="R89" s="33" t="s">
        <v>14</v>
      </c>
      <c r="S89" s="33" t="s">
        <v>15</v>
      </c>
      <c r="T89" s="33" t="s">
        <v>16</v>
      </c>
      <c r="U89" s="33" t="s">
        <v>115</v>
      </c>
      <c r="V89" s="33" t="s">
        <v>116</v>
      </c>
      <c r="W89" s="33" t="s">
        <v>47</v>
      </c>
      <c r="X89" t="s">
        <v>47</v>
      </c>
      <c r="Y89" s="33" t="s">
        <v>8</v>
      </c>
      <c r="Z89" s="33" t="s">
        <v>10</v>
      </c>
      <c r="AA89" t="s">
        <v>115</v>
      </c>
      <c r="AB89" t="s">
        <v>116</v>
      </c>
      <c r="AC89" s="33" t="s">
        <v>47</v>
      </c>
      <c r="AD89" s="33" t="s">
        <v>8</v>
      </c>
      <c r="AE89" s="33" t="s">
        <v>10</v>
      </c>
      <c r="AF89" t="s">
        <v>115</v>
      </c>
      <c r="AG89" t="s">
        <v>116</v>
      </c>
    </row>
    <row r="90" spans="1:34">
      <c r="A90">
        <v>2040</v>
      </c>
      <c r="B90" s="8" t="s">
        <v>109</v>
      </c>
      <c r="C90" s="3">
        <f>'BAU Scenario'!C90*(1-'ACC emissions benefits'!C43)</f>
        <v>2584.1269167605305</v>
      </c>
      <c r="D90" s="3">
        <f>'BAU Scenario'!D90*(1-'ACC emissions benefits'!D43)</f>
        <v>13535113.426813608</v>
      </c>
      <c r="E90" s="3">
        <f>'Combined MOVES output'!E24</f>
        <v>510786792.13857388</v>
      </c>
      <c r="F90" s="3">
        <f>'BAU Scenario'!F90*(1-'ACC emissions benefits'!F43)</f>
        <v>785.86332756079128</v>
      </c>
      <c r="G90" s="3">
        <f>'BAU Scenario'!G90*(1-'ACC emissions benefits'!G43)</f>
        <v>11130.819344110629</v>
      </c>
      <c r="H90" s="3">
        <f>'BAU Scenario'!H90*(1-'ACC emissions benefits'!H43)</f>
        <v>253.26675112187638</v>
      </c>
      <c r="I90" s="3">
        <f>'BAU Scenario'!I90*(1-'ACC emissions benefits'!I43)</f>
        <v>1916.8276172996627</v>
      </c>
      <c r="J90" s="3">
        <f>D90+AC90</f>
        <v>4375340.8182522934</v>
      </c>
      <c r="L90" s="42">
        <f>'Fleet ZEV fractions'!AS32</f>
        <v>0.64148753451129448</v>
      </c>
      <c r="M90" s="42">
        <f>'ZEV efficiency'!L59</f>
        <v>4.0068080026283281</v>
      </c>
      <c r="O90" s="3">
        <f>E90*L90/M90</f>
        <v>81776656.065119907</v>
      </c>
      <c r="P90" s="133">
        <f>$O90*'GREET factors'!B109/454/2000</f>
        <v>0</v>
      </c>
      <c r="Q90" s="133">
        <f>$O90*'GREET factors'!C109/454/2000</f>
        <v>0</v>
      </c>
      <c r="R90" s="133">
        <f>$O90*'GREET factors'!D109/454/2000</f>
        <v>0</v>
      </c>
      <c r="S90" s="133">
        <f>$O90*'GREET factors'!E109/454/2000</f>
        <v>0</v>
      </c>
      <c r="T90" s="133">
        <f>$O90*'GREET factors'!F109/454/2000</f>
        <v>0</v>
      </c>
      <c r="U90" s="133">
        <f>$O90*'GREET factors'!G109/454/2000</f>
        <v>0</v>
      </c>
      <c r="V90" s="133">
        <f>$O90*'GREET factors'!H109/454/2000</f>
        <v>0</v>
      </c>
      <c r="W90" s="133">
        <f>$O90*'GREET factors'!I109/454/2000</f>
        <v>0</v>
      </c>
      <c r="X90" s="3">
        <f>('Combined MOVES output'!D24/454/2000-D90)*'GREET factors'!V1</f>
        <v>9159772.6085613146</v>
      </c>
      <c r="Y90" s="266">
        <f>O90*M90*'GREET factors'!$J$3/454/2000</f>
        <v>3255.6726438368087</v>
      </c>
      <c r="Z90" s="266">
        <f>O90*M90*'GREET factors'!K$3/454/2000</f>
        <v>339.86924941148067</v>
      </c>
      <c r="AA90" s="266">
        <f>O90*M90*'GREET factors'!L7/454/2000</f>
        <v>8665.5622789978479</v>
      </c>
      <c r="AB90" s="266">
        <f>O90*M90*'GREET factors'!M7/454/2000</f>
        <v>1293.2928892638499</v>
      </c>
      <c r="AC90" s="3">
        <f>T90-X90</f>
        <v>-9159772.6085613146</v>
      </c>
      <c r="AD90" s="266">
        <f>P90-Y90</f>
        <v>-3255.6726438368087</v>
      </c>
      <c r="AE90" s="266">
        <f>Q90-Z90</f>
        <v>-339.86924941148067</v>
      </c>
      <c r="AF90" s="266">
        <f>U90-AA90</f>
        <v>-8665.5622789978479</v>
      </c>
      <c r="AG90" s="266">
        <f>V90-AB90</f>
        <v>-1293.2928892638499</v>
      </c>
      <c r="AH90">
        <v>2040</v>
      </c>
    </row>
    <row r="91" spans="1:34">
      <c r="O91" s="29"/>
    </row>
  </sheetData>
  <sheetProtection algorithmName="SHA-512" hashValue="GWfuRp1hYIO+zL3vcbcKFaTa5zKUezoSmmQvSW7LbO/POwQktgrkpmEcMXGFvV3cuAA+sHEV2v+dN1z3nmSm6w==" saltValue="7OL8u/Dvp074i+d+j4g9Mg==" spinCount="100000" sheet="1" objects="1" scenarios="1"/>
  <mergeCells count="10">
    <mergeCell ref="C12:I14"/>
    <mergeCell ref="C17:I19"/>
    <mergeCell ref="P7:W7"/>
    <mergeCell ref="L5:L6"/>
    <mergeCell ref="M5:M6"/>
    <mergeCell ref="X7:Z7"/>
    <mergeCell ref="AC7:AE7"/>
    <mergeCell ref="C7:I9"/>
    <mergeCell ref="AA10:AB10"/>
    <mergeCell ref="AF10:AG10"/>
  </mergeCells>
  <pageMargins left="0.7" right="0.7" top="0.75" bottom="0.75" header="0.3" footer="0.3"/>
  <pageSetup orientation="portrait" horizontalDpi="360" verticalDpi="36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A3ABF-8D14-4676-9EFB-D1E7C111F09E}">
  <sheetPr codeName="Sheet9"/>
  <dimension ref="A1:Z90"/>
  <sheetViews>
    <sheetView topLeftCell="A18" workbookViewId="0">
      <selection activeCell="N29" sqref="N29"/>
    </sheetView>
  </sheetViews>
  <sheetFormatPr baseColWidth="10" defaultColWidth="8.83203125" defaultRowHeight="15"/>
  <cols>
    <col min="3" max="3" width="12.83203125" customWidth="1"/>
    <col min="4" max="4" width="13.83203125" bestFit="1" customWidth="1"/>
    <col min="5" max="5" width="13.5" bestFit="1" customWidth="1"/>
    <col min="6" max="6" width="18" style="29" bestFit="1" customWidth="1"/>
    <col min="7" max="7" width="13.6640625" bestFit="1" customWidth="1"/>
    <col min="8" max="8" width="13.83203125" customWidth="1"/>
    <col min="9" max="9" width="16.33203125" customWidth="1"/>
    <col min="10" max="10" width="10.33203125" customWidth="1"/>
    <col min="11" max="11" width="19.6640625" customWidth="1"/>
    <col min="12" max="12" width="15.83203125" customWidth="1"/>
    <col min="13" max="13" width="15.6640625" customWidth="1"/>
    <col min="14" max="14" width="17.1640625" customWidth="1"/>
    <col min="15" max="15" width="12.33203125" customWidth="1"/>
    <col min="26" max="26" width="16.33203125" customWidth="1"/>
  </cols>
  <sheetData>
    <row r="1" spans="1:26">
      <c r="A1" s="2" t="s">
        <v>417</v>
      </c>
      <c r="E1" s="29"/>
      <c r="G1" s="30"/>
    </row>
    <row r="2" spans="1:26">
      <c r="A2" t="s">
        <v>431</v>
      </c>
    </row>
    <row r="3" spans="1:26">
      <c r="A3" t="s">
        <v>416</v>
      </c>
      <c r="L3" t="s">
        <v>422</v>
      </c>
    </row>
    <row r="4" spans="1:26" ht="16" thickBot="1">
      <c r="A4" t="s">
        <v>432</v>
      </c>
    </row>
    <row r="5" spans="1:26">
      <c r="L5" s="282" t="s">
        <v>436</v>
      </c>
      <c r="M5" s="283"/>
      <c r="N5" s="283"/>
      <c r="O5" s="284"/>
      <c r="P5" s="285" t="s">
        <v>437</v>
      </c>
      <c r="Q5" s="286"/>
      <c r="R5" s="286"/>
      <c r="S5" s="287"/>
    </row>
    <row r="6" spans="1:26">
      <c r="L6" s="77"/>
      <c r="M6" t="s">
        <v>122</v>
      </c>
      <c r="N6" t="s">
        <v>121</v>
      </c>
      <c r="O6" s="73" t="s">
        <v>49</v>
      </c>
      <c r="P6" s="145"/>
      <c r="Q6" s="29" t="s">
        <v>122</v>
      </c>
      <c r="R6" s="29" t="s">
        <v>121</v>
      </c>
      <c r="S6" s="175" t="s">
        <v>49</v>
      </c>
      <c r="V6" s="29" t="s">
        <v>509</v>
      </c>
    </row>
    <row r="7" spans="1:26">
      <c r="A7" t="s">
        <v>448</v>
      </c>
      <c r="L7" s="77">
        <v>2023</v>
      </c>
      <c r="M7" s="211">
        <v>7.0000000000000001E-3</v>
      </c>
      <c r="N7" s="211">
        <v>6.7000000000000004E-2</v>
      </c>
      <c r="O7" s="213">
        <f>M7+N7</f>
        <v>7.400000000000001E-2</v>
      </c>
      <c r="P7" s="145">
        <v>2023</v>
      </c>
      <c r="Q7" s="256">
        <v>5.6114228986727599E-3</v>
      </c>
      <c r="R7" s="256">
        <v>4.3245790694099603E-2</v>
      </c>
      <c r="S7" s="257">
        <f>Q7+R7</f>
        <v>4.8857213592772362E-2</v>
      </c>
      <c r="U7" s="164" t="s">
        <v>505</v>
      </c>
      <c r="Z7" t="s">
        <v>508</v>
      </c>
    </row>
    <row r="8" spans="1:26">
      <c r="C8" t="s">
        <v>414</v>
      </c>
      <c r="D8" t="s">
        <v>2</v>
      </c>
      <c r="E8" t="s">
        <v>116</v>
      </c>
      <c r="F8" s="29" t="s">
        <v>115</v>
      </c>
      <c r="G8" s="29" t="s">
        <v>47</v>
      </c>
      <c r="H8" s="144" t="s">
        <v>507</v>
      </c>
      <c r="I8" s="226"/>
      <c r="J8" s="232" t="str">
        <f>G8</f>
        <v>CO2e</v>
      </c>
      <c r="L8" s="77">
        <v>2024</v>
      </c>
      <c r="M8" s="211">
        <v>7.0000000000000001E-3</v>
      </c>
      <c r="N8" s="211">
        <v>9.5000000000000001E-2</v>
      </c>
      <c r="O8" s="213">
        <f t="shared" ref="O8:O10" si="0">M8+N8</f>
        <v>0.10200000000000001</v>
      </c>
      <c r="P8" s="145">
        <v>2024</v>
      </c>
      <c r="Q8" s="256">
        <v>5.5430895670552901E-3</v>
      </c>
      <c r="R8" s="256">
        <v>4.7553932131171699E-2</v>
      </c>
      <c r="S8" s="257">
        <f t="shared" ref="S8:S10" si="1">Q8+R8</f>
        <v>5.3097021698226991E-2</v>
      </c>
      <c r="U8" t="str">
        <f>'CARB ZEV counts'!A63</f>
        <v>CY</v>
      </c>
      <c r="V8" t="str">
        <f>'CARB ZEV counts'!B63</f>
        <v xml:space="preserve">PC </v>
      </c>
      <c r="W8" t="str">
        <f>'CARB ZEV counts'!C63</f>
        <v>LDT</v>
      </c>
      <c r="X8" t="s">
        <v>506</v>
      </c>
    </row>
    <row r="9" spans="1:26">
      <c r="B9">
        <v>2025</v>
      </c>
      <c r="C9" s="223">
        <f>C29*$P29*$Q29</f>
        <v>1.1397425226242291E-3</v>
      </c>
      <c r="D9" s="223">
        <f t="shared" ref="D9:F9" si="2">D29*$P29*$Q29</f>
        <v>5.4959470044215111E-3</v>
      </c>
      <c r="E9" s="223">
        <f t="shared" si="2"/>
        <v>-4.2279870894868739E-2</v>
      </c>
      <c r="F9" s="223">
        <f t="shared" si="2"/>
        <v>6.6652855347819253E-3</v>
      </c>
      <c r="G9" s="228">
        <f>J29*P29*Q29</f>
        <v>-4.1714927258880756E-2</v>
      </c>
      <c r="H9" s="228">
        <f>(N29-Z9)*Q29</f>
        <v>-0.12274538061850848</v>
      </c>
      <c r="I9" s="227"/>
      <c r="J9" s="233">
        <f t="shared" ref="J9:J24" si="3">G9</f>
        <v>-4.1714927258880756E-2</v>
      </c>
      <c r="K9" s="140"/>
      <c r="L9" s="77">
        <v>2025</v>
      </c>
      <c r="M9" s="211">
        <v>7.0000000000000001E-3</v>
      </c>
      <c r="N9" s="211">
        <v>0.129</v>
      </c>
      <c r="O9" s="213">
        <f t="shared" si="0"/>
        <v>0.13600000000000001</v>
      </c>
      <c r="P9" s="145">
        <v>2025</v>
      </c>
      <c r="Q9" s="256">
        <v>5.1893396576929898E-3</v>
      </c>
      <c r="R9" s="256">
        <v>5.3288096549831299E-2</v>
      </c>
      <c r="S9" s="257">
        <f t="shared" si="1"/>
        <v>5.847743620752429E-2</v>
      </c>
      <c r="U9">
        <f>'CARB ZEV counts'!A64</f>
        <v>2025</v>
      </c>
      <c r="V9">
        <f>'CARB ZEV counts'!B64</f>
        <v>0.60000000000000009</v>
      </c>
      <c r="W9">
        <f>'CARB ZEV counts'!C64</f>
        <v>0.49</v>
      </c>
      <c r="X9" s="60">
        <f>V9*'Combined MOVES output'!AG$38+'Federal GHG Rule'!W9*(1-'Combined MOVES output'!AG$38)</f>
        <v>0.53962091316240768</v>
      </c>
      <c r="Z9" s="211">
        <f>M9*X9+N9</f>
        <v>0.13277734639213687</v>
      </c>
    </row>
    <row r="10" spans="1:26" ht="16" thickBot="1">
      <c r="B10">
        <v>2026</v>
      </c>
      <c r="C10" s="223">
        <f t="shared" ref="C10:F24" si="4">C30*$P30*$Q30</f>
        <v>4.2156594816765354E-4</v>
      </c>
      <c r="D10" s="223">
        <f t="shared" si="4"/>
        <v>5.5927527937808955E-3</v>
      </c>
      <c r="E10" s="223">
        <f t="shared" si="4"/>
        <v>-4.8811362605679053E-2</v>
      </c>
      <c r="F10" s="223">
        <f t="shared" si="4"/>
        <v>6.8321411659867503E-3</v>
      </c>
      <c r="G10" s="228">
        <f t="shared" ref="G10:G24" si="5">J30*P30*Q30</f>
        <v>-4.8204288143649895E-2</v>
      </c>
      <c r="H10" s="228">
        <f t="shared" ref="H10:H24" si="6">(N30-Z10)*Q30</f>
        <v>-0.157531026510836</v>
      </c>
      <c r="I10" s="227"/>
      <c r="J10" s="233">
        <f t="shared" si="3"/>
        <v>-4.8204288143649895E-2</v>
      </c>
      <c r="K10" s="140"/>
      <c r="L10" s="229" t="s">
        <v>433</v>
      </c>
      <c r="M10" s="215">
        <v>6.0000000000000001E-3</v>
      </c>
      <c r="N10" s="215">
        <v>0.16600000000000001</v>
      </c>
      <c r="O10" s="216">
        <f t="shared" si="0"/>
        <v>0.17200000000000001</v>
      </c>
      <c r="P10" s="258" t="s">
        <v>433</v>
      </c>
      <c r="Q10" s="259">
        <v>4.4455139967337597E-3</v>
      </c>
      <c r="R10" s="259">
        <v>6.3294250609545702E-2</v>
      </c>
      <c r="S10" s="260">
        <f t="shared" si="1"/>
        <v>6.7739764606279465E-2</v>
      </c>
      <c r="U10">
        <f>'CARB ZEV counts'!A65</f>
        <v>2026</v>
      </c>
      <c r="V10">
        <f>'CARB ZEV counts'!B65</f>
        <v>0.60000000000000009</v>
      </c>
      <c r="W10">
        <f>'CARB ZEV counts'!C65</f>
        <v>0.49</v>
      </c>
      <c r="X10" s="60">
        <f>V10*'Combined MOVES output'!AG$38+'Federal GHG Rule'!W10*(1-'Combined MOVES output'!AG$38)</f>
        <v>0.53962091316240768</v>
      </c>
      <c r="Z10" s="211">
        <f>M10*X10+N10</f>
        <v>0.16923772547897445</v>
      </c>
    </row>
    <row r="11" spans="1:26">
      <c r="B11" s="8">
        <v>2027</v>
      </c>
      <c r="C11" s="223">
        <f t="shared" si="4"/>
        <v>-3.915847022788844E-4</v>
      </c>
      <c r="D11" s="223">
        <f t="shared" si="4"/>
        <v>6.067815645703226E-3</v>
      </c>
      <c r="E11" s="223">
        <f t="shared" si="4"/>
        <v>-6.0108846503605831E-2</v>
      </c>
      <c r="F11" s="223">
        <f t="shared" si="4"/>
        <v>7.5089648819411424E-3</v>
      </c>
      <c r="G11" s="228">
        <f t="shared" si="5"/>
        <v>-5.9406069402726344E-2</v>
      </c>
      <c r="H11" s="228">
        <f t="shared" si="6"/>
        <v>-0.15703993862182117</v>
      </c>
      <c r="I11" s="227"/>
      <c r="J11" s="233">
        <f t="shared" si="3"/>
        <v>-5.9406069402726344E-2</v>
      </c>
      <c r="K11" s="140"/>
      <c r="U11">
        <f>'CARB ZEV counts'!A66</f>
        <v>2027</v>
      </c>
      <c r="V11">
        <f>'CARB ZEV counts'!B66</f>
        <v>0.62999999999999989</v>
      </c>
      <c r="W11">
        <f>'CARB ZEV counts'!C66</f>
        <v>0.56499999999999995</v>
      </c>
      <c r="X11" s="60">
        <f>V11*'Combined MOVES output'!AG$38+'Federal GHG Rule'!W11*(1-'Combined MOVES output'!AG$38)</f>
        <v>0.59432144868687709</v>
      </c>
      <c r="Z11" s="211">
        <f>M$10*X11+N$10</f>
        <v>0.16956592869212128</v>
      </c>
    </row>
    <row r="12" spans="1:26">
      <c r="A12" s="6"/>
      <c r="B12">
        <v>2028</v>
      </c>
      <c r="C12" s="223">
        <f t="shared" si="4"/>
        <v>-2.1730767001531246E-3</v>
      </c>
      <c r="D12" s="223">
        <f t="shared" si="4"/>
        <v>6.4045666478246633E-3</v>
      </c>
      <c r="E12" s="223">
        <f t="shared" si="4"/>
        <v>-7.6074123793105367E-2</v>
      </c>
      <c r="F12" s="223">
        <f t="shared" si="4"/>
        <v>8.1257143568252525E-3</v>
      </c>
      <c r="G12" s="228">
        <f t="shared" si="5"/>
        <v>-7.5231701689511724E-2</v>
      </c>
      <c r="H12" s="228">
        <f t="shared" si="6"/>
        <v>-0.15631606857292465</v>
      </c>
      <c r="I12" s="227"/>
      <c r="J12" s="233">
        <f t="shared" si="3"/>
        <v>-7.5231701689511724E-2</v>
      </c>
      <c r="K12" s="140"/>
      <c r="L12" t="s">
        <v>423</v>
      </c>
      <c r="U12">
        <f>'CARB ZEV counts'!A67</f>
        <v>2028</v>
      </c>
      <c r="V12">
        <f>'CARB ZEV counts'!B67</f>
        <v>0.64500000000000002</v>
      </c>
      <c r="W12">
        <f>'CARB ZEV counts'!C67</f>
        <v>0.58000000000000007</v>
      </c>
      <c r="X12" s="60">
        <f>V12*'Combined MOVES output'!AG$38+'Federal GHG Rule'!W12*(1-'Combined MOVES output'!AG$38)</f>
        <v>0.60932144868687721</v>
      </c>
      <c r="Z12" s="211">
        <f t="shared" ref="Z12:Z24" si="7">M$10*X12+N$10</f>
        <v>0.16965592869212126</v>
      </c>
    </row>
    <row r="13" spans="1:26">
      <c r="B13">
        <v>2029</v>
      </c>
      <c r="C13" s="223">
        <f t="shared" si="4"/>
        <v>-4.9706588940135023E-3</v>
      </c>
      <c r="D13" s="223">
        <f t="shared" si="4"/>
        <v>6.3336072321043754E-3</v>
      </c>
      <c r="E13" s="223">
        <f t="shared" si="4"/>
        <v>-9.4180642250291491E-2</v>
      </c>
      <c r="F13" s="223">
        <f t="shared" si="4"/>
        <v>8.387271165300093E-3</v>
      </c>
      <c r="G13" s="228">
        <f t="shared" si="5"/>
        <v>-9.3190293822784098E-2</v>
      </c>
      <c r="H13" s="228">
        <f t="shared" si="6"/>
        <v>-0.15594538334568631</v>
      </c>
      <c r="I13" s="227"/>
      <c r="J13" s="233">
        <f t="shared" si="3"/>
        <v>-9.3190293822784098E-2</v>
      </c>
      <c r="K13" s="140"/>
      <c r="L13" t="s">
        <v>434</v>
      </c>
      <c r="U13">
        <f>'CARB ZEV counts'!A68</f>
        <v>2029</v>
      </c>
      <c r="V13">
        <f>'CARB ZEV counts'!B68</f>
        <v>0.71700000000000008</v>
      </c>
      <c r="W13">
        <f>'CARB ZEV counts'!C68</f>
        <v>0.65800000000000014</v>
      </c>
      <c r="X13" s="60">
        <f>V13*'Combined MOVES output'!AG$38+'Federal GHG Rule'!W13*(1-'Combined MOVES output'!AG$38)</f>
        <v>0.68461485342347328</v>
      </c>
      <c r="Z13" s="211">
        <f t="shared" si="7"/>
        <v>0.17010768912054086</v>
      </c>
    </row>
    <row r="14" spans="1:26">
      <c r="B14">
        <v>2030</v>
      </c>
      <c r="C14" s="223">
        <f t="shared" si="4"/>
        <v>-8.9073537156951869E-3</v>
      </c>
      <c r="D14" s="223">
        <f t="shared" si="4"/>
        <v>5.369696124777024E-3</v>
      </c>
      <c r="E14" s="223">
        <f t="shared" si="4"/>
        <v>-0.11201375681800327</v>
      </c>
      <c r="F14" s="223">
        <f t="shared" si="4"/>
        <v>7.7617143058981621E-3</v>
      </c>
      <c r="G14" s="228">
        <f t="shared" si="5"/>
        <v>-0.11086955639494549</v>
      </c>
      <c r="H14" s="228">
        <f t="shared" si="6"/>
        <v>-0.15525048727676996</v>
      </c>
      <c r="I14" s="227"/>
      <c r="J14" s="233">
        <f t="shared" si="3"/>
        <v>-0.11086955639494549</v>
      </c>
      <c r="K14" s="140"/>
      <c r="U14">
        <f>'CARB ZEV counts'!A69</f>
        <v>2030</v>
      </c>
      <c r="V14">
        <f>'CARB ZEV counts'!B69</f>
        <v>0.7370000000000001</v>
      </c>
      <c r="W14">
        <f>'CARB ZEV counts'!C69</f>
        <v>0.67799999999999994</v>
      </c>
      <c r="X14" s="60">
        <f>V14*'Combined MOVES output'!AG$38+'Federal GHG Rule'!W14*(1-'Combined MOVES output'!AG$38)</f>
        <v>0.70461485342347319</v>
      </c>
      <c r="Z14" s="211">
        <f t="shared" si="7"/>
        <v>0.17022768912054084</v>
      </c>
    </row>
    <row r="15" spans="1:26">
      <c r="B15">
        <v>2031</v>
      </c>
      <c r="C15" s="223">
        <f t="shared" si="4"/>
        <v>-1.305158920541059E-2</v>
      </c>
      <c r="D15" s="223">
        <f t="shared" si="4"/>
        <v>4.4873110366291111E-3</v>
      </c>
      <c r="E15" s="223">
        <f t="shared" si="4"/>
        <v>-0.12953573244261146</v>
      </c>
      <c r="F15" s="223">
        <f t="shared" si="4"/>
        <v>7.3049045932124922E-3</v>
      </c>
      <c r="G15" s="228">
        <f t="shared" si="5"/>
        <v>-0.12823569243120644</v>
      </c>
      <c r="H15" s="228">
        <f t="shared" si="6"/>
        <v>-0.1551185167948238</v>
      </c>
      <c r="I15" s="227"/>
      <c r="J15" s="233">
        <f t="shared" si="3"/>
        <v>-0.12823569243120644</v>
      </c>
      <c r="K15" s="140"/>
      <c r="L15" s="277"/>
      <c r="M15" s="277"/>
      <c r="U15">
        <f>'CARB ZEV counts'!A70</f>
        <v>2031</v>
      </c>
      <c r="V15">
        <f>'CARB ZEV counts'!B70</f>
        <v>0.75500000000000012</v>
      </c>
      <c r="W15">
        <f>'CARB ZEV counts'!C70</f>
        <v>0.70700000000000007</v>
      </c>
      <c r="X15" s="60">
        <f>V15*'Combined MOVES output'!AG$38+'Federal GHG Rule'!W15*(1-'Combined MOVES output'!AG$38)</f>
        <v>0.72865276210723251</v>
      </c>
      <c r="Z15" s="211">
        <f t="shared" si="7"/>
        <v>0.17037191657264342</v>
      </c>
    </row>
    <row r="16" spans="1:26">
      <c r="B16" s="8">
        <v>2032</v>
      </c>
      <c r="C16" s="223">
        <f t="shared" si="4"/>
        <v>-1.7962102402472802E-2</v>
      </c>
      <c r="D16" s="223">
        <f t="shared" si="4"/>
        <v>3.076308453900509E-3</v>
      </c>
      <c r="E16" s="223">
        <f t="shared" si="4"/>
        <v>-0.14697001659850517</v>
      </c>
      <c r="F16" s="223">
        <f t="shared" si="4"/>
        <v>6.4033148836455485E-3</v>
      </c>
      <c r="G16" s="228">
        <f t="shared" si="5"/>
        <v>-0.145515816571507</v>
      </c>
      <c r="H16" s="228">
        <f t="shared" si="6"/>
        <v>-0.15496553585324691</v>
      </c>
      <c r="I16" s="227"/>
      <c r="J16" s="233">
        <f t="shared" si="3"/>
        <v>-0.145515816571507</v>
      </c>
      <c r="K16" s="140"/>
      <c r="U16">
        <f>'CARB ZEV counts'!A71</f>
        <v>2032</v>
      </c>
      <c r="V16">
        <f>'CARB ZEV counts'!B71</f>
        <v>0.77600000000000002</v>
      </c>
      <c r="W16">
        <f>'CARB ZEV counts'!C71</f>
        <v>0.72700000000000009</v>
      </c>
      <c r="X16" s="60">
        <f>V16*'Combined MOVES output'!AG$38+'Federal GHG Rule'!W16*(1-'Combined MOVES output'!AG$38)</f>
        <v>0.74910386131779982</v>
      </c>
      <c r="Z16" s="211">
        <f t="shared" si="7"/>
        <v>0.17049462316790681</v>
      </c>
    </row>
    <row r="17" spans="1:26">
      <c r="B17">
        <v>2033</v>
      </c>
      <c r="C17" s="223">
        <f t="shared" si="4"/>
        <v>-2.366808880246726E-2</v>
      </c>
      <c r="D17" s="223">
        <f t="shared" si="4"/>
        <v>1.1554139092889717E-3</v>
      </c>
      <c r="E17" s="223">
        <f t="shared" si="4"/>
        <v>-0.16370008139163369</v>
      </c>
      <c r="F17" s="223">
        <f t="shared" si="4"/>
        <v>5.0274386240347375E-3</v>
      </c>
      <c r="G17" s="228">
        <f t="shared" si="5"/>
        <v>-0.16210180167383911</v>
      </c>
      <c r="H17" s="228">
        <f t="shared" si="6"/>
        <v>-0.1546927092509876</v>
      </c>
      <c r="I17" s="227"/>
      <c r="J17" s="233">
        <f t="shared" si="3"/>
        <v>-0.16210180167383911</v>
      </c>
      <c r="K17" s="140"/>
      <c r="U17">
        <f>'CARB ZEV counts'!A72</f>
        <v>2033</v>
      </c>
      <c r="V17">
        <f>'CARB ZEV counts'!B72</f>
        <v>0.77600000000000002</v>
      </c>
      <c r="W17">
        <f>'CARB ZEV counts'!C72</f>
        <v>0.72700000000000009</v>
      </c>
      <c r="X17" s="60">
        <f>V17*'Combined MOVES output'!AG$38+'Federal GHG Rule'!W17*(1-'Combined MOVES output'!AG$38)</f>
        <v>0.74910386131779982</v>
      </c>
      <c r="Z17" s="211">
        <f t="shared" si="7"/>
        <v>0.17049462316790681</v>
      </c>
    </row>
    <row r="18" spans="1:26">
      <c r="B18">
        <v>2034</v>
      </c>
      <c r="C18" s="223">
        <f t="shared" si="4"/>
        <v>-3.0049865129021362E-2</v>
      </c>
      <c r="D18" s="223">
        <f t="shared" si="4"/>
        <v>-1.4196896548078048E-3</v>
      </c>
      <c r="E18" s="223">
        <f t="shared" si="4"/>
        <v>-0.17964593038987964</v>
      </c>
      <c r="F18" s="223">
        <f t="shared" si="4"/>
        <v>3.0375740911041771E-3</v>
      </c>
      <c r="G18" s="228">
        <f t="shared" si="5"/>
        <v>-0.17792230032811507</v>
      </c>
      <c r="H18" s="228">
        <f t="shared" si="6"/>
        <v>-0.1544199085641009</v>
      </c>
      <c r="I18" s="227"/>
      <c r="J18" s="233">
        <f t="shared" si="3"/>
        <v>-0.17792230032811507</v>
      </c>
      <c r="K18" s="140"/>
      <c r="U18">
        <f>'CARB ZEV counts'!A73</f>
        <v>2034</v>
      </c>
      <c r="V18">
        <f>'CARB ZEV counts'!B73</f>
        <v>0.77600000000000002</v>
      </c>
      <c r="W18">
        <f>'CARB ZEV counts'!C73</f>
        <v>0.72700000000000009</v>
      </c>
      <c r="X18" s="60">
        <f>V18*'Combined MOVES output'!AG$38+'Federal GHG Rule'!W18*(1-'Combined MOVES output'!AG$38)</f>
        <v>0.74910386131779982</v>
      </c>
      <c r="Z18" s="211">
        <f t="shared" si="7"/>
        <v>0.17049462316790681</v>
      </c>
    </row>
    <row r="19" spans="1:26">
      <c r="B19">
        <v>2035</v>
      </c>
      <c r="C19" s="223">
        <f t="shared" si="4"/>
        <v>-4.3602536680155894E-2</v>
      </c>
      <c r="D19" s="223">
        <f t="shared" si="4"/>
        <v>-8.4024470387030967E-3</v>
      </c>
      <c r="E19" s="223">
        <f t="shared" si="4"/>
        <v>-0.19440936924755275</v>
      </c>
      <c r="F19" s="223">
        <f t="shared" si="4"/>
        <v>-1.4044045406940058E-2</v>
      </c>
      <c r="G19" s="228">
        <f t="shared" si="5"/>
        <v>-0.19256946024169025</v>
      </c>
      <c r="H19" s="228">
        <f t="shared" si="6"/>
        <v>-0.1541471337925869</v>
      </c>
      <c r="I19" s="227"/>
      <c r="J19" s="233">
        <f t="shared" si="3"/>
        <v>-0.19256946024169025</v>
      </c>
      <c r="K19" s="140"/>
      <c r="U19">
        <f>'CARB ZEV counts'!A74</f>
        <v>2035</v>
      </c>
      <c r="V19">
        <f>'CARB ZEV counts'!B74</f>
        <v>0.77600000000000002</v>
      </c>
      <c r="W19">
        <f>'CARB ZEV counts'!C74</f>
        <v>0.72700000000000009</v>
      </c>
      <c r="X19" s="60">
        <f>V19*'Combined MOVES output'!AG$38+'Federal GHG Rule'!W19*(1-'Combined MOVES output'!AG$38)</f>
        <v>0.74910386131779982</v>
      </c>
      <c r="Z19" s="211">
        <f t="shared" si="7"/>
        <v>0.17049462316790681</v>
      </c>
    </row>
    <row r="20" spans="1:26">
      <c r="B20">
        <v>2036</v>
      </c>
      <c r="C20" s="223">
        <f t="shared" si="4"/>
        <v>-5.1965267937431892E-2</v>
      </c>
      <c r="D20" s="223">
        <f t="shared" si="4"/>
        <v>-1.3242820247576174E-2</v>
      </c>
      <c r="E20" s="223">
        <f t="shared" si="4"/>
        <v>-0.20786142684892303</v>
      </c>
      <c r="F20" s="223">
        <f t="shared" si="4"/>
        <v>-2.0226841327396935E-2</v>
      </c>
      <c r="G20" s="228">
        <f t="shared" si="5"/>
        <v>-0.20591327915782057</v>
      </c>
      <c r="H20" s="228">
        <f t="shared" si="6"/>
        <v>-0.15395622524207991</v>
      </c>
      <c r="I20" s="227"/>
      <c r="J20" s="233">
        <f t="shared" si="3"/>
        <v>-0.20591327915782057</v>
      </c>
      <c r="K20" s="140"/>
      <c r="U20">
        <f>'CARB ZEV counts'!A75</f>
        <v>2036</v>
      </c>
      <c r="V20">
        <f>'CARB ZEV counts'!B75</f>
        <v>0.79</v>
      </c>
      <c r="W20">
        <f>'CARB ZEV counts'!C75</f>
        <v>0.74</v>
      </c>
      <c r="X20" s="60">
        <f>V20*'Combined MOVES output'!AG$38+'Federal GHG Rule'!W20*(1-'Combined MOVES output'!AG$38)</f>
        <v>0.76255496052836713</v>
      </c>
      <c r="Z20" s="211">
        <f t="shared" si="7"/>
        <v>0.17057532976317022</v>
      </c>
    </row>
    <row r="21" spans="1:26">
      <c r="B21" s="8">
        <v>2037</v>
      </c>
      <c r="C21" s="223">
        <f t="shared" si="4"/>
        <v>-6.0447842116828514E-2</v>
      </c>
      <c r="D21" s="223">
        <f t="shared" si="4"/>
        <v>-1.88921844092774E-2</v>
      </c>
      <c r="E21" s="223">
        <f t="shared" si="4"/>
        <v>-0.21989332565125988</v>
      </c>
      <c r="F21" s="223">
        <f t="shared" si="4"/>
        <v>-2.7488535731615912E-2</v>
      </c>
      <c r="G21" s="228">
        <f t="shared" si="5"/>
        <v>-0.21784705465552526</v>
      </c>
      <c r="H21" s="228">
        <f t="shared" si="6"/>
        <v>-0.15368650566789499</v>
      </c>
      <c r="I21" s="227"/>
      <c r="J21" s="233">
        <f t="shared" si="3"/>
        <v>-0.21784705465552526</v>
      </c>
      <c r="K21" s="140"/>
      <c r="U21">
        <f>'CARB ZEV counts'!A76</f>
        <v>2037</v>
      </c>
      <c r="V21">
        <f>'CARB ZEV counts'!B76</f>
        <v>0.79</v>
      </c>
      <c r="W21">
        <f>'CARB ZEV counts'!C76</f>
        <v>0.74</v>
      </c>
      <c r="X21" s="60">
        <f>V21*'Combined MOVES output'!AG$38+'Federal GHG Rule'!W21*(1-'Combined MOVES output'!AG$38)</f>
        <v>0.76255496052836713</v>
      </c>
      <c r="Z21" s="211">
        <f t="shared" si="7"/>
        <v>0.17057532976317022</v>
      </c>
    </row>
    <row r="22" spans="1:26">
      <c r="A22" s="6"/>
      <c r="B22">
        <v>2038</v>
      </c>
      <c r="C22" s="223">
        <f t="shared" si="4"/>
        <v>-6.9554927884430226E-2</v>
      </c>
      <c r="D22" s="223">
        <f t="shared" si="4"/>
        <v>-2.5477902880165545E-2</v>
      </c>
      <c r="E22" s="223">
        <f t="shared" si="4"/>
        <v>-0.23060549596863841</v>
      </c>
      <c r="F22" s="223">
        <f t="shared" si="4"/>
        <v>-3.5959715260608746E-2</v>
      </c>
      <c r="G22" s="228">
        <f t="shared" si="5"/>
        <v>-0.22846945713406053</v>
      </c>
      <c r="H22" s="228">
        <f t="shared" si="6"/>
        <v>-0.1534168016120793</v>
      </c>
      <c r="I22" s="227"/>
      <c r="J22" s="233">
        <f t="shared" si="3"/>
        <v>-0.22846945713406053</v>
      </c>
      <c r="K22" s="140"/>
      <c r="U22">
        <f>'CARB ZEV counts'!A77</f>
        <v>2038</v>
      </c>
      <c r="V22">
        <f>'CARB ZEV counts'!B77</f>
        <v>0.79</v>
      </c>
      <c r="W22">
        <f>'CARB ZEV counts'!C77</f>
        <v>0.74</v>
      </c>
      <c r="X22" s="60">
        <f>V22*'Combined MOVES output'!AG$38+'Federal GHG Rule'!W22*(1-'Combined MOVES output'!AG$38)</f>
        <v>0.76255496052836713</v>
      </c>
      <c r="Z22" s="211">
        <f t="shared" si="7"/>
        <v>0.17057532976317022</v>
      </c>
    </row>
    <row r="23" spans="1:26">
      <c r="B23">
        <v>2039</v>
      </c>
      <c r="C23" s="223">
        <f t="shared" si="4"/>
        <v>-7.8504155560745248E-2</v>
      </c>
      <c r="D23" s="223">
        <f t="shared" si="4"/>
        <v>-3.283992177031668E-2</v>
      </c>
      <c r="E23" s="223">
        <f t="shared" si="4"/>
        <v>-0.24009574295145109</v>
      </c>
      <c r="F23" s="223">
        <f t="shared" si="4"/>
        <v>-4.5634053784043525E-2</v>
      </c>
      <c r="G23" s="228">
        <f t="shared" si="5"/>
        <v>-0.23787900622336594</v>
      </c>
      <c r="H23" s="228">
        <f t="shared" si="6"/>
        <v>-0.1531471130746328</v>
      </c>
      <c r="I23" s="227"/>
      <c r="J23" s="233">
        <f t="shared" si="3"/>
        <v>-0.23787900622336594</v>
      </c>
      <c r="K23" s="140"/>
      <c r="U23">
        <f>'CARB ZEV counts'!A78</f>
        <v>2039</v>
      </c>
      <c r="V23">
        <f>'CARB ZEV counts'!B78</f>
        <v>0.79</v>
      </c>
      <c r="W23">
        <f>'CARB ZEV counts'!C78</f>
        <v>0.74</v>
      </c>
      <c r="X23" s="60">
        <f>V23*'Combined MOVES output'!AG$38+'Federal GHG Rule'!W23*(1-'Combined MOVES output'!AG$38)</f>
        <v>0.76255496052836713</v>
      </c>
      <c r="Z23" s="211">
        <f t="shared" si="7"/>
        <v>0.17057532976317022</v>
      </c>
    </row>
    <row r="24" spans="1:26">
      <c r="B24">
        <v>2040</v>
      </c>
      <c r="C24" s="223">
        <f t="shared" si="4"/>
        <v>-8.8028006335723691E-2</v>
      </c>
      <c r="D24" s="223">
        <f t="shared" si="4"/>
        <v>-4.1422548735896875E-2</v>
      </c>
      <c r="E24" s="223">
        <f t="shared" si="4"/>
        <v>-0.24827814444901122</v>
      </c>
      <c r="F24" s="223">
        <f t="shared" si="4"/>
        <v>-5.6261096936760624E-2</v>
      </c>
      <c r="G24" s="228">
        <f t="shared" si="5"/>
        <v>-0.24598543912628612</v>
      </c>
      <c r="H24" s="228">
        <f t="shared" si="6"/>
        <v>-0.15287744005555548</v>
      </c>
      <c r="I24" s="227"/>
      <c r="J24" s="233">
        <f t="shared" si="3"/>
        <v>-0.24598543912628612</v>
      </c>
      <c r="K24" s="140"/>
      <c r="U24">
        <f>'CARB ZEV counts'!A79</f>
        <v>2040</v>
      </c>
      <c r="V24">
        <f>'CARB ZEV counts'!B79</f>
        <v>0.79</v>
      </c>
      <c r="W24">
        <f>'CARB ZEV counts'!C79</f>
        <v>0.74</v>
      </c>
      <c r="X24" s="60">
        <f>V24*'Combined MOVES output'!AG$38+'Federal GHG Rule'!W24*(1-'Combined MOVES output'!AG$38)</f>
        <v>0.76255496052836713</v>
      </c>
      <c r="Z24" s="211">
        <f t="shared" si="7"/>
        <v>0.17057532976317022</v>
      </c>
    </row>
    <row r="25" spans="1:26">
      <c r="C25" s="42"/>
      <c r="D25" s="3"/>
      <c r="E25" s="3"/>
      <c r="F25" s="102"/>
      <c r="G25" s="3"/>
      <c r="H25" s="3"/>
      <c r="I25" s="3"/>
      <c r="K25" s="3"/>
    </row>
    <row r="26" spans="1:26">
      <c r="C26" s="3"/>
      <c r="D26" s="3"/>
      <c r="E26" s="3"/>
      <c r="F26" s="102"/>
      <c r="G26" s="3"/>
      <c r="H26" s="3"/>
      <c r="I26" s="3"/>
    </row>
    <row r="27" spans="1:26">
      <c r="A27" t="s">
        <v>446</v>
      </c>
      <c r="C27" s="3"/>
      <c r="D27" s="3"/>
      <c r="E27" s="3"/>
      <c r="F27" s="102"/>
      <c r="G27" s="3"/>
      <c r="H27" s="3"/>
      <c r="I27" s="3"/>
      <c r="N27" s="6"/>
    </row>
    <row r="28" spans="1:26">
      <c r="C28" t="s">
        <v>414</v>
      </c>
      <c r="D28" t="s">
        <v>2</v>
      </c>
      <c r="E28" t="s">
        <v>116</v>
      </c>
      <c r="F28" s="29" t="s">
        <v>115</v>
      </c>
      <c r="G28" s="226" t="s">
        <v>3</v>
      </c>
      <c r="H28" s="226" t="s">
        <v>26</v>
      </c>
      <c r="I28" s="226" t="s">
        <v>21</v>
      </c>
      <c r="J28" s="144" t="s">
        <v>438</v>
      </c>
      <c r="K28" s="3"/>
      <c r="L28" s="29" t="s">
        <v>447</v>
      </c>
      <c r="M28" s="29" t="s">
        <v>449</v>
      </c>
      <c r="N28" s="29" t="s">
        <v>451</v>
      </c>
      <c r="O28" s="29" t="s">
        <v>450</v>
      </c>
      <c r="P28" s="29" t="s">
        <v>249</v>
      </c>
      <c r="Q28" s="29" t="s">
        <v>473</v>
      </c>
    </row>
    <row r="29" spans="1:26">
      <c r="B29">
        <v>2025</v>
      </c>
      <c r="C29" s="223">
        <v>4.3843912724878811E-4</v>
      </c>
      <c r="D29" s="223">
        <v>2.1141952328636699E-3</v>
      </c>
      <c r="E29" s="223">
        <v>-1.6264331046152738E-2</v>
      </c>
      <c r="F29" s="228">
        <v>2.5640194295858901E-3</v>
      </c>
      <c r="G29" s="227">
        <v>-1.6139560551236515E-2</v>
      </c>
      <c r="H29" s="227">
        <v>-2.1802198780865108E-3</v>
      </c>
      <c r="I29" s="227">
        <v>-6.375505763797207E-3</v>
      </c>
      <c r="J29" s="223">
        <f>(G29*'Combined MOVES output'!L9+'Federal GHG Rule'!H29*'Combined MOVES output'!M9+'Federal GHG Rule'!I29*'Combined MOVES output'!N9)/'Combined MOVES output'!D9</f>
        <v>-1.6047007054294453E-2</v>
      </c>
      <c r="L29" s="211">
        <f>O7-S7</f>
        <v>2.5142786407227648E-2</v>
      </c>
      <c r="M29" s="211">
        <f>O7</f>
        <v>7.400000000000001E-2</v>
      </c>
      <c r="N29" s="231">
        <f>'Fleet ZEV fractions'!AG44</f>
        <v>7.0549907628020053E-3</v>
      </c>
      <c r="O29" s="211">
        <f>M29-N29</f>
        <v>6.6945009237198011E-2</v>
      </c>
      <c r="P29" s="230">
        <f>O29/L29</f>
        <v>2.6625930854646138</v>
      </c>
      <c r="Q29">
        <f>1-G69</f>
        <v>0.97632103697131356</v>
      </c>
    </row>
    <row r="30" spans="1:26">
      <c r="A30" s="6"/>
      <c r="B30">
        <v>2026</v>
      </c>
      <c r="C30" s="223">
        <v>2.2438498960867549E-4</v>
      </c>
      <c r="D30" s="223">
        <v>2.9768290891875855E-3</v>
      </c>
      <c r="E30" s="223">
        <v>-2.5980601940612261E-2</v>
      </c>
      <c r="F30" s="228">
        <v>3.6365127003219599E-3</v>
      </c>
      <c r="G30" s="227">
        <v>-2.5804091026653559E-2</v>
      </c>
      <c r="H30" s="227">
        <v>-3.8182050941960315E-3</v>
      </c>
      <c r="I30" s="227">
        <v>-1.0795175770601632E-2</v>
      </c>
      <c r="J30" s="223">
        <f>(G30*'Combined MOVES output'!L10+'Federal GHG Rule'!H30*'Combined MOVES output'!M10+'Federal GHG Rule'!I30*'Combined MOVES output'!N10)/'Combined MOVES output'!D10</f>
        <v>-2.5657477178173117E-2</v>
      </c>
      <c r="L30" s="211">
        <f>O8-S8</f>
        <v>4.8902978301773016E-2</v>
      </c>
      <c r="M30" s="211">
        <f>O8</f>
        <v>0.10200000000000001</v>
      </c>
      <c r="N30" s="231">
        <f>'Fleet ZEV fractions'!AG45</f>
        <v>7.9066359847414138E-3</v>
      </c>
      <c r="O30" s="211">
        <f t="shared" ref="O30:O44" si="8">M30-N30</f>
        <v>9.4093364015258599E-2</v>
      </c>
      <c r="P30" s="230">
        <f t="shared" ref="P30:P44" si="9">O30/L30</f>
        <v>1.9240824850098581</v>
      </c>
      <c r="Q30">
        <f>Q29+1/5*(Q34-Q29)</f>
        <v>0.97644556300146435</v>
      </c>
    </row>
    <row r="31" spans="1:26">
      <c r="B31" s="8">
        <v>2027</v>
      </c>
      <c r="C31" s="223">
        <v>-2.4429855547648647E-4</v>
      </c>
      <c r="D31" s="223">
        <v>3.7855375567945313E-3</v>
      </c>
      <c r="E31" s="223">
        <v>-3.7500199284420811E-2</v>
      </c>
      <c r="F31" s="228">
        <v>4.6846295657265403E-3</v>
      </c>
      <c r="G31" s="227">
        <v>-3.7271503606420724E-2</v>
      </c>
      <c r="H31" s="227">
        <v>-5.96070491851209E-3</v>
      </c>
      <c r="I31" s="227">
        <v>-1.5820952986733923E-2</v>
      </c>
      <c r="J31" s="223">
        <f>(G31*'Combined MOVES output'!L11+'Federal GHG Rule'!H31*'Combined MOVES output'!M11+'Federal GHG Rule'!I31*'Combined MOVES output'!N11)/'Combined MOVES output'!D11</f>
        <v>-3.7061756644635215E-2</v>
      </c>
      <c r="L31" s="211">
        <f>O9-S9</f>
        <v>7.7522563792475713E-2</v>
      </c>
      <c r="M31" s="211">
        <f>O9</f>
        <v>0.13600000000000001</v>
      </c>
      <c r="N31" s="231">
        <f>'Fleet ZEV fractions'!AG46</f>
        <v>8.7582812066808249E-3</v>
      </c>
      <c r="O31" s="211">
        <f t="shared" si="8"/>
        <v>0.12724171879331919</v>
      </c>
      <c r="P31" s="230">
        <f t="shared" si="9"/>
        <v>1.6413507573606485</v>
      </c>
      <c r="Q31">
        <f>Q29+2/5*(Q34-Q29)</f>
        <v>0.97657008903161513</v>
      </c>
      <c r="S31" s="8"/>
    </row>
    <row r="32" spans="1:26">
      <c r="B32">
        <v>2028</v>
      </c>
      <c r="C32" s="223">
        <v>-1.4284843428198999E-3</v>
      </c>
      <c r="D32" s="223">
        <v>4.2100783549514822E-3</v>
      </c>
      <c r="E32" s="223">
        <v>-5.0007758458105234E-2</v>
      </c>
      <c r="F32" s="228">
        <v>5.3414846020546965E-3</v>
      </c>
      <c r="G32" s="227">
        <v>-4.9731038597155039E-2</v>
      </c>
      <c r="H32" s="227">
        <v>-8.9785807848540775E-3</v>
      </c>
      <c r="I32" s="227">
        <v>-2.1731429741623499E-2</v>
      </c>
      <c r="J32" s="223">
        <f>(G32*'Combined MOVES output'!L12+'Federal GHG Rule'!H32*'Combined MOVES output'!M12+'Federal GHG Rule'!I32*'Combined MOVES output'!N12)/'Combined MOVES output'!D12</f>
        <v>-4.9453987491372156E-2</v>
      </c>
      <c r="L32" s="211">
        <f>O10-S10</f>
        <v>0.10426023539372055</v>
      </c>
      <c r="M32" s="211">
        <f>O10</f>
        <v>0.17200000000000001</v>
      </c>
      <c r="N32" s="231">
        <f>'Fleet ZEV fractions'!AG47</f>
        <v>9.6099264286202326E-3</v>
      </c>
      <c r="O32" s="211">
        <f t="shared" si="8"/>
        <v>0.16239007357137977</v>
      </c>
      <c r="P32" s="230">
        <f t="shared" si="9"/>
        <v>1.5575456256946099</v>
      </c>
      <c r="Q32">
        <f>Q29+3/5*(Q34-Q29)</f>
        <v>0.97669461506176591</v>
      </c>
    </row>
    <row r="33" spans="1:19">
      <c r="B33">
        <v>2029</v>
      </c>
      <c r="C33" s="223">
        <v>-3.2842986964852681E-3</v>
      </c>
      <c r="D33" s="223">
        <v>4.1848492161678319E-3</v>
      </c>
      <c r="E33" s="223">
        <v>-6.2228643560576918E-2</v>
      </c>
      <c r="F33" s="228">
        <v>5.5417811486600764E-3</v>
      </c>
      <c r="G33" s="227">
        <v>-6.1915580079079512E-2</v>
      </c>
      <c r="H33" s="227">
        <v>-1.2721217084206149E-2</v>
      </c>
      <c r="I33" s="227">
        <v>-2.7901359951336194E-2</v>
      </c>
      <c r="J33" s="223">
        <f>(G33*'Combined MOVES output'!L13+'Federal GHG Rule'!H33*'Combined MOVES output'!M13+'Federal GHG Rule'!I33*'Combined MOVES output'!N13)/'Combined MOVES output'!D13</f>
        <v>-6.1574283621807814E-2</v>
      </c>
      <c r="L33" s="211">
        <f>L32</f>
        <v>0.10426023539372055</v>
      </c>
      <c r="M33" s="211">
        <f>M32</f>
        <v>0.17200000000000001</v>
      </c>
      <c r="N33" s="231">
        <f>'Fleet ZEV fractions'!AG48</f>
        <v>1.0461571650559642E-2</v>
      </c>
      <c r="O33" s="211">
        <f t="shared" si="8"/>
        <v>0.16153842834944038</v>
      </c>
      <c r="P33" s="230">
        <f t="shared" si="9"/>
        <v>1.5493771689601386</v>
      </c>
      <c r="Q33">
        <f>Q29+4/5*(Q34-Q29)</f>
        <v>0.9768191410919167</v>
      </c>
    </row>
    <row r="34" spans="1:19">
      <c r="B34">
        <v>2030</v>
      </c>
      <c r="C34" s="223">
        <v>-5.9158577332338105E-3</v>
      </c>
      <c r="D34" s="223">
        <v>3.5663070490738365E-3</v>
      </c>
      <c r="E34" s="223">
        <v>-7.4394424051300631E-2</v>
      </c>
      <c r="F34" s="228">
        <v>5.1549763336321561E-3</v>
      </c>
      <c r="G34" s="227">
        <v>-7.4038111335541765E-2</v>
      </c>
      <c r="H34" s="227">
        <v>-1.7161738138571359E-2</v>
      </c>
      <c r="I34" s="227">
        <v>-3.4462973225395703E-2</v>
      </c>
      <c r="J34" s="223">
        <f>(G34*'Combined MOVES output'!L14+'Federal GHG Rule'!H34*'Combined MOVES output'!M14+'Federal GHG Rule'!I34*'Combined MOVES output'!N14)/'Combined MOVES output'!D14</f>
        <v>-7.3634498361004011E-2</v>
      </c>
      <c r="L34" s="211">
        <f t="shared" ref="L34:L44" si="10">L33</f>
        <v>0.10426023539372055</v>
      </c>
      <c r="M34" s="211">
        <f t="shared" ref="M34:M44" si="11">M33</f>
        <v>0.17200000000000001</v>
      </c>
      <c r="N34" s="231">
        <f>'Fleet ZEV fractions'!AG49</f>
        <v>1.1313216872499051E-2</v>
      </c>
      <c r="O34" s="211">
        <f t="shared" si="8"/>
        <v>0.16068678312750095</v>
      </c>
      <c r="P34" s="230">
        <f t="shared" si="9"/>
        <v>1.541208712225667</v>
      </c>
      <c r="Q34">
        <f>1-G76</f>
        <v>0.97694366712206748</v>
      </c>
    </row>
    <row r="35" spans="1:19">
      <c r="B35">
        <v>2031</v>
      </c>
      <c r="C35" s="223">
        <v>-8.6833678596257829E-3</v>
      </c>
      <c r="D35" s="223">
        <v>2.985458078580667E-3</v>
      </c>
      <c r="E35" s="223">
        <v>-8.6181567475243859E-2</v>
      </c>
      <c r="F35" s="228">
        <v>4.8600344957255058E-3</v>
      </c>
      <c r="G35" s="227">
        <v>-8.5782843860438954E-2</v>
      </c>
      <c r="H35" s="227">
        <v>-2.1848418679714418E-2</v>
      </c>
      <c r="I35" s="227">
        <v>-4.1078514557174227E-2</v>
      </c>
      <c r="J35" s="223">
        <f>(G35*'Combined MOVES output'!L15+'Federal GHG Rule'!H35*'Combined MOVES output'!M15+'Federal GHG Rule'!I35*'Combined MOVES output'!N15)/'Combined MOVES output'!D15</f>
        <v>-8.5316636356619471E-2</v>
      </c>
      <c r="L35" s="211">
        <f t="shared" si="10"/>
        <v>0.10426023539372055</v>
      </c>
      <c r="M35" s="211">
        <f t="shared" si="11"/>
        <v>0.17200000000000001</v>
      </c>
      <c r="N35" s="231">
        <f>'Fleet ZEV fractions'!AG50</f>
        <v>1.1584773826968832E-2</v>
      </c>
      <c r="O35" s="211">
        <f t="shared" si="8"/>
        <v>0.16041522617303119</v>
      </c>
      <c r="P35" s="230">
        <f t="shared" si="9"/>
        <v>1.5386041050766013</v>
      </c>
      <c r="Q35">
        <f>Q34+1/5*(Q39-Q34)</f>
        <v>0.97689595084706116</v>
      </c>
    </row>
    <row r="36" spans="1:19">
      <c r="B36" s="8">
        <v>2032</v>
      </c>
      <c r="C36" s="223">
        <v>-1.1971236158820099E-2</v>
      </c>
      <c r="D36" s="223">
        <v>2.0502730790549219E-3</v>
      </c>
      <c r="E36" s="223">
        <v>-9.7951383281513899E-2</v>
      </c>
      <c r="F36" s="228">
        <v>4.2676293094095425E-3</v>
      </c>
      <c r="G36" s="227">
        <v>-9.7510500220374774E-2</v>
      </c>
      <c r="H36" s="227">
        <v>-2.7255901292055615E-2</v>
      </c>
      <c r="I36" s="227">
        <v>-4.8051717895765428E-2</v>
      </c>
      <c r="J36" s="223">
        <f>(G36*'Combined MOVES output'!L16+'Federal GHG Rule'!H36*'Combined MOVES output'!M16+'Federal GHG Rule'!I36*'Combined MOVES output'!N16)/'Combined MOVES output'!D16</f>
        <v>-9.6982199855471241E-2</v>
      </c>
      <c r="L36" s="211">
        <f t="shared" si="10"/>
        <v>0.10426023539372055</v>
      </c>
      <c r="M36" s="211">
        <f t="shared" si="11"/>
        <v>0.17200000000000001</v>
      </c>
      <c r="N36" s="231">
        <f>'Fleet ZEV fractions'!AG51</f>
        <v>1.185633078143861E-2</v>
      </c>
      <c r="O36" s="211">
        <f t="shared" si="8"/>
        <v>0.16014366921856141</v>
      </c>
      <c r="P36" s="230">
        <f t="shared" si="9"/>
        <v>1.5359994979275353</v>
      </c>
      <c r="Q36">
        <f>Q34+2/5*(Q39-Q34)</f>
        <v>0.97684823457205472</v>
      </c>
      <c r="S36" s="8"/>
    </row>
    <row r="37" spans="1:19">
      <c r="B37">
        <v>2033</v>
      </c>
      <c r="C37" s="223">
        <v>-1.5801681243850191E-2</v>
      </c>
      <c r="D37" s="223">
        <v>7.713965606463304E-4</v>
      </c>
      <c r="E37" s="223">
        <v>-0.10929215820219822</v>
      </c>
      <c r="F37" s="228">
        <v>3.3565017975484509E-3</v>
      </c>
      <c r="G37" s="227">
        <v>-0.10881277687776238</v>
      </c>
      <c r="H37" s="227">
        <v>-3.3143844462513651E-2</v>
      </c>
      <c r="I37" s="227">
        <v>-5.5052327393082183E-2</v>
      </c>
      <c r="J37" s="223">
        <f>(G37*'Combined MOVES output'!L17+'Federal GHG Rule'!H37*'Combined MOVES output'!M17+'Federal GHG Rule'!I37*'Combined MOVES output'!N17)/'Combined MOVES output'!D17</f>
        <v>-0.10822508823935152</v>
      </c>
      <c r="L37" s="211">
        <f t="shared" si="10"/>
        <v>0.10426023539372055</v>
      </c>
      <c r="M37" s="211">
        <f t="shared" si="11"/>
        <v>0.17200000000000001</v>
      </c>
      <c r="N37" s="231">
        <f>'Fleet ZEV fractions'!AG52</f>
        <v>1.212788773590839E-2</v>
      </c>
      <c r="O37" s="211">
        <f t="shared" si="8"/>
        <v>0.15987211226409162</v>
      </c>
      <c r="P37" s="230">
        <f t="shared" si="9"/>
        <v>1.5333948907784694</v>
      </c>
      <c r="Q37">
        <f>Q34+3/5*(Q39-Q34)</f>
        <v>0.97680051829704839</v>
      </c>
    </row>
    <row r="38" spans="1:19">
      <c r="B38">
        <v>2034</v>
      </c>
      <c r="C38" s="223">
        <v>-2.0097505879815198E-2</v>
      </c>
      <c r="D38" s="223">
        <v>-9.4949581512287736E-4</v>
      </c>
      <c r="E38" s="223">
        <v>-0.12014813134081642</v>
      </c>
      <c r="F38" s="228">
        <v>2.0315453295456655E-3</v>
      </c>
      <c r="G38" s="227">
        <v>-0.11963947738095373</v>
      </c>
      <c r="H38" s="227">
        <v>-3.948802809727997E-2</v>
      </c>
      <c r="I38" s="227">
        <v>-6.2058769501049757E-2</v>
      </c>
      <c r="J38" s="223">
        <f>(G38*'Combined MOVES output'!L18+'Federal GHG Rule'!H38*'Combined MOVES output'!M18+'Federal GHG Rule'!I38*'Combined MOVES output'!N18)/'Combined MOVES output'!D18</f>
        <v>-0.11899535860282884</v>
      </c>
      <c r="K38" s="3"/>
      <c r="L38" s="211">
        <f t="shared" si="10"/>
        <v>0.10426023539372055</v>
      </c>
      <c r="M38" s="211">
        <f t="shared" si="11"/>
        <v>0.17200000000000001</v>
      </c>
      <c r="N38" s="231">
        <f>'Fleet ZEV fractions'!AG53</f>
        <v>1.2399444690378169E-2</v>
      </c>
      <c r="O38" s="211">
        <f t="shared" si="8"/>
        <v>0.15960055530962183</v>
      </c>
      <c r="P38" s="230">
        <f t="shared" si="9"/>
        <v>1.5307902836294034</v>
      </c>
      <c r="Q38">
        <f>Q34+4/5*(Q39-Q34)</f>
        <v>0.97675280202204195</v>
      </c>
    </row>
    <row r="39" spans="1:19">
      <c r="B39">
        <v>2035</v>
      </c>
      <c r="C39" s="223">
        <v>-2.9212732521398679E-2</v>
      </c>
      <c r="D39" s="223">
        <v>-5.6294531592828972E-3</v>
      </c>
      <c r="E39" s="223">
        <v>-0.13024996561879582</v>
      </c>
      <c r="F39" s="228">
        <v>-9.4091989418137387E-3</v>
      </c>
      <c r="G39" s="227">
        <v>-0.12971328528255432</v>
      </c>
      <c r="H39" s="227">
        <v>-5.0057024818928764E-2</v>
      </c>
      <c r="I39" s="227">
        <v>-6.881427523417849E-2</v>
      </c>
      <c r="J39" s="223">
        <f>(G39*'Combined MOVES output'!L19+'Federal GHG Rule'!H39*'Combined MOVES output'!M19+'Federal GHG Rule'!I39*'Combined MOVES output'!N19)/'Combined MOVES output'!D19</f>
        <v>-0.12901726739194161</v>
      </c>
      <c r="K39" s="3"/>
      <c r="L39" s="211">
        <f t="shared" si="10"/>
        <v>0.10426023539372055</v>
      </c>
      <c r="M39" s="211">
        <f t="shared" si="11"/>
        <v>0.17200000000000001</v>
      </c>
      <c r="N39" s="231">
        <f>'Fleet ZEV fractions'!AG54</f>
        <v>1.2671001644847949E-2</v>
      </c>
      <c r="O39" s="211">
        <f t="shared" si="8"/>
        <v>0.15932899835515207</v>
      </c>
      <c r="P39" s="230">
        <f t="shared" si="9"/>
        <v>1.5281856764803377</v>
      </c>
      <c r="Q39">
        <f>1-G83</f>
        <v>0.97670508574703563</v>
      </c>
    </row>
    <row r="40" spans="1:19">
      <c r="B40">
        <v>2036</v>
      </c>
      <c r="C40" s="223">
        <v>-3.4876037503987815E-2</v>
      </c>
      <c r="D40" s="223">
        <v>-8.8878036031514139E-3</v>
      </c>
      <c r="E40" s="223">
        <v>-0.13950438833768711</v>
      </c>
      <c r="F40" s="228">
        <v>-1.357506859333185E-2</v>
      </c>
      <c r="G40" s="227">
        <v>-0.13894643327782633</v>
      </c>
      <c r="H40" s="227">
        <v>-5.6822564123230133E-2</v>
      </c>
      <c r="I40" s="227">
        <v>-7.5280661392159762E-2</v>
      </c>
      <c r="J40" s="223">
        <f>(G40*'Combined MOVES output'!L20+'Federal GHG Rule'!H40*'Combined MOVES output'!M20+'Federal GHG Rule'!I40*'Combined MOVES output'!N20)/'Combined MOVES output'!D20</f>
        <v>-0.13819690596272843</v>
      </c>
      <c r="K40" s="6"/>
      <c r="L40" s="211">
        <f t="shared" si="10"/>
        <v>0.10426023539372055</v>
      </c>
      <c r="M40" s="211">
        <f t="shared" si="11"/>
        <v>0.17200000000000001</v>
      </c>
      <c r="N40" s="231">
        <f>'Fleet ZEV fractions'!AG55</f>
        <v>1.2942558599317729E-2</v>
      </c>
      <c r="O40" s="211">
        <f t="shared" si="8"/>
        <v>0.15905744140068229</v>
      </c>
      <c r="P40" s="230">
        <f t="shared" si="9"/>
        <v>1.5255810693312717</v>
      </c>
      <c r="Q40">
        <f>Q39+1/5*(Q44-Q39)</f>
        <v>0.9766765127921847</v>
      </c>
    </row>
    <row r="41" spans="1:19">
      <c r="A41" s="6"/>
      <c r="B41" s="8">
        <v>2037</v>
      </c>
      <c r="C41" s="223">
        <v>-4.0639613813002379E-2</v>
      </c>
      <c r="D41" s="223">
        <v>-1.2701381084756913E-2</v>
      </c>
      <c r="E41" s="223">
        <v>-0.14783620922732835</v>
      </c>
      <c r="F41" s="228">
        <v>-1.8480783387746166E-2</v>
      </c>
      <c r="G41" s="227">
        <v>-0.14725903294722856</v>
      </c>
      <c r="H41" s="227">
        <v>-6.3500401297167358E-2</v>
      </c>
      <c r="I41" s="227">
        <v>-8.1418831102806899E-2</v>
      </c>
      <c r="J41" s="223">
        <f>(G41*'Combined MOVES output'!L21+'Federal GHG Rule'!H41*'Combined MOVES output'!M21+'Federal GHG Rule'!I41*'Combined MOVES output'!N21)/'Combined MOVES output'!D21</f>
        <v>-0.1464604833103853</v>
      </c>
      <c r="L41" s="211">
        <f t="shared" si="10"/>
        <v>0.10426023539372055</v>
      </c>
      <c r="M41" s="211">
        <f t="shared" si="11"/>
        <v>0.17200000000000001</v>
      </c>
      <c r="N41" s="231">
        <f>'Fleet ZEV fractions'!AG56</f>
        <v>1.3214115553787507E-2</v>
      </c>
      <c r="O41" s="211">
        <f t="shared" si="8"/>
        <v>0.1587858844462125</v>
      </c>
      <c r="P41" s="230">
        <f t="shared" si="9"/>
        <v>1.5229764621822057</v>
      </c>
      <c r="Q41">
        <f>Q39+2/5*(Q44-Q39)</f>
        <v>0.97664793983733378</v>
      </c>
      <c r="S41" s="8"/>
    </row>
    <row r="42" spans="1:19">
      <c r="B42">
        <v>2038</v>
      </c>
      <c r="C42" s="223">
        <v>-4.6843868262445895E-2</v>
      </c>
      <c r="D42" s="223">
        <v>-1.7158863684035609E-2</v>
      </c>
      <c r="E42" s="223">
        <v>-0.15530824058505002</v>
      </c>
      <c r="F42" s="228">
        <v>-2.4218157011418488E-2</v>
      </c>
      <c r="G42" s="227">
        <v>-0.15471300460723958</v>
      </c>
      <c r="H42" s="227">
        <v>-7.00141431662544E-2</v>
      </c>
      <c r="I42" s="227">
        <v>-8.7050288573406909E-2</v>
      </c>
      <c r="J42" s="223">
        <f>(G42*'Combined MOVES output'!L22+'Federal GHG Rule'!H42*'Combined MOVES output'!M22+'Federal GHG Rule'!I42*'Combined MOVES output'!N22)/'Combined MOVES output'!D22</f>
        <v>-0.15386966067685587</v>
      </c>
      <c r="L42" s="211">
        <f t="shared" si="10"/>
        <v>0.10426023539372055</v>
      </c>
      <c r="M42" s="211">
        <f t="shared" si="11"/>
        <v>0.17200000000000001</v>
      </c>
      <c r="N42" s="231">
        <f>'Fleet ZEV fractions'!AG57</f>
        <v>1.3485672508257288E-2</v>
      </c>
      <c r="O42" s="211">
        <f t="shared" si="8"/>
        <v>0.15851432749174271</v>
      </c>
      <c r="P42" s="230">
        <f t="shared" si="9"/>
        <v>1.5203718550331395</v>
      </c>
      <c r="Q42">
        <f>Q39+3/5*(Q44-Q39)</f>
        <v>0.97661936688248285</v>
      </c>
    </row>
    <row r="43" spans="1:19">
      <c r="B43">
        <v>2039</v>
      </c>
      <c r="C43" s="223">
        <v>-5.296327640900339E-2</v>
      </c>
      <c r="D43" s="223">
        <v>-2.2155640571478796E-2</v>
      </c>
      <c r="E43" s="223">
        <v>-0.16198196270926188</v>
      </c>
      <c r="F43" s="228">
        <v>-3.0787274724042392E-2</v>
      </c>
      <c r="G43" s="227">
        <v>-0.16137060946241441</v>
      </c>
      <c r="H43" s="227">
        <v>-7.6111394543952424E-2</v>
      </c>
      <c r="I43" s="227">
        <v>-9.2196665492204843E-2</v>
      </c>
      <c r="J43" s="223">
        <f>(G43*'Combined MOVES output'!L23+'Federal GHG Rule'!H43*'Combined MOVES output'!M23+'Federal GHG Rule'!I43*'Combined MOVES output'!N23)/'Combined MOVES output'!D23</f>
        <v>-0.16048642862935297</v>
      </c>
      <c r="L43" s="211">
        <f t="shared" si="10"/>
        <v>0.10426023539372055</v>
      </c>
      <c r="M43" s="211">
        <f t="shared" si="11"/>
        <v>0.17200000000000001</v>
      </c>
      <c r="N43" s="231">
        <f>'Fleet ZEV fractions'!AG58</f>
        <v>1.3757229462727068E-2</v>
      </c>
      <c r="O43" s="211">
        <f t="shared" si="8"/>
        <v>0.15824277053727295</v>
      </c>
      <c r="P43" s="230">
        <f t="shared" si="9"/>
        <v>1.517767247884074</v>
      </c>
      <c r="Q43">
        <f>Q39+4/5*(Q44-Q39)</f>
        <v>0.97659079392763193</v>
      </c>
    </row>
    <row r="44" spans="1:19">
      <c r="B44">
        <v>2040</v>
      </c>
      <c r="C44" s="223">
        <v>-5.9492427954404105E-2</v>
      </c>
      <c r="D44" s="223">
        <v>-2.7994817773784559E-2</v>
      </c>
      <c r="E44" s="223">
        <v>-0.1677951169875771</v>
      </c>
      <c r="F44" s="228">
        <v>-3.8023231417745364E-2</v>
      </c>
      <c r="G44" s="227">
        <v>-0.16716624392245472</v>
      </c>
      <c r="H44" s="227">
        <v>-8.2067464282356409E-2</v>
      </c>
      <c r="I44" s="227">
        <v>-9.6866515443365372E-2</v>
      </c>
      <c r="J44" s="223">
        <f>(G44*'Combined MOVES output'!L24+'Federal GHG Rule'!H44*'Combined MOVES output'!M24+'Federal GHG Rule'!I44*'Combined MOVES output'!N24)/'Combined MOVES output'!D24</f>
        <v>-0.16624562595727135</v>
      </c>
      <c r="L44" s="211">
        <f t="shared" si="10"/>
        <v>0.10426023539372055</v>
      </c>
      <c r="M44" s="211">
        <f t="shared" si="11"/>
        <v>0.17200000000000001</v>
      </c>
      <c r="N44" s="231">
        <f>'Fleet ZEV fractions'!AG59</f>
        <v>1.4028786417196846E-2</v>
      </c>
      <c r="O44" s="211">
        <f t="shared" si="8"/>
        <v>0.15797121358280317</v>
      </c>
      <c r="P44" s="230">
        <f t="shared" si="9"/>
        <v>1.5151626407350078</v>
      </c>
      <c r="Q44">
        <f>1-G90</f>
        <v>0.976562220972781</v>
      </c>
    </row>
    <row r="45" spans="1:19">
      <c r="A45" t="s">
        <v>415</v>
      </c>
      <c r="C45" s="3"/>
      <c r="D45" s="3"/>
      <c r="E45" s="3"/>
      <c r="F45" s="102"/>
      <c r="G45" s="3"/>
      <c r="H45" s="3"/>
      <c r="I45" s="3"/>
      <c r="L45" s="69" t="s">
        <v>454</v>
      </c>
    </row>
    <row r="46" spans="1:19">
      <c r="C46" s="3"/>
      <c r="D46" s="3"/>
      <c r="E46" s="3"/>
      <c r="F46" s="102"/>
      <c r="G46" s="3"/>
      <c r="H46" s="3"/>
      <c r="I46" s="3"/>
      <c r="L46" s="69" t="s">
        <v>455</v>
      </c>
    </row>
    <row r="47" spans="1:19">
      <c r="C47" s="3"/>
      <c r="D47" s="3"/>
      <c r="E47" s="3"/>
      <c r="F47" s="102"/>
      <c r="G47" s="3"/>
      <c r="H47" s="3"/>
      <c r="I47" s="3"/>
      <c r="L47" s="69" t="s">
        <v>456</v>
      </c>
    </row>
    <row r="48" spans="1:19">
      <c r="A48" t="s">
        <v>466</v>
      </c>
      <c r="C48" s="3"/>
      <c r="D48" s="3"/>
      <c r="E48" s="3"/>
      <c r="F48" s="102"/>
      <c r="G48" s="3"/>
      <c r="H48" s="3"/>
      <c r="I48" s="3"/>
    </row>
    <row r="49" spans="1:11">
      <c r="A49" s="69" t="s">
        <v>474</v>
      </c>
      <c r="C49" s="3"/>
      <c r="D49" s="3"/>
      <c r="E49" s="3"/>
      <c r="F49" s="102"/>
      <c r="G49" s="3"/>
      <c r="H49" s="3"/>
      <c r="I49" s="3"/>
    </row>
    <row r="50" spans="1:11">
      <c r="C50" s="3"/>
      <c r="D50" s="3"/>
      <c r="E50" s="3"/>
      <c r="F50" s="102"/>
      <c r="G50" s="3"/>
      <c r="H50" s="3"/>
      <c r="I50" s="3"/>
      <c r="K50" s="3"/>
    </row>
    <row r="51" spans="1:11">
      <c r="A51" t="s">
        <v>467</v>
      </c>
      <c r="B51" t="s">
        <v>468</v>
      </c>
      <c r="C51" t="s">
        <v>469</v>
      </c>
      <c r="D51" t="s">
        <v>470</v>
      </c>
      <c r="E51" s="3" t="s">
        <v>471</v>
      </c>
      <c r="F51"/>
      <c r="G51" s="238" t="s">
        <v>472</v>
      </c>
      <c r="I51" s="3"/>
      <c r="K51" s="3"/>
    </row>
    <row r="52" spans="1:11">
      <c r="A52">
        <v>2020</v>
      </c>
      <c r="B52">
        <v>21</v>
      </c>
      <c r="C52">
        <v>20</v>
      </c>
      <c r="D52">
        <v>6</v>
      </c>
      <c r="E52">
        <v>114183856</v>
      </c>
      <c r="F52"/>
      <c r="I52" s="3"/>
    </row>
    <row r="53" spans="1:11">
      <c r="A53">
        <v>2020</v>
      </c>
      <c r="B53">
        <v>31</v>
      </c>
      <c r="C53">
        <v>30</v>
      </c>
      <c r="D53">
        <v>6</v>
      </c>
      <c r="E53">
        <v>120339120</v>
      </c>
      <c r="F53"/>
      <c r="I53" s="3"/>
    </row>
    <row r="54" spans="1:11">
      <c r="A54">
        <v>2020</v>
      </c>
      <c r="B54">
        <v>32</v>
      </c>
      <c r="C54">
        <v>30</v>
      </c>
      <c r="D54">
        <v>6</v>
      </c>
      <c r="E54">
        <v>12016034</v>
      </c>
      <c r="F54"/>
      <c r="I54" s="3"/>
    </row>
    <row r="55" spans="1:11">
      <c r="A55">
        <v>2020</v>
      </c>
      <c r="B55">
        <v>31</v>
      </c>
      <c r="C55">
        <v>41</v>
      </c>
      <c r="D55">
        <v>6</v>
      </c>
      <c r="E55" s="3">
        <v>6155894.4960000003</v>
      </c>
      <c r="F55"/>
      <c r="I55" s="3"/>
    </row>
    <row r="56" spans="1:11">
      <c r="A56">
        <v>2020</v>
      </c>
      <c r="B56">
        <v>32</v>
      </c>
      <c r="C56">
        <v>41</v>
      </c>
      <c r="D56">
        <v>6</v>
      </c>
      <c r="E56" s="3">
        <v>2795431.9109999998</v>
      </c>
      <c r="F56"/>
      <c r="I56" s="3"/>
    </row>
    <row r="57" spans="1:11">
      <c r="A57">
        <v>2020</v>
      </c>
      <c r="B57">
        <v>43</v>
      </c>
      <c r="C57">
        <v>41</v>
      </c>
      <c r="D57">
        <v>6</v>
      </c>
      <c r="E57" s="3">
        <v>404.31029510000002</v>
      </c>
      <c r="F57"/>
      <c r="I57" s="3"/>
    </row>
    <row r="58" spans="1:11">
      <c r="A58">
        <v>2020</v>
      </c>
      <c r="B58">
        <v>51</v>
      </c>
      <c r="C58">
        <v>41</v>
      </c>
      <c r="D58">
        <v>6</v>
      </c>
      <c r="E58" s="3">
        <v>58.1487999</v>
      </c>
      <c r="F58"/>
      <c r="I58" s="3"/>
    </row>
    <row r="59" spans="1:11">
      <c r="A59">
        <v>2020</v>
      </c>
      <c r="B59">
        <v>52</v>
      </c>
      <c r="C59">
        <v>41</v>
      </c>
      <c r="D59">
        <v>6</v>
      </c>
      <c r="E59" s="3">
        <v>3516541.7030000002</v>
      </c>
      <c r="F59"/>
      <c r="I59" s="3"/>
    </row>
    <row r="60" spans="1:11">
      <c r="A60">
        <v>2020</v>
      </c>
      <c r="B60">
        <v>53</v>
      </c>
      <c r="C60">
        <v>41</v>
      </c>
      <c r="D60">
        <v>6</v>
      </c>
      <c r="E60" s="3">
        <v>164178.87030000001</v>
      </c>
      <c r="F60">
        <f>SUM(E52:E60)</f>
        <v>259171519.43939501</v>
      </c>
      <c r="G60">
        <f>(E56+E57+E58+E59+E60)/F60</f>
        <v>2.4989686202420473E-2</v>
      </c>
      <c r="I60" s="3"/>
    </row>
    <row r="61" spans="1:11">
      <c r="A61">
        <v>2025</v>
      </c>
      <c r="B61">
        <v>21</v>
      </c>
      <c r="C61">
        <v>20</v>
      </c>
      <c r="D61">
        <v>6</v>
      </c>
      <c r="E61">
        <v>118568047</v>
      </c>
      <c r="F61"/>
      <c r="I61" s="3"/>
    </row>
    <row r="62" spans="1:11">
      <c r="A62">
        <v>2025</v>
      </c>
      <c r="B62">
        <v>31</v>
      </c>
      <c r="C62">
        <v>30</v>
      </c>
      <c r="D62">
        <v>6</v>
      </c>
      <c r="E62">
        <v>123649678</v>
      </c>
      <c r="F62"/>
      <c r="I62" s="3"/>
      <c r="K62" s="3"/>
    </row>
    <row r="63" spans="1:11">
      <c r="A63">
        <v>2025</v>
      </c>
      <c r="B63">
        <v>32</v>
      </c>
      <c r="C63">
        <v>30</v>
      </c>
      <c r="D63">
        <v>6</v>
      </c>
      <c r="E63">
        <v>12754461.1</v>
      </c>
      <c r="F63"/>
      <c r="I63" s="3"/>
      <c r="K63" s="3"/>
    </row>
    <row r="64" spans="1:11">
      <c r="A64">
        <v>2025</v>
      </c>
      <c r="B64">
        <v>31</v>
      </c>
      <c r="C64">
        <v>41</v>
      </c>
      <c r="D64">
        <v>6</v>
      </c>
      <c r="E64" s="3">
        <v>5897261.8090000004</v>
      </c>
      <c r="F64"/>
      <c r="I64" s="3"/>
    </row>
    <row r="65" spans="1:11">
      <c r="A65">
        <v>2025</v>
      </c>
      <c r="B65">
        <v>32</v>
      </c>
      <c r="C65">
        <v>41</v>
      </c>
      <c r="D65">
        <v>6</v>
      </c>
      <c r="E65" s="3">
        <v>2414349.8960000002</v>
      </c>
      <c r="F65"/>
      <c r="I65" s="3"/>
    </row>
    <row r="66" spans="1:11">
      <c r="A66">
        <v>2025</v>
      </c>
      <c r="B66">
        <v>43</v>
      </c>
      <c r="C66">
        <v>41</v>
      </c>
      <c r="D66">
        <v>6</v>
      </c>
      <c r="E66" s="3">
        <v>167.226799</v>
      </c>
      <c r="F66"/>
      <c r="I66" s="3"/>
    </row>
    <row r="67" spans="1:11">
      <c r="A67">
        <v>2025</v>
      </c>
      <c r="B67">
        <v>51</v>
      </c>
      <c r="C67">
        <v>41</v>
      </c>
      <c r="D67">
        <v>6</v>
      </c>
      <c r="E67" s="3">
        <v>39.45829964</v>
      </c>
      <c r="F67"/>
      <c r="I67" s="3"/>
    </row>
    <row r="68" spans="1:11">
      <c r="A68">
        <v>2025</v>
      </c>
      <c r="B68">
        <v>52</v>
      </c>
      <c r="C68">
        <v>41</v>
      </c>
      <c r="D68">
        <v>6</v>
      </c>
      <c r="E68" s="3">
        <v>3744218.406</v>
      </c>
      <c r="F68"/>
      <c r="I68" s="3"/>
    </row>
    <row r="69" spans="1:11">
      <c r="A69">
        <v>2025</v>
      </c>
      <c r="B69">
        <v>53</v>
      </c>
      <c r="C69">
        <v>41</v>
      </c>
      <c r="D69">
        <v>6</v>
      </c>
      <c r="E69" s="3">
        <v>168158.2433</v>
      </c>
      <c r="F69">
        <f>SUM(E61:E69)</f>
        <v>267196381.1393986</v>
      </c>
      <c r="G69">
        <f>(E65+E66+E67+E68+E69)/F69</f>
        <v>2.3678963028686478E-2</v>
      </c>
      <c r="I69" s="3"/>
    </row>
    <row r="70" spans="1:11">
      <c r="A70">
        <v>2030</v>
      </c>
      <c r="B70">
        <v>21</v>
      </c>
      <c r="C70">
        <v>20</v>
      </c>
      <c r="D70">
        <v>6</v>
      </c>
      <c r="E70">
        <v>123423400</v>
      </c>
      <c r="F70"/>
      <c r="I70" s="3"/>
    </row>
    <row r="71" spans="1:11">
      <c r="A71">
        <v>2030</v>
      </c>
      <c r="B71">
        <v>31</v>
      </c>
      <c r="C71">
        <v>30</v>
      </c>
      <c r="D71">
        <v>6</v>
      </c>
      <c r="E71">
        <v>124463416</v>
      </c>
      <c r="F71"/>
      <c r="I71" s="3"/>
    </row>
    <row r="72" spans="1:11">
      <c r="A72">
        <v>2030</v>
      </c>
      <c r="B72">
        <v>32</v>
      </c>
      <c r="C72">
        <v>30</v>
      </c>
      <c r="D72">
        <v>6</v>
      </c>
      <c r="E72">
        <v>13086647.4</v>
      </c>
      <c r="F72"/>
      <c r="I72" s="3"/>
    </row>
    <row r="73" spans="1:11">
      <c r="A73">
        <v>2030</v>
      </c>
      <c r="B73">
        <v>31</v>
      </c>
      <c r="C73">
        <v>41</v>
      </c>
      <c r="D73">
        <v>6</v>
      </c>
      <c r="E73" s="3">
        <v>5830223.7970000003</v>
      </c>
      <c r="F73"/>
      <c r="I73" s="3"/>
    </row>
    <row r="74" spans="1:11">
      <c r="A74">
        <v>2030</v>
      </c>
      <c r="B74">
        <v>32</v>
      </c>
      <c r="C74">
        <v>41</v>
      </c>
      <c r="D74">
        <v>6</v>
      </c>
      <c r="E74" s="3">
        <v>2169596.4959999998</v>
      </c>
      <c r="F74"/>
      <c r="I74" s="3"/>
      <c r="K74" s="3"/>
    </row>
    <row r="75" spans="1:11">
      <c r="A75">
        <v>2030</v>
      </c>
      <c r="B75">
        <v>52</v>
      </c>
      <c r="C75">
        <v>41</v>
      </c>
      <c r="D75">
        <v>6</v>
      </c>
      <c r="E75" s="3">
        <v>3952762.895</v>
      </c>
      <c r="F75"/>
      <c r="I75" s="3"/>
      <c r="K75" s="3"/>
    </row>
    <row r="76" spans="1:11">
      <c r="A76">
        <v>2030</v>
      </c>
      <c r="B76">
        <v>53</v>
      </c>
      <c r="C76">
        <v>41</v>
      </c>
      <c r="D76">
        <v>6</v>
      </c>
      <c r="E76" s="3">
        <v>174333.8904</v>
      </c>
      <c r="F76">
        <f>SUM(E70:E76)</f>
        <v>273100380.47839999</v>
      </c>
      <c r="G76">
        <f>(E74+E75+E76)/F76</f>
        <v>2.3056332877932465E-2</v>
      </c>
      <c r="I76" s="3"/>
    </row>
    <row r="77" spans="1:11">
      <c r="A77">
        <v>2035</v>
      </c>
      <c r="B77">
        <v>21</v>
      </c>
      <c r="C77">
        <v>20</v>
      </c>
      <c r="D77">
        <v>6</v>
      </c>
      <c r="E77">
        <v>129524061</v>
      </c>
      <c r="F77"/>
      <c r="I77" s="3"/>
    </row>
    <row r="78" spans="1:11">
      <c r="A78">
        <v>2035</v>
      </c>
      <c r="B78">
        <v>31</v>
      </c>
      <c r="C78">
        <v>30</v>
      </c>
      <c r="D78">
        <v>6</v>
      </c>
      <c r="E78">
        <v>123266008</v>
      </c>
      <c r="F78"/>
      <c r="H78" s="3"/>
      <c r="I78" s="3"/>
    </row>
    <row r="79" spans="1:11">
      <c r="A79">
        <v>2035</v>
      </c>
      <c r="B79">
        <v>32</v>
      </c>
      <c r="C79">
        <v>30</v>
      </c>
      <c r="D79">
        <v>6</v>
      </c>
      <c r="E79">
        <v>13137474.710000001</v>
      </c>
      <c r="F79"/>
      <c r="H79" s="3"/>
      <c r="I79" s="3"/>
    </row>
    <row r="80" spans="1:11">
      <c r="A80">
        <v>2035</v>
      </c>
      <c r="B80">
        <v>31</v>
      </c>
      <c r="C80">
        <v>41</v>
      </c>
      <c r="D80">
        <v>6</v>
      </c>
      <c r="E80" s="3">
        <v>5719219.2050000001</v>
      </c>
      <c r="F80"/>
      <c r="H80" s="3"/>
      <c r="I80" s="3"/>
    </row>
    <row r="81" spans="1:11">
      <c r="A81">
        <v>2035</v>
      </c>
      <c r="B81">
        <v>32</v>
      </c>
      <c r="C81">
        <v>41</v>
      </c>
      <c r="D81">
        <v>6</v>
      </c>
      <c r="E81" s="3">
        <v>1965564.0930000001</v>
      </c>
      <c r="F81"/>
      <c r="H81" s="3"/>
      <c r="I81" s="3"/>
    </row>
    <row r="82" spans="1:11">
      <c r="A82">
        <v>2035</v>
      </c>
      <c r="B82">
        <v>52</v>
      </c>
      <c r="C82">
        <v>41</v>
      </c>
      <c r="D82">
        <v>6</v>
      </c>
      <c r="E82" s="3">
        <v>4322700.0920000002</v>
      </c>
      <c r="F82"/>
      <c r="H82" s="3"/>
      <c r="I82" s="3"/>
    </row>
    <row r="83" spans="1:11">
      <c r="A83">
        <v>2035</v>
      </c>
      <c r="B83">
        <v>53</v>
      </c>
      <c r="C83">
        <v>41</v>
      </c>
      <c r="D83">
        <v>6</v>
      </c>
      <c r="E83" s="3">
        <v>190649.6054</v>
      </c>
      <c r="F83">
        <f>SUM(E77:E83)</f>
        <v>278125676.70540005</v>
      </c>
      <c r="G83">
        <f>(E81+E82+E83)/F83</f>
        <v>2.3294914252964427E-2</v>
      </c>
      <c r="H83" s="3"/>
      <c r="I83" s="3"/>
    </row>
    <row r="84" spans="1:11">
      <c r="A84">
        <v>2040</v>
      </c>
      <c r="B84">
        <v>21</v>
      </c>
      <c r="C84">
        <v>20</v>
      </c>
      <c r="D84">
        <v>6</v>
      </c>
      <c r="E84">
        <v>137226234</v>
      </c>
      <c r="F84"/>
      <c r="H84" s="3"/>
      <c r="I84" s="3"/>
    </row>
    <row r="85" spans="1:11">
      <c r="A85">
        <v>2040</v>
      </c>
      <c r="B85">
        <v>31</v>
      </c>
      <c r="C85">
        <v>30</v>
      </c>
      <c r="D85">
        <v>6</v>
      </c>
      <c r="E85">
        <v>120733767</v>
      </c>
      <c r="F85"/>
      <c r="H85" s="3"/>
      <c r="I85" s="3"/>
    </row>
    <row r="86" spans="1:11">
      <c r="A86">
        <v>2040</v>
      </c>
      <c r="B86">
        <v>32</v>
      </c>
      <c r="C86">
        <v>30</v>
      </c>
      <c r="D86">
        <v>6</v>
      </c>
      <c r="E86">
        <v>13035329.9</v>
      </c>
      <c r="F86"/>
      <c r="H86" s="3"/>
      <c r="I86" s="3"/>
      <c r="K86" s="3"/>
    </row>
    <row r="87" spans="1:11">
      <c r="A87">
        <v>2040</v>
      </c>
      <c r="B87">
        <v>31</v>
      </c>
      <c r="C87">
        <v>41</v>
      </c>
      <c r="D87">
        <v>6</v>
      </c>
      <c r="E87" s="3">
        <v>5615211.3049999997</v>
      </c>
      <c r="F87"/>
      <c r="H87" s="3"/>
      <c r="I87" s="3"/>
      <c r="K87" s="3"/>
    </row>
    <row r="88" spans="1:11">
      <c r="A88">
        <v>2040</v>
      </c>
      <c r="B88">
        <v>32</v>
      </c>
      <c r="C88">
        <v>41</v>
      </c>
      <c r="D88">
        <v>6</v>
      </c>
      <c r="E88" s="3">
        <v>1759031.1059999999</v>
      </c>
      <c r="F88"/>
      <c r="H88" s="3"/>
      <c r="I88" s="3"/>
    </row>
    <row r="89" spans="1:11">
      <c r="A89">
        <v>2040</v>
      </c>
      <c r="B89">
        <v>52</v>
      </c>
      <c r="C89">
        <v>41</v>
      </c>
      <c r="D89">
        <v>6</v>
      </c>
      <c r="E89" s="3">
        <v>4673578.199</v>
      </c>
      <c r="F89"/>
    </row>
    <row r="90" spans="1:11">
      <c r="A90">
        <v>2040</v>
      </c>
      <c r="B90">
        <v>53</v>
      </c>
      <c r="C90">
        <v>41</v>
      </c>
      <c r="D90">
        <v>6</v>
      </c>
      <c r="E90" s="3">
        <v>206124.639</v>
      </c>
      <c r="F90">
        <f>SUM(E84:E90)</f>
        <v>283249276.14899999</v>
      </c>
      <c r="G90">
        <f>(E88+E89+E90)/F90</f>
        <v>2.3437779027219018E-2</v>
      </c>
    </row>
  </sheetData>
  <sheetProtection algorithmName="SHA-512" hashValue="OjH5MlNI+L2We5Io58lXzkgzOGtfE8t0rGOjFceijKyd/6Q/ce7+d13DQssZL0YN5PqYuCbTRPlQTjCvH7kMMw==" saltValue="pS4kWNAe7xXTjSyKveKHGQ==" spinCount="100000" sheet="1" objects="1" scenarios="1"/>
  <mergeCells count="3">
    <mergeCell ref="L15:M15"/>
    <mergeCell ref="L5:O5"/>
    <mergeCell ref="P5:S5"/>
  </mergeCells>
  <pageMargins left="0.7" right="0.7" top="0.75" bottom="0.75" header="0.3" footer="0.3"/>
  <pageSetup orientation="portrait" r:id="rId1"/>
  <ignoredErrors>
    <ignoredError sqref="F60 F69 F76 F83 F90"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BC795D553D2EF43A3E3831099A82ADB" ma:contentTypeVersion="17" ma:contentTypeDescription="Create a new document." ma:contentTypeScope="" ma:versionID="eb6af6fa1761a84f5486c862e239bca3">
  <xsd:schema xmlns:xsd="http://www.w3.org/2001/XMLSchema" xmlns:xs="http://www.w3.org/2001/XMLSchema" xmlns:p="http://schemas.microsoft.com/office/2006/metadata/properties" xmlns:ns2="bec0360e-1764-4e96-82f3-8ef208e821db" xmlns:ns3="7a85390b-7aaa-4221-b896-e8172d900df9" targetNamespace="http://schemas.microsoft.com/office/2006/metadata/properties" ma:root="true" ma:fieldsID="e4453a8b523397edec8a8e07d17e0fd9" ns2:_="" ns3:_="">
    <xsd:import namespace="bec0360e-1764-4e96-82f3-8ef208e821db"/>
    <xsd:import namespace="7a85390b-7aaa-4221-b896-e8172d900df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DateTaken" minOccurs="0"/>
                <xsd:element ref="ns2:MediaServiceLocation" minOccurs="0"/>
                <xsd:element ref="ns3:SharedWithUsers" minOccurs="0"/>
                <xsd:element ref="ns3:SharedWithDetails" minOccurs="0"/>
                <xsd:element ref="ns2:MediaLengthInSeconds" minOccurs="0"/>
                <xsd:element ref="ns2:Lastused"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c0360e-1764-4e96-82f3-8ef208e821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astused" ma:index="21" nillable="true" ma:displayName="Last used" ma:description="last time photo used on ICCT website" ma:format="Dropdown" ma:internalName="Lastused">
      <xsd:simpleType>
        <xsd:restriction base="dms:Text">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d3d0c42d-6e87-4daf-ac4d-d5283275e25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a85390b-7aaa-4221-b896-e8172d900df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9d468982-5710-431e-9454-72c8e5bf8dc3}" ma:internalName="TaxCatchAll" ma:showField="CatchAllData" ma:web="7a85390b-7aaa-4221-b896-e8172d900d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a85390b-7aaa-4221-b896-e8172d900df9" xsi:nil="true"/>
    <Lastused xmlns="bec0360e-1764-4e96-82f3-8ef208e821db" xsi:nil="true"/>
    <lcf76f155ced4ddcb4097134ff3c332f xmlns="bec0360e-1764-4e96-82f3-8ef208e821db">
      <Terms xmlns="http://schemas.microsoft.com/office/infopath/2007/PartnerControls"/>
    </lcf76f155ced4ddcb4097134ff3c332f>
    <SharedWithUsers xmlns="7a85390b-7aaa-4221-b896-e8172d900df9">
      <UserInfo>
        <DisplayName/>
        <AccountId xsi:nil="true"/>
        <AccountType/>
      </UserInfo>
    </SharedWithUsers>
    <MediaLengthInSeconds xmlns="bec0360e-1764-4e96-82f3-8ef208e821d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3259A2-5C25-4B81-93A7-E463C1333882}"/>
</file>

<file path=customXml/itemProps2.xml><?xml version="1.0" encoding="utf-8"?>
<ds:datastoreItem xmlns:ds="http://schemas.openxmlformats.org/officeDocument/2006/customXml" ds:itemID="{42767156-BC30-43E9-9109-181AE02E4E78}">
  <ds:schemaRefs>
    <ds:schemaRef ds:uri="http://schemas.microsoft.com/office/2006/metadata/properties"/>
    <ds:schemaRef ds:uri="http://schemas.microsoft.com/office/2006/documentManagement/types"/>
    <ds:schemaRef ds:uri="http://www.w3.org/XML/1998/namespace"/>
    <ds:schemaRef ds:uri="http://purl.org/dc/elements/1.1/"/>
    <ds:schemaRef ds:uri="50cfde11-9472-42b2-b357-4113ea8bd1a2"/>
    <ds:schemaRef ds:uri="http://purl.org/dc/dcmitype/"/>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808CFA44-0EE6-4317-A7F7-B00A0A35D19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22</vt:i4>
      </vt:variant>
    </vt:vector>
  </HeadingPairs>
  <TitlesOfParts>
    <vt:vector size="22" baseType="lpstr">
      <vt:lpstr>Table of Contents</vt:lpstr>
      <vt:lpstr>Key</vt:lpstr>
      <vt:lpstr>Tables</vt:lpstr>
      <vt:lpstr>COBRA Summary</vt:lpstr>
      <vt:lpstr>Emissions Summary</vt:lpstr>
      <vt:lpstr>BAU Scenario</vt:lpstr>
      <vt:lpstr>ACC II - MY2026</vt:lpstr>
      <vt:lpstr>ACC II - MY2027</vt:lpstr>
      <vt:lpstr>Federal GHG Rule</vt:lpstr>
      <vt:lpstr>ACC emissions benefits</vt:lpstr>
      <vt:lpstr>Fleet ZEV fractions</vt:lpstr>
      <vt:lpstr>CARB ZEV counts</vt:lpstr>
      <vt:lpstr>ZEV efficiency</vt:lpstr>
      <vt:lpstr>ZEV Population</vt:lpstr>
      <vt:lpstr>ZEV Sales</vt:lpstr>
      <vt:lpstr>Combined MOVES output</vt:lpstr>
      <vt:lpstr>County Scale Output 2017-2040</vt:lpstr>
      <vt:lpstr>Default Output 2017-2040</vt:lpstr>
      <vt:lpstr>Output Interpolation</vt:lpstr>
      <vt:lpstr>GREET factors</vt:lpstr>
      <vt:lpstr>State grid data</vt:lpstr>
      <vt:lpstr>Regional GREET factors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Jeff Houk</dc:creator>
  <cp:lastModifiedBy>Aaron Isenstadt</cp:lastModifiedBy>
  <cp:lastPrinted>2021-02-04T16:18:20Z</cp:lastPrinted>
  <dcterms:created xsi:type="dcterms:W3CDTF">2021-02-03T22:25:35Z</dcterms:created>
  <dcterms:modified xsi:type="dcterms:W3CDTF">2023-05-23T22:08:00Z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3897aee5-b770-4219-a36e-31a9663a4388</vt:lpwstr>
  </property>
  <property fmtid="{D5CDD505-2E9C-101B-9397-08002B2CF9AE}" pid="3" name="ContentTypeId">
    <vt:lpwstr>0x010100EBC795D553D2EF43A3E3831099A82ADB</vt:lpwstr>
  </property>
  <property fmtid="{D5CDD505-2E9C-101B-9397-08002B2CF9AE}" pid="4" name="MSIP_Label_edb26152-23a6-4a6e-8fcb-d99d6e3b8e71_Enabled">
    <vt:lpwstr>true</vt:lpwstr>
  </property>
  <property fmtid="{D5CDD505-2E9C-101B-9397-08002B2CF9AE}" pid="5" name="MSIP_Label_edb26152-23a6-4a6e-8fcb-d99d6e3b8e71_SetDate">
    <vt:lpwstr>2023-05-23T22:08:00Z</vt:lpwstr>
  </property>
  <property fmtid="{D5CDD505-2E9C-101B-9397-08002B2CF9AE}" pid="6" name="MSIP_Label_edb26152-23a6-4a6e-8fcb-d99d6e3b8e71_Method">
    <vt:lpwstr>Standard</vt:lpwstr>
  </property>
  <property fmtid="{D5CDD505-2E9C-101B-9397-08002B2CF9AE}" pid="7" name="MSIP_Label_edb26152-23a6-4a6e-8fcb-d99d6e3b8e71_Name">
    <vt:lpwstr>defa4170-0d19-0005-0004-bc88714345d2</vt:lpwstr>
  </property>
  <property fmtid="{D5CDD505-2E9C-101B-9397-08002B2CF9AE}" pid="8" name="MSIP_Label_edb26152-23a6-4a6e-8fcb-d99d6e3b8e71_SiteId">
    <vt:lpwstr>7fbdd19f-c389-4ced-8a04-0b5090b80cfe</vt:lpwstr>
  </property>
  <property fmtid="{D5CDD505-2E9C-101B-9397-08002B2CF9AE}" pid="9" name="MSIP_Label_edb26152-23a6-4a6e-8fcb-d99d6e3b8e71_ActionId">
    <vt:lpwstr>0689e343-981d-46d8-a9f0-90278abc11b9</vt:lpwstr>
  </property>
  <property fmtid="{D5CDD505-2E9C-101B-9397-08002B2CF9AE}" pid="10" name="MSIP_Label_edb26152-23a6-4a6e-8fcb-d99d6e3b8e71_ContentBits">
    <vt:lpwstr>0</vt:lpwstr>
  </property>
  <property fmtid="{D5CDD505-2E9C-101B-9397-08002B2CF9AE}" pid="11" name="Order">
    <vt:r8>1797500</vt:r8>
  </property>
  <property fmtid="{D5CDD505-2E9C-101B-9397-08002B2CF9AE}" pid="12" name="_SourceUrl">
    <vt:lpwstr/>
  </property>
  <property fmtid="{D5CDD505-2E9C-101B-9397-08002B2CF9AE}" pid="13" name="_SharedFileIndex">
    <vt:lpwstr/>
  </property>
  <property fmtid="{D5CDD505-2E9C-101B-9397-08002B2CF9AE}" pid="14" name="ComplianceAssetId">
    <vt:lpwstr/>
  </property>
  <property fmtid="{D5CDD505-2E9C-101B-9397-08002B2CF9AE}" pid="15" name="_ExtendedDescription">
    <vt:lpwstr/>
  </property>
  <property fmtid="{D5CDD505-2E9C-101B-9397-08002B2CF9AE}" pid="16" name="TriggerFlowInfo">
    <vt:lpwstr/>
  </property>
</Properties>
</file>