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ilmafadhil/Downloads/"/>
    </mc:Choice>
  </mc:AlternateContent>
  <xr:revisionPtr revIDLastSave="0" documentId="13_ncr:1_{E6CE7F48-DB82-B948-B2F4-059DF83C248C}" xr6:coauthVersionLast="47" xr6:coauthVersionMax="47" xr10:uidLastSave="{00000000-0000-0000-0000-000000000000}"/>
  <bookViews>
    <workbookView xWindow="5720" yWindow="500" windowWidth="40680" windowHeight="26800" xr2:uid="{24965644-B29E-AA4B-994F-B1B74B379FCF}"/>
  </bookViews>
  <sheets>
    <sheet name="Summary" sheetId="25" r:id="rId1"/>
    <sheet name="Previous GAR scores" sheetId="59" r:id="rId2"/>
    <sheet name="Global sales" sheetId="24" r:id="rId3"/>
    <sheet name="ZEV market share" sheetId="33" r:id="rId4"/>
    <sheet name="Class coverage" sheetId="34" r:id="rId5"/>
    <sheet name="Energy consumption" sheetId="35" r:id="rId6"/>
    <sheet name="Charging speed" sheetId="36" r:id="rId7"/>
    <sheet name="Driving range" sheetId="37" r:id="rId8"/>
    <sheet name="Green Steel" sheetId="55" r:id="rId9"/>
    <sheet name="Battery recycling" sheetId="11" r:id="rId10"/>
    <sheet name="ZEV target" sheetId="14" r:id="rId11"/>
    <sheet name="ZEV investment" sheetId="17" r:id="rId12"/>
    <sheet name="ZEV exec compensation" sheetId="43" r:id="rId13"/>
  </sheets>
  <externalReferences>
    <externalReference r:id="rId14"/>
  </externalReferences>
  <definedNames>
    <definedName name="_xlnm._FilterDatabase" localSheetId="6" hidden="1">'Charging speed'!$L$4:$S$4</definedName>
    <definedName name="_xlnm._FilterDatabase" localSheetId="4" hidden="1">'Class coverage'!$M$2:$N$3</definedName>
    <definedName name="_xlnm._FilterDatabase" localSheetId="7" hidden="1">'Driving range'!$H$4:$J$4</definedName>
    <definedName name="_xlnm._FilterDatabase" localSheetId="5" hidden="1">'Energy consumption'!$K$2:$N$3</definedName>
    <definedName name="_xlnm._FilterDatabase" localSheetId="8" hidden="1">'Green Steel'!$B$1:$J$1</definedName>
    <definedName name="_xlnm._FilterDatabase" localSheetId="1" hidden="1">'Previous GAR scores'!$AC$65:$AH$65</definedName>
    <definedName name="_xlnm._FilterDatabase" localSheetId="0" hidden="1">Summary!$K$3:$AA$4</definedName>
    <definedName name="_xlnm._FilterDatabase" localSheetId="12" hidden="1">'ZEV exec compensation'!$A$1:$K$1</definedName>
    <definedName name="_xlnm._FilterDatabase" localSheetId="11" hidden="1">'ZEV investment'!$B$2:$I$2</definedName>
    <definedName name="ab">#REF!</definedName>
    <definedName name="Chargingspeed">'Charging speed'!#REF!</definedName>
    <definedName name="Ratingscore">Summary!$B$49:$B$49</definedName>
    <definedName name="regs">[1]i28_data!$A:$E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25" l="1"/>
  <c r="K77" i="25"/>
  <c r="K78" i="25"/>
  <c r="K79" i="25"/>
  <c r="K80" i="25"/>
  <c r="K81" i="25"/>
  <c r="K82" i="25"/>
  <c r="K83" i="25"/>
  <c r="K84" i="25"/>
  <c r="K85" i="25"/>
  <c r="K86" i="25"/>
  <c r="K87" i="25"/>
  <c r="K88" i="25"/>
  <c r="K89" i="25"/>
  <c r="K90" i="25"/>
  <c r="K91" i="25"/>
  <c r="K92" i="25"/>
  <c r="K93" i="25"/>
  <c r="K94" i="25"/>
  <c r="K95" i="25"/>
  <c r="K75" i="25"/>
  <c r="J76" i="25"/>
  <c r="J77" i="25"/>
  <c r="J78" i="25"/>
  <c r="J79" i="25"/>
  <c r="J80" i="25"/>
  <c r="J81" i="25"/>
  <c r="J82" i="25"/>
  <c r="J83" i="25"/>
  <c r="J84" i="25"/>
  <c r="J85" i="25"/>
  <c r="J86" i="25"/>
  <c r="J87" i="25"/>
  <c r="J88" i="25"/>
  <c r="J89" i="25"/>
  <c r="J90" i="25"/>
  <c r="J91" i="25"/>
  <c r="J92" i="25"/>
  <c r="J93" i="25"/>
  <c r="J94" i="25"/>
  <c r="J95" i="25"/>
  <c r="J75" i="25"/>
  <c r="M87" i="25"/>
  <c r="M92" i="25"/>
  <c r="I22" i="43"/>
  <c r="I21" i="43"/>
  <c r="I15" i="43"/>
  <c r="I2" i="43"/>
  <c r="I3" i="43"/>
  <c r="I20" i="43"/>
  <c r="I17" i="43"/>
  <c r="I18" i="43"/>
  <c r="I19" i="43"/>
  <c r="I16" i="43"/>
  <c r="L75" i="25" l="1"/>
  <c r="L76" i="25"/>
  <c r="L77" i="25"/>
  <c r="L78" i="25"/>
  <c r="L79" i="25"/>
  <c r="L80" i="25"/>
  <c r="L81" i="25"/>
  <c r="L82" i="25"/>
  <c r="L83" i="25"/>
  <c r="L84" i="25"/>
  <c r="L85" i="25"/>
  <c r="L86" i="25"/>
  <c r="L87" i="25"/>
  <c r="L88" i="25"/>
  <c r="L89" i="25"/>
  <c r="L90" i="25"/>
  <c r="L91" i="25"/>
  <c r="L92" i="25"/>
  <c r="L93" i="25"/>
  <c r="L94" i="25"/>
  <c r="L95" i="25"/>
  <c r="L10" i="14" l="1"/>
  <c r="J23" i="11" l="1"/>
  <c r="K2" i="11"/>
  <c r="AF4" i="59"/>
  <c r="AF5" i="59"/>
  <c r="AE5" i="59"/>
  <c r="J25" i="11" l="1"/>
  <c r="J28" i="11"/>
  <c r="J27" i="11"/>
  <c r="J24" i="11"/>
  <c r="K18" i="11" s="1"/>
  <c r="J26" i="11"/>
  <c r="AM47" i="25"/>
  <c r="AN47" i="25"/>
  <c r="AO47" i="25"/>
  <c r="H75" i="25"/>
  <c r="E75" i="25"/>
  <c r="F1" i="25" l="1"/>
  <c r="AE27" i="25"/>
  <c r="AE28" i="25"/>
  <c r="AE29" i="25"/>
  <c r="AE30" i="25"/>
  <c r="AE31" i="25"/>
  <c r="AE32" i="25"/>
  <c r="AE33" i="25"/>
  <c r="AE34" i="25"/>
  <c r="AE35" i="25"/>
  <c r="AE36" i="25"/>
  <c r="AE37" i="25"/>
  <c r="AE38" i="25"/>
  <c r="AE39" i="25"/>
  <c r="AE40" i="25"/>
  <c r="AE41" i="25"/>
  <c r="AE42" i="25"/>
  <c r="AE43" i="25"/>
  <c r="AE44" i="25"/>
  <c r="AE45" i="25"/>
  <c r="AE46" i="25"/>
  <c r="F97" i="25" l="1"/>
  <c r="F96" i="25"/>
  <c r="F111" i="25"/>
  <c r="F109" i="25"/>
  <c r="Q122" i="59"/>
  <c r="R122" i="59"/>
  <c r="S122" i="59"/>
  <c r="T122" i="59"/>
  <c r="U122" i="59"/>
  <c r="V122" i="59"/>
  <c r="W122" i="59"/>
  <c r="X122" i="59"/>
  <c r="Y122" i="59"/>
  <c r="Z122" i="59"/>
  <c r="G29" i="43" l="1"/>
  <c r="C6" i="43" l="1"/>
  <c r="D6" i="43"/>
  <c r="E6" i="43"/>
  <c r="H6" i="43" s="1"/>
  <c r="I6" i="43" s="1"/>
  <c r="F6" i="43"/>
  <c r="AG4" i="59" l="1"/>
  <c r="AE4" i="59"/>
  <c r="C32" i="43" l="1"/>
  <c r="D32" i="43"/>
  <c r="E28" i="43"/>
  <c r="D87" i="25"/>
  <c r="J14" i="43" s="1"/>
  <c r="E37" i="43" l="1"/>
  <c r="E27" i="43" l="1"/>
  <c r="E31" i="43" l="1"/>
  <c r="E33" i="43" l="1"/>
  <c r="D28" i="43" l="1"/>
  <c r="C28" i="43"/>
  <c r="E111" i="25" l="1"/>
  <c r="G111" i="25"/>
  <c r="H111" i="25"/>
  <c r="I111" i="25"/>
  <c r="J111" i="25"/>
  <c r="K111" i="25"/>
  <c r="L111" i="25"/>
  <c r="M111" i="25"/>
  <c r="E112" i="25"/>
  <c r="F112" i="25"/>
  <c r="G112" i="25"/>
  <c r="H112" i="25"/>
  <c r="I112" i="25"/>
  <c r="J112" i="25"/>
  <c r="K112" i="25"/>
  <c r="L112" i="25"/>
  <c r="M112" i="25"/>
  <c r="D112" i="25"/>
  <c r="D111" i="25"/>
  <c r="E109" i="25"/>
  <c r="G109" i="25"/>
  <c r="H109" i="25"/>
  <c r="I109" i="25"/>
  <c r="J109" i="25"/>
  <c r="L109" i="25"/>
  <c r="M109" i="25"/>
  <c r="E110" i="25"/>
  <c r="F110" i="25"/>
  <c r="G110" i="25"/>
  <c r="H110" i="25"/>
  <c r="I110" i="25"/>
  <c r="J110" i="25"/>
  <c r="L110" i="25"/>
  <c r="M110" i="25"/>
  <c r="D110" i="25"/>
  <c r="D109" i="25"/>
  <c r="D106" i="25"/>
  <c r="E106" i="25"/>
  <c r="F106" i="25"/>
  <c r="G106" i="25"/>
  <c r="H106" i="25"/>
  <c r="I106" i="25"/>
  <c r="I108" i="25" s="1"/>
  <c r="J106" i="25"/>
  <c r="K106" i="25"/>
  <c r="L106" i="25"/>
  <c r="M106" i="25"/>
  <c r="E105" i="25"/>
  <c r="F105" i="25"/>
  <c r="G105" i="25"/>
  <c r="H105" i="25"/>
  <c r="I105" i="25"/>
  <c r="I107" i="25" s="1"/>
  <c r="J105" i="25"/>
  <c r="K105" i="25"/>
  <c r="L105" i="25"/>
  <c r="M105" i="25"/>
  <c r="D105" i="25"/>
  <c r="E56" i="59"/>
  <c r="F56" i="59"/>
  <c r="G56" i="59"/>
  <c r="H56" i="59"/>
  <c r="I56" i="59"/>
  <c r="J56" i="59"/>
  <c r="K56" i="59"/>
  <c r="K110" i="25" s="1"/>
  <c r="L56" i="59"/>
  <c r="M56" i="59"/>
  <c r="D56" i="59"/>
  <c r="E55" i="59"/>
  <c r="F55" i="59"/>
  <c r="G55" i="59"/>
  <c r="H55" i="59"/>
  <c r="I55" i="59"/>
  <c r="J55" i="59"/>
  <c r="K55" i="59"/>
  <c r="K109" i="25" s="1"/>
  <c r="L55" i="59"/>
  <c r="M55" i="59"/>
  <c r="D55" i="59"/>
  <c r="D107" i="25" l="1"/>
  <c r="M107" i="25"/>
  <c r="L107" i="25"/>
  <c r="K107" i="25"/>
  <c r="J107" i="25"/>
  <c r="H107" i="25"/>
  <c r="G107" i="25"/>
  <c r="F107" i="25"/>
  <c r="E107" i="25"/>
  <c r="M108" i="25"/>
  <c r="L108" i="25"/>
  <c r="K108" i="25"/>
  <c r="J108" i="25"/>
  <c r="H108" i="25"/>
  <c r="G108" i="25"/>
  <c r="F108" i="25"/>
  <c r="E108" i="25"/>
  <c r="D108" i="25"/>
  <c r="L29" i="59"/>
  <c r="H68" i="14"/>
  <c r="H69" i="14"/>
  <c r="S126" i="24" l="1"/>
  <c r="S125" i="24"/>
  <c r="R125" i="24"/>
  <c r="Q125" i="24"/>
  <c r="D38" i="24"/>
  <c r="F38" i="24"/>
  <c r="W128" i="24"/>
  <c r="W126" i="24"/>
  <c r="W125" i="24"/>
  <c r="T125" i="24"/>
  <c r="U125" i="24"/>
  <c r="V125" i="24"/>
  <c r="U192" i="24"/>
  <c r="H52" i="24" s="1"/>
  <c r="Q192" i="24"/>
  <c r="D52" i="24"/>
  <c r="R192" i="24" l="1"/>
  <c r="E52" i="24" s="1"/>
  <c r="S192" i="24"/>
  <c r="F52" i="24" s="1"/>
  <c r="T192" i="24"/>
  <c r="G52" i="24" s="1"/>
  <c r="V192" i="24"/>
  <c r="I52" i="24" s="1"/>
  <c r="W192" i="24"/>
  <c r="Q193" i="24"/>
  <c r="D54" i="24" s="1"/>
  <c r="R193" i="24"/>
  <c r="E54" i="24" s="1"/>
  <c r="S193" i="24"/>
  <c r="F54" i="24" s="1"/>
  <c r="T193" i="24"/>
  <c r="G54" i="24" s="1"/>
  <c r="U193" i="24"/>
  <c r="H54" i="24" s="1"/>
  <c r="V193" i="24"/>
  <c r="I54" i="24" s="1"/>
  <c r="W193" i="24"/>
  <c r="Q194" i="24"/>
  <c r="D55" i="24" s="1"/>
  <c r="R194" i="24"/>
  <c r="E55" i="24" s="1"/>
  <c r="S194" i="24"/>
  <c r="F55" i="24" s="1"/>
  <c r="T194" i="24"/>
  <c r="G55" i="24" s="1"/>
  <c r="U194" i="24"/>
  <c r="H55" i="24" s="1"/>
  <c r="V194" i="24"/>
  <c r="I55" i="24" s="1"/>
  <c r="W194" i="24"/>
  <c r="Q195" i="24"/>
  <c r="R195" i="24"/>
  <c r="S195" i="24"/>
  <c r="T195" i="24"/>
  <c r="U195" i="24"/>
  <c r="V195" i="24"/>
  <c r="W195" i="24"/>
  <c r="Q196" i="24"/>
  <c r="R196" i="24"/>
  <c r="S196" i="24"/>
  <c r="T196" i="24"/>
  <c r="U196" i="24"/>
  <c r="V196" i="24"/>
  <c r="W196" i="24"/>
  <c r="Q197" i="24"/>
  <c r="R197" i="24"/>
  <c r="S197" i="24"/>
  <c r="T197" i="24"/>
  <c r="U197" i="24"/>
  <c r="V197" i="24"/>
  <c r="W197" i="24"/>
  <c r="Q198" i="24"/>
  <c r="R198" i="24"/>
  <c r="S198" i="24"/>
  <c r="T198" i="24"/>
  <c r="U198" i="24"/>
  <c r="V198" i="24"/>
  <c r="W198" i="24"/>
  <c r="Q199" i="24"/>
  <c r="R199" i="24"/>
  <c r="S199" i="24"/>
  <c r="T199" i="24"/>
  <c r="U199" i="24"/>
  <c r="V199" i="24"/>
  <c r="W199" i="24"/>
  <c r="Q200" i="24"/>
  <c r="R200" i="24"/>
  <c r="S200" i="24"/>
  <c r="T200" i="24"/>
  <c r="U200" i="24"/>
  <c r="V200" i="24"/>
  <c r="W200" i="24"/>
  <c r="Q201" i="24"/>
  <c r="R201" i="24"/>
  <c r="S201" i="24"/>
  <c r="T201" i="24"/>
  <c r="U201" i="24"/>
  <c r="V201" i="24"/>
  <c r="W201" i="24"/>
  <c r="Q202" i="24"/>
  <c r="R202" i="24"/>
  <c r="S202" i="24"/>
  <c r="T202" i="24"/>
  <c r="U202" i="24"/>
  <c r="V202" i="24"/>
  <c r="W202" i="24"/>
  <c r="Q203" i="24"/>
  <c r="R203" i="24"/>
  <c r="S203" i="24"/>
  <c r="T203" i="24"/>
  <c r="U203" i="24"/>
  <c r="V203" i="24"/>
  <c r="W203" i="24"/>
  <c r="Q204" i="24"/>
  <c r="R204" i="24"/>
  <c r="S204" i="24"/>
  <c r="T204" i="24"/>
  <c r="U204" i="24"/>
  <c r="V204" i="24"/>
  <c r="W204" i="24"/>
  <c r="Q205" i="24"/>
  <c r="R205" i="24"/>
  <c r="S205" i="24"/>
  <c r="T205" i="24"/>
  <c r="U205" i="24"/>
  <c r="V205" i="24"/>
  <c r="W205" i="24"/>
  <c r="Q61" i="24"/>
  <c r="R61" i="24"/>
  <c r="S61" i="24"/>
  <c r="T61" i="24"/>
  <c r="U61" i="24"/>
  <c r="V61" i="24"/>
  <c r="W61" i="24"/>
  <c r="Q62" i="24"/>
  <c r="R62" i="24"/>
  <c r="S62" i="24"/>
  <c r="T62" i="24"/>
  <c r="U62" i="24"/>
  <c r="V62" i="24"/>
  <c r="W62" i="24"/>
  <c r="Q63" i="24"/>
  <c r="R63" i="24"/>
  <c r="S63" i="24"/>
  <c r="T63" i="24"/>
  <c r="U63" i="24"/>
  <c r="V63" i="24"/>
  <c r="W63" i="24"/>
  <c r="Q64" i="24"/>
  <c r="R64" i="24"/>
  <c r="S64" i="24"/>
  <c r="T64" i="24"/>
  <c r="U64" i="24"/>
  <c r="V64" i="24"/>
  <c r="W64" i="24"/>
  <c r="Q65" i="24"/>
  <c r="D30" i="24" s="1"/>
  <c r="R65" i="24"/>
  <c r="E30" i="24" s="1"/>
  <c r="S65" i="24"/>
  <c r="F30" i="24" s="1"/>
  <c r="T65" i="24"/>
  <c r="G30" i="24" s="1"/>
  <c r="U65" i="24"/>
  <c r="H30" i="24" s="1"/>
  <c r="V65" i="24"/>
  <c r="I30" i="24" s="1"/>
  <c r="W65" i="24"/>
  <c r="Q66" i="24"/>
  <c r="R66" i="24"/>
  <c r="S66" i="24"/>
  <c r="T66" i="24"/>
  <c r="U66" i="24"/>
  <c r="V66" i="24"/>
  <c r="W66" i="24"/>
  <c r="Q67" i="24"/>
  <c r="R67" i="24"/>
  <c r="S67" i="24"/>
  <c r="T67" i="24"/>
  <c r="U67" i="24"/>
  <c r="V67" i="24"/>
  <c r="W67" i="24"/>
  <c r="Q68" i="24"/>
  <c r="R68" i="24"/>
  <c r="S68" i="24"/>
  <c r="T68" i="24"/>
  <c r="U68" i="24"/>
  <c r="V68" i="24"/>
  <c r="W68" i="24"/>
  <c r="Q69" i="24"/>
  <c r="R69" i="24"/>
  <c r="S69" i="24"/>
  <c r="T69" i="24"/>
  <c r="U69" i="24"/>
  <c r="V69" i="24"/>
  <c r="W69" i="24"/>
  <c r="Q70" i="24"/>
  <c r="R70" i="24"/>
  <c r="S70" i="24"/>
  <c r="T70" i="24"/>
  <c r="U70" i="24"/>
  <c r="V70" i="24"/>
  <c r="W70" i="24"/>
  <c r="Q71" i="24"/>
  <c r="R71" i="24"/>
  <c r="S71" i="24"/>
  <c r="T71" i="24"/>
  <c r="U71" i="24"/>
  <c r="V71" i="24"/>
  <c r="W71" i="24"/>
  <c r="Q72" i="24"/>
  <c r="R72" i="24"/>
  <c r="S72" i="24"/>
  <c r="T72" i="24"/>
  <c r="U72" i="24"/>
  <c r="V72" i="24"/>
  <c r="W72" i="24"/>
  <c r="Q73" i="24"/>
  <c r="R73" i="24"/>
  <c r="S73" i="24"/>
  <c r="T73" i="24"/>
  <c r="U73" i="24"/>
  <c r="V73" i="24"/>
  <c r="W73" i="24"/>
  <c r="Q74" i="24"/>
  <c r="R74" i="24"/>
  <c r="S74" i="24"/>
  <c r="T74" i="24"/>
  <c r="U74" i="24"/>
  <c r="V74" i="24"/>
  <c r="W74" i="24"/>
  <c r="Q75" i="24"/>
  <c r="R75" i="24"/>
  <c r="S75" i="24"/>
  <c r="T75" i="24"/>
  <c r="U75" i="24"/>
  <c r="V75" i="24"/>
  <c r="W75" i="24"/>
  <c r="Q76" i="24"/>
  <c r="R76" i="24"/>
  <c r="S76" i="24"/>
  <c r="T76" i="24"/>
  <c r="U76" i="24"/>
  <c r="V76" i="24"/>
  <c r="W76" i="24"/>
  <c r="Q77" i="24"/>
  <c r="D31" i="24" s="1"/>
  <c r="R77" i="24"/>
  <c r="E31" i="24" s="1"/>
  <c r="S77" i="24"/>
  <c r="F31" i="24" s="1"/>
  <c r="T77" i="24"/>
  <c r="G31" i="24" s="1"/>
  <c r="U77" i="24"/>
  <c r="H31" i="24" s="1"/>
  <c r="V77" i="24"/>
  <c r="I31" i="24" s="1"/>
  <c r="W77" i="24"/>
  <c r="Q78" i="24"/>
  <c r="R78" i="24"/>
  <c r="S78" i="24"/>
  <c r="T78" i="24"/>
  <c r="U78" i="24"/>
  <c r="V78" i="24"/>
  <c r="W78" i="24"/>
  <c r="Q79" i="24"/>
  <c r="R79" i="24"/>
  <c r="S79" i="24"/>
  <c r="T79" i="24"/>
  <c r="U79" i="24"/>
  <c r="V79" i="24"/>
  <c r="W79" i="24"/>
  <c r="Q80" i="24"/>
  <c r="R80" i="24"/>
  <c r="S80" i="24"/>
  <c r="T80" i="24"/>
  <c r="U80" i="24"/>
  <c r="V80" i="24"/>
  <c r="W80" i="24"/>
  <c r="Q81" i="24"/>
  <c r="R81" i="24"/>
  <c r="S81" i="24"/>
  <c r="T81" i="24"/>
  <c r="U81" i="24"/>
  <c r="V81" i="24"/>
  <c r="W81" i="24"/>
  <c r="Q82" i="24"/>
  <c r="R82" i="24"/>
  <c r="S82" i="24"/>
  <c r="T82" i="24"/>
  <c r="U82" i="24"/>
  <c r="V82" i="24"/>
  <c r="W82" i="24"/>
  <c r="Q83" i="24"/>
  <c r="R83" i="24"/>
  <c r="S83" i="24"/>
  <c r="T83" i="24"/>
  <c r="U83" i="24"/>
  <c r="V83" i="24"/>
  <c r="W83" i="24"/>
  <c r="Q84" i="24"/>
  <c r="R84" i="24"/>
  <c r="S84" i="24"/>
  <c r="T84" i="24"/>
  <c r="U84" i="24"/>
  <c r="V84" i="24"/>
  <c r="W84" i="24"/>
  <c r="Q85" i="24"/>
  <c r="R85" i="24"/>
  <c r="S85" i="24"/>
  <c r="T85" i="24"/>
  <c r="U85" i="24"/>
  <c r="V85" i="24"/>
  <c r="W85" i="24"/>
  <c r="Q86" i="24"/>
  <c r="D45" i="24" s="1"/>
  <c r="R86" i="24"/>
  <c r="E45" i="24" s="1"/>
  <c r="S86" i="24"/>
  <c r="F45" i="24" s="1"/>
  <c r="T86" i="24"/>
  <c r="G45" i="24" s="1"/>
  <c r="U86" i="24"/>
  <c r="H45" i="24" s="1"/>
  <c r="V86" i="24"/>
  <c r="I45" i="24" s="1"/>
  <c r="W86" i="24"/>
  <c r="Q87" i="24"/>
  <c r="D48" i="24" s="1"/>
  <c r="R87" i="24"/>
  <c r="E48" i="24" s="1"/>
  <c r="S87" i="24"/>
  <c r="F48" i="24" s="1"/>
  <c r="T87" i="24"/>
  <c r="G48" i="24" s="1"/>
  <c r="U87" i="24"/>
  <c r="H48" i="24" s="1"/>
  <c r="V87" i="24"/>
  <c r="I48" i="24" s="1"/>
  <c r="W87" i="24"/>
  <c r="Q88" i="24"/>
  <c r="D49" i="24" s="1"/>
  <c r="R88" i="24"/>
  <c r="E49" i="24" s="1"/>
  <c r="S88" i="24"/>
  <c r="F49" i="24" s="1"/>
  <c r="T88" i="24"/>
  <c r="G49" i="24" s="1"/>
  <c r="U88" i="24"/>
  <c r="H49" i="24" s="1"/>
  <c r="V88" i="24"/>
  <c r="I49" i="24" s="1"/>
  <c r="W88" i="24"/>
  <c r="Q89" i="24"/>
  <c r="R89" i="24"/>
  <c r="S89" i="24"/>
  <c r="T89" i="24"/>
  <c r="U89" i="24"/>
  <c r="V89" i="24"/>
  <c r="W89" i="24"/>
  <c r="Q90" i="24"/>
  <c r="D32" i="24" s="1"/>
  <c r="R90" i="24"/>
  <c r="E32" i="24" s="1"/>
  <c r="S90" i="24"/>
  <c r="F32" i="24" s="1"/>
  <c r="T90" i="24"/>
  <c r="G32" i="24" s="1"/>
  <c r="U90" i="24"/>
  <c r="H32" i="24" s="1"/>
  <c r="V90" i="24"/>
  <c r="I32" i="24" s="1"/>
  <c r="W90" i="24"/>
  <c r="Q91" i="24"/>
  <c r="R91" i="24"/>
  <c r="S91" i="24"/>
  <c r="T91" i="24"/>
  <c r="U91" i="24"/>
  <c r="V91" i="24"/>
  <c r="W91" i="24"/>
  <c r="Q92" i="24"/>
  <c r="R92" i="24"/>
  <c r="S92" i="24"/>
  <c r="T92" i="24"/>
  <c r="U92" i="24"/>
  <c r="V92" i="24"/>
  <c r="W92" i="24"/>
  <c r="Q93" i="24"/>
  <c r="R93" i="24"/>
  <c r="S93" i="24"/>
  <c r="T93" i="24"/>
  <c r="U93" i="24"/>
  <c r="V93" i="24"/>
  <c r="W93" i="24"/>
  <c r="Q94" i="24"/>
  <c r="R94" i="24"/>
  <c r="S94" i="24"/>
  <c r="T94" i="24"/>
  <c r="U94" i="24"/>
  <c r="V94" i="24"/>
  <c r="W94" i="24"/>
  <c r="Q95" i="24"/>
  <c r="R95" i="24"/>
  <c r="S95" i="24"/>
  <c r="T95" i="24"/>
  <c r="U95" i="24"/>
  <c r="V95" i="24"/>
  <c r="W95" i="24"/>
  <c r="Q96" i="24"/>
  <c r="R96" i="24"/>
  <c r="S96" i="24"/>
  <c r="T96" i="24"/>
  <c r="U96" i="24"/>
  <c r="V96" i="24"/>
  <c r="W96" i="24"/>
  <c r="Q97" i="24"/>
  <c r="R97" i="24"/>
  <c r="S97" i="24"/>
  <c r="T97" i="24"/>
  <c r="U97" i="24"/>
  <c r="V97" i="24"/>
  <c r="W97" i="24"/>
  <c r="Q98" i="24"/>
  <c r="R98" i="24"/>
  <c r="S98" i="24"/>
  <c r="T98" i="24"/>
  <c r="U98" i="24"/>
  <c r="V98" i="24"/>
  <c r="W98" i="24"/>
  <c r="Q99" i="24"/>
  <c r="R99" i="24"/>
  <c r="S99" i="24"/>
  <c r="T99" i="24"/>
  <c r="U99" i="24"/>
  <c r="V99" i="24"/>
  <c r="W99" i="24"/>
  <c r="Q100" i="24"/>
  <c r="R100" i="24"/>
  <c r="S100" i="24"/>
  <c r="T100" i="24"/>
  <c r="U100" i="24"/>
  <c r="V100" i="24"/>
  <c r="W100" i="24"/>
  <c r="Q101" i="24"/>
  <c r="R101" i="24"/>
  <c r="S101" i="24"/>
  <c r="T101" i="24"/>
  <c r="U101" i="24"/>
  <c r="V101" i="24"/>
  <c r="W101" i="24"/>
  <c r="Q102" i="24"/>
  <c r="R102" i="24"/>
  <c r="S102" i="24"/>
  <c r="T102" i="24"/>
  <c r="U102" i="24"/>
  <c r="V102" i="24"/>
  <c r="W102" i="24"/>
  <c r="Q103" i="24"/>
  <c r="R103" i="24"/>
  <c r="S103" i="24"/>
  <c r="T103" i="24"/>
  <c r="U103" i="24"/>
  <c r="V103" i="24"/>
  <c r="W103" i="24"/>
  <c r="Q104" i="24"/>
  <c r="R104" i="24"/>
  <c r="S104" i="24"/>
  <c r="T104" i="24"/>
  <c r="U104" i="24"/>
  <c r="V104" i="24"/>
  <c r="W104" i="24"/>
  <c r="Q105" i="24"/>
  <c r="D33" i="24" s="1"/>
  <c r="R105" i="24"/>
  <c r="E33" i="24" s="1"/>
  <c r="S105" i="24"/>
  <c r="F33" i="24" s="1"/>
  <c r="T105" i="24"/>
  <c r="G33" i="24" s="1"/>
  <c r="U105" i="24"/>
  <c r="H33" i="24" s="1"/>
  <c r="V105" i="24"/>
  <c r="I33" i="24" s="1"/>
  <c r="W105" i="24"/>
  <c r="Q106" i="24"/>
  <c r="R106" i="24"/>
  <c r="S106" i="24"/>
  <c r="T106" i="24"/>
  <c r="U106" i="24"/>
  <c r="V106" i="24"/>
  <c r="W106" i="24"/>
  <c r="Q107" i="24"/>
  <c r="R107" i="24"/>
  <c r="S107" i="24"/>
  <c r="T107" i="24"/>
  <c r="U107" i="24"/>
  <c r="V107" i="24"/>
  <c r="W107" i="24"/>
  <c r="Q108" i="24"/>
  <c r="D34" i="24" s="1"/>
  <c r="R108" i="24"/>
  <c r="E34" i="24" s="1"/>
  <c r="S108" i="24"/>
  <c r="F34" i="24" s="1"/>
  <c r="T108" i="24"/>
  <c r="G34" i="24" s="1"/>
  <c r="U108" i="24"/>
  <c r="H34" i="24" s="1"/>
  <c r="V108" i="24"/>
  <c r="I34" i="24" s="1"/>
  <c r="W108" i="24"/>
  <c r="Q109" i="24"/>
  <c r="R109" i="24"/>
  <c r="S109" i="24"/>
  <c r="T109" i="24"/>
  <c r="U109" i="24"/>
  <c r="V109" i="24"/>
  <c r="W109" i="24"/>
  <c r="Q110" i="24"/>
  <c r="R110" i="24"/>
  <c r="S110" i="24"/>
  <c r="T110" i="24"/>
  <c r="U110" i="24"/>
  <c r="V110" i="24"/>
  <c r="W110" i="24"/>
  <c r="Q111" i="24"/>
  <c r="R111" i="24"/>
  <c r="S111" i="24"/>
  <c r="T111" i="24"/>
  <c r="U111" i="24"/>
  <c r="V111" i="24"/>
  <c r="W111" i="24"/>
  <c r="Q112" i="24"/>
  <c r="R112" i="24"/>
  <c r="S112" i="24"/>
  <c r="T112" i="24"/>
  <c r="U112" i="24"/>
  <c r="V112" i="24"/>
  <c r="W112" i="24"/>
  <c r="Q113" i="24"/>
  <c r="D35" i="24" s="1"/>
  <c r="R113" i="24"/>
  <c r="E35" i="24" s="1"/>
  <c r="S113" i="24"/>
  <c r="F35" i="24" s="1"/>
  <c r="T113" i="24"/>
  <c r="G35" i="24" s="1"/>
  <c r="U113" i="24"/>
  <c r="H35" i="24" s="1"/>
  <c r="V113" i="24"/>
  <c r="I35" i="24" s="1"/>
  <c r="W113" i="24"/>
  <c r="Q114" i="24"/>
  <c r="R114" i="24"/>
  <c r="S114" i="24"/>
  <c r="T114" i="24"/>
  <c r="U114" i="24"/>
  <c r="V114" i="24"/>
  <c r="W114" i="24"/>
  <c r="Q115" i="24"/>
  <c r="R115" i="24"/>
  <c r="S115" i="24"/>
  <c r="T115" i="24"/>
  <c r="U115" i="24"/>
  <c r="V115" i="24"/>
  <c r="W115" i="24"/>
  <c r="Q116" i="24"/>
  <c r="D36" i="24" s="1"/>
  <c r="R116" i="24"/>
  <c r="E36" i="24" s="1"/>
  <c r="S116" i="24"/>
  <c r="F36" i="24" s="1"/>
  <c r="T116" i="24"/>
  <c r="G36" i="24" s="1"/>
  <c r="U116" i="24"/>
  <c r="H36" i="24" s="1"/>
  <c r="V116" i="24"/>
  <c r="I36" i="24" s="1"/>
  <c r="W116" i="24"/>
  <c r="Q117" i="24"/>
  <c r="R117" i="24"/>
  <c r="S117" i="24"/>
  <c r="T117" i="24"/>
  <c r="U117" i="24"/>
  <c r="V117" i="24"/>
  <c r="W117" i="24"/>
  <c r="Q118" i="24"/>
  <c r="R118" i="24"/>
  <c r="S118" i="24"/>
  <c r="T118" i="24"/>
  <c r="U118" i="24"/>
  <c r="V118" i="24"/>
  <c r="W118" i="24"/>
  <c r="Q119" i="24"/>
  <c r="R119" i="24"/>
  <c r="S119" i="24"/>
  <c r="T119" i="24"/>
  <c r="U119" i="24"/>
  <c r="V119" i="24"/>
  <c r="W119" i="24"/>
  <c r="Q120" i="24"/>
  <c r="D37" i="24" s="1"/>
  <c r="R120" i="24"/>
  <c r="E37" i="24" s="1"/>
  <c r="S120" i="24"/>
  <c r="F37" i="24" s="1"/>
  <c r="T120" i="24"/>
  <c r="G37" i="24" s="1"/>
  <c r="U120" i="24"/>
  <c r="H37" i="24" s="1"/>
  <c r="V120" i="24"/>
  <c r="I37" i="24" s="1"/>
  <c r="W120" i="24"/>
  <c r="Q121" i="24"/>
  <c r="R121" i="24"/>
  <c r="S121" i="24"/>
  <c r="T121" i="24"/>
  <c r="U121" i="24"/>
  <c r="V121" i="24"/>
  <c r="W121" i="24"/>
  <c r="Q122" i="24"/>
  <c r="R122" i="24"/>
  <c r="S122" i="24"/>
  <c r="T122" i="24"/>
  <c r="U122" i="24"/>
  <c r="V122" i="24"/>
  <c r="W122" i="24"/>
  <c r="Q123" i="24"/>
  <c r="R123" i="24"/>
  <c r="S123" i="24"/>
  <c r="T123" i="24"/>
  <c r="U123" i="24"/>
  <c r="V123" i="24"/>
  <c r="W123" i="24"/>
  <c r="Q124" i="24"/>
  <c r="R124" i="24"/>
  <c r="S124" i="24"/>
  <c r="T124" i="24"/>
  <c r="U124" i="24"/>
  <c r="V124" i="24"/>
  <c r="W124" i="24"/>
  <c r="E38" i="24"/>
  <c r="G38" i="24"/>
  <c r="H38" i="24"/>
  <c r="I38" i="24"/>
  <c r="Q126" i="24"/>
  <c r="R126" i="24"/>
  <c r="T126" i="24"/>
  <c r="U126" i="24"/>
  <c r="V126" i="24"/>
  <c r="Q127" i="24"/>
  <c r="R127" i="24"/>
  <c r="S127" i="24"/>
  <c r="T127" i="24"/>
  <c r="U127" i="24"/>
  <c r="V127" i="24"/>
  <c r="W127" i="24"/>
  <c r="Q128" i="24"/>
  <c r="R128" i="24"/>
  <c r="S128" i="24"/>
  <c r="T128" i="24"/>
  <c r="U128" i="24"/>
  <c r="V128" i="24"/>
  <c r="Q129" i="24"/>
  <c r="D39" i="24" s="1"/>
  <c r="R129" i="24"/>
  <c r="E39" i="24" s="1"/>
  <c r="S129" i="24"/>
  <c r="F39" i="24" s="1"/>
  <c r="T129" i="24"/>
  <c r="G39" i="24" s="1"/>
  <c r="U129" i="24"/>
  <c r="H39" i="24" s="1"/>
  <c r="V129" i="24"/>
  <c r="I39" i="24" s="1"/>
  <c r="W129" i="24"/>
  <c r="Q130" i="24"/>
  <c r="R130" i="24"/>
  <c r="S130" i="24"/>
  <c r="T130" i="24"/>
  <c r="U130" i="24"/>
  <c r="V130" i="24"/>
  <c r="W130" i="24"/>
  <c r="Q131" i="24"/>
  <c r="R131" i="24"/>
  <c r="S131" i="24"/>
  <c r="T131" i="24"/>
  <c r="U131" i="24"/>
  <c r="V131" i="24"/>
  <c r="W131" i="24"/>
  <c r="Q132" i="24"/>
  <c r="R132" i="24"/>
  <c r="S132" i="24"/>
  <c r="T132" i="24"/>
  <c r="U132" i="24"/>
  <c r="V132" i="24"/>
  <c r="W132" i="24"/>
  <c r="Q133" i="24"/>
  <c r="R133" i="24"/>
  <c r="S133" i="24"/>
  <c r="T133" i="24"/>
  <c r="U133" i="24"/>
  <c r="V133" i="24"/>
  <c r="W133" i="24"/>
  <c r="Q134" i="24"/>
  <c r="R134" i="24"/>
  <c r="S134" i="24"/>
  <c r="T134" i="24"/>
  <c r="U134" i="24"/>
  <c r="V134" i="24"/>
  <c r="W134" i="24"/>
  <c r="Q135" i="24"/>
  <c r="R135" i="24"/>
  <c r="S135" i="24"/>
  <c r="T135" i="24"/>
  <c r="U135" i="24"/>
  <c r="V135" i="24"/>
  <c r="W135" i="24"/>
  <c r="Q136" i="24"/>
  <c r="R136" i="24"/>
  <c r="S136" i="24"/>
  <c r="T136" i="24"/>
  <c r="U136" i="24"/>
  <c r="V136" i="24"/>
  <c r="W136" i="24"/>
  <c r="Q137" i="24"/>
  <c r="D40" i="24" s="1"/>
  <c r="R137" i="24"/>
  <c r="E40" i="24" s="1"/>
  <c r="S137" i="24"/>
  <c r="F40" i="24" s="1"/>
  <c r="T137" i="24"/>
  <c r="G40" i="24" s="1"/>
  <c r="U137" i="24"/>
  <c r="H40" i="24" s="1"/>
  <c r="V137" i="24"/>
  <c r="I40" i="24" s="1"/>
  <c r="W137" i="24"/>
  <c r="Q138" i="24"/>
  <c r="R138" i="24"/>
  <c r="S138" i="24"/>
  <c r="T138" i="24"/>
  <c r="U138" i="24"/>
  <c r="V138" i="24"/>
  <c r="W138" i="24"/>
  <c r="Q139" i="24"/>
  <c r="R139" i="24"/>
  <c r="S139" i="24"/>
  <c r="T139" i="24"/>
  <c r="U139" i="24"/>
  <c r="V139" i="24"/>
  <c r="W139" i="24"/>
  <c r="Q140" i="24"/>
  <c r="R140" i="24"/>
  <c r="S140" i="24"/>
  <c r="T140" i="24"/>
  <c r="U140" i="24"/>
  <c r="V140" i="24"/>
  <c r="W140" i="24"/>
  <c r="Q141" i="24"/>
  <c r="R141" i="24"/>
  <c r="S141" i="24"/>
  <c r="T141" i="24"/>
  <c r="U141" i="24"/>
  <c r="V141" i="24"/>
  <c r="W141" i="24"/>
  <c r="Q142" i="24"/>
  <c r="R142" i="24"/>
  <c r="S142" i="24"/>
  <c r="T142" i="24"/>
  <c r="U142" i="24"/>
  <c r="V142" i="24"/>
  <c r="W142" i="24"/>
  <c r="Q143" i="24"/>
  <c r="D41" i="24" s="1"/>
  <c r="R143" i="24"/>
  <c r="E41" i="24" s="1"/>
  <c r="S143" i="24"/>
  <c r="F41" i="24" s="1"/>
  <c r="T143" i="24"/>
  <c r="G41" i="24" s="1"/>
  <c r="U143" i="24"/>
  <c r="H41" i="24" s="1"/>
  <c r="V143" i="24"/>
  <c r="I41" i="24" s="1"/>
  <c r="W143" i="24"/>
  <c r="Q144" i="24"/>
  <c r="R144" i="24"/>
  <c r="S144" i="24"/>
  <c r="T144" i="24"/>
  <c r="U144" i="24"/>
  <c r="V144" i="24"/>
  <c r="W144" i="24"/>
  <c r="Q145" i="24"/>
  <c r="R145" i="24"/>
  <c r="S145" i="24"/>
  <c r="T145" i="24"/>
  <c r="U145" i="24"/>
  <c r="V145" i="24"/>
  <c r="W145" i="24"/>
  <c r="Q146" i="24"/>
  <c r="R146" i="24"/>
  <c r="S146" i="24"/>
  <c r="T146" i="24"/>
  <c r="U146" i="24"/>
  <c r="V146" i="24"/>
  <c r="W146" i="24"/>
  <c r="Q147" i="24"/>
  <c r="R147" i="24"/>
  <c r="S147" i="24"/>
  <c r="T147" i="24"/>
  <c r="U147" i="24"/>
  <c r="V147" i="24"/>
  <c r="W147" i="24"/>
  <c r="Q148" i="24"/>
  <c r="R148" i="24"/>
  <c r="S148" i="24"/>
  <c r="T148" i="24"/>
  <c r="U148" i="24"/>
  <c r="V148" i="24"/>
  <c r="W148" i="24"/>
  <c r="Q149" i="24"/>
  <c r="R149" i="24"/>
  <c r="S149" i="24"/>
  <c r="T149" i="24"/>
  <c r="U149" i="24"/>
  <c r="V149" i="24"/>
  <c r="W149" i="24"/>
  <c r="Q150" i="24"/>
  <c r="R150" i="24"/>
  <c r="S150" i="24"/>
  <c r="T150" i="24"/>
  <c r="U150" i="24"/>
  <c r="V150" i="24"/>
  <c r="W150" i="24"/>
  <c r="Q151" i="24"/>
  <c r="R151" i="24"/>
  <c r="S151" i="24"/>
  <c r="T151" i="24"/>
  <c r="U151" i="24"/>
  <c r="V151" i="24"/>
  <c r="W151" i="24"/>
  <c r="Q152" i="24"/>
  <c r="D42" i="24" s="1"/>
  <c r="R152" i="24"/>
  <c r="E42" i="24" s="1"/>
  <c r="S152" i="24"/>
  <c r="F42" i="24" s="1"/>
  <c r="T152" i="24"/>
  <c r="G42" i="24" s="1"/>
  <c r="U152" i="24"/>
  <c r="H42" i="24" s="1"/>
  <c r="V152" i="24"/>
  <c r="I42" i="24" s="1"/>
  <c r="W152" i="24"/>
  <c r="Q153" i="24"/>
  <c r="D43" i="24" s="1"/>
  <c r="R153" i="24"/>
  <c r="E43" i="24" s="1"/>
  <c r="S153" i="24"/>
  <c r="F43" i="24" s="1"/>
  <c r="T153" i="24"/>
  <c r="G43" i="24" s="1"/>
  <c r="U153" i="24"/>
  <c r="H43" i="24" s="1"/>
  <c r="V153" i="24"/>
  <c r="I43" i="24" s="1"/>
  <c r="W153" i="24"/>
  <c r="Q154" i="24"/>
  <c r="R154" i="24"/>
  <c r="S154" i="24"/>
  <c r="T154" i="24"/>
  <c r="U154" i="24"/>
  <c r="V154" i="24"/>
  <c r="W154" i="24"/>
  <c r="Q155" i="24"/>
  <c r="R155" i="24"/>
  <c r="S155" i="24"/>
  <c r="T155" i="24"/>
  <c r="U155" i="24"/>
  <c r="V155" i="24"/>
  <c r="W155" i="24"/>
  <c r="Q156" i="24"/>
  <c r="R156" i="24"/>
  <c r="S156" i="24"/>
  <c r="T156" i="24"/>
  <c r="U156" i="24"/>
  <c r="V156" i="24"/>
  <c r="W156" i="24"/>
  <c r="Q157" i="24"/>
  <c r="R157" i="24"/>
  <c r="S157" i="24"/>
  <c r="T157" i="24"/>
  <c r="U157" i="24"/>
  <c r="V157" i="24"/>
  <c r="W157" i="24"/>
  <c r="Q158" i="24"/>
  <c r="R158" i="24"/>
  <c r="S158" i="24"/>
  <c r="T158" i="24"/>
  <c r="U158" i="24"/>
  <c r="V158" i="24"/>
  <c r="W158" i="24"/>
  <c r="Q159" i="24"/>
  <c r="R159" i="24"/>
  <c r="S159" i="24"/>
  <c r="T159" i="24"/>
  <c r="U159" i="24"/>
  <c r="V159" i="24"/>
  <c r="W159" i="24"/>
  <c r="Q160" i="24"/>
  <c r="R160" i="24"/>
  <c r="S160" i="24"/>
  <c r="T160" i="24"/>
  <c r="U160" i="24"/>
  <c r="V160" i="24"/>
  <c r="W160" i="24"/>
  <c r="Q161" i="24"/>
  <c r="R161" i="24"/>
  <c r="S161" i="24"/>
  <c r="T161" i="24"/>
  <c r="U161" i="24"/>
  <c r="V161" i="24"/>
  <c r="W161" i="24"/>
  <c r="Q162" i="24"/>
  <c r="R162" i="24"/>
  <c r="S162" i="24"/>
  <c r="T162" i="24"/>
  <c r="U162" i="24"/>
  <c r="V162" i="24"/>
  <c r="W162" i="24"/>
  <c r="Q163" i="24"/>
  <c r="R163" i="24"/>
  <c r="S163" i="24"/>
  <c r="T163" i="24"/>
  <c r="U163" i="24"/>
  <c r="V163" i="24"/>
  <c r="W163" i="24"/>
  <c r="Q164" i="24"/>
  <c r="D44" i="24" s="1"/>
  <c r="R164" i="24"/>
  <c r="E44" i="24" s="1"/>
  <c r="S164" i="24"/>
  <c r="F44" i="24" s="1"/>
  <c r="T164" i="24"/>
  <c r="G44" i="24" s="1"/>
  <c r="U164" i="24"/>
  <c r="H44" i="24" s="1"/>
  <c r="V164" i="24"/>
  <c r="I44" i="24" s="1"/>
  <c r="W164" i="24"/>
  <c r="Q165" i="24"/>
  <c r="R165" i="24"/>
  <c r="S165" i="24"/>
  <c r="T165" i="24"/>
  <c r="U165" i="24"/>
  <c r="V165" i="24"/>
  <c r="W165" i="24"/>
  <c r="Q166" i="24"/>
  <c r="R166" i="24"/>
  <c r="S166" i="24"/>
  <c r="T166" i="24"/>
  <c r="U166" i="24"/>
  <c r="V166" i="24"/>
  <c r="W166" i="24"/>
  <c r="Q167" i="24"/>
  <c r="R167" i="24"/>
  <c r="S167" i="24"/>
  <c r="T167" i="24"/>
  <c r="U167" i="24"/>
  <c r="V167" i="24"/>
  <c r="W167" i="24"/>
  <c r="Q168" i="24"/>
  <c r="R168" i="24"/>
  <c r="S168" i="24"/>
  <c r="T168" i="24"/>
  <c r="U168" i="24"/>
  <c r="V168" i="24"/>
  <c r="W168" i="24"/>
  <c r="Q169" i="24"/>
  <c r="R169" i="24"/>
  <c r="S169" i="24"/>
  <c r="T169" i="24"/>
  <c r="U169" i="24"/>
  <c r="V169" i="24"/>
  <c r="W169" i="24"/>
  <c r="Q170" i="24"/>
  <c r="R170" i="24"/>
  <c r="S170" i="24"/>
  <c r="T170" i="24"/>
  <c r="U170" i="24"/>
  <c r="V170" i="24"/>
  <c r="W170" i="24"/>
  <c r="Q171" i="24"/>
  <c r="R171" i="24"/>
  <c r="S171" i="24"/>
  <c r="T171" i="24"/>
  <c r="U171" i="24"/>
  <c r="V171" i="24"/>
  <c r="W171" i="24"/>
  <c r="Q172" i="24"/>
  <c r="R172" i="24"/>
  <c r="S172" i="24"/>
  <c r="T172" i="24"/>
  <c r="U172" i="24"/>
  <c r="V172" i="24"/>
  <c r="W172" i="24"/>
  <c r="Q173" i="24"/>
  <c r="R173" i="24"/>
  <c r="S173" i="24"/>
  <c r="T173" i="24"/>
  <c r="U173" i="24"/>
  <c r="V173" i="24"/>
  <c r="W173" i="24"/>
  <c r="Q174" i="24"/>
  <c r="R174" i="24"/>
  <c r="S174" i="24"/>
  <c r="T174" i="24"/>
  <c r="U174" i="24"/>
  <c r="V174" i="24"/>
  <c r="W174" i="24"/>
  <c r="Q175" i="24"/>
  <c r="R175" i="24"/>
  <c r="S175" i="24"/>
  <c r="T175" i="24"/>
  <c r="U175" i="24"/>
  <c r="V175" i="24"/>
  <c r="W175" i="24"/>
  <c r="Q176" i="24"/>
  <c r="R176" i="24"/>
  <c r="S176" i="24"/>
  <c r="T176" i="24"/>
  <c r="U176" i="24"/>
  <c r="V176" i="24"/>
  <c r="W176" i="24"/>
  <c r="Q177" i="24"/>
  <c r="R177" i="24"/>
  <c r="S177" i="24"/>
  <c r="T177" i="24"/>
  <c r="U177" i="24"/>
  <c r="V177" i="24"/>
  <c r="W177" i="24"/>
  <c r="Q178" i="24"/>
  <c r="R178" i="24"/>
  <c r="S178" i="24"/>
  <c r="T178" i="24"/>
  <c r="U178" i="24"/>
  <c r="V178" i="24"/>
  <c r="W178" i="24"/>
  <c r="Q179" i="24"/>
  <c r="R179" i="24"/>
  <c r="S179" i="24"/>
  <c r="T179" i="24"/>
  <c r="U179" i="24"/>
  <c r="V179" i="24"/>
  <c r="W179" i="24"/>
  <c r="Q180" i="24"/>
  <c r="D51" i="24" s="1"/>
  <c r="R180" i="24"/>
  <c r="E51" i="24" s="1"/>
  <c r="S180" i="24"/>
  <c r="F51" i="24" s="1"/>
  <c r="T180" i="24"/>
  <c r="G51" i="24" s="1"/>
  <c r="U180" i="24"/>
  <c r="H51" i="24" s="1"/>
  <c r="V180" i="24"/>
  <c r="I51" i="24" s="1"/>
  <c r="W180" i="24"/>
  <c r="Q181" i="24"/>
  <c r="R181" i="24"/>
  <c r="S181" i="24"/>
  <c r="T181" i="24"/>
  <c r="U181" i="24"/>
  <c r="V181" i="24"/>
  <c r="W181" i="24"/>
  <c r="Q182" i="24"/>
  <c r="R182" i="24"/>
  <c r="S182" i="24"/>
  <c r="T182" i="24"/>
  <c r="U182" i="24"/>
  <c r="V182" i="24"/>
  <c r="W182" i="24"/>
  <c r="Q183" i="24"/>
  <c r="R183" i="24"/>
  <c r="S183" i="24"/>
  <c r="T183" i="24"/>
  <c r="U183" i="24"/>
  <c r="V183" i="24"/>
  <c r="W183" i="24"/>
  <c r="Q184" i="24"/>
  <c r="R184" i="24"/>
  <c r="S184" i="24"/>
  <c r="T184" i="24"/>
  <c r="U184" i="24"/>
  <c r="V184" i="24"/>
  <c r="W184" i="24"/>
  <c r="Q185" i="24"/>
  <c r="R185" i="24"/>
  <c r="S185" i="24"/>
  <c r="T185" i="24"/>
  <c r="U185" i="24"/>
  <c r="V185" i="24"/>
  <c r="W185" i="24"/>
  <c r="Q186" i="24"/>
  <c r="R186" i="24"/>
  <c r="S186" i="24"/>
  <c r="T186" i="24"/>
  <c r="U186" i="24"/>
  <c r="V186" i="24"/>
  <c r="W186" i="24"/>
  <c r="Q187" i="24"/>
  <c r="R187" i="24"/>
  <c r="S187" i="24"/>
  <c r="T187" i="24"/>
  <c r="U187" i="24"/>
  <c r="V187" i="24"/>
  <c r="W187" i="24"/>
  <c r="Q188" i="24"/>
  <c r="R188" i="24"/>
  <c r="S188" i="24"/>
  <c r="T188" i="24"/>
  <c r="U188" i="24"/>
  <c r="V188" i="24"/>
  <c r="W188" i="24"/>
  <c r="Q189" i="24"/>
  <c r="D47" i="24" s="1"/>
  <c r="R189" i="24"/>
  <c r="E47" i="24" s="1"/>
  <c r="S189" i="24"/>
  <c r="F47" i="24" s="1"/>
  <c r="T189" i="24"/>
  <c r="G47" i="24" s="1"/>
  <c r="U189" i="24"/>
  <c r="H47" i="24" s="1"/>
  <c r="V189" i="24"/>
  <c r="I47" i="24" s="1"/>
  <c r="W189" i="24"/>
  <c r="Q190" i="24"/>
  <c r="R190" i="24"/>
  <c r="S190" i="24"/>
  <c r="T190" i="24"/>
  <c r="U190" i="24"/>
  <c r="V190" i="24"/>
  <c r="I53" i="24" s="1"/>
  <c r="W190" i="24"/>
  <c r="Q191" i="24"/>
  <c r="R191" i="24"/>
  <c r="S191" i="24"/>
  <c r="T191" i="24"/>
  <c r="U191" i="24"/>
  <c r="V191" i="24"/>
  <c r="W191" i="24"/>
  <c r="R60" i="24"/>
  <c r="E29" i="24" s="1"/>
  <c r="S60" i="24"/>
  <c r="F29" i="24" s="1"/>
  <c r="T60" i="24"/>
  <c r="G29" i="24" s="1"/>
  <c r="U60" i="24"/>
  <c r="H29" i="24" s="1"/>
  <c r="V60" i="24"/>
  <c r="I29" i="24" s="1"/>
  <c r="W60" i="24"/>
  <c r="Q60" i="24"/>
  <c r="D29" i="24" s="1"/>
  <c r="D90" i="25"/>
  <c r="J2" i="43" s="1"/>
  <c r="I15" i="55"/>
  <c r="H76" i="25"/>
  <c r="H77" i="25"/>
  <c r="H78" i="25"/>
  <c r="H79" i="25"/>
  <c r="H80" i="25"/>
  <c r="H81" i="25"/>
  <c r="H82" i="25"/>
  <c r="H83" i="25"/>
  <c r="H84" i="25"/>
  <c r="H85" i="25"/>
  <c r="H86" i="25"/>
  <c r="H87" i="25"/>
  <c r="H88" i="25"/>
  <c r="H89" i="25"/>
  <c r="H90" i="25"/>
  <c r="H91" i="25"/>
  <c r="H92" i="25"/>
  <c r="H93" i="25"/>
  <c r="H94" i="25"/>
  <c r="H95" i="25"/>
  <c r="AC54" i="59"/>
  <c r="AC53" i="59"/>
  <c r="AC52" i="59"/>
  <c r="AC51" i="59"/>
  <c r="AC50" i="59"/>
  <c r="AC49" i="59"/>
  <c r="AC48" i="59"/>
  <c r="AC47" i="59"/>
  <c r="AC46" i="59"/>
  <c r="AC45" i="59"/>
  <c r="AC44" i="59"/>
  <c r="AC43" i="59"/>
  <c r="AC42" i="59"/>
  <c r="AC41" i="59"/>
  <c r="AC40" i="59"/>
  <c r="AC39" i="59"/>
  <c r="AC38" i="59"/>
  <c r="AC37" i="59"/>
  <c r="AC36" i="59"/>
  <c r="AC35" i="59"/>
  <c r="AC34" i="59"/>
  <c r="D25" i="59"/>
  <c r="D28" i="59" s="1"/>
  <c r="E25" i="59"/>
  <c r="E28" i="59" s="1"/>
  <c r="F25" i="59"/>
  <c r="F28" i="59" s="1"/>
  <c r="G25" i="59"/>
  <c r="G28" i="59" s="1"/>
  <c r="H25" i="59"/>
  <c r="H28" i="59" s="1"/>
  <c r="I25" i="59"/>
  <c r="I28" i="59" s="1"/>
  <c r="J25" i="59"/>
  <c r="J28" i="59" s="1"/>
  <c r="K25" i="59"/>
  <c r="K28" i="59" s="1"/>
  <c r="L25" i="59"/>
  <c r="L28" i="59" s="1"/>
  <c r="M25" i="59"/>
  <c r="M28" i="59" s="1"/>
  <c r="D26" i="59"/>
  <c r="D29" i="59" s="1"/>
  <c r="E26" i="59"/>
  <c r="E29" i="59" s="1"/>
  <c r="F26" i="59"/>
  <c r="F29" i="59" s="1"/>
  <c r="G26" i="59"/>
  <c r="G29" i="59" s="1"/>
  <c r="H26" i="59"/>
  <c r="H29" i="59" s="1"/>
  <c r="I26" i="59"/>
  <c r="I29" i="59" s="1"/>
  <c r="J26" i="59"/>
  <c r="J29" i="59" s="1"/>
  <c r="K26" i="59"/>
  <c r="K29" i="59" s="1"/>
  <c r="L26" i="59"/>
  <c r="M26" i="59"/>
  <c r="M29" i="59" s="1"/>
  <c r="G76" i="25"/>
  <c r="G77" i="25"/>
  <c r="G78" i="25"/>
  <c r="G79" i="25"/>
  <c r="G80" i="25"/>
  <c r="G81" i="25"/>
  <c r="G82" i="25"/>
  <c r="G84" i="25"/>
  <c r="G85" i="25"/>
  <c r="G86" i="25"/>
  <c r="G87" i="25"/>
  <c r="G88" i="25"/>
  <c r="G89" i="25"/>
  <c r="G90" i="25"/>
  <c r="G91" i="25"/>
  <c r="G92" i="25"/>
  <c r="G93" i="25"/>
  <c r="G94" i="25"/>
  <c r="G95" i="25"/>
  <c r="G75" i="25"/>
  <c r="F76" i="25"/>
  <c r="F77" i="25"/>
  <c r="F78" i="25"/>
  <c r="F79" i="25"/>
  <c r="F80" i="25"/>
  <c r="F81" i="25"/>
  <c r="F82" i="25"/>
  <c r="F84" i="25"/>
  <c r="F85" i="25"/>
  <c r="F86" i="25"/>
  <c r="F87" i="25"/>
  <c r="F88" i="25"/>
  <c r="F89" i="25"/>
  <c r="F90" i="25"/>
  <c r="F91" i="25"/>
  <c r="F92" i="25"/>
  <c r="F93" i="25"/>
  <c r="F94" i="25"/>
  <c r="F95" i="25"/>
  <c r="F75" i="25"/>
  <c r="D76" i="25"/>
  <c r="J10" i="43" s="1"/>
  <c r="D77" i="25"/>
  <c r="J18" i="43" s="1"/>
  <c r="D78" i="25"/>
  <c r="J4" i="43" s="1"/>
  <c r="D79" i="25"/>
  <c r="J11" i="43" s="1"/>
  <c r="D80" i="25"/>
  <c r="J7" i="43" s="1"/>
  <c r="D81" i="25"/>
  <c r="J9" i="43" s="1"/>
  <c r="D82" i="25"/>
  <c r="J12" i="43" s="1"/>
  <c r="D83" i="25"/>
  <c r="J21" i="43" s="1"/>
  <c r="D84" i="25"/>
  <c r="J5" i="43" s="1"/>
  <c r="D85" i="25"/>
  <c r="J20" i="43" s="1"/>
  <c r="D86" i="25"/>
  <c r="J8" i="43" s="1"/>
  <c r="D88" i="25"/>
  <c r="J6" i="43" s="1"/>
  <c r="D89" i="25"/>
  <c r="J15" i="43" s="1"/>
  <c r="D91" i="25"/>
  <c r="J3" i="43" s="1"/>
  <c r="D92" i="25"/>
  <c r="J13" i="43" s="1"/>
  <c r="D93" i="25"/>
  <c r="J17" i="43" s="1"/>
  <c r="D94" i="25"/>
  <c r="J19" i="43" s="1"/>
  <c r="D95" i="25"/>
  <c r="J16" i="43" s="1"/>
  <c r="D75" i="25"/>
  <c r="J22" i="43" s="1"/>
  <c r="E76" i="25"/>
  <c r="E77" i="25"/>
  <c r="E78" i="25"/>
  <c r="E79" i="25"/>
  <c r="E80" i="25"/>
  <c r="E81" i="25"/>
  <c r="E82" i="25"/>
  <c r="E83" i="25"/>
  <c r="E84" i="25"/>
  <c r="E85" i="25"/>
  <c r="E86" i="25"/>
  <c r="E87" i="25"/>
  <c r="E88" i="25"/>
  <c r="E89" i="25"/>
  <c r="E90" i="25"/>
  <c r="E91" i="25"/>
  <c r="E92" i="25"/>
  <c r="E93" i="25"/>
  <c r="E94" i="25"/>
  <c r="E95" i="25"/>
  <c r="D30" i="43"/>
  <c r="K21" i="43" l="1"/>
  <c r="M83" i="25" s="1"/>
  <c r="K19" i="43"/>
  <c r="M94" i="25" s="1"/>
  <c r="K17" i="43"/>
  <c r="M93" i="25" s="1"/>
  <c r="K16" i="43"/>
  <c r="M95" i="25" s="1"/>
  <c r="K18" i="43"/>
  <c r="M77" i="25" s="1"/>
  <c r="K15" i="43"/>
  <c r="M89" i="25" s="1"/>
  <c r="K22" i="43"/>
  <c r="M75" i="25" s="1"/>
  <c r="K20" i="43"/>
  <c r="M85" i="25" s="1"/>
  <c r="K6" i="43"/>
  <c r="M88" i="25" s="1"/>
  <c r="J38" i="24"/>
  <c r="H113" i="25"/>
  <c r="H114" i="25"/>
  <c r="F113" i="25"/>
  <c r="F114" i="25"/>
  <c r="E113" i="25"/>
  <c r="E114" i="25"/>
  <c r="D114" i="25"/>
  <c r="D113" i="25"/>
  <c r="G113" i="25"/>
  <c r="G115" i="25" s="1"/>
  <c r="G114" i="25"/>
  <c r="F53" i="24"/>
  <c r="J44" i="24"/>
  <c r="E53" i="24"/>
  <c r="D53" i="24"/>
  <c r="J36" i="24"/>
  <c r="J34" i="24"/>
  <c r="J51" i="24"/>
  <c r="J52" i="24"/>
  <c r="J45" i="24"/>
  <c r="J41" i="24"/>
  <c r="J48" i="24"/>
  <c r="H46" i="24"/>
  <c r="H50" i="24" s="1"/>
  <c r="J37" i="24"/>
  <c r="J49" i="24"/>
  <c r="J54" i="24"/>
  <c r="E46" i="24"/>
  <c r="E50" i="24" s="1"/>
  <c r="J43" i="24"/>
  <c r="J40" i="24"/>
  <c r="J39" i="24"/>
  <c r="J35" i="24"/>
  <c r="J33" i="24"/>
  <c r="J30" i="24"/>
  <c r="J55" i="24"/>
  <c r="J31" i="24"/>
  <c r="F46" i="24"/>
  <c r="F50" i="24" s="1"/>
  <c r="J42" i="24"/>
  <c r="J29" i="24"/>
  <c r="H53" i="24"/>
  <c r="D46" i="24"/>
  <c r="D50" i="24" s="1"/>
  <c r="J32" i="24"/>
  <c r="J47" i="24"/>
  <c r="I46" i="24"/>
  <c r="I50" i="24" s="1"/>
  <c r="G46" i="24"/>
  <c r="G50" i="24" s="1"/>
  <c r="G53" i="24"/>
  <c r="I16" i="55"/>
  <c r="AG10" i="59"/>
  <c r="AE12" i="59"/>
  <c r="AG5" i="59"/>
  <c r="AG6" i="59"/>
  <c r="AG7" i="59"/>
  <c r="AG8" i="59"/>
  <c r="AG9" i="59"/>
  <c r="AG11" i="59"/>
  <c r="AG12" i="59"/>
  <c r="AG13" i="59"/>
  <c r="AG14" i="59"/>
  <c r="AG15" i="59"/>
  <c r="AG16" i="59"/>
  <c r="AG17" i="59"/>
  <c r="AG18" i="59"/>
  <c r="AG19" i="59"/>
  <c r="AG20" i="59"/>
  <c r="AG21" i="59"/>
  <c r="AG22" i="59"/>
  <c r="AG23" i="59"/>
  <c r="AF12" i="59"/>
  <c r="AF6" i="59"/>
  <c r="AF7" i="59"/>
  <c r="AF8" i="59"/>
  <c r="AF9" i="59"/>
  <c r="AF10" i="59"/>
  <c r="AF11" i="59"/>
  <c r="AF13" i="59"/>
  <c r="AF14" i="59"/>
  <c r="AF15" i="59"/>
  <c r="AF16" i="59"/>
  <c r="AF17" i="59"/>
  <c r="AF18" i="59"/>
  <c r="AF19" i="59"/>
  <c r="AF20" i="59"/>
  <c r="AF21" i="59"/>
  <c r="AF22" i="59"/>
  <c r="AF23" i="59"/>
  <c r="I95" i="25" l="1"/>
  <c r="D115" i="25"/>
  <c r="D116" i="25"/>
  <c r="E116" i="25"/>
  <c r="E115" i="25"/>
  <c r="H115" i="25"/>
  <c r="H116" i="25"/>
  <c r="G116" i="25"/>
  <c r="J53" i="24"/>
  <c r="K52" i="24" s="1"/>
  <c r="J46" i="24"/>
  <c r="J50" i="24" s="1"/>
  <c r="AE23" i="59"/>
  <c r="AH23" i="59" s="1"/>
  <c r="AE22" i="59"/>
  <c r="AH22" i="59" s="1"/>
  <c r="AE21" i="59"/>
  <c r="AH21" i="59" s="1"/>
  <c r="AE20" i="59"/>
  <c r="AH20" i="59" s="1"/>
  <c r="AE19" i="59"/>
  <c r="AH19" i="59" s="1"/>
  <c r="AE18" i="59"/>
  <c r="AH18" i="59" s="1"/>
  <c r="AE17" i="59"/>
  <c r="AH17" i="59" s="1"/>
  <c r="AE16" i="59"/>
  <c r="AH16" i="59" s="1"/>
  <c r="AE15" i="59"/>
  <c r="AH15" i="59" s="1"/>
  <c r="AE14" i="59"/>
  <c r="AH14" i="59" s="1"/>
  <c r="AE13" i="59"/>
  <c r="AH13" i="59" s="1"/>
  <c r="AH12" i="59"/>
  <c r="AE11" i="59"/>
  <c r="AH11" i="59" s="1"/>
  <c r="AE10" i="59"/>
  <c r="AH10" i="59" s="1"/>
  <c r="AE9" i="59"/>
  <c r="AH9" i="59" s="1"/>
  <c r="AE8" i="59"/>
  <c r="AH8" i="59" s="1"/>
  <c r="AE7" i="59"/>
  <c r="AH7" i="59" s="1"/>
  <c r="AE6" i="59"/>
  <c r="AH6" i="59" s="1"/>
  <c r="AH5" i="59"/>
  <c r="AH4" i="59"/>
  <c r="G97" i="25" l="1"/>
  <c r="H97" i="25"/>
  <c r="H96" i="25"/>
  <c r="E96" i="25"/>
  <c r="E97" i="25"/>
  <c r="D97" i="25"/>
  <c r="D96" i="25"/>
  <c r="G96" i="25"/>
  <c r="D51" i="25" l="1"/>
  <c r="G68" i="25"/>
  <c r="AN41" i="25" s="1"/>
  <c r="AD15" i="25" l="1"/>
  <c r="AD19" i="25"/>
  <c r="AD6" i="25"/>
  <c r="AD3" i="25"/>
  <c r="G37" i="43"/>
  <c r="AD4" i="25"/>
  <c r="AD5" i="25"/>
  <c r="AD7" i="25"/>
  <c r="AD8" i="25"/>
  <c r="AD9" i="25"/>
  <c r="AD10" i="25"/>
  <c r="AD11" i="25"/>
  <c r="AD12" i="25"/>
  <c r="AD13" i="25"/>
  <c r="AD14" i="25"/>
  <c r="AD16" i="25"/>
  <c r="AD17" i="25"/>
  <c r="AD18" i="25"/>
  <c r="AD20" i="25"/>
  <c r="AD21" i="25"/>
  <c r="AD22" i="25"/>
  <c r="AD23" i="25"/>
  <c r="R23" i="25"/>
  <c r="S23" i="25"/>
  <c r="T23" i="25"/>
  <c r="F52" i="25"/>
  <c r="AM34" i="25" s="1"/>
  <c r="G27" i="43"/>
  <c r="G33" i="43"/>
  <c r="G34" i="43"/>
  <c r="C11" i="43" s="1"/>
  <c r="G36" i="43"/>
  <c r="G31" i="43"/>
  <c r="G28" i="43"/>
  <c r="D35" i="43"/>
  <c r="G30" i="43"/>
  <c r="G32" i="43"/>
  <c r="G71" i="25"/>
  <c r="AN36" i="25" s="1"/>
  <c r="G51" i="25"/>
  <c r="AN43" i="25" s="1"/>
  <c r="E1" i="25"/>
  <c r="F66" i="25"/>
  <c r="AM28" i="25" s="1"/>
  <c r="G70" i="25"/>
  <c r="AN46" i="25" s="1"/>
  <c r="G57" i="25"/>
  <c r="AN40" i="25" s="1"/>
  <c r="G69" i="25"/>
  <c r="AN39" i="25" s="1"/>
  <c r="G60" i="25"/>
  <c r="AN31" i="25" s="1"/>
  <c r="G66" i="25"/>
  <c r="AN28" i="25" s="1"/>
  <c r="G58" i="25"/>
  <c r="AN45" i="25" s="1"/>
  <c r="G56" i="25"/>
  <c r="AN37" i="25" s="1"/>
  <c r="G54" i="25"/>
  <c r="AN32" i="25" s="1"/>
  <c r="G65" i="25"/>
  <c r="AN35" i="25" s="1"/>
  <c r="G63" i="25"/>
  <c r="AN29" i="25" s="1"/>
  <c r="G53" i="25"/>
  <c r="AN42" i="25" s="1"/>
  <c r="G55" i="25"/>
  <c r="AN44" i="25" s="1"/>
  <c r="G67" i="25"/>
  <c r="AN27" i="25" s="1"/>
  <c r="G52" i="25"/>
  <c r="AN34" i="25" s="1"/>
  <c r="G62" i="25"/>
  <c r="AN33" i="25" s="1"/>
  <c r="G64" i="25"/>
  <c r="AN38" i="25" s="1"/>
  <c r="G61" i="25"/>
  <c r="AN30" i="25" s="1"/>
  <c r="S17" i="25"/>
  <c r="C5" i="43" l="1"/>
  <c r="F5" i="43"/>
  <c r="D5" i="43"/>
  <c r="E5" i="43"/>
  <c r="E11" i="43"/>
  <c r="H11" i="43" s="1"/>
  <c r="D11" i="43"/>
  <c r="F11" i="43"/>
  <c r="C9" i="43"/>
  <c r="F9" i="43"/>
  <c r="E9" i="43"/>
  <c r="D9" i="43"/>
  <c r="G9" i="43" s="1"/>
  <c r="I9" i="43" s="1"/>
  <c r="K9" i="43" s="1"/>
  <c r="C8" i="43"/>
  <c r="D8" i="43"/>
  <c r="H8" i="43" s="1"/>
  <c r="E8" i="43"/>
  <c r="G8" i="43" s="1"/>
  <c r="F8" i="43"/>
  <c r="C10" i="43"/>
  <c r="E10" i="43"/>
  <c r="D10" i="43"/>
  <c r="H10" i="43" s="1"/>
  <c r="I10" i="43" s="1"/>
  <c r="K10" i="43" s="1"/>
  <c r="F10" i="43"/>
  <c r="C4" i="43"/>
  <c r="F4" i="43"/>
  <c r="D4" i="43"/>
  <c r="E4" i="43"/>
  <c r="C14" i="43"/>
  <c r="E14" i="43"/>
  <c r="H14" i="43" s="1"/>
  <c r="I14" i="43" s="1"/>
  <c r="D14" i="43"/>
  <c r="F14" i="43"/>
  <c r="C13" i="43"/>
  <c r="E13" i="43"/>
  <c r="H13" i="43" s="1"/>
  <c r="F13" i="43"/>
  <c r="D13" i="43"/>
  <c r="F7" i="43"/>
  <c r="D7" i="43"/>
  <c r="G7" i="43" s="1"/>
  <c r="I7" i="43" s="1"/>
  <c r="K7" i="43" s="1"/>
  <c r="C7" i="43"/>
  <c r="E7" i="43"/>
  <c r="G35" i="43"/>
  <c r="S22" i="25"/>
  <c r="AN48" i="25"/>
  <c r="AE18" i="25"/>
  <c r="S19" i="25"/>
  <c r="S20" i="25"/>
  <c r="S7" i="25"/>
  <c r="AE21" i="25"/>
  <c r="AE4" i="25"/>
  <c r="AE8" i="25"/>
  <c r="AE7" i="25"/>
  <c r="AE20" i="25"/>
  <c r="AE16" i="25"/>
  <c r="AE23" i="25"/>
  <c r="AE6" i="25"/>
  <c r="AE3" i="25"/>
  <c r="AE22" i="25"/>
  <c r="AE19" i="25"/>
  <c r="AE5" i="25"/>
  <c r="AE10" i="25"/>
  <c r="AE17" i="25"/>
  <c r="AE9" i="25"/>
  <c r="AE15" i="25"/>
  <c r="AE12" i="25"/>
  <c r="AE13" i="25"/>
  <c r="S15" i="25"/>
  <c r="S5" i="25"/>
  <c r="S11" i="25"/>
  <c r="S8" i="25"/>
  <c r="S6" i="25"/>
  <c r="S12" i="25"/>
  <c r="S3" i="25"/>
  <c r="S18" i="25"/>
  <c r="S13" i="25"/>
  <c r="S4" i="25"/>
  <c r="S14" i="25"/>
  <c r="AE14" i="25"/>
  <c r="S21" i="25"/>
  <c r="S10" i="25"/>
  <c r="S16" i="25"/>
  <c r="S9" i="25"/>
  <c r="F63" i="25"/>
  <c r="AM29" i="25" s="1"/>
  <c r="F61" i="25"/>
  <c r="AM30" i="25" s="1"/>
  <c r="F67" i="25"/>
  <c r="AM27" i="25" s="1"/>
  <c r="F68" i="25"/>
  <c r="AM41" i="25" s="1"/>
  <c r="F65" i="25"/>
  <c r="AM35" i="25" s="1"/>
  <c r="R4" i="25"/>
  <c r="F56" i="25"/>
  <c r="AM37" i="25" s="1"/>
  <c r="F69" i="25"/>
  <c r="AM39" i="25" s="1"/>
  <c r="H51" i="25"/>
  <c r="AO43" i="25" s="1"/>
  <c r="R10" i="25"/>
  <c r="F71" i="25"/>
  <c r="AM36" i="25" s="1"/>
  <c r="F54" i="25"/>
  <c r="AM32" i="25" s="1"/>
  <c r="F58" i="25"/>
  <c r="AM45" i="25" s="1"/>
  <c r="F57" i="25"/>
  <c r="AM40" i="25" s="1"/>
  <c r="F70" i="25"/>
  <c r="AM46" i="25" s="1"/>
  <c r="AP22" i="25" s="1"/>
  <c r="F51" i="25"/>
  <c r="AM43" i="25" s="1"/>
  <c r="F62" i="25"/>
  <c r="AM33" i="25" s="1"/>
  <c r="F64" i="25"/>
  <c r="AM38" i="25" s="1"/>
  <c r="F60" i="25"/>
  <c r="AM31" i="25" s="1"/>
  <c r="F53" i="25"/>
  <c r="AM42" i="25" s="1"/>
  <c r="F55" i="25"/>
  <c r="AM44" i="25" s="1"/>
  <c r="AE11" i="25"/>
  <c r="I8" i="43" l="1"/>
  <c r="K8" i="43" s="1"/>
  <c r="M81" i="25"/>
  <c r="M86" i="25"/>
  <c r="M76" i="25"/>
  <c r="M80" i="25"/>
  <c r="I13" i="43"/>
  <c r="I11" i="43"/>
  <c r="C12" i="43"/>
  <c r="D12" i="43"/>
  <c r="F12" i="43"/>
  <c r="H5" i="43"/>
  <c r="G5" i="43"/>
  <c r="E12" i="43"/>
  <c r="G12" i="43" s="1"/>
  <c r="I12" i="43" s="1"/>
  <c r="K12" i="43" s="1"/>
  <c r="G4" i="43"/>
  <c r="I4" i="43" s="1"/>
  <c r="AR22" i="25"/>
  <c r="AO23" i="25"/>
  <c r="AM48" i="25"/>
  <c r="AR20" i="25"/>
  <c r="AT19" i="25"/>
  <c r="AR21" i="25"/>
  <c r="AR7" i="25"/>
  <c r="AR23" i="25"/>
  <c r="AR19" i="25"/>
  <c r="AR10" i="25"/>
  <c r="AR8" i="25"/>
  <c r="AS16" i="25"/>
  <c r="AT16" i="25"/>
  <c r="AR17" i="25"/>
  <c r="AR5" i="25"/>
  <c r="AR6" i="25"/>
  <c r="AR16" i="25"/>
  <c r="AR12" i="25"/>
  <c r="AR18" i="25"/>
  <c r="AR15" i="25"/>
  <c r="AS19" i="25"/>
  <c r="AR4" i="25"/>
  <c r="AO4" i="25"/>
  <c r="AR3" i="25"/>
  <c r="AR9" i="25"/>
  <c r="AR14" i="25"/>
  <c r="AR13" i="25"/>
  <c r="R3" i="25"/>
  <c r="AO3" i="25" s="1"/>
  <c r="R6" i="25"/>
  <c r="R5" i="25"/>
  <c r="R13" i="25"/>
  <c r="R17" i="25"/>
  <c r="R11" i="25"/>
  <c r="AS9" i="25"/>
  <c r="AT9" i="25"/>
  <c r="AS17" i="25"/>
  <c r="AT17" i="25"/>
  <c r="AS8" i="25"/>
  <c r="AT8" i="25"/>
  <c r="AS20" i="25"/>
  <c r="AT20" i="25"/>
  <c r="AT13" i="25"/>
  <c r="AS13" i="25"/>
  <c r="AT15" i="25"/>
  <c r="AS15" i="25"/>
  <c r="AS21" i="25"/>
  <c r="AT21" i="25"/>
  <c r="AT7" i="25"/>
  <c r="AS7" i="25"/>
  <c r="AT6" i="25"/>
  <c r="AS6" i="25"/>
  <c r="AS10" i="25"/>
  <c r="AT10" i="25"/>
  <c r="AS12" i="25"/>
  <c r="AT12" i="25"/>
  <c r="AS11" i="25"/>
  <c r="AT11" i="25"/>
  <c r="AS4" i="25"/>
  <c r="AT4" i="25"/>
  <c r="AT3" i="25"/>
  <c r="AS3" i="25"/>
  <c r="AS18" i="25"/>
  <c r="AT18" i="25"/>
  <c r="AS14" i="25"/>
  <c r="AT14" i="25"/>
  <c r="AT22" i="25"/>
  <c r="AS22" i="25"/>
  <c r="H71" i="25"/>
  <c r="AO36" i="25" s="1"/>
  <c r="H60" i="25"/>
  <c r="AO31" i="25" s="1"/>
  <c r="H57" i="25"/>
  <c r="AO40" i="25" s="1"/>
  <c r="H68" i="25"/>
  <c r="AO41" i="25" s="1"/>
  <c r="H61" i="25"/>
  <c r="AO30" i="25" s="1"/>
  <c r="H58" i="25"/>
  <c r="AO45" i="25" s="1"/>
  <c r="H69" i="25"/>
  <c r="AO39" i="25" s="1"/>
  <c r="H55" i="25"/>
  <c r="AO44" i="25" s="1"/>
  <c r="H67" i="25"/>
  <c r="AO27" i="25" s="1"/>
  <c r="H56" i="25"/>
  <c r="AO37" i="25" s="1"/>
  <c r="H66" i="25"/>
  <c r="AO28" i="25" s="1"/>
  <c r="H54" i="25"/>
  <c r="AO32" i="25" s="1"/>
  <c r="H65" i="25"/>
  <c r="AO35" i="25" s="1"/>
  <c r="H53" i="25"/>
  <c r="AO42" i="25" s="1"/>
  <c r="H63" i="25"/>
  <c r="AO29" i="25" s="1"/>
  <c r="H62" i="25"/>
  <c r="AO33" i="25" s="1"/>
  <c r="H64" i="25"/>
  <c r="AO38" i="25" s="1"/>
  <c r="H52" i="25"/>
  <c r="AO34" i="25" s="1"/>
  <c r="H70" i="25"/>
  <c r="AO46" i="25" s="1"/>
  <c r="R18" i="25"/>
  <c r="R8" i="25"/>
  <c r="R22" i="25"/>
  <c r="AO22" i="25" s="1"/>
  <c r="R9" i="25"/>
  <c r="R7" i="25"/>
  <c r="R19" i="25"/>
  <c r="AO19" i="25" s="1"/>
  <c r="R15" i="25"/>
  <c r="R12" i="25"/>
  <c r="R20" i="25"/>
  <c r="AO20" i="25" s="1"/>
  <c r="R14" i="25"/>
  <c r="R16" i="25"/>
  <c r="R21" i="25"/>
  <c r="AP10" i="25"/>
  <c r="AR11" i="25"/>
  <c r="K16" i="11"/>
  <c r="L16" i="11" s="1"/>
  <c r="K8" i="11"/>
  <c r="L8" i="11" s="1"/>
  <c r="K5" i="11"/>
  <c r="L5" i="11" s="1"/>
  <c r="K10" i="11"/>
  <c r="L10" i="11" s="1"/>
  <c r="K7" i="11"/>
  <c r="L7" i="11" s="1"/>
  <c r="K17" i="11"/>
  <c r="L17" i="11" s="1"/>
  <c r="K9" i="11"/>
  <c r="L9" i="11" s="1"/>
  <c r="M82" i="25" l="1"/>
  <c r="K4" i="43"/>
  <c r="K11" i="43"/>
  <c r="I5" i="43"/>
  <c r="K5" i="43" s="1"/>
  <c r="AO48" i="25"/>
  <c r="AS5" i="25"/>
  <c r="AT5" i="25"/>
  <c r="AQ10" i="25"/>
  <c r="AQ13" i="25"/>
  <c r="AP13" i="25"/>
  <c r="AQ9" i="25"/>
  <c r="AQ11" i="25"/>
  <c r="AQ4" i="25"/>
  <c r="AO8" i="25"/>
  <c r="AP4" i="25"/>
  <c r="AP9" i="25"/>
  <c r="AO18" i="25"/>
  <c r="AO11" i="25"/>
  <c r="AP16" i="25"/>
  <c r="AQ16" i="25"/>
  <c r="AO21" i="25"/>
  <c r="AO7" i="25"/>
  <c r="AO14" i="25"/>
  <c r="AO6" i="25"/>
  <c r="AO16" i="25"/>
  <c r="AO10" i="25"/>
  <c r="AO15" i="25"/>
  <c r="AO13" i="25"/>
  <c r="AO12" i="25"/>
  <c r="AO5" i="25"/>
  <c r="AO17" i="25"/>
  <c r="AO9" i="25"/>
  <c r="AP11" i="25"/>
  <c r="AP14" i="25"/>
  <c r="AQ14" i="25"/>
  <c r="AQ3" i="25"/>
  <c r="AP3" i="25"/>
  <c r="AQ7" i="25"/>
  <c r="AP7" i="25"/>
  <c r="T22" i="25"/>
  <c r="T10" i="25"/>
  <c r="T14" i="25"/>
  <c r="T8" i="25"/>
  <c r="T5" i="25"/>
  <c r="T18" i="25"/>
  <c r="T11" i="25"/>
  <c r="T9" i="25"/>
  <c r="T19" i="25"/>
  <c r="T4" i="25"/>
  <c r="T13" i="25"/>
  <c r="T3" i="25"/>
  <c r="AU3" i="25" s="1"/>
  <c r="T20" i="25"/>
  <c r="T17" i="25"/>
  <c r="T21" i="25"/>
  <c r="AU21" i="25" s="1"/>
  <c r="T6" i="25"/>
  <c r="T16" i="25"/>
  <c r="T15" i="25"/>
  <c r="T7" i="25"/>
  <c r="T12" i="25"/>
  <c r="AQ21" i="25"/>
  <c r="AP21" i="25"/>
  <c r="AQ18" i="25"/>
  <c r="AP18" i="25"/>
  <c r="AP5" i="25"/>
  <c r="AQ5" i="25"/>
  <c r="AP17" i="25"/>
  <c r="AQ17" i="25"/>
  <c r="AP20" i="25"/>
  <c r="AQ20" i="25"/>
  <c r="AP19" i="25"/>
  <c r="AQ19" i="25"/>
  <c r="AQ22" i="25"/>
  <c r="AQ12" i="25"/>
  <c r="AP12" i="25"/>
  <c r="AP15" i="25"/>
  <c r="AQ15" i="25"/>
  <c r="AP8" i="25"/>
  <c r="AQ8" i="25"/>
  <c r="AQ6" i="25"/>
  <c r="AP6" i="25"/>
  <c r="E70" i="25"/>
  <c r="AK46" i="25" s="1"/>
  <c r="E58" i="25"/>
  <c r="AK45" i="25" s="1"/>
  <c r="E71" i="25"/>
  <c r="AK36" i="25" s="1"/>
  <c r="E63" i="25"/>
  <c r="AK29" i="25" s="1"/>
  <c r="E65" i="25"/>
  <c r="AK35" i="25" s="1"/>
  <c r="E51" i="25"/>
  <c r="AK43" i="25" s="1"/>
  <c r="E52" i="25"/>
  <c r="AK34" i="25" s="1"/>
  <c r="E53" i="25"/>
  <c r="AK42" i="25" s="1"/>
  <c r="E61" i="25"/>
  <c r="AK30" i="25" s="1"/>
  <c r="E68" i="25"/>
  <c r="AK41" i="25" s="1"/>
  <c r="E60" i="25"/>
  <c r="AK31" i="25" s="1"/>
  <c r="E57" i="25"/>
  <c r="AK40" i="25" s="1"/>
  <c r="E67" i="25"/>
  <c r="AK27" i="25" s="1"/>
  <c r="E59" i="25"/>
  <c r="AK47" i="25" s="1"/>
  <c r="E56" i="25"/>
  <c r="AK37" i="25" s="1"/>
  <c r="E54" i="25"/>
  <c r="AK32" i="25" s="1"/>
  <c r="E62" i="25"/>
  <c r="AK33" i="25" s="1"/>
  <c r="E66" i="25"/>
  <c r="AK28" i="25" s="1"/>
  <c r="E55" i="25"/>
  <c r="AK44" i="25" s="1"/>
  <c r="E69" i="25"/>
  <c r="AK39" i="25" s="1"/>
  <c r="E64" i="25"/>
  <c r="AK38" i="25" s="1"/>
  <c r="D59" i="25"/>
  <c r="AJ47" i="25" s="1"/>
  <c r="D57" i="25"/>
  <c r="AJ40" i="25" s="1"/>
  <c r="D61" i="25"/>
  <c r="AJ30" i="25" s="1"/>
  <c r="D55" i="25"/>
  <c r="AJ44" i="25" s="1"/>
  <c r="D71" i="25"/>
  <c r="AJ36" i="25" s="1"/>
  <c r="D69" i="25"/>
  <c r="AJ39" i="25" s="1"/>
  <c r="D60" i="25"/>
  <c r="AJ31" i="25" s="1"/>
  <c r="D58" i="25"/>
  <c r="AJ45" i="25" s="1"/>
  <c r="D62" i="25"/>
  <c r="AJ33" i="25" s="1"/>
  <c r="D53" i="25"/>
  <c r="AJ42" i="25" s="1"/>
  <c r="AJ43" i="25"/>
  <c r="D54" i="25"/>
  <c r="AJ32" i="25" s="1"/>
  <c r="D65" i="25"/>
  <c r="D66" i="25"/>
  <c r="AJ28" i="25" s="1"/>
  <c r="D64" i="25"/>
  <c r="AJ38" i="25" s="1"/>
  <c r="D56" i="25"/>
  <c r="AJ37" i="25" s="1"/>
  <c r="D70" i="25"/>
  <c r="AJ46" i="25" s="1"/>
  <c r="D68" i="25"/>
  <c r="AJ41" i="25" s="1"/>
  <c r="D63" i="25"/>
  <c r="AJ29" i="25" s="1"/>
  <c r="D52" i="25"/>
  <c r="AJ34" i="25" s="1"/>
  <c r="D67" i="25"/>
  <c r="K22" i="11"/>
  <c r="L22" i="11" s="1"/>
  <c r="K48" i="24"/>
  <c r="K13" i="11"/>
  <c r="L13" i="11" s="1"/>
  <c r="K49" i="24"/>
  <c r="K21" i="11"/>
  <c r="L21" i="11" s="1"/>
  <c r="K11" i="11"/>
  <c r="L11" i="11" s="1"/>
  <c r="L2" i="11"/>
  <c r="K3" i="11"/>
  <c r="L3" i="11" s="1"/>
  <c r="K53" i="24"/>
  <c r="K6" i="11"/>
  <c r="L6" i="11" s="1"/>
  <c r="K14" i="11"/>
  <c r="L14" i="11" s="1"/>
  <c r="K51" i="24"/>
  <c r="K50" i="24"/>
  <c r="K12" i="11"/>
  <c r="K15" i="11"/>
  <c r="L15" i="11" s="1"/>
  <c r="K4" i="11"/>
  <c r="AJ35" i="25" l="1"/>
  <c r="D41" i="25"/>
  <c r="M84" i="25"/>
  <c r="M79" i="25"/>
  <c r="M78" i="25"/>
  <c r="K2" i="43"/>
  <c r="K3" i="43"/>
  <c r="K19" i="11"/>
  <c r="K20" i="11"/>
  <c r="L20" i="11" s="1"/>
  <c r="AJ23" i="25"/>
  <c r="AK23" i="25"/>
  <c r="AM23" i="25"/>
  <c r="AN23" i="25"/>
  <c r="AJ27" i="25"/>
  <c r="AJ48" i="25" s="1"/>
  <c r="O3" i="25"/>
  <c r="AI3" i="25" s="1"/>
  <c r="AK48" i="25"/>
  <c r="AW16" i="25"/>
  <c r="AV16" i="25"/>
  <c r="D27" i="25"/>
  <c r="D19" i="25" s="1"/>
  <c r="O9" i="25"/>
  <c r="AU4" i="25"/>
  <c r="AU23" i="25"/>
  <c r="AU22" i="25"/>
  <c r="AU7" i="25"/>
  <c r="AU8" i="25"/>
  <c r="AU9" i="25"/>
  <c r="AU20" i="25"/>
  <c r="AU19" i="25"/>
  <c r="AU16" i="25"/>
  <c r="AU18" i="25"/>
  <c r="AU10" i="25"/>
  <c r="AU14" i="25"/>
  <c r="AU6" i="25"/>
  <c r="AU5" i="25"/>
  <c r="AU13" i="25"/>
  <c r="AU11" i="25"/>
  <c r="AU12" i="25"/>
  <c r="AU15" i="25"/>
  <c r="AU17" i="25"/>
  <c r="AV5" i="25"/>
  <c r="AW5" i="25"/>
  <c r="AV15" i="25"/>
  <c r="AW15" i="25"/>
  <c r="AW18" i="25"/>
  <c r="AV18" i="25"/>
  <c r="AV7" i="25"/>
  <c r="AW7" i="25"/>
  <c r="AV21" i="25"/>
  <c r="AW21" i="25"/>
  <c r="AV14" i="25"/>
  <c r="AW14" i="25"/>
  <c r="AV20" i="25"/>
  <c r="AW20" i="25"/>
  <c r="AV3" i="25"/>
  <c r="AW3" i="25"/>
  <c r="AW13" i="25"/>
  <c r="AV13" i="25"/>
  <c r="AV4" i="25"/>
  <c r="AW4" i="25"/>
  <c r="AV19" i="25"/>
  <c r="AW19" i="25"/>
  <c r="AV8" i="25"/>
  <c r="AW8" i="25"/>
  <c r="AV11" i="25"/>
  <c r="AW11" i="25"/>
  <c r="AW17" i="25"/>
  <c r="AV17" i="25"/>
  <c r="AV10" i="25"/>
  <c r="AW10" i="25"/>
  <c r="AW6" i="25"/>
  <c r="AV6" i="25"/>
  <c r="AV12" i="25"/>
  <c r="AW12" i="25"/>
  <c r="AW9" i="25"/>
  <c r="AV9" i="25"/>
  <c r="AW22" i="25"/>
  <c r="AV22" i="25"/>
  <c r="P14" i="25"/>
  <c r="P17" i="25"/>
  <c r="P20" i="25"/>
  <c r="P4" i="25"/>
  <c r="P8" i="25"/>
  <c r="P9" i="25"/>
  <c r="P13" i="25"/>
  <c r="P23" i="25"/>
  <c r="AL23" i="25" s="1"/>
  <c r="P3" i="25"/>
  <c r="AL3" i="25" s="1"/>
  <c r="P15" i="25"/>
  <c r="P7" i="25"/>
  <c r="P16" i="25"/>
  <c r="P6" i="25"/>
  <c r="P18" i="25"/>
  <c r="P10" i="25"/>
  <c r="P19" i="25"/>
  <c r="P11" i="25"/>
  <c r="P5" i="25"/>
  <c r="P12" i="25"/>
  <c r="P21" i="25"/>
  <c r="P22" i="25"/>
  <c r="D43" i="25"/>
  <c r="D3" i="25" s="1"/>
  <c r="O10" i="25"/>
  <c r="D28" i="25"/>
  <c r="D10" i="25" s="1"/>
  <c r="D39" i="25"/>
  <c r="D5" i="25" s="1"/>
  <c r="O5" i="25"/>
  <c r="D44" i="25"/>
  <c r="D17" i="25" s="1"/>
  <c r="O16" i="25"/>
  <c r="O22" i="25"/>
  <c r="AI22" i="25" s="1"/>
  <c r="D46" i="25"/>
  <c r="D22" i="25" s="1"/>
  <c r="O13" i="25"/>
  <c r="D32" i="25"/>
  <c r="D13" i="25" s="1"/>
  <c r="D40" i="25"/>
  <c r="D14" i="25" s="1"/>
  <c r="O14" i="25"/>
  <c r="D42" i="25"/>
  <c r="D4" i="25" s="1"/>
  <c r="O4" i="25"/>
  <c r="AI4" i="25" s="1"/>
  <c r="O11" i="25"/>
  <c r="D11" i="25"/>
  <c r="D30" i="25"/>
  <c r="D8" i="25" s="1"/>
  <c r="O19" i="25"/>
  <c r="AI19" i="25" s="1"/>
  <c r="O18" i="25"/>
  <c r="D29" i="25"/>
  <c r="D18" i="25" s="1"/>
  <c r="O8" i="25"/>
  <c r="D38" i="25"/>
  <c r="D9" i="25" s="1"/>
  <c r="O21" i="25"/>
  <c r="D34" i="25"/>
  <c r="D21" i="25" s="1"/>
  <c r="O7" i="25"/>
  <c r="D36" i="25"/>
  <c r="D7" i="25" s="1"/>
  <c r="O17" i="25"/>
  <c r="D45" i="25"/>
  <c r="D15" i="25" s="1"/>
  <c r="D47" i="25"/>
  <c r="D12" i="25" s="1"/>
  <c r="O12" i="25"/>
  <c r="O20" i="25"/>
  <c r="AI20" i="25" s="1"/>
  <c r="D31" i="25"/>
  <c r="D20" i="25" s="1"/>
  <c r="D37" i="25"/>
  <c r="D6" i="25" s="1"/>
  <c r="O6" i="25"/>
  <c r="O15" i="25"/>
  <c r="D33" i="25"/>
  <c r="D16" i="25" s="1"/>
  <c r="D35" i="25"/>
  <c r="D23" i="25" s="1"/>
  <c r="O23" i="25"/>
  <c r="L19" i="11"/>
  <c r="L18" i="11"/>
  <c r="L12" i="11"/>
  <c r="L4" i="11"/>
  <c r="M91" i="25" l="1"/>
  <c r="L3" i="43" a="1"/>
  <c r="L3" i="43" s="1"/>
  <c r="M90" i="25"/>
  <c r="L2" i="43" a="1"/>
  <c r="L2" i="43" s="1"/>
  <c r="L13" i="43" a="1"/>
  <c r="L13" i="43" s="1"/>
  <c r="L14" i="43" a="1"/>
  <c r="L14" i="43" s="1"/>
  <c r="L22" i="43" a="1"/>
  <c r="L22" i="43" s="1"/>
  <c r="L21" i="43" a="1"/>
  <c r="L21" i="43" s="1"/>
  <c r="L19" i="43" a="1"/>
  <c r="L19" i="43" s="1"/>
  <c r="L20" i="43" a="1"/>
  <c r="L20" i="43" s="1"/>
  <c r="L17" i="43" a="1"/>
  <c r="L17" i="43" s="1"/>
  <c r="L15" i="43" a="1"/>
  <c r="L15" i="43" s="1"/>
  <c r="L16" i="43" a="1"/>
  <c r="L16" i="43" s="1"/>
  <c r="L18" i="43" a="1"/>
  <c r="L18" i="43" s="1"/>
  <c r="L6" i="43" a="1"/>
  <c r="L6" i="43" s="1"/>
  <c r="L9" i="43" a="1"/>
  <c r="L9" i="43" s="1"/>
  <c r="L7" i="43" a="1"/>
  <c r="L7" i="43" s="1"/>
  <c r="L8" i="43" a="1"/>
  <c r="L8" i="43" s="1"/>
  <c r="L10" i="43" a="1"/>
  <c r="L10" i="43" s="1"/>
  <c r="L12" i="43" a="1"/>
  <c r="L12" i="43" s="1"/>
  <c r="L4" i="43" a="1"/>
  <c r="L4" i="43" s="1"/>
  <c r="L11" i="43" a="1"/>
  <c r="L11" i="43" s="1"/>
  <c r="L5" i="43" a="1"/>
  <c r="L5" i="43" s="1"/>
  <c r="AM16" i="25"/>
  <c r="AJ16" i="25"/>
  <c r="AN15" i="25"/>
  <c r="AM15" i="25"/>
  <c r="AK4" i="25"/>
  <c r="AK16" i="25"/>
  <c r="AL10" i="25"/>
  <c r="AN16" i="25"/>
  <c r="AL7" i="25"/>
  <c r="AL6" i="25"/>
  <c r="AI23" i="25"/>
  <c r="AI10" i="25"/>
  <c r="AL22" i="25"/>
  <c r="AL4" i="25"/>
  <c r="AL21" i="25"/>
  <c r="AI7" i="25"/>
  <c r="AL17" i="25"/>
  <c r="AI16" i="25"/>
  <c r="AL16" i="25"/>
  <c r="AL8" i="25"/>
  <c r="AI21" i="25"/>
  <c r="AL19" i="25"/>
  <c r="AI8" i="25"/>
  <c r="AL20" i="25"/>
  <c r="AI5" i="25"/>
  <c r="AI17" i="25"/>
  <c r="AI6" i="25"/>
  <c r="AI9" i="25"/>
  <c r="AL9" i="25"/>
  <c r="AI18" i="25"/>
  <c r="AL15" i="25"/>
  <c r="AL14" i="25"/>
  <c r="AI11" i="25"/>
  <c r="AI15" i="25"/>
  <c r="AI13" i="25"/>
  <c r="AL12" i="25"/>
  <c r="AL18" i="25"/>
  <c r="AL11" i="25"/>
  <c r="AI14" i="25"/>
  <c r="AI12" i="25"/>
  <c r="AL5" i="25"/>
  <c r="AL13" i="25"/>
  <c r="AN22" i="25"/>
  <c r="AM22" i="25"/>
  <c r="AN21" i="25"/>
  <c r="AM21" i="25"/>
  <c r="AN10" i="25"/>
  <c r="AM10" i="25"/>
  <c r="AM11" i="25"/>
  <c r="AN11" i="25"/>
  <c r="AM19" i="25"/>
  <c r="AN19" i="25"/>
  <c r="AN9" i="25"/>
  <c r="AM9" i="25"/>
  <c r="AN17" i="25"/>
  <c r="AM17" i="25"/>
  <c r="AN7" i="25"/>
  <c r="AM7" i="25"/>
  <c r="AN18" i="25"/>
  <c r="AM18" i="25"/>
  <c r="AN5" i="25"/>
  <c r="AM5" i="25"/>
  <c r="AM3" i="25"/>
  <c r="AN3" i="25"/>
  <c r="AN13" i="25"/>
  <c r="AM13" i="25"/>
  <c r="AN8" i="25"/>
  <c r="AM8" i="25"/>
  <c r="AN6" i="25"/>
  <c r="AM6" i="25"/>
  <c r="AM4" i="25"/>
  <c r="AN4" i="25"/>
  <c r="AN20" i="25"/>
  <c r="AM20" i="25"/>
  <c r="AN14" i="25"/>
  <c r="AM14" i="25"/>
  <c r="AN12" i="25"/>
  <c r="AM12" i="25"/>
  <c r="AK15" i="25"/>
  <c r="AJ15" i="25"/>
  <c r="AK7" i="25"/>
  <c r="AJ7" i="25"/>
  <c r="AK20" i="25"/>
  <c r="AJ20" i="25"/>
  <c r="AK14" i="25"/>
  <c r="AJ14" i="25"/>
  <c r="AK5" i="25"/>
  <c r="AJ5" i="25"/>
  <c r="AJ21" i="25"/>
  <c r="AK21" i="25"/>
  <c r="AK6" i="25"/>
  <c r="AJ6" i="25"/>
  <c r="AK17" i="25"/>
  <c r="AJ17" i="25"/>
  <c r="AJ19" i="25"/>
  <c r="AK19" i="25"/>
  <c r="AK8" i="25"/>
  <c r="AJ8" i="25"/>
  <c r="AK11" i="25"/>
  <c r="AJ11" i="25"/>
  <c r="AJ4" i="25"/>
  <c r="AJ12" i="25"/>
  <c r="AK12" i="25"/>
  <c r="AK13" i="25"/>
  <c r="AJ13" i="25"/>
  <c r="AJ22" i="25"/>
  <c r="AK22" i="25"/>
  <c r="AK18" i="25"/>
  <c r="AJ18" i="25"/>
  <c r="AK10" i="25"/>
  <c r="AJ10" i="25"/>
  <c r="AK9" i="25"/>
  <c r="AJ9" i="25"/>
  <c r="AJ3" i="25"/>
  <c r="AK3" i="25"/>
  <c r="J113" i="25" l="1"/>
  <c r="J114" i="25"/>
  <c r="J115" i="25" l="1"/>
  <c r="J116" i="25"/>
  <c r="J96" i="25"/>
  <c r="L114" i="25"/>
  <c r="J97" i="25"/>
  <c r="L113" i="25"/>
  <c r="F69" i="14" l="1"/>
  <c r="F68" i="14"/>
  <c r="J62" i="25"/>
  <c r="AQ33" i="25" s="1"/>
  <c r="L116" i="25"/>
  <c r="L97" i="25" s="1"/>
  <c r="J51" i="25"/>
  <c r="J52" i="25"/>
  <c r="AQ34" i="25" s="1"/>
  <c r="J57" i="25"/>
  <c r="AQ40" i="25" s="1"/>
  <c r="J63" i="25"/>
  <c r="AQ29" i="25" s="1"/>
  <c r="J65" i="25"/>
  <c r="AQ35" i="25" s="1"/>
  <c r="J58" i="25"/>
  <c r="AQ45" i="25" s="1"/>
  <c r="J64" i="25"/>
  <c r="AQ38" i="25" s="1"/>
  <c r="J56" i="25"/>
  <c r="AQ37" i="25" s="1"/>
  <c r="J53" i="25"/>
  <c r="AQ42" i="25" s="1"/>
  <c r="J54" i="25"/>
  <c r="AQ32" i="25" s="1"/>
  <c r="J66" i="25"/>
  <c r="AQ28" i="25" s="1"/>
  <c r="J61" i="25"/>
  <c r="AQ30" i="25" s="1"/>
  <c r="J55" i="25"/>
  <c r="AQ44" i="25" s="1"/>
  <c r="J60" i="25"/>
  <c r="AQ31" i="25" s="1"/>
  <c r="J69" i="25"/>
  <c r="AQ39" i="25" s="1"/>
  <c r="J67" i="25"/>
  <c r="AQ27" i="25" s="1"/>
  <c r="L115" i="25"/>
  <c r="L96" i="25" s="1"/>
  <c r="J70" i="25"/>
  <c r="AQ46" i="25" s="1"/>
  <c r="J71" i="25"/>
  <c r="AQ36" i="25" s="1"/>
  <c r="J59" i="25"/>
  <c r="AQ47" i="25" s="1"/>
  <c r="J68" i="25"/>
  <c r="AQ41" i="25" s="1"/>
  <c r="V4" i="25"/>
  <c r="BB23" i="25" l="1"/>
  <c r="BC23" i="25"/>
  <c r="V19" i="25"/>
  <c r="AQ43" i="25"/>
  <c r="AQ48" i="25" s="1"/>
  <c r="BB20" i="25"/>
  <c r="BB22" i="25"/>
  <c r="V10" i="25"/>
  <c r="BC3" i="25"/>
  <c r="V3" i="25"/>
  <c r="BA3" i="25" s="1"/>
  <c r="V18" i="25"/>
  <c r="V9" i="25"/>
  <c r="V5" i="25"/>
  <c r="V14" i="25"/>
  <c r="V6" i="25"/>
  <c r="V7" i="25"/>
  <c r="V13" i="25"/>
  <c r="V21" i="25"/>
  <c r="V15" i="25"/>
  <c r="BB21" i="25"/>
  <c r="V11" i="25"/>
  <c r="V17" i="25"/>
  <c r="BA17" i="25" s="1"/>
  <c r="V20" i="25"/>
  <c r="V22" i="25"/>
  <c r="BA22" i="25" s="1"/>
  <c r="V8" i="25"/>
  <c r="V12" i="25"/>
  <c r="V16" i="25"/>
  <c r="V23" i="25"/>
  <c r="BA23" i="25" s="1"/>
  <c r="K113" i="25"/>
  <c r="K114" i="25"/>
  <c r="BA18" i="25" l="1"/>
  <c r="BA10" i="25"/>
  <c r="BC10" i="25"/>
  <c r="BB3" i="25"/>
  <c r="BC6" i="25"/>
  <c r="BB10" i="25"/>
  <c r="BB5" i="25"/>
  <c r="BC8" i="25"/>
  <c r="BC12" i="25"/>
  <c r="BC19" i="25"/>
  <c r="BB11" i="25"/>
  <c r="BB7" i="25"/>
  <c r="BB19" i="25"/>
  <c r="BC20" i="25"/>
  <c r="BB4" i="25"/>
  <c r="BB18" i="25"/>
  <c r="BC4" i="25"/>
  <c r="BC22" i="25"/>
  <c r="BC21" i="25"/>
  <c r="BB8" i="25"/>
  <c r="L52" i="25"/>
  <c r="AT34" i="25" s="1"/>
  <c r="BC7" i="25"/>
  <c r="L54" i="25"/>
  <c r="AT32" i="25" s="1"/>
  <c r="L59" i="25"/>
  <c r="AT47" i="25" s="1"/>
  <c r="L62" i="25"/>
  <c r="L60" i="25"/>
  <c r="AT31" i="25" s="1"/>
  <c r="L58" i="25"/>
  <c r="AT45" i="25" s="1"/>
  <c r="L65" i="25"/>
  <c r="AT35" i="25" s="1"/>
  <c r="L56" i="25"/>
  <c r="AT37" i="25" s="1"/>
  <c r="L71" i="25"/>
  <c r="AT36" i="25" s="1"/>
  <c r="L57" i="25"/>
  <c r="AT40" i="25" s="1"/>
  <c r="L69" i="25"/>
  <c r="AT39" i="25" s="1"/>
  <c r="L70" i="25"/>
  <c r="AT46" i="25" s="1"/>
  <c r="L51" i="25"/>
  <c r="AT43" i="25" s="1"/>
  <c r="L64" i="25"/>
  <c r="AT38" i="25" s="1"/>
  <c r="L68" i="25"/>
  <c r="AT41" i="25" s="1"/>
  <c r="L53" i="25"/>
  <c r="AT42" i="25" s="1"/>
  <c r="L61" i="25"/>
  <c r="AT30" i="25" s="1"/>
  <c r="L67" i="25"/>
  <c r="AT27" i="25" s="1"/>
  <c r="L55" i="25"/>
  <c r="AT44" i="25" s="1"/>
  <c r="L63" i="25"/>
  <c r="AT29" i="25" s="1"/>
  <c r="L66" i="25"/>
  <c r="AT28" i="25" s="1"/>
  <c r="K116" i="25"/>
  <c r="K115" i="25"/>
  <c r="K96" i="25" s="1"/>
  <c r="BA5" i="25"/>
  <c r="BA12" i="25"/>
  <c r="BA21" i="25"/>
  <c r="BA4" i="25"/>
  <c r="BA7" i="25"/>
  <c r="BA11" i="25"/>
  <c r="BB16" i="25"/>
  <c r="BC16" i="25"/>
  <c r="BA20" i="25"/>
  <c r="BA14" i="25"/>
  <c r="BA8" i="25"/>
  <c r="BA19" i="25"/>
  <c r="BC11" i="25"/>
  <c r="BB12" i="25"/>
  <c r="BC5" i="25"/>
  <c r="BA6" i="25"/>
  <c r="BC18" i="25"/>
  <c r="BA16" i="25"/>
  <c r="BC14" i="25"/>
  <c r="BB14" i="25"/>
  <c r="BB17" i="25"/>
  <c r="BC17" i="25"/>
  <c r="BA9" i="25"/>
  <c r="BC13" i="25"/>
  <c r="BB13" i="25"/>
  <c r="BB15" i="25"/>
  <c r="BC15" i="25"/>
  <c r="BB9" i="25"/>
  <c r="BC9" i="25"/>
  <c r="BA15" i="25"/>
  <c r="BB6" i="25"/>
  <c r="BA13" i="25"/>
  <c r="Y16" i="25" l="1"/>
  <c r="BH23" i="25"/>
  <c r="BI23" i="25"/>
  <c r="Y9" i="25"/>
  <c r="BG9" i="25" s="1"/>
  <c r="AT33" i="25"/>
  <c r="AT48" i="25" s="1"/>
  <c r="Y19" i="25"/>
  <c r="BI14" i="25"/>
  <c r="BH18" i="25"/>
  <c r="Y13" i="25"/>
  <c r="BG13" i="25" s="1"/>
  <c r="Y10" i="25"/>
  <c r="BG10" i="25" s="1"/>
  <c r="BH7" i="25"/>
  <c r="Y14" i="25"/>
  <c r="BG14" i="25" s="1"/>
  <c r="BH20" i="25"/>
  <c r="Y15" i="25"/>
  <c r="BG15" i="25" s="1"/>
  <c r="Y7" i="25"/>
  <c r="BG7" i="25" s="1"/>
  <c r="BI10" i="25"/>
  <c r="Y22" i="25"/>
  <c r="BG22" i="25" s="1"/>
  <c r="Y3" i="25"/>
  <c r="BG3" i="25" s="1"/>
  <c r="BI8" i="25"/>
  <c r="Y6" i="25"/>
  <c r="BG6" i="25" s="1"/>
  <c r="BH12" i="25"/>
  <c r="Y17" i="25"/>
  <c r="BG17" i="25" s="1"/>
  <c r="Y23" i="25"/>
  <c r="BG23" i="25" s="1"/>
  <c r="Y4" i="25"/>
  <c r="BG4" i="25" s="1"/>
  <c r="Y21" i="25"/>
  <c r="BG21" i="25" s="1"/>
  <c r="Y20" i="25"/>
  <c r="BG20" i="25" s="1"/>
  <c r="Y5" i="25"/>
  <c r="BG5" i="25" s="1"/>
  <c r="Y8" i="25"/>
  <c r="BG8" i="25" s="1"/>
  <c r="Y12" i="25"/>
  <c r="BG12" i="25" s="1"/>
  <c r="Y18" i="25"/>
  <c r="BG18" i="25" s="1"/>
  <c r="Y11" i="25"/>
  <c r="BG11" i="25" s="1"/>
  <c r="K97" i="25"/>
  <c r="K66" i="25" s="1"/>
  <c r="BG19" i="25"/>
  <c r="BH16" i="25"/>
  <c r="BI16" i="25"/>
  <c r="BH14" i="25"/>
  <c r="BG16" i="25"/>
  <c r="BH8" i="25"/>
  <c r="BI19" i="25"/>
  <c r="BI7" i="25"/>
  <c r="BH9" i="25" l="1"/>
  <c r="BI9" i="25"/>
  <c r="BI3" i="25"/>
  <c r="BH22" i="25"/>
  <c r="BI4" i="25"/>
  <c r="BH19" i="25"/>
  <c r="BH21" i="25"/>
  <c r="BI12" i="25"/>
  <c r="BI20" i="25"/>
  <c r="BH6" i="25"/>
  <c r="BI13" i="25"/>
  <c r="BI18" i="25"/>
  <c r="BI11" i="25"/>
  <c r="BH15" i="25"/>
  <c r="BH17" i="25"/>
  <c r="BI5" i="25"/>
  <c r="BH10" i="25"/>
  <c r="K52" i="25"/>
  <c r="AS34" i="25" s="1"/>
  <c r="BI21" i="25"/>
  <c r="BH4" i="25"/>
  <c r="BI17" i="25"/>
  <c r="BH5" i="25"/>
  <c r="BI15" i="25"/>
  <c r="BI22" i="25"/>
  <c r="BI6" i="25"/>
  <c r="BH11" i="25"/>
  <c r="BH3" i="25"/>
  <c r="BH13" i="25"/>
  <c r="K68" i="25"/>
  <c r="AS41" i="25" s="1"/>
  <c r="K64" i="25"/>
  <c r="AS38" i="25" s="1"/>
  <c r="AS28" i="25"/>
  <c r="K54" i="25"/>
  <c r="AS32" i="25" s="1"/>
  <c r="K53" i="25"/>
  <c r="AS42" i="25" s="1"/>
  <c r="K61" i="25"/>
  <c r="AS30" i="25" s="1"/>
  <c r="K57" i="25"/>
  <c r="AS40" i="25" s="1"/>
  <c r="K60" i="25"/>
  <c r="AS31" i="25" s="1"/>
  <c r="K58" i="25"/>
  <c r="AS45" i="25" s="1"/>
  <c r="K59" i="25"/>
  <c r="AS47" i="25" s="1"/>
  <c r="K63" i="25"/>
  <c r="AS29" i="25" s="1"/>
  <c r="K62" i="25"/>
  <c r="AS33" i="25" s="1"/>
  <c r="K65" i="25"/>
  <c r="AS35" i="25" s="1"/>
  <c r="K71" i="25"/>
  <c r="AS36" i="25" s="1"/>
  <c r="K55" i="25"/>
  <c r="AS44" i="25" s="1"/>
  <c r="K56" i="25"/>
  <c r="K67" i="25"/>
  <c r="AS27" i="25" s="1"/>
  <c r="K51" i="25"/>
  <c r="K69" i="25"/>
  <c r="AS39" i="25" s="1"/>
  <c r="K70" i="25"/>
  <c r="AS46" i="25" s="1"/>
  <c r="BE23" i="25" l="1"/>
  <c r="BF23" i="25"/>
  <c r="X6" i="25"/>
  <c r="BD6" i="25" s="1"/>
  <c r="X10" i="25"/>
  <c r="BD10" i="25" s="1"/>
  <c r="X19" i="25"/>
  <c r="BD19" i="25" s="1"/>
  <c r="AS43" i="25"/>
  <c r="X21" i="25"/>
  <c r="BD21" i="25" s="1"/>
  <c r="X13" i="25"/>
  <c r="AS37" i="25"/>
  <c r="X17" i="25"/>
  <c r="X15" i="25"/>
  <c r="BD15" i="25" s="1"/>
  <c r="X20" i="25"/>
  <c r="BD20" i="25" s="1"/>
  <c r="X7" i="25"/>
  <c r="BD7" i="25" s="1"/>
  <c r="BE17" i="25"/>
  <c r="BF10" i="25"/>
  <c r="BE16" i="25"/>
  <c r="BF21" i="25"/>
  <c r="BF11" i="25"/>
  <c r="X11" i="25"/>
  <c r="BD11" i="25" s="1"/>
  <c r="X14" i="25"/>
  <c r="BD14" i="25" s="1"/>
  <c r="X8" i="25"/>
  <c r="BD8" i="25" s="1"/>
  <c r="BE8" i="25"/>
  <c r="X9" i="25"/>
  <c r="X5" i="25"/>
  <c r="BD5" i="25" s="1"/>
  <c r="BF5" i="25"/>
  <c r="X18" i="25"/>
  <c r="BD18" i="25" s="1"/>
  <c r="X16" i="25"/>
  <c r="BD16" i="25" s="1"/>
  <c r="X23" i="25"/>
  <c r="BD23" i="25" s="1"/>
  <c r="X12" i="25"/>
  <c r="BD12" i="25" s="1"/>
  <c r="X3" i="25"/>
  <c r="BD3" i="25" s="1"/>
  <c r="X22" i="25"/>
  <c r="BD22" i="25" s="1"/>
  <c r="X4" i="25"/>
  <c r="BD4" i="25" s="1"/>
  <c r="BF16" i="25"/>
  <c r="BD17" i="25"/>
  <c r="BD13" i="25"/>
  <c r="BF17" i="25"/>
  <c r="BE14" i="25"/>
  <c r="BE10" i="25"/>
  <c r="BE22" i="25"/>
  <c r="BE4" i="25"/>
  <c r="BE6" i="25"/>
  <c r="AS48" i="25" l="1"/>
  <c r="BF3" i="25"/>
  <c r="BE7" i="25"/>
  <c r="BE11" i="25"/>
  <c r="BE20" i="25"/>
  <c r="BF8" i="25"/>
  <c r="BF4" i="25"/>
  <c r="BE19" i="25"/>
  <c r="BF15" i="25"/>
  <c r="BF18" i="25"/>
  <c r="BE13" i="25"/>
  <c r="BE5" i="25"/>
  <c r="BF6" i="25"/>
  <c r="BE21" i="25"/>
  <c r="BF19" i="25"/>
  <c r="BF14" i="25"/>
  <c r="BF22" i="25"/>
  <c r="BD9" i="25"/>
  <c r="BE15" i="25"/>
  <c r="BE18" i="25"/>
  <c r="BF20" i="25"/>
  <c r="BF7" i="25"/>
  <c r="BE9" i="25"/>
  <c r="BF9" i="25"/>
  <c r="BE12" i="25"/>
  <c r="BF12" i="25"/>
  <c r="BF13" i="25"/>
  <c r="BE3" i="25"/>
  <c r="I11" i="55" l="1"/>
  <c r="I19" i="55"/>
  <c r="I17" i="55"/>
  <c r="I20" i="55"/>
  <c r="I5" i="55"/>
  <c r="I14" i="55"/>
  <c r="I10" i="55"/>
  <c r="I9" i="55"/>
  <c r="I6" i="55"/>
  <c r="I80" i="25" s="1"/>
  <c r="I7" i="55"/>
  <c r="I3" i="55"/>
  <c r="I13" i="55"/>
  <c r="I12" i="55"/>
  <c r="I21" i="55"/>
  <c r="I4" i="55"/>
  <c r="I22" i="55"/>
  <c r="I8" i="55"/>
  <c r="I18" i="55"/>
  <c r="I2" i="55"/>
  <c r="I75" i="25" l="1"/>
  <c r="I78" i="25"/>
  <c r="I92" i="25"/>
  <c r="I79" i="25"/>
  <c r="I90" i="25"/>
  <c r="I82" i="25"/>
  <c r="I91" i="25"/>
  <c r="I86" i="25"/>
  <c r="I77" i="25"/>
  <c r="I76" i="25"/>
  <c r="F24" i="55"/>
  <c r="F23" i="55"/>
  <c r="I84" i="25"/>
  <c r="I85" i="25"/>
  <c r="I94" i="25"/>
  <c r="I87" i="25"/>
  <c r="I89" i="25"/>
  <c r="I93" i="25"/>
  <c r="I81" i="25"/>
  <c r="I83" i="25"/>
  <c r="I88" i="25"/>
  <c r="J15" i="55" l="1"/>
  <c r="J14" i="55"/>
  <c r="I113" i="25"/>
  <c r="I115" i="25" s="1"/>
  <c r="J22" i="55"/>
  <c r="I114" i="25"/>
  <c r="I116" i="25" s="1"/>
  <c r="J4" i="55"/>
  <c r="J20" i="55"/>
  <c r="J11" i="55"/>
  <c r="J17" i="55"/>
  <c r="J3" i="55"/>
  <c r="J2" i="55"/>
  <c r="J21" i="55"/>
  <c r="J6" i="55"/>
  <c r="J16" i="55"/>
  <c r="J7" i="55"/>
  <c r="J10" i="55"/>
  <c r="J12" i="55"/>
  <c r="J9" i="55"/>
  <c r="J8" i="55"/>
  <c r="J5" i="55"/>
  <c r="J19" i="55"/>
  <c r="J18" i="55"/>
  <c r="J13" i="55"/>
  <c r="I97" i="25" l="1"/>
  <c r="I96" i="25"/>
  <c r="I51" i="25" s="1"/>
  <c r="AP43" i="25" s="1"/>
  <c r="I56" i="25" l="1"/>
  <c r="AP37" i="25" s="1"/>
  <c r="I55" i="25"/>
  <c r="AP44" i="25" s="1"/>
  <c r="I58" i="25"/>
  <c r="AP45" i="25" s="1"/>
  <c r="I62" i="25"/>
  <c r="AP33" i="25" s="1"/>
  <c r="I65" i="25"/>
  <c r="AP35" i="25" s="1"/>
  <c r="I69" i="25"/>
  <c r="AP39" i="25" s="1"/>
  <c r="I57" i="25"/>
  <c r="AP40" i="25" s="1"/>
  <c r="I53" i="25"/>
  <c r="AP42" i="25" s="1"/>
  <c r="I64" i="25"/>
  <c r="AP38" i="25" s="1"/>
  <c r="I68" i="25"/>
  <c r="AP41" i="25" s="1"/>
  <c r="I66" i="25"/>
  <c r="AP28" i="25" s="1"/>
  <c r="I71" i="25"/>
  <c r="AP36" i="25" s="1"/>
  <c r="I67" i="25"/>
  <c r="AP27" i="25" s="1"/>
  <c r="I52" i="25"/>
  <c r="AP34" i="25" s="1"/>
  <c r="I54" i="25"/>
  <c r="AP32" i="25" s="1"/>
  <c r="I63" i="25"/>
  <c r="AP29" i="25" s="1"/>
  <c r="I70" i="25"/>
  <c r="AP46" i="25" s="1"/>
  <c r="I59" i="25"/>
  <c r="I61" i="25"/>
  <c r="AP30" i="25" s="1"/>
  <c r="I60" i="25"/>
  <c r="AP31" i="25" s="1"/>
  <c r="E43" i="25"/>
  <c r="Q3" i="25" s="1"/>
  <c r="U3" i="25"/>
  <c r="AX3" i="25" s="1"/>
  <c r="U21" i="25"/>
  <c r="AX21" i="25" s="1"/>
  <c r="E34" i="25"/>
  <c r="U10" i="25"/>
  <c r="AX10" i="25" s="1"/>
  <c r="U11" i="25"/>
  <c r="AX11" i="25" s="1"/>
  <c r="E41" i="25"/>
  <c r="E30" i="25"/>
  <c r="U9" i="25"/>
  <c r="U19" i="25"/>
  <c r="AX19" i="25" s="1"/>
  <c r="E27" i="25"/>
  <c r="U20" i="25"/>
  <c r="AX20" i="25" s="1"/>
  <c r="E31" i="25"/>
  <c r="E33" i="25"/>
  <c r="U16" i="25"/>
  <c r="AX16" i="25" s="1"/>
  <c r="U8" i="25"/>
  <c r="AX8" i="25" s="1"/>
  <c r="E38" i="25"/>
  <c r="U22" i="25"/>
  <c r="AX22" i="25" s="1"/>
  <c r="E46" i="25"/>
  <c r="E45" i="25"/>
  <c r="U15" i="25"/>
  <c r="AX15" i="25" s="1"/>
  <c r="U17" i="25"/>
  <c r="AX17" i="25" s="1"/>
  <c r="E44" i="25"/>
  <c r="U14" i="25"/>
  <c r="AX14" i="25" s="1"/>
  <c r="E40" i="25"/>
  <c r="U23" i="25"/>
  <c r="AX23" i="25" s="1"/>
  <c r="U13" i="25"/>
  <c r="AX13" i="25" s="1"/>
  <c r="E32" i="25"/>
  <c r="U12" i="25"/>
  <c r="AX12" i="25" s="1"/>
  <c r="E47" i="25"/>
  <c r="U7" i="25"/>
  <c r="AX7" i="25" s="1"/>
  <c r="E36" i="25"/>
  <c r="U5" i="25" l="1"/>
  <c r="AX5" i="25" s="1"/>
  <c r="E29" i="25"/>
  <c r="U18" i="25"/>
  <c r="AX18" i="25" s="1"/>
  <c r="E39" i="25"/>
  <c r="Q21" i="25"/>
  <c r="E21" i="25"/>
  <c r="Q17" i="25"/>
  <c r="E17" i="25"/>
  <c r="Q9" i="25"/>
  <c r="E9" i="25"/>
  <c r="Q19" i="25"/>
  <c r="E19" i="25"/>
  <c r="Q7" i="25"/>
  <c r="E7" i="25"/>
  <c r="Q15" i="25"/>
  <c r="E15" i="25"/>
  <c r="Q13" i="25"/>
  <c r="E13" i="25"/>
  <c r="Q16" i="25"/>
  <c r="E16" i="25"/>
  <c r="Q8" i="25"/>
  <c r="E8" i="25"/>
  <c r="Q18" i="25"/>
  <c r="E18" i="25"/>
  <c r="Q11" i="25"/>
  <c r="E11" i="25"/>
  <c r="Q12" i="25"/>
  <c r="E12" i="25"/>
  <c r="Q5" i="25"/>
  <c r="E5" i="25"/>
  <c r="Q14" i="25"/>
  <c r="E14" i="25"/>
  <c r="Q22" i="25"/>
  <c r="E22" i="25"/>
  <c r="Q20" i="25"/>
  <c r="E20" i="25"/>
  <c r="E28" i="25"/>
  <c r="U4" i="25"/>
  <c r="AX4" i="25" s="1"/>
  <c r="E42" i="25"/>
  <c r="E37" i="25"/>
  <c r="U6" i="25"/>
  <c r="AX6" i="25" s="1"/>
  <c r="AP47" i="25"/>
  <c r="E35" i="25"/>
  <c r="AP48" i="25"/>
  <c r="E3" i="25"/>
  <c r="AX9" i="25"/>
  <c r="Q23" i="25" l="1"/>
  <c r="E23" i="25"/>
  <c r="Q4" i="25"/>
  <c r="E4" i="25"/>
  <c r="Q6" i="25"/>
  <c r="E6" i="25"/>
  <c r="Q10" i="25"/>
  <c r="E10" i="25"/>
  <c r="M114" i="25" l="1"/>
  <c r="M116" i="25" s="1"/>
  <c r="M97" i="25" s="1"/>
  <c r="M113" i="25" l="1"/>
  <c r="M115" i="25" s="1"/>
  <c r="M96" i="25" s="1"/>
  <c r="M66" i="25" s="1"/>
  <c r="M51" i="25" l="1"/>
  <c r="N66" i="25"/>
  <c r="AF28" i="25" s="1"/>
  <c r="Z4" i="25"/>
  <c r="BJ4" i="25" s="1"/>
  <c r="AU28" i="25"/>
  <c r="F42" i="25"/>
  <c r="M65" i="25"/>
  <c r="M56" i="25"/>
  <c r="M67" i="25"/>
  <c r="M63" i="25"/>
  <c r="M60" i="25"/>
  <c r="M54" i="25"/>
  <c r="M61" i="25"/>
  <c r="M59" i="25"/>
  <c r="M57" i="25"/>
  <c r="M64" i="25"/>
  <c r="M58" i="25"/>
  <c r="M68" i="25"/>
  <c r="M53" i="25"/>
  <c r="M62" i="25"/>
  <c r="M69" i="25"/>
  <c r="M55" i="25"/>
  <c r="M52" i="25"/>
  <c r="M71" i="25"/>
  <c r="M70" i="25"/>
  <c r="F45" i="25" l="1"/>
  <c r="AU39" i="25"/>
  <c r="N69" i="25"/>
  <c r="AF39" i="25" s="1"/>
  <c r="Z15" i="25"/>
  <c r="BJ15" i="25" s="1"/>
  <c r="AU42" i="25"/>
  <c r="Z18" i="25"/>
  <c r="BJ18" i="25" s="1"/>
  <c r="N53" i="25"/>
  <c r="AF42" i="25" s="1"/>
  <c r="F29" i="25"/>
  <c r="N61" i="25"/>
  <c r="AF30" i="25" s="1"/>
  <c r="F37" i="25"/>
  <c r="AU30" i="25"/>
  <c r="Z6" i="25"/>
  <c r="BJ6" i="25" s="1"/>
  <c r="N60" i="25"/>
  <c r="AF31" i="25" s="1"/>
  <c r="Z7" i="25"/>
  <c r="BJ7" i="25" s="1"/>
  <c r="AU31" i="25"/>
  <c r="F36" i="25"/>
  <c r="F44" i="25"/>
  <c r="AU41" i="25"/>
  <c r="Z17" i="25"/>
  <c r="BJ17" i="25" s="1"/>
  <c r="N68" i="25"/>
  <c r="AF41" i="25" s="1"/>
  <c r="Z19" i="25"/>
  <c r="BJ19" i="25" s="1"/>
  <c r="F27" i="25"/>
  <c r="N51" i="25"/>
  <c r="AF43" i="25" s="1"/>
  <c r="AU43" i="25"/>
  <c r="AU27" i="25"/>
  <c r="Z3" i="25"/>
  <c r="BJ3" i="25" s="1"/>
  <c r="F43" i="25"/>
  <c r="N67" i="25"/>
  <c r="AF27" i="25" s="1"/>
  <c r="F40" i="25"/>
  <c r="Z14" i="25"/>
  <c r="BJ14" i="25" s="1"/>
  <c r="N64" i="25"/>
  <c r="AF38" i="25" s="1"/>
  <c r="AU38" i="25"/>
  <c r="AU37" i="25"/>
  <c r="N56" i="25"/>
  <c r="AF37" i="25" s="1"/>
  <c r="Z13" i="25"/>
  <c r="BJ13" i="25" s="1"/>
  <c r="F32" i="25"/>
  <c r="N57" i="25"/>
  <c r="AF40" i="25" s="1"/>
  <c r="Z16" i="25"/>
  <c r="BJ16" i="25" s="1"/>
  <c r="AU40" i="25"/>
  <c r="F33" i="25"/>
  <c r="F41" i="25"/>
  <c r="G41" i="25" s="1"/>
  <c r="G11" i="25" s="1"/>
  <c r="N65" i="25"/>
  <c r="AF35" i="25" s="1"/>
  <c r="AU35" i="25"/>
  <c r="Z11" i="25"/>
  <c r="BJ11" i="25" s="1"/>
  <c r="N54" i="25"/>
  <c r="AF32" i="25" s="1"/>
  <c r="F30" i="25"/>
  <c r="AU32" i="25"/>
  <c r="Z8" i="25"/>
  <c r="BJ8" i="25" s="1"/>
  <c r="Z22" i="25"/>
  <c r="BJ22" i="25" s="1"/>
  <c r="F46" i="25"/>
  <c r="AU46" i="25"/>
  <c r="N70" i="25"/>
  <c r="AF46" i="25" s="1"/>
  <c r="F39" i="25"/>
  <c r="AU29" i="25"/>
  <c r="Z5" i="25"/>
  <c r="BJ5" i="25" s="1"/>
  <c r="N63" i="25"/>
  <c r="AF29" i="25" s="1"/>
  <c r="AU45" i="25"/>
  <c r="N58" i="25"/>
  <c r="AF45" i="25" s="1"/>
  <c r="Z21" i="25"/>
  <c r="BJ21" i="25" s="1"/>
  <c r="F34" i="25"/>
  <c r="N71" i="25"/>
  <c r="AF36" i="25" s="1"/>
  <c r="Z12" i="25"/>
  <c r="BJ12" i="25" s="1"/>
  <c r="F47" i="25"/>
  <c r="AU36" i="25"/>
  <c r="F28" i="25"/>
  <c r="N52" i="25"/>
  <c r="AF34" i="25" s="1"/>
  <c r="AU34" i="25"/>
  <c r="Z10" i="25"/>
  <c r="BJ10" i="25" s="1"/>
  <c r="AU44" i="25"/>
  <c r="N55" i="25"/>
  <c r="AF44" i="25" s="1"/>
  <c r="Z20" i="25"/>
  <c r="BJ20" i="25" s="1"/>
  <c r="F31" i="25"/>
  <c r="F35" i="25"/>
  <c r="Z23" i="25"/>
  <c r="BJ23" i="25" s="1"/>
  <c r="AU47" i="25"/>
  <c r="N59" i="25"/>
  <c r="AF47" i="25" s="1"/>
  <c r="W4" i="25"/>
  <c r="G42" i="25"/>
  <c r="BL4" i="25"/>
  <c r="BK4" i="25"/>
  <c r="Z9" i="25"/>
  <c r="BJ9" i="25" s="1"/>
  <c r="N62" i="25"/>
  <c r="AF33" i="25" s="1"/>
  <c r="AU33" i="25"/>
  <c r="F38" i="25"/>
  <c r="AH4" i="25"/>
  <c r="AG4" i="25"/>
  <c r="G4" i="25" l="1"/>
  <c r="F4" i="25"/>
  <c r="G38" i="25"/>
  <c r="W9" i="25"/>
  <c r="W21" i="25"/>
  <c r="G34" i="25"/>
  <c r="G31" i="25"/>
  <c r="W20" i="25"/>
  <c r="BK12" i="25"/>
  <c r="BL12" i="25"/>
  <c r="AH5" i="25"/>
  <c r="AG5" i="25"/>
  <c r="W16" i="25"/>
  <c r="G33" i="25"/>
  <c r="BK14" i="25"/>
  <c r="BL14" i="25"/>
  <c r="BL19" i="25"/>
  <c r="BK19" i="25"/>
  <c r="W7" i="25"/>
  <c r="G36" i="25"/>
  <c r="W18" i="25"/>
  <c r="G29" i="25"/>
  <c r="BK23" i="25"/>
  <c r="BL23" i="25"/>
  <c r="BK10" i="25"/>
  <c r="BL10" i="25"/>
  <c r="G47" i="25"/>
  <c r="W12" i="25"/>
  <c r="BL8" i="25"/>
  <c r="BK8" i="25"/>
  <c r="BL16" i="25"/>
  <c r="BK16" i="25"/>
  <c r="AH14" i="25"/>
  <c r="AG14" i="25"/>
  <c r="AG19" i="25"/>
  <c r="AH19" i="25"/>
  <c r="BL7" i="25"/>
  <c r="BK7" i="25"/>
  <c r="AG18" i="25"/>
  <c r="AH18" i="25"/>
  <c r="BK9" i="25"/>
  <c r="BL9" i="25"/>
  <c r="M4" i="25"/>
  <c r="AF4" i="25" s="1"/>
  <c r="AA4" i="25"/>
  <c r="AG20" i="25"/>
  <c r="AH20" i="25"/>
  <c r="BL5" i="25"/>
  <c r="BK5" i="25"/>
  <c r="G30" i="25"/>
  <c r="W8" i="25"/>
  <c r="G27" i="25"/>
  <c r="W19" i="25"/>
  <c r="AH23" i="25"/>
  <c r="AG23" i="25"/>
  <c r="BL20" i="25"/>
  <c r="BK20" i="25"/>
  <c r="AG12" i="25"/>
  <c r="AH12" i="25"/>
  <c r="W5" i="25"/>
  <c r="G39" i="25"/>
  <c r="AG8" i="25"/>
  <c r="AH8" i="25"/>
  <c r="AG16" i="25"/>
  <c r="AH16" i="25"/>
  <c r="G40" i="25"/>
  <c r="W14" i="25"/>
  <c r="AH7" i="25"/>
  <c r="AG7" i="25"/>
  <c r="BL18" i="25"/>
  <c r="BK18" i="25"/>
  <c r="AH22" i="25"/>
  <c r="AG22" i="25"/>
  <c r="G32" i="25"/>
  <c r="W13" i="25"/>
  <c r="AH3" i="25"/>
  <c r="AF48" i="25"/>
  <c r="AG3" i="25"/>
  <c r="AG17" i="25"/>
  <c r="AH17" i="25"/>
  <c r="BL22" i="25"/>
  <c r="BK22" i="25"/>
  <c r="BK11" i="25"/>
  <c r="BL11" i="25"/>
  <c r="G43" i="25"/>
  <c r="W3" i="25"/>
  <c r="BK6" i="25"/>
  <c r="BL6" i="25"/>
  <c r="AG15" i="25"/>
  <c r="AH15" i="25"/>
  <c r="AH9" i="25"/>
  <c r="AG9" i="25"/>
  <c r="AG21" i="25"/>
  <c r="AH21" i="25"/>
  <c r="G46" i="25"/>
  <c r="W22" i="25"/>
  <c r="AH11" i="25"/>
  <c r="AG11" i="25"/>
  <c r="AG13" i="25"/>
  <c r="AH13" i="25"/>
  <c r="BL17" i="25"/>
  <c r="BK17" i="25"/>
  <c r="G37" i="25"/>
  <c r="W6" i="25"/>
  <c r="BL15" i="25"/>
  <c r="BK15" i="25"/>
  <c r="AG10" i="25"/>
  <c r="AH10" i="25"/>
  <c r="G35" i="25"/>
  <c r="W23" i="25"/>
  <c r="G28" i="25"/>
  <c r="W10" i="25"/>
  <c r="BK21" i="25"/>
  <c r="BL21" i="25"/>
  <c r="W11" i="25"/>
  <c r="BK13" i="25"/>
  <c r="BL13" i="25"/>
  <c r="BK3" i="25"/>
  <c r="AU48" i="25"/>
  <c r="BL3" i="25"/>
  <c r="G44" i="25"/>
  <c r="W17" i="25"/>
  <c r="AG6" i="25"/>
  <c r="AH6" i="25"/>
  <c r="W15" i="25"/>
  <c r="G45" i="25"/>
  <c r="G20" i="25" l="1"/>
  <c r="F20" i="25"/>
  <c r="G15" i="25"/>
  <c r="F15" i="25"/>
  <c r="F10" i="25"/>
  <c r="G10" i="25"/>
  <c r="G6" i="25"/>
  <c r="F6" i="25"/>
  <c r="G22" i="25"/>
  <c r="F22" i="25"/>
  <c r="F18" i="25"/>
  <c r="G18" i="25"/>
  <c r="F16" i="25"/>
  <c r="G16" i="25"/>
  <c r="G21" i="25"/>
  <c r="F21" i="25"/>
  <c r="G7" i="25"/>
  <c r="F7" i="25"/>
  <c r="G5" i="25"/>
  <c r="F5" i="25"/>
  <c r="F19" i="25"/>
  <c r="G19" i="25"/>
  <c r="G12" i="25"/>
  <c r="F12" i="25"/>
  <c r="F9" i="25"/>
  <c r="G9" i="25"/>
  <c r="G23" i="25"/>
  <c r="F23" i="25"/>
  <c r="F11" i="25"/>
  <c r="F17" i="25"/>
  <c r="G17" i="25"/>
  <c r="F13" i="25"/>
  <c r="G13" i="25"/>
  <c r="G14" i="25"/>
  <c r="F14" i="25"/>
  <c r="F8" i="25"/>
  <c r="G8" i="25"/>
  <c r="AA15" i="25"/>
  <c r="M15" i="25"/>
  <c r="AF15" i="25" s="1"/>
  <c r="M10" i="25"/>
  <c r="AF10" i="25" s="1"/>
  <c r="AA10" i="25"/>
  <c r="AA6" i="25"/>
  <c r="M6" i="25"/>
  <c r="AF6" i="25" s="1"/>
  <c r="AA22" i="25"/>
  <c r="M22" i="25"/>
  <c r="AF22" i="25" s="1"/>
  <c r="M20" i="25"/>
  <c r="AF20" i="25" s="1"/>
  <c r="AA20" i="25"/>
  <c r="AA23" i="25"/>
  <c r="M23" i="25"/>
  <c r="AF23" i="25" s="1"/>
  <c r="AA3" i="25"/>
  <c r="M3" i="25"/>
  <c r="AF3" i="25" s="1"/>
  <c r="G3" i="25"/>
  <c r="F3" i="25"/>
  <c r="M5" i="25"/>
  <c r="AF5" i="25" s="1"/>
  <c r="AA5" i="25"/>
  <c r="AA18" i="25"/>
  <c r="M18" i="25"/>
  <c r="AF18" i="25" s="1"/>
  <c r="AA16" i="25"/>
  <c r="M16" i="25"/>
  <c r="AF16" i="25" s="1"/>
  <c r="M21" i="25"/>
  <c r="AF21" i="25" s="1"/>
  <c r="AA21" i="25"/>
  <c r="M19" i="25"/>
  <c r="AF19" i="25" s="1"/>
  <c r="AA19" i="25"/>
  <c r="AA7" i="25"/>
  <c r="M7" i="25"/>
  <c r="AF7" i="25" s="1"/>
  <c r="M11" i="25"/>
  <c r="AF11" i="25" s="1"/>
  <c r="AA11" i="25"/>
  <c r="M17" i="25"/>
  <c r="AF17" i="25" s="1"/>
  <c r="AA17" i="25"/>
  <c r="M13" i="25"/>
  <c r="AF13" i="25" s="1"/>
  <c r="AA13" i="25"/>
  <c r="AA14" i="25"/>
  <c r="M14" i="25"/>
  <c r="AF14" i="25" s="1"/>
  <c r="AA8" i="25"/>
  <c r="M8" i="25"/>
  <c r="AF8" i="25" s="1"/>
  <c r="M12" i="25"/>
  <c r="AF12" i="25" s="1"/>
  <c r="AA12" i="25"/>
  <c r="AA9" i="25"/>
  <c r="M9" i="25"/>
  <c r="AF9"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<sst xmlns="http://schemas.openxmlformats.org/spreadsheetml/2006/main" count="1764" uniqueCount="456">
  <si>
    <t>Renewable energy</t>
    <phoneticPr fontId="3" type="noConversion"/>
  </si>
  <si>
    <t>Battery recycling</t>
    <phoneticPr fontId="3" type="noConversion"/>
  </si>
  <si>
    <t>ZEV target</t>
    <phoneticPr fontId="3" type="noConversion"/>
  </si>
  <si>
    <t>OEM</t>
  </si>
  <si>
    <t>Score</t>
  </si>
  <si>
    <t>Tesla</t>
  </si>
  <si>
    <t>BYD</t>
  </si>
  <si>
    <t>SAIC</t>
  </si>
  <si>
    <t>Geely</t>
  </si>
  <si>
    <t>Chang'an</t>
  </si>
  <si>
    <t>Chery</t>
  </si>
  <si>
    <t>Great Wall</t>
  </si>
  <si>
    <t>BMW</t>
  </si>
  <si>
    <t>Mercedes-Benz</t>
  </si>
  <si>
    <t>VW</t>
  </si>
  <si>
    <t>Tata Motors</t>
  </si>
  <si>
    <t>Renault</t>
  </si>
  <si>
    <t>Stellantis</t>
  </si>
  <si>
    <t>Hyundai-Kia</t>
  </si>
  <si>
    <t>GM</t>
  </si>
  <si>
    <t>Ford</t>
  </si>
  <si>
    <t>Nissan</t>
  </si>
  <si>
    <t>Toyota</t>
  </si>
  <si>
    <t>Honda</t>
  </si>
  <si>
    <t>Mazda</t>
  </si>
  <si>
    <t>Suzuki</t>
  </si>
  <si>
    <t>OEM</t>
    <phoneticPr fontId="3" type="noConversion"/>
  </si>
  <si>
    <t>2024 Rating</t>
  </si>
  <si>
    <t>Market dominance</t>
    <phoneticPr fontId="3" type="noConversion"/>
  </si>
  <si>
    <t>2024 rating</t>
  </si>
  <si>
    <t>Technology performance</t>
    <phoneticPr fontId="3" type="noConversion"/>
  </si>
  <si>
    <t>Strategic vision</t>
    <phoneticPr fontId="3" type="noConversion"/>
  </si>
  <si>
    <t>Leaders</t>
    <phoneticPr fontId="3" type="noConversion"/>
  </si>
  <si>
    <t>ZEVe sales share</t>
    <phoneticPr fontId="3" type="noConversion"/>
  </si>
  <si>
    <t>ZEV class coverage</t>
    <phoneticPr fontId="3" type="noConversion"/>
  </si>
  <si>
    <t>Pillar score</t>
    <phoneticPr fontId="3" type="noConversion"/>
  </si>
  <si>
    <t>Energy consumption</t>
    <phoneticPr fontId="3" type="noConversion"/>
  </si>
  <si>
    <t>Charging speed</t>
  </si>
  <si>
    <t>Driving range</t>
  </si>
  <si>
    <t>Green steel</t>
  </si>
  <si>
    <t>Battery recycle/reuse</t>
    <phoneticPr fontId="3" type="noConversion"/>
  </si>
  <si>
    <t>ZEV target</t>
  </si>
  <si>
    <t>ZEV investment</t>
    <phoneticPr fontId="3" type="noConversion"/>
  </si>
  <si>
    <t>Executive compensation</t>
  </si>
  <si>
    <t>Hyundai Kia</t>
  </si>
  <si>
    <t>Transitioners</t>
    <phoneticPr fontId="3" type="noConversion"/>
  </si>
  <si>
    <t>Changan</t>
  </si>
  <si>
    <t>Chang'an</t>
    <phoneticPr fontId="3" type="noConversion"/>
  </si>
  <si>
    <t>Changan</t>
    <phoneticPr fontId="3" type="noConversion"/>
  </si>
  <si>
    <t>Chery</t>
    <phoneticPr fontId="3" type="noConversion"/>
  </si>
  <si>
    <t>Toyota</t>
    <phoneticPr fontId="3" type="noConversion"/>
  </si>
  <si>
    <t>Laggards</t>
    <phoneticPr fontId="3" type="noConversion"/>
  </si>
  <si>
    <t>Hyundai-Kia</t>
    <phoneticPr fontId="3" type="noConversion"/>
  </si>
  <si>
    <t>Great Wall</t>
    <phoneticPr fontId="3" type="noConversion"/>
  </si>
  <si>
    <t>Ford</t>
    <phoneticPr fontId="3" type="noConversion"/>
  </si>
  <si>
    <t>Hyundai Kia</t>
    <phoneticPr fontId="3" type="noConversion"/>
  </si>
  <si>
    <t>N/A</t>
    <phoneticPr fontId="3" type="noConversion"/>
  </si>
  <si>
    <t>Rating score</t>
    <phoneticPr fontId="3" type="noConversion"/>
  </si>
  <si>
    <t>2024 Overall</t>
  </si>
  <si>
    <t>ZEV sales share</t>
    <phoneticPr fontId="3" type="noConversion"/>
  </si>
  <si>
    <t>Class coverage</t>
    <phoneticPr fontId="3" type="noConversion"/>
  </si>
  <si>
    <t>Energy efficiency</t>
    <phoneticPr fontId="3" type="noConversion"/>
  </si>
  <si>
    <t>Charging speed</t>
    <phoneticPr fontId="3" type="noConversion"/>
  </si>
  <si>
    <t>Driving range</t>
    <phoneticPr fontId="3" type="noConversion"/>
  </si>
  <si>
    <t>Executive compensation</t>
    <phoneticPr fontId="3" type="noConversion"/>
  </si>
  <si>
    <t>2024 vs. 2023 metric score comparison</t>
  </si>
  <si>
    <t>Final score</t>
  </si>
  <si>
    <t>Green Steel</t>
  </si>
  <si>
    <t>BYD</t>
    <phoneticPr fontId="3" type="noConversion"/>
  </si>
  <si>
    <t>Real score</t>
    <phoneticPr fontId="3" type="noConversion"/>
  </si>
  <si>
    <t>Energy consumption (adj)</t>
  </si>
  <si>
    <t>2023 score</t>
  </si>
  <si>
    <t>2024 score</t>
  </si>
  <si>
    <t>Max</t>
    <phoneticPr fontId="3" type="noConversion"/>
  </si>
  <si>
    <t>Min</t>
    <phoneticPr fontId="3" type="noConversion"/>
  </si>
  <si>
    <t>Historical</t>
  </si>
  <si>
    <t>Max</t>
  </si>
  <si>
    <t>Min</t>
  </si>
  <si>
    <t>Final</t>
  </si>
  <si>
    <t>Stellantis</t>
    <phoneticPr fontId="3" type="noConversion"/>
  </si>
  <si>
    <t>Mercedes-benz</t>
    <phoneticPr fontId="3" type="noConversion"/>
  </si>
  <si>
    <t>N</t>
  </si>
  <si>
    <t>Y</t>
    <phoneticPr fontId="3" type="noConversion"/>
  </si>
  <si>
    <t>Y</t>
  </si>
  <si>
    <t>N</t>
    <phoneticPr fontId="3" type="noConversion"/>
  </si>
  <si>
    <t>Market dominance</t>
  </si>
  <si>
    <t>ID</t>
  </si>
  <si>
    <t>ZEV sales share</t>
  </si>
  <si>
    <t>Class coverage</t>
  </si>
  <si>
    <t>Renewable energy</t>
  </si>
  <si>
    <t>Battery recycling</t>
  </si>
  <si>
    <t>ZEV investment</t>
  </si>
  <si>
    <t>Future outlook</t>
  </si>
  <si>
    <t>2022 Rating</t>
  </si>
  <si>
    <t>2023 Rating</t>
  </si>
  <si>
    <t> </t>
  </si>
  <si>
    <t>Historical/</t>
  </si>
  <si>
    <t>China</t>
  </si>
  <si>
    <t>Europe</t>
  </si>
  <si>
    <t>US</t>
    <phoneticPr fontId="3" type="noConversion"/>
  </si>
  <si>
    <t>Japan</t>
  </si>
  <si>
    <t>India</t>
  </si>
  <si>
    <t>Korea</t>
  </si>
  <si>
    <t>Grand Total</t>
  </si>
  <si>
    <t>US</t>
  </si>
  <si>
    <t>Tata Motors</t>
    <phoneticPr fontId="3" type="noConversion"/>
  </si>
  <si>
    <t>Hyundai (B)</t>
    <phoneticPr fontId="3" type="noConversion"/>
  </si>
  <si>
    <t>Kia (B)</t>
    <phoneticPr fontId="3" type="noConversion"/>
  </si>
  <si>
    <t>Volvo cars (B)</t>
    <phoneticPr fontId="3" type="noConversion"/>
  </si>
  <si>
    <t>Tata (B)</t>
    <phoneticPr fontId="3" type="noConversion"/>
  </si>
  <si>
    <t>JLR (B)</t>
    <phoneticPr fontId="3" type="noConversion"/>
  </si>
  <si>
    <t>Mazda</t>
    <phoneticPr fontId="3" type="noConversion"/>
  </si>
  <si>
    <t>Group</t>
  </si>
  <si>
    <t>LDV</t>
    <phoneticPr fontId="3" type="noConversion"/>
  </si>
  <si>
    <t>OEM</t>
    <phoneticPr fontId="4" type="noConversion"/>
  </si>
  <si>
    <t>Brand</t>
    <phoneticPr fontId="3" type="noConversion"/>
  </si>
  <si>
    <t>China</t>
    <phoneticPr fontId="3" type="noConversion"/>
  </si>
  <si>
    <t>Europe</t>
    <phoneticPr fontId="3" type="noConversion"/>
  </si>
  <si>
    <t>Japan</t>
    <phoneticPr fontId="3" type="noConversion"/>
  </si>
  <si>
    <t>India</t>
    <phoneticPr fontId="3" type="noConversion"/>
  </si>
  <si>
    <t>Korea</t>
    <phoneticPr fontId="3" type="noConversion"/>
  </si>
  <si>
    <t>Total</t>
    <phoneticPr fontId="3" type="noConversion"/>
  </si>
  <si>
    <t>%share</t>
    <phoneticPr fontId="4" type="noConversion"/>
  </si>
  <si>
    <t>Geely</t>
    <phoneticPr fontId="3" type="noConversion"/>
  </si>
  <si>
    <t>PV</t>
    <phoneticPr fontId="3" type="noConversion"/>
  </si>
  <si>
    <t>LCV</t>
    <phoneticPr fontId="3" type="noConversion"/>
  </si>
  <si>
    <t>OEM name</t>
    <phoneticPr fontId="3" type="noConversion"/>
  </si>
  <si>
    <t>Daihatsu</t>
  </si>
  <si>
    <t>Lexus</t>
  </si>
  <si>
    <t>Toyota (B)</t>
  </si>
  <si>
    <t>Hino</t>
    <phoneticPr fontId="4" type="noConversion"/>
  </si>
  <si>
    <t>VW</t>
    <phoneticPr fontId="3" type="noConversion"/>
  </si>
  <si>
    <t>Audi</t>
  </si>
  <si>
    <t>Bentley</t>
  </si>
  <si>
    <t>Bugatti</t>
  </si>
  <si>
    <t>Cupra</t>
  </si>
  <si>
    <t>Jetta</t>
  </si>
  <si>
    <t>Lamborghini</t>
  </si>
  <si>
    <t>MAN</t>
  </si>
  <si>
    <t>VW</t>
    <phoneticPr fontId="4" type="noConversion"/>
  </si>
  <si>
    <t>Porsche</t>
  </si>
  <si>
    <t>SEAT</t>
  </si>
  <si>
    <t>Skoda</t>
  </si>
  <si>
    <t>VW (B)</t>
  </si>
  <si>
    <t>GM</t>
    <phoneticPr fontId="3" type="noConversion"/>
  </si>
  <si>
    <t>Buick</t>
  </si>
  <si>
    <t>Cadillac</t>
  </si>
  <si>
    <t>Chevrolet</t>
  </si>
  <si>
    <t>GM (B)</t>
  </si>
  <si>
    <t>GMC</t>
  </si>
  <si>
    <t>Hummer</t>
  </si>
  <si>
    <t>Pontiac</t>
    <phoneticPr fontId="4" type="noConversion"/>
  </si>
  <si>
    <t>Brightdrop</t>
    <phoneticPr fontId="4" type="noConversion"/>
  </si>
  <si>
    <t>Hyundai (B)</t>
  </si>
  <si>
    <t>Kia (B)</t>
  </si>
  <si>
    <t>Genesis</t>
  </si>
  <si>
    <t>Abarth</t>
  </si>
  <si>
    <t>Alfa Romeo</t>
  </si>
  <si>
    <t>Chrysler</t>
  </si>
  <si>
    <t>Citroen</t>
  </si>
  <si>
    <t>Dodge</t>
  </si>
  <si>
    <t>DS</t>
  </si>
  <si>
    <t>Fiat</t>
  </si>
  <si>
    <t>Fukang</t>
  </si>
  <si>
    <t>Jeep</t>
  </si>
  <si>
    <t>Lancia</t>
  </si>
  <si>
    <t>Maserati</t>
  </si>
  <si>
    <t>Opel/Vauxhall</t>
  </si>
  <si>
    <t>Peugeot</t>
  </si>
  <si>
    <t>Ram</t>
  </si>
  <si>
    <t>Honda</t>
    <phoneticPr fontId="3" type="noConversion"/>
  </si>
  <si>
    <t>Acura</t>
  </si>
  <si>
    <t>Honda (B)</t>
  </si>
  <si>
    <t>Ford (B)</t>
  </si>
  <si>
    <t>Lincoln</t>
  </si>
  <si>
    <t>Mustang</t>
    <phoneticPr fontId="4" type="noConversion"/>
  </si>
  <si>
    <t>Jianglv</t>
    <phoneticPr fontId="4" type="noConversion"/>
  </si>
  <si>
    <t>Suzuki</t>
    <phoneticPr fontId="3" type="noConversion"/>
  </si>
  <si>
    <t>Maruti</t>
  </si>
  <si>
    <t>Suzuki (B)</t>
  </si>
  <si>
    <t>Nissan</t>
    <phoneticPr fontId="3" type="noConversion"/>
  </si>
  <si>
    <t>Mitsubishi</t>
    <phoneticPr fontId="4" type="noConversion"/>
  </si>
  <si>
    <t>Infiniti</t>
  </si>
  <si>
    <t>Nissan (B)</t>
  </si>
  <si>
    <t>BMW</t>
    <phoneticPr fontId="3" type="noConversion"/>
  </si>
  <si>
    <t>Alpina</t>
    <phoneticPr fontId="4" type="noConversion"/>
  </si>
  <si>
    <t>BMW (B)</t>
  </si>
  <si>
    <t>MINI</t>
  </si>
  <si>
    <t>Rolls-Royce</t>
  </si>
  <si>
    <t>Mercedes-Benz</t>
    <phoneticPr fontId="3" type="noConversion"/>
  </si>
  <si>
    <t>Mercedes-Benz (B)</t>
  </si>
  <si>
    <t>Mercedes-Maybach</t>
  </si>
  <si>
    <t>Smart</t>
  </si>
  <si>
    <t>Avita</t>
  </si>
  <si>
    <t>Changan (B)</t>
    <phoneticPr fontId="4" type="noConversion"/>
  </si>
  <si>
    <t>Deepal</t>
  </si>
  <si>
    <t>Kaicene</t>
  </si>
  <si>
    <t>Kuayue</t>
  </si>
  <si>
    <t>Oushang</t>
  </si>
  <si>
    <t>Qiyuan</t>
  </si>
  <si>
    <t>BYD (B)</t>
  </si>
  <si>
    <t>BYD (Other)</t>
  </si>
  <si>
    <t>Denza</t>
  </si>
  <si>
    <t>Fangchengbao</t>
  </si>
  <si>
    <t>Yangwang</t>
  </si>
  <si>
    <t>Renault</t>
    <phoneticPr fontId="3" type="noConversion"/>
  </si>
  <si>
    <t>Alpine</t>
  </si>
  <si>
    <t>Dacia</t>
  </si>
  <si>
    <t>JMEV</t>
  </si>
  <si>
    <t>Lada</t>
  </si>
  <si>
    <t>Renault (B)</t>
  </si>
  <si>
    <t>Renault Korea</t>
  </si>
  <si>
    <t>Yichi</t>
  </si>
  <si>
    <t>Yizhi</t>
  </si>
  <si>
    <t>SAIC</t>
    <phoneticPr fontId="3" type="noConversion"/>
  </si>
  <si>
    <t>Baojun</t>
  </si>
  <si>
    <t>Clever</t>
  </si>
  <si>
    <t>IM Motors</t>
  </si>
  <si>
    <t>Maxus</t>
  </si>
  <si>
    <t>MG</t>
  </si>
  <si>
    <t>MIFA</t>
  </si>
  <si>
    <t>R Auto/Rising Auto</t>
  </si>
  <si>
    <t>Roewe</t>
  </si>
  <si>
    <t>Wuling (SAIC)</t>
  </si>
  <si>
    <t>Yuejin</t>
  </si>
  <si>
    <t>Great Wall (B)</t>
  </si>
  <si>
    <t>Haval</t>
  </si>
  <si>
    <t>Ora</t>
  </si>
  <si>
    <t>Tank</t>
  </si>
  <si>
    <t>Wey</t>
  </si>
  <si>
    <t>Caocao</t>
  </si>
  <si>
    <t>Galaxy</t>
  </si>
  <si>
    <t>Geely (B)</t>
  </si>
  <si>
    <t>LEVC</t>
  </si>
  <si>
    <t>Livan</t>
  </si>
  <si>
    <t>LYNK &amp; CO</t>
  </si>
  <si>
    <t>Ouling</t>
  </si>
  <si>
    <t>Polestar</t>
  </si>
  <si>
    <t>Radar</t>
  </si>
  <si>
    <t>Volvo Cars (B)</t>
  </si>
  <si>
    <t>Yuancheng</t>
  </si>
  <si>
    <t>ZD</t>
  </si>
  <si>
    <t>Zeekr</t>
  </si>
  <si>
    <t>Jiyue</t>
  </si>
  <si>
    <t>Geometry</t>
  </si>
  <si>
    <t>Lotus</t>
  </si>
  <si>
    <t>Maple</t>
  </si>
  <si>
    <t>Huoyue</t>
  </si>
  <si>
    <t>Jaguar</t>
  </si>
  <si>
    <t>Land Rover</t>
  </si>
  <si>
    <t>Tata (B)</t>
  </si>
  <si>
    <t>Chery (B)</t>
    <phoneticPr fontId="3" type="noConversion"/>
  </si>
  <si>
    <t>Exeed</t>
  </si>
  <si>
    <t>iCar</t>
  </si>
  <si>
    <t>Jetour</t>
  </si>
  <si>
    <t>Kaiyi/Cowin</t>
  </si>
  <si>
    <t>Karry</t>
  </si>
  <si>
    <t>Luxeed</t>
  </si>
  <si>
    <t>Qijie</t>
  </si>
  <si>
    <t>Qoros</t>
  </si>
  <si>
    <t>Omoda</t>
  </si>
  <si>
    <t>Jaecoo</t>
  </si>
  <si>
    <t>https://www.nissan-global.com/EN/IR/LIBRARY/FR/2022/ASSETS/PDF/fr2022.pdf</t>
    <phoneticPr fontId="3" type="noConversion"/>
  </si>
  <si>
    <t>https://www.jaguarlandrover.com/annual-report-2023</t>
    <phoneticPr fontId="3" type="noConversion"/>
  </si>
  <si>
    <t>Source</t>
    <phoneticPr fontId="3" type="noConversion"/>
  </si>
  <si>
    <t>Global</t>
  </si>
  <si>
    <t>Volvo cars (B)</t>
  </si>
  <si>
    <t>Agreement</t>
    <phoneticPr fontId="3" type="noConversion"/>
  </si>
  <si>
    <t>Commitment</t>
    <phoneticPr fontId="3" type="noConversion"/>
  </si>
  <si>
    <t>N/A</t>
  </si>
  <si>
    <t>General Motors</t>
    <phoneticPr fontId="3" type="noConversion"/>
  </si>
  <si>
    <t>Region</t>
  </si>
  <si>
    <t>Volvo Cars</t>
  </si>
  <si>
    <t>Volkswagen</t>
  </si>
  <si>
    <t>Hyundai</t>
  </si>
  <si>
    <t>Kia</t>
  </si>
  <si>
    <t>JLR (B)</t>
  </si>
  <si>
    <t>Geely/Volvo</t>
  </si>
  <si>
    <t>Carbon intensity</t>
    <phoneticPr fontId="3" type="noConversion"/>
  </si>
  <si>
    <t>Final score</t>
    <phoneticPr fontId="3" type="noConversion"/>
  </si>
  <si>
    <t>Total market coverage</t>
    <phoneticPr fontId="3" type="noConversion"/>
  </si>
  <si>
    <t>2023 rating score</t>
    <phoneticPr fontId="3" type="noConversion"/>
  </si>
  <si>
    <t>Score changes</t>
    <phoneticPr fontId="3" type="noConversion"/>
  </si>
  <si>
    <t>Global score using the highest score</t>
    <phoneticPr fontId="3" type="noConversion"/>
  </si>
  <si>
    <t>Adjustment for mid year target (if applicable)</t>
    <phoneticPr fontId="3" type="noConversion"/>
  </si>
  <si>
    <t>Difference</t>
    <phoneticPr fontId="3" type="noConversion"/>
  </si>
  <si>
    <t>2024 global score</t>
    <phoneticPr fontId="3" type="noConversion"/>
  </si>
  <si>
    <t>2023 global score</t>
    <phoneticPr fontId="3" type="noConversion"/>
  </si>
  <si>
    <t>2022 global score (adjusted to the new method)</t>
    <phoneticPr fontId="3" type="noConversion"/>
  </si>
  <si>
    <t>2022 rating (adjusted to the new method)</t>
    <phoneticPr fontId="3" type="noConversion"/>
  </si>
  <si>
    <t>Difference 2024-2023</t>
    <phoneticPr fontId="3" type="noConversion"/>
  </si>
  <si>
    <t>Year</t>
    <phoneticPr fontId="3" type="noConversion"/>
  </si>
  <si>
    <t>Global</t>
    <phoneticPr fontId="3" type="noConversion"/>
  </si>
  <si>
    <t>ZEV</t>
    <phoneticPr fontId="3" type="noConversion"/>
  </si>
  <si>
    <t>/</t>
    <phoneticPr fontId="3" type="noConversion"/>
  </si>
  <si>
    <t>JLR</t>
    <phoneticPr fontId="3" type="noConversion"/>
  </si>
  <si>
    <t>PC</t>
  </si>
  <si>
    <t>United States</t>
  </si>
  <si>
    <t>ZEV</t>
  </si>
  <si>
    <t>PHEV</t>
  </si>
  <si>
    <t>ZEVe</t>
  </si>
  <si>
    <t>??</t>
  </si>
  <si>
    <t>% short-term</t>
    <phoneticPr fontId="3" type="noConversion"/>
  </si>
  <si>
    <t>% long-term</t>
    <phoneticPr fontId="3" type="noConversion"/>
  </si>
  <si>
    <t>% EV</t>
    <phoneticPr fontId="3" type="noConversion"/>
  </si>
  <si>
    <t>% CO2</t>
    <phoneticPr fontId="3" type="noConversion"/>
  </si>
  <si>
    <t>% incentive related to EV</t>
  </si>
  <si>
    <t>https://www.volkswagen-group.com/en/remuneration-15764</t>
  </si>
  <si>
    <t>https://investor.gm.com/static-files/eb25e59c-1ee2-4c86-b987-d0e64fdfd963</t>
  </si>
  <si>
    <t>https://www.stellantis.com/content/dam/stellantis-corporate/investors/financial-reports/Stellantis-NV-20241231-Annual-Report.pdf</t>
    <phoneticPr fontId="3" type="noConversion"/>
  </si>
  <si>
    <t>https://global.honda/en/investors/library/form20_f.html</t>
  </si>
  <si>
    <t>https://d18rn0p25nwr6d.cloudfront.net/CIK-0000037996/ba071c4a-cb05-4251-8ce6-7d892db8aa4a.pdf</t>
  </si>
  <si>
    <t>https://www.bmwgroup.com/en/download-centre.html</t>
  </si>
  <si>
    <t>https://group.mercedes-benz.com/documents/investors/reports/annual-report/mercedes-benz/mercedes-benz-remuneration-report-2024.pdf</t>
  </si>
  <si>
    <t>https://investors.volvocars.com/en/results-and-reports</t>
    <phoneticPr fontId="3" type="noConversion"/>
  </si>
  <si>
    <t>Adjustment</t>
    <phoneticPr fontId="3" type="noConversion"/>
  </si>
  <si>
    <t>Base salary/fixed</t>
    <phoneticPr fontId="3" type="noConversion"/>
  </si>
  <si>
    <t>Other benefits</t>
    <phoneticPr fontId="3" type="noConversion"/>
  </si>
  <si>
    <t>Notes</t>
    <phoneticPr fontId="3" type="noConversion"/>
  </si>
  <si>
    <t>Currency</t>
    <phoneticPr fontId="3" type="noConversion"/>
  </si>
  <si>
    <t>Target compensation</t>
    <phoneticPr fontId="3" type="noConversion"/>
  </si>
  <si>
    <t>Target compensation; Chair</t>
    <phoneticPr fontId="3" type="noConversion"/>
  </si>
  <si>
    <t>Target compensation; Chair and CEO</t>
    <phoneticPr fontId="3" type="noConversion"/>
  </si>
  <si>
    <t>Target compensation in 2024; CEO</t>
    <phoneticPr fontId="3" type="noConversion"/>
  </si>
  <si>
    <t>YEN (¥)</t>
    <phoneticPr fontId="3" type="noConversion"/>
  </si>
  <si>
    <t>Target compensation; CEO and President</t>
    <phoneticPr fontId="3" type="noConversion"/>
  </si>
  <si>
    <t>Actual compensation in 2024; CEO</t>
    <phoneticPr fontId="3" type="noConversion"/>
  </si>
  <si>
    <t>Target compensation; CEO/President</t>
    <phoneticPr fontId="3" type="noConversion"/>
  </si>
  <si>
    <t>ZEV equivalent share</t>
  </si>
  <si>
    <t>-</t>
  </si>
  <si>
    <t>Ranking</t>
  </si>
  <si>
    <t>Charger type</t>
  </si>
  <si>
    <t>Market share (%)</t>
  </si>
  <si>
    <t>Maximum avg (sales-weighted)</t>
  </si>
  <si>
    <t>Normal</t>
  </si>
  <si>
    <t>Fast</t>
  </si>
  <si>
    <t>Sales-weighted avg driving range (km)</t>
  </si>
  <si>
    <t>https://assets.renaultgroup.com/uploads/2025/03/Renault_URD_2024_EN.pdf</t>
  </si>
  <si>
    <t>Actual compensation; CEO</t>
    <phoneticPr fontId="3" type="noConversion"/>
  </si>
  <si>
    <t>Source: GAR 2023 new final</t>
    <phoneticPr fontId="3" type="noConversion"/>
  </si>
  <si>
    <t># score increase</t>
  </si>
  <si>
    <t>2024 Final</t>
    <phoneticPr fontId="3" type="noConversion"/>
  </si>
  <si>
    <t>2022 FINAL</t>
    <phoneticPr fontId="3" type="noConversion"/>
  </si>
  <si>
    <t>2023 FINAL</t>
    <phoneticPr fontId="3" type="noConversion"/>
  </si>
  <si>
    <t>2024 HISTORICAL</t>
    <phoneticPr fontId="3" type="noConversion"/>
  </si>
  <si>
    <t>Method change</t>
    <phoneticPr fontId="3" type="noConversion"/>
  </si>
  <si>
    <t>Historical scores</t>
    <phoneticPr fontId="3" type="noConversion"/>
  </si>
  <si>
    <t>2023 Rating</t>
    <phoneticPr fontId="3" type="noConversion"/>
  </si>
  <si>
    <t>2022 Rating</t>
    <phoneticPr fontId="3" type="noConversion"/>
  </si>
  <si>
    <t>Light-duty vehicle sales in 2024</t>
    <phoneticPr fontId="3" type="noConversion"/>
  </si>
  <si>
    <t>2024 Score</t>
    <phoneticPr fontId="3" type="noConversion"/>
  </si>
  <si>
    <t xml:space="preserve"> Sales data by brand</t>
    <phoneticPr fontId="3" type="noConversion"/>
  </si>
  <si>
    <t>Sales data by OEM and selected brands only</t>
    <phoneticPr fontId="3" type="noConversion"/>
  </si>
  <si>
    <t>Recycle</t>
    <phoneticPr fontId="3" type="noConversion"/>
  </si>
  <si>
    <t>Repurpose</t>
    <phoneticPr fontId="3" type="noConversion"/>
  </si>
  <si>
    <t>Brand</t>
  </si>
  <si>
    <t>Electric vehicle (EV) sales target</t>
    <phoneticPr fontId="3" type="noConversion"/>
  </si>
  <si>
    <t>2024 score</t>
    <phoneticPr fontId="3" type="noConversion"/>
  </si>
  <si>
    <t>2023 score</t>
    <phoneticPr fontId="3" type="noConversion"/>
  </si>
  <si>
    <t>EV sales</t>
  </si>
  <si>
    <t>Vehicle category</t>
    <phoneticPr fontId="3" type="noConversion"/>
  </si>
  <si>
    <t>Type</t>
    <phoneticPr fontId="3" type="noConversion"/>
  </si>
  <si>
    <t>All</t>
  </si>
  <si>
    <t>PC+LCV</t>
    <phoneticPr fontId="3" type="noConversion"/>
  </si>
  <si>
    <t>U.S.</t>
    <phoneticPr fontId="3" type="noConversion"/>
  </si>
  <si>
    <t>ZEV, PHEV</t>
  </si>
  <si>
    <t>Leading markets</t>
  </si>
  <si>
    <t>ZEV, PHEV</t>
    <phoneticPr fontId="3" type="noConversion"/>
  </si>
  <si>
    <t>Global (excl. China)</t>
    <phoneticPr fontId="3" type="noConversion"/>
  </si>
  <si>
    <t>Škoda</t>
    <phoneticPr fontId="3" type="noConversion"/>
  </si>
  <si>
    <t>Others</t>
  </si>
  <si>
    <t>/</t>
  </si>
  <si>
    <t>Roll-Royce</t>
  </si>
  <si>
    <t>2024 total ZEV investment (2023 USD millions)</t>
  </si>
  <si>
    <t>2024 sales (average of 2023 and 2022)</t>
  </si>
  <si>
    <t>2024 investment per vehicle (2023 USD dollar)</t>
  </si>
  <si>
    <t>ZEV multiplier</t>
  </si>
  <si>
    <t>2023 investment per vehicle (2023 USD dollar)</t>
  </si>
  <si>
    <t>Class coverage by region</t>
  </si>
  <si>
    <t>2024 sales-weighted average</t>
  </si>
  <si>
    <t>Average WLTP energy consumption (Wh/km)</t>
  </si>
  <si>
    <t>2023 adjusted (2024 parameters)</t>
    <phoneticPr fontId="3" type="noConversion"/>
  </si>
  <si>
    <t>2023 adjusted (2023 parameters)</t>
    <phoneticPr fontId="3" type="noConversion"/>
  </si>
  <si>
    <t>2024 adjusted</t>
    <phoneticPr fontId="3" type="noConversion"/>
  </si>
  <si>
    <t>2024 original</t>
    <phoneticPr fontId="3" type="noConversion"/>
  </si>
  <si>
    <t>Adjusted energy consumption</t>
    <phoneticPr fontId="3" type="noConversion"/>
  </si>
  <si>
    <t>Original energy consumption</t>
    <phoneticPr fontId="3" type="noConversion"/>
  </si>
  <si>
    <t>2023 original</t>
    <phoneticPr fontId="3" type="noConversion"/>
  </si>
  <si>
    <t>Normal (kW)</t>
  </si>
  <si>
    <t>Fast (kW)</t>
  </si>
  <si>
    <t>2024 max average (kW)</t>
    <phoneticPr fontId="3" type="noConversion"/>
  </si>
  <si>
    <t>2023 max average (kW)</t>
    <phoneticPr fontId="3" type="noConversion"/>
  </si>
  <si>
    <t>2024 driving range (km)</t>
  </si>
  <si>
    <t>2023 driving range (km)</t>
  </si>
  <si>
    <t>Eligible sales</t>
    <phoneticPr fontId="3" type="noConversion"/>
  </si>
  <si>
    <t>ZEV share (%)</t>
    <phoneticPr fontId="3" type="noConversion"/>
  </si>
  <si>
    <t>TSEK</t>
    <phoneticPr fontId="3" type="noConversion"/>
  </si>
  <si>
    <t>EURO (€)</t>
    <phoneticPr fontId="3" type="noConversion"/>
  </si>
  <si>
    <t>USD ($)</t>
    <phoneticPr fontId="3" type="noConversion"/>
  </si>
  <si>
    <t>Volvo Cars</t>
    <phoneticPr fontId="3" type="noConversion"/>
  </si>
  <si>
    <t>% base salary</t>
    <phoneticPr fontId="3" type="noConversion"/>
  </si>
  <si>
    <t>Long-term incentives</t>
    <phoneticPr fontId="3" type="noConversion"/>
  </si>
  <si>
    <t>Short-term incentives</t>
    <phoneticPr fontId="3" type="noConversion"/>
  </si>
  <si>
    <t>Other incentives</t>
    <phoneticPr fontId="3" type="noConversion"/>
  </si>
  <si>
    <t>% other incentives</t>
    <phoneticPr fontId="3" type="noConversion"/>
  </si>
  <si>
    <t>Actual compensation in 2024; CEO/ President</t>
    <phoneticPr fontId="3" type="noConversion"/>
  </si>
  <si>
    <r>
      <rPr>
        <sz val="12"/>
        <color theme="1"/>
        <rFont val="Arial"/>
        <family val="2"/>
      </rPr>
      <t>•</t>
    </r>
    <r>
      <rPr>
        <sz val="12"/>
        <color theme="1"/>
        <rFont val="Calibri"/>
        <family val="2"/>
      </rPr>
      <t xml:space="preserve"> Toyota is currently engaged in research on the development of technologies with the aim of recovering rare metals from used batteries and avoiding incineration of such batteries from the perspective of promoting carbon neutrality and resource efficiency (Sustainability Databook 2024, page 32).
</t>
    </r>
    <r>
      <rPr>
        <sz val="12"/>
        <color theme="1"/>
        <rFont val="Arial"/>
        <family val="2"/>
      </rPr>
      <t xml:space="preserve">• </t>
    </r>
    <r>
      <rPr>
        <sz val="12"/>
        <color theme="1"/>
        <rFont val="Calibri"/>
        <family val="2"/>
      </rPr>
      <t xml:space="preserve">Toyota Tsusho Corporation and Toyota Chemical Engineering Co., Ltd. have started a joint verification: case development and verification of battery recycling without incineration (Sustainability Databook 2024, page 32).
</t>
    </r>
    <r>
      <rPr>
        <sz val="12"/>
        <color theme="1"/>
        <rFont val="Arial"/>
        <family val="2"/>
      </rPr>
      <t xml:space="preserve">• </t>
    </r>
    <r>
      <rPr>
        <sz val="12"/>
        <color theme="1"/>
        <rFont val="Calibri"/>
        <family val="2"/>
      </rPr>
      <t>Toyota is engaging in battery recovery and recycling initiatives throughout North America and promoting the development of a sustainable battery ecosystem through its partnership with Redwood Materials, Inc. (“Redwood Materials”) and Cirba Solutions, LLC (“Cirba Solutions”) (Sustainability Databook 2024, page 32).
• Toyota is establishing a safe and efficient system for battery 3R (Rebuild, Reuse, and Recycle), eyeing the widespread use of electrified vehicles and starting operating battery 3R throughout 5 regions—Japan, U.S., Europe, China, and Asia (Sustainability Databook 2024, page 48)
• Toyota announced that it had formed a joint venture partnership with China Minmetals Corporation, a large state-owned resource enterprise, to collaborate on the recycling and utilization of used vehicle batteries, especially for electric vehicles (EVs) (https://cn.nikkei.com/industry/icar/55312-2024-04-10-11-07-09.html).</t>
    </r>
    <phoneticPr fontId="3" type="noConversion"/>
  </si>
  <si>
    <t>• Changyuan Lithium announced that it had reached an agreement with Toyota Motor (China) Investment Co., Ltd., Meiwa Industries (Shanghai) Co., Ltd., and Hunan Yunchu Recycling New Energy Technology Co., Ltd. to establish a joint venture in China. The joint venture will focus on the secondary utilization and resource recycling of power batteries (https://www.cls.cn/detail/1640820)0. 
•Toyota is in collaboration with JERA Co., Inc. to build the world’s first large-capacity sweep energy storage system from reused EV batteries. Operations have already commenced including connection to the power distribution system of the Yokkaichi Thermal Power Station (Sustainability Databook 2024, page 53). 
• Toyota is in collaboration with Tokyo Electric Power Company Holdings to develop a stationary storage battery system using multiple electric vehicle storage batteries linked together. This system will be established at the Eurus Tashirotai Wind Farm operated by Toyota Tsusho Corporation and Eurus Energy Holdings Corporation, and trial operation is scheduled to begin in FY2023 (Sustainability Databook 2024, page 53).</t>
    <phoneticPr fontId="3" type="noConversion"/>
  </si>
  <si>
    <t>• Volkswagen (VW) Group’s operates in-house recycling facility for high-voltage vehicle batteries at the Salzgitter site in Germany and other sites including in Valencia, Spain and St. Thomas, Canada will be designed for future closed-loop recycling (2024 Sustainability Report, page 334).
• VW Group is in collaboration with Redwood Materials to create a supply chain for EV battery recycling with the goal of remanufacturing battery materials in the U.S. domestic supply chain (VW US Media Site, April 2023 (https://media.vw.com/en-us/releases/1736).
• VW Group is in collaboration with PowerCo cell factories to develop end-of-life battery recycling (2024 Sustainabbility Report, page 334).
• Volkswagen Group United Kingdom Ltd. (VWG UK) has signed an agreement with Ecobat, the global leader in battery recycling, to collect and recycle electric vehicle (EV) batteries.</t>
    <phoneticPr fontId="3" type="noConversion"/>
  </si>
  <si>
    <t>•  Volkswagen Group’s charging subsidiary, Elli, has now entered the energy storage industry, with the first storage project set to be launched in Germany as early as 2025 (https://electricdrives.tv/vw-to-repurpose-end-of-life-ev-batteries-for-energy-storage-taking-on-teslas-energy-business/).
• Volkswagen Group China and Huayou Recycling Company is collaborating on a comprehensive utilization of retired power batteries. The development of energy storage system from repurposed batteries will be deployed in Huayou Cobalt's industrial park, then expand to Volkswagen Group's production bases in China (https://www.huayou.com/en/news/corporate-news/64).</t>
    <phoneticPr fontId="3" type="noConversion"/>
  </si>
  <si>
    <t>• As of 2024, GM is engaging with our cell and cathode manufacturers and global recycling partners to establish environmentally and technologically sound pathways for recycled material from our manufacturing battery scrap and warranty returns to reenter EV supply chains (2023 Sustainability Report, Page 25).
• GM supports the development of recycling and recycled material reuse in new cells through a collaboration with recycling companies and the Department of Energy’s U.S. Advanced Battery Consortium (2023 Sustainability Report, Page 25).
• GM has worked with North American battery recyclers for several years to handle dismantling and recycling of EV batteries and their components throughout our product development and manufacturing operations (2023 Sustainability Report, Page 25).
• In 2022, GM Ventures made a strategic investment in Lithion, a battery recycling company based in Québec, Canada. Lithion’s innovative technology enables the recovery of raw materials from batteries (2023 Sustainability Report, Page 25).
• GM's recyclemybattery.com website provides vehicle dismantlers with valuable information on how to disable, remove, store and ship used battery packs from our EVs. GM aims to continue to develop guidelines that support the safe handling and transport of EV batteries by EoL processors and to evaluate opportunities to enable the recycling of all batteries.</t>
    <phoneticPr fontId="3" type="noConversion"/>
  </si>
  <si>
    <t>• Stellantis implements collection and treatment procedures, prioritizes extending the battery lifespan through remanufacturing, repair, and second-life solutions, and establishes recycling contracts with specific operators for all Stellantis brands. Agreements established in 2023 cover recycling needs in the Europe, North America, China, Middle East &amp; Africa, and India &amp; Asia Pacific regions (2024 Annual Report, page 221).
• Stellantis announced the signing of a Memorandum of Understanding to enter into exclusive negotiations to form a joint venture with leading metals recycler GALLOO to manage End of- Life Vehicles with an initial focus on France (including French Overseas), Belgium and Luxembourg, and then expanding across Europe in the next years.</t>
    <phoneticPr fontId="3" type="noConversion"/>
  </si>
  <si>
    <t xml:space="preserve">• Stellantis works on solutions to repurpose high-voltage batteries (HVBs)  before sending them to recycling, prioritizing second-life activities through second-life pilots in Enlarged Europe and North America (2024 Annual Report, page 221).
</t>
    <phoneticPr fontId="3" type="noConversion"/>
  </si>
  <si>
    <t xml:space="preserve">• Honda is in collaboration with battery manufacturers on recycling efforts from 2025 onwards through the establishment of the new company ALTNA Co. Ltd* and other initiatives. Honda will expand into lifecycle business beyond vehicle production, covering charging services, energy services, and reuse/ recycling to establish a stable business foundation (2024 Honda Integrated Report 2024, page 31 and https://global.honda/en/newsroom/news/2024/c240613aeng.html).
• Honda reached an agreement to collaborate with Ascend Elements and Cirba Solutions, both of which are resource recycling firms in North America (https://global.honda/en/stories/068.html).
</t>
    <phoneticPr fontId="3" type="noConversion"/>
  </si>
  <si>
    <t>•Through ALTNA, Honda will conduct an electric power business to repurpose end-of-life EV batteries and manage as grid storage batteries. This will provide the supply-demand adjustment capacities to enable greater grid stability and also contribute to widespread utilization of renewable energy. Through the battery leasing business, ALTNA will continuously monitor the use conditions of EV batteries, and then recover end-of-life EV batteries based on data obtained through the long-term monitoring (https://global.honda/en/newsroom/news/2024/c240613aeng.html).
• Honda Motor Europe is expanding its battery recycling partnership with SNAM (Société Nouvelle d’Affinage des Métaux) to advance the sustainable usability of its end-of-life traction batteries. The pan-European arrangement will see SNAM collect and recycle batteries from Honda's increasing number of hybrid and electric vehicles and either potentially prepare them for 'second-life' renewable energy storage uses or extract valuable materials for recycling if they are not suitable for that purpose (https://www.honda.co.uk/engineroom/world/hybrid-and-ev-battery-recycling-SNAM/).</t>
    <phoneticPr fontId="3" type="noConversion"/>
  </si>
  <si>
    <t xml:space="preserve">• Ford begun utilizing collection points to reduce inefficiencies in shipping one-off, end of life batteries across the country. End of life batteries are sent to recyclers who are dedicated to recovering the underlying raw materials with the intent of reintroducing these materials into the broader battery supply chain industry (2024 Integrated Report, page 29). 
•  Ford is supporting various battery recycling companies, including with letters of support for U.S. DOE grants (2024 Integrated Report, page 29).
b)  In advance of the European Battery Regulation, Ford is participating in EV battery pilots to support compliance with both of these requirements (2024 Integrated Report, page 68).
• Ford collaborates with Redwood Materials to integrate battery recycling into the domestic battery ecosystem. In the long-term, Ford and Redwood plan to work together on the best approach to collect and disassemble end-of-life batteries from Ford’s electric vehicles for recycling and remanufacturing (2023 Integrated Report, page 97).
</t>
    <phoneticPr fontId="3" type="noConversion"/>
  </si>
  <si>
    <t>No score was given as recycling mechanism was established for hybrid batteries. 
• Suzuki joined the collection system and has been collecting and properly disposing of used lithium-ion batteries in conjunction with the free collection system for lithium-ion batteries with the Japan Auto Recycling Partnership (https://www.globalsuzuki.com/corporate/csr_environment/environment/circulation.html).
• Suzuki launched the Ignis, Swift, Vitara and S-CROSS equipped with the SHVS Mild Hybrid system that uses lithium-ion batteries, and the Vitara and S-CROSS equipped with a strong hybrid system.
• Suzuki has built a system for collecting and recycling used lithium-ion batteries according to the EU’s Batteries Directive (2006/66/EC), and the laws, regulations, and conditions of each country.
• Suzuki launched SHVS-equipped models such as Ciaz, Ertiga, and XL6, and Maruti Suzuki India has established a collection and recycling system for used lithium-ion batteries (https://www.suzuki.co.jp/about/csr/recycle/traders/#area2)</t>
    <phoneticPr fontId="3" type="noConversion"/>
  </si>
  <si>
    <t>a) Since 2012, Suzuki has promoted the reuse of lithium-ion batteries in vehicles equipped with the Mild Hybrid system, and developed a technology for secondary use (reuse) of used lithium-ion batteries collected from end-of-life vehicles to power solar street lights (https://www.globalsuzuki.com/corporate/csr_environment/environment/circulation.html).</t>
    <phoneticPr fontId="3" type="noConversion"/>
  </si>
  <si>
    <t xml:space="preserve">• Cooperation arrangements are in place between BMW Group and SOLARWATT GmbH, Dresden, within the field of electric mobility. The focus of this collaboration is on the provision of complete photovoltaic solutions for rooftop systems and carports to BMW i customers. In addition, SOLARWATT GmbH purchases battery cells and related components for home battery storage applications as part of a supply project (2024 Annual Report, page 222).
• The second use and recycling of high-voltage batteries from electric vehicles were included in the holistic concept for sustainability at an early stage at BMW Group. The battey storage systems at the BMW Group plant in Leipzig continue to run successfully incuding the battery storage systems at the BMW Group plant in Leipzig and at the ferry terminal in Hamburg. (https://www.press.bmwgroup.com/global/article/detail/T0403367EN/bmw-group-sustainability-through-innovation-202)
</t>
    <phoneticPr fontId="3" type="noConversion"/>
  </si>
  <si>
    <t xml:space="preserve">• BMW of North America and Redwood Materials announced in April 2024 a partnership to recycle lithium-ion batteries from all electric, plug-in hybrid-electric, and mild hybrid BMW, MINI, Rolls-Royce, and BMW Motorrad vehicles in the U.S. (https://www.press.bmwgroup.com/usa/article/detail/T0445142EN_US/bmw-of-north-america-and-redwood-materials-establish-partnership-to-recycle-lithium-ion-batteries?language=en_U
• BMW Group is in partnership with German recycling specialist Duesenfeld to develop a method that can achieve a recycling rate of up to 96% of the materials and is involved in various initiator projects for further use and recycling of high-voltage batteries. Prominent examples include the battery storage systems at the BMW Group plant in Leipzig and at the ferry terminal in Hamburg.
• In November 2024, BMW Group launched a pan-European partnership with SK tes, a leading provider of innovative technology lifecycle solutions. The special recycling process recovers cobalt, nickel and lithium from used batteries before returning them to the value chain to make new batteries. This closed-loop system is set to expand to the US-Mexico-Canada region as early as 2026.
• BMW Group is currently setting up a closed cycle in China with the aim of reusing the raw materials nickel, lithium and cobalt from end-of-life high-voltage batteries (2024 Annual Report, page 106). 
</t>
    <phoneticPr fontId="3" type="noConversion"/>
  </si>
  <si>
    <t>• Mercedes-Benz Group is building its own CO2-neutral on the balance sheet pilot plant for the recycling of lithium-ion battery systems at its Kuppenheim location.  The new battery recycling factory in Kuppenheim, Germany, have started  ramping up operations and  aims  to recycle more than 2,500 tonnes of battery modules per year. In addition,  the Group has founded LICULAR GmbH as a wholly-owned subsidiary (2024 Annual Report, page 133).
• In the USA, Mercedes-Benz is relying on a long-standing partnership with the US company Univar Solutions for the management of waste materials. In the field of battery recycling, Univar cooperates among others with Li-Cycle Inc., which operates a mechanical recycling facility near the Mercedes-Benz Tuscaloosa plant.
• Mercedes-Benz announced the signing of a MoU of partnership with Contemporary Amperex Technology Co., Ltd. (CATL), Hunan Brunp Recycling Technology Co., Ltd. (Brunp) and GEM Co., Ltd (GEM), to work together on battery closed-loop recycling project in China. In the future, scrapped Mercedes-Benz EV batteries will be handed over to GEM and Brunp. Key raw materials including nickel, cobalt, manganese, and lithium will be extracted through advanced recycling technologies then resupplied to CATL’s supply chain, producing new batteries for Mercedes-Benz cars. The parties have also committed to jointly researching and developing new technologies and business models focusing on battery recycling.</t>
    <phoneticPr fontId="3" type="noConversion"/>
  </si>
  <si>
    <t>•Changan Automobile announced its joint investment with China Changan and Tianqi Automation Engineering Co., Ltd. (hereinafter referred to as Tianqi) to establish a battery recycling joint venture company, aiming to create a benchmark enterprise in the battery recycling industry. The joint venture will focus on battery recycling, second-life utilization, and regeneration businesses. The investment and construction will be carried out in three phases, with the first phase expected to be completed and put into production in 2025 (sports.sohu.com/a/772464765_121485601).0).</t>
    <phoneticPr fontId="3" type="noConversion"/>
  </si>
  <si>
    <t>• Changan Automobile announced that it had signed a memorandum of cooperation with Ganfeng Lithium. The two companies will accelerate the development of (semi) solid-state battery joint ventures and manufacturing industrialization projects. They will also collaborate on next-generation automotive power batteries, exploring the entire battery industry chain from upstream lithium ore resources, lithium salt deep processing, and battery materials to midstream battery manufacturing and downstream comprehensive recycling of used batteries.</t>
    <phoneticPr fontId="3" type="noConversion"/>
  </si>
  <si>
    <t>• BYD's 4S stores, combined with industrial parks that serve as distribution centers in provinces and cities across the country, form a recycling network for retired batteries. In terms of evaluation and screening, BYD's recycling factories dismantle and assess retired batteries, selecting appropriate methods for comprehensive utilization of the batteries. By virtue of the core technology brought by the closed-loop value chain, the recycling factories have achieved efficient and refined dismantling and recycling. 
• BYD's recycling factories recycle cathode materials and have reached cooperation with whitelist enterprises in the field of recycling. Currently, BYD has set up recycling factories in Shanghai and Guangdong, with a total annual production capacity of 1.3GWh (2023 CSR Report, page 85). 
• BYD and Lithium Australia signed an exclusive three-year agreement to recycle BYD’s lithium iron phosphate (LFP) Blade Batteries through Envirostream Australia, a wholly-owned subsidiary of Lithium Australia.</t>
    <phoneticPr fontId="3" type="noConversion"/>
  </si>
  <si>
    <t>• BYD established  Huaihai Fudi Sodium Battery Technology (Xuzhou) Co., Ltd  to focus on  battery manufacturing and sales, as well as the recycling and repurposing of used electric vehicle power batteries ( https://libattery.ofweek.com/2024-05/ART-36008-8120-30633915.html)0).
• BYD collaborates with  GEM Co., Ltd. to jointly explore a circular business model in the industrial chain. This model encompasses the progression from recycling waste materials to creating new types of battery materials, and ultimately, to their use in energy storage stations. (http://www.xinhuanet.com/finance/2022-01/26/c_1128300756.htm)(from previous information collection)</t>
    <phoneticPr fontId="3" type="noConversion"/>
  </si>
  <si>
    <t>No score was given as recycling mechanism was established for hybrid batteries. 
•) Mazda is committed to collecting LiBs installed in vehicles launched in and after October 2012 through the LiB Joint Collection System of Japan Auto Recycling Partnership, Ltd. The Company also independently collects NiMH batteries installed in the Axela (Mazda3 overseas) Hybrid (launched in November 2013). Moreover, Mazda publishes the disposal work procedure guidelines on its website and promotes appropriate disposal to ensure that the relevant business operators can safely recycle vehicles using LiBs and NiMH batteries as well as those equipped with deceleration energy regeneration system capacitor (https://www.mazda.com/en/sustainability/environment/resource-circulation/).</t>
    <phoneticPr fontId="3" type="noConversion"/>
  </si>
  <si>
    <t>• Tesla recycled all battery manufacturing waste from the Gigafactory Texas  (page 50) and Tesla optimized the recyclability of battery materials In-House where it expanded the Tesla Operating System to include recovery of end-of-life vehicles and battery packs, and continued to track 100% of manufacturing scrap generated at each of our production facilities (page 110). Tesla  processed manufacturing scrap from lithium-ion cells at the Gigafactory Nevada cell recycling site (2023 Impact Report, page 157).
• Tesla continued to invest in and scale  efforts to process recovered materials at Gigafactory Nevada, and remanufacturing facilities in California and at Gigafactory New York. In addition, Tesla also provided material to third-party recyclers. Once battery materials have been extracted from end-of-life products and refined into battery-quality raw materials, they were  reincorporated into new products.(2023 Impact Report, Page 110). 
• Over 90% materials recovered from returned or end of life products and manufacturing scrap were recyled; approximately 500+mt per month battery recycling at Nevada; 650 MWh of battery materials processed at the battery shredding facility; and 3 GWh of battery materials sent to recycling partners (2023 Impact Report, Page 112).</t>
    <phoneticPr fontId="3" type="noConversion"/>
  </si>
  <si>
    <t>• SAIC has 15,446 recognized NEV battery recycling service points in China, with a focus on the eastern region as of April 2024. Guangdong, Jiangsu, Shandong, and Zhejiang have the highest numbers of service points and the top 10 provinces also include Henan, Hebei, Sichuan, Hunan, Fujian, and Hubei. Major companies involved in the battery recycling network include Haoxin Automobile, SAIC Volkswagen, FAW Toyota, and others, with Haoxin having the most service points at 989. (http://www.caeerr.com/i/3928.html)</t>
    <phoneticPr fontId="3" type="noConversion"/>
  </si>
  <si>
    <t>• SAIC partnered with PetroCHina and CATL for form Shanghai Jieneng Zhidian New Energy Technology Co, which engage in battery leasing, swapping, repurposing (https://new.qq.com/rain/a/20220926A04KHM00)
• SAIC Motor's first power battery cascade utilization project has been successfully implemented  (https://finance.sina.com.cn/tech/csj/2022-10-17/doc-imqqsmrp2822163.shtml)</t>
    <phoneticPr fontId="3" type="noConversion"/>
  </si>
  <si>
    <r>
      <t>• In 2023, Honeycomb Energy (</t>
    </r>
    <r>
      <rPr>
        <sz val="12"/>
        <color theme="1"/>
        <rFont val="Microsoft YaHei"/>
        <family val="2"/>
        <charset val="134"/>
      </rPr>
      <t>蜂巢能源</t>
    </r>
    <r>
      <rPr>
        <sz val="12"/>
        <color theme="1"/>
        <rFont val="Calibri"/>
        <family val="2"/>
      </rPr>
      <t xml:space="preserve"> GWM hold 70%)'s subsidiary Tengqingqing(</t>
    </r>
    <r>
      <rPr>
        <sz val="12"/>
        <color theme="1"/>
        <rFont val="Microsoft YaHei"/>
        <family val="2"/>
        <charset val="134"/>
      </rPr>
      <t>藤青青</t>
    </r>
    <r>
      <rPr>
        <sz val="12"/>
        <color theme="1"/>
        <rFont val="Calibri"/>
        <family val="2"/>
      </rPr>
      <t>) Renewable Resources and Tianqi Co., Ltd. established a joint venture focused on lithium iron phosphate recycling to address environmental and lithium carbonate supply issues. It's part of a broader effort by Honeycomb Energy to contribute to China's "3060" dual carbon goals through sustainable battery recycling, enhancing efficiency and reducing pollution. The project completed its construction in December 2023, and officially commenced production in the first half of 2024. (https://www.svolt.cn/wap/about_newdal.php?tab=about&amp;VID=190 and http://www.srkfq.gov.cn/srkfq/006/202209/1d79d93fa3bc4f39b3e84d5b58a6e456.shtml)
• The Board Secretary of Great Wall Motors, informed "Securities Daily" reporters that the company has established nearly 200 battery recycling sites utilizing 4S dealership resources. (http://www.news.cn/fortune/2022-01/26/c_1128300756.htm)</t>
    </r>
    <phoneticPr fontId="3" type="noConversion"/>
  </si>
  <si>
    <t>• Hyundai established a battery circulation system that aims for sustainability through the recycling and reuse of second-life batteries generated from end-of-life EVs. Hyundai planned to build a stable electric vehicle ecosystem by strengthening its battery raw material supply capabilities in the region through the virtuous battery circulation system (page 41). Hyundai Motor Company will be in charge of creating a system that will enables the company to obtain large amounts of secondlife batteries through  global sales and service network (2024 Sustainability Report, page 41).
• Hyundai is collaborating with Hyundai GLOVIS and other Group affiliates in the establishment of a value chain for urban mining based on waste batteries in Europe (2024 Sustainability Report, page 41).
• Hyundai invested in CCUS and will continue to pursue offsetting activities such as recycling second life batteries for ESS and restoring marine ecosystems (2024 Sustainability Report, page 25)
• Together with Hyundai, Kia is developing a global network and transport control system to collect used batteries from various locations around the world, including scrap yards and dealerships. These batteries will be transported by Hyundai GLOVIS (2024 Report, page 48).</t>
    <phoneticPr fontId="3" type="noConversion"/>
  </si>
  <si>
    <t xml:space="preserve">• Hyundai planned to use its global logistics network to conduct a business that recovers second-life batteries through ground/marine transportation and then links them to recycling operations. It will also reuse the collected second-life batteries for energy storage system (ESS) (2024 Sustainability report, page 41).
• Hyundai, in cooperation with the Korea Water Resources Corporation, built a new 400 kWh ESS in Busan Eco Delta Smart City, which will be used in the P2P-based power transaction pilot project. Since 2023, Hyundai’s various ESS pilot projects based on second-life batteries have been led by Hyundai GLOVIS.Hyundai planned to strengthen the ESS business based on waste batteries through a unified pipeline ranging from Hyundai GLOVIS’ second-life battery recovery/diagnosis/pre-treatment system to the reuse business (2024 Sustainability report, page 41).
• Kia signed a contract to supply used batteries to Encore | DB, a company specialized in second-life battery energy storage systems (BESS) under the German rail logistics company Deutsche Bahn AG. Under this agreement, Kia will supply used Soul EV (PS) batteries to Encore | DB, who will disassemble the supplied battery pack and analyze the battery's state of health (SOH). Batteries with sufficient SOH are used as components in secondlife BESS, and when they no longer have sufficient SOH for further use, they are recycled (2024 Report, page 48). </t>
    <phoneticPr fontId="3" type="noConversion"/>
  </si>
  <si>
    <t>• Geely established an automobile circular ecosystem covering circular vehicles, circular parts, circular materials, battery recycling (2023 ESG Report, page 44). In 2023, the Group established a Circular Manufacturing Center with a focus on the circular economy, centering around 5 business sectors: circular vehicles, circular parts, circular materials, battery recycling, and circular business (2023 ESG Report, page 57).
• VREMT, a subsidiary of the Geely Group, is responsible for handling the ZEEKR batteries it produces, the related aftersales battery maintenance and scrapping of BEVs of other brands of the Group will also be handled by VREMT (Page 68, 2023 ESG Report). The Group undertakes the responsibility for the recycling of used batteries of NEVs, and has established a battery traceability and recycling management system, which is connected with the national battery traceability management system (2023 CSR Report, page 30).
• Volvo Cars established regional battery centres in the EU, US and China to maximise battery utilisation, minimise environmental impact and enable circular material flows. Volvo cARS started working with battery recyclers in China to develop battery material closed loops (2024 Annual Report, page 161).</t>
    <phoneticPr fontId="3" type="noConversion"/>
  </si>
  <si>
    <t xml:space="preserve">• Renault Group through "the Future Is NEUTRAL" developed strategic partnerships to set up a closed-loop battery recycling process. The aim is to recycle all the materials present in the batteries (cobalt, nickel, lithium) at the necessary level of purity to enable them to be reused to manufacture new batteries. Renault Group has set an 80% recovery target to be met by 2030 for these three metals from end-of-life 80% batteries life. As of 2024, over 4000 batteries have been recycled to date (2024 Integrated Report). 
</t>
    <phoneticPr fontId="3" type="noConversion"/>
  </si>
  <si>
    <t>•  Renault Group has transformed its Flins plant into the first industrial site dedicated to circular activities and rebaptised Refactory. Amongst the different activities implemented at the Refactory figures the battery expert repairing centre operated by GAIA, a company of The Future is NEUTRAL. Almost 15,000 batteries have already been repaired and more than 2000 baterries have been repurposed for second life opportunities (2024 Integrated Report).
• Renault is in partnership with Mobilize beyond automotive for battery second life initiatives such as energy storage applications, refactory for repaid and dismantling of batteries, and indra for collection and dismantling of batteries. Approximately 20 battery repair workshops. (https://www.renaultgroup.com/wp-content/uploads/2023/05/20230525-changenow-conference.pdf).</t>
    <phoneticPr fontId="3" type="noConversion"/>
  </si>
  <si>
    <t>• Jaguar Land Rover (JLR) and Altilium, a British recycling firm,  will build and test battery cells made using recycled materials from old Jaguar i-Pace electric vehicles in a pilot project to demonstrate recycled battery production is possible at scale. Part-funded by Tata Motors, JLR, Altilium and the UK state-backed Advanced Propulsion Centre will run over the course of the next year and take cathode active materials from used i-Pace batteries and make new cells for testing in new JLR EV (https://www.reuters.com/business/autos-transportation/jlr-altilium-test-ev-batteries-made-with-recycled-materials-2024-09-26/).
• JLR recycled EV Cells from obsolete vehicles at scale through RECOVAS, which offers the potential for a new circular supply  chain for electric vehicle batteries in the UK (TM Integrated Report, page 113)
• Tata Motors has a recycling operations at a 3P facility located near Mumbai. The operations, launched at pilot scale, has successfully recycled the spent Li-ion batteries and endeavored to scale it to recycle 500 tons of spent Li-ion batteries (Tata Chemicals press release) (https://www.tatachemicals.com/Asia/News-room/Press-release/tata-chemicals-lion-battery-operations).</t>
    <phoneticPr fontId="3" type="noConversion"/>
  </si>
  <si>
    <r>
      <t>• JLR has developed a new portable Battery Energy Storage System (BESS) using second</t>
    </r>
    <r>
      <rPr>
        <sz val="12"/>
        <color theme="1"/>
        <rFont val="Cambria Math"/>
        <family val="2"/>
        <charset val="1"/>
      </rPr>
      <t>‑</t>
    </r>
    <r>
      <rPr>
        <sz val="12"/>
        <color theme="1"/>
        <rFont val="Calibri"/>
        <family val="2"/>
      </rPr>
      <t>life Range Rover and Range Rover Sport PHEV batteries The unit, in collaboration with energy storage start</t>
    </r>
    <r>
      <rPr>
        <sz val="12"/>
        <color theme="1"/>
        <rFont val="Cambria Math"/>
        <family val="2"/>
        <charset val="1"/>
      </rPr>
      <t>‑</t>
    </r>
    <r>
      <rPr>
        <sz val="12"/>
        <color theme="1"/>
        <rFont val="Calibri"/>
        <family val="2"/>
      </rPr>
      <t>up Allye Energy, is the first BESS to be commercially available with JLR battery packs Each BESS utilises seven second</t>
    </r>
    <r>
      <rPr>
        <sz val="12"/>
        <color theme="1"/>
        <rFont val="Cambria Math"/>
        <family val="2"/>
        <charset val="1"/>
      </rPr>
      <t>‑</t>
    </r>
    <r>
      <rPr>
        <sz val="12"/>
        <color theme="1"/>
        <rFont val="Calibri"/>
        <family val="2"/>
      </rPr>
      <t>life batteries, and can store 270kWh of energy (https://media.jaguarlandrover.com/news/2024/04/jlr-powers-zero-emissions-charging-go-first-battery-energy-storage-system-using-second).
• JLR collaborated with Wykes Engineering to develop one of the largest energy storage systems in the UK to harness solar and wind power using second</t>
    </r>
    <r>
      <rPr>
        <sz val="12"/>
        <color theme="1"/>
        <rFont val="Cambria Math"/>
        <family val="2"/>
        <charset val="1"/>
      </rPr>
      <t>‑</t>
    </r>
    <r>
      <rPr>
        <sz val="12"/>
        <color theme="1"/>
        <rFont val="Calibri"/>
        <family val="2"/>
      </rPr>
      <t>life EV batteries  Battery Energy Storage System (BESS)  (https://media.jaguarlandrover.com/news/2023/08/jlr-creates-new-renewable-energy-storage-system-used-car-batteries).</t>
    </r>
    <phoneticPr fontId="3" type="noConversion"/>
  </si>
  <si>
    <t>• Chery has formulated the "Management Control Procedure for Power Battery Traceability" to strengthen the recycling management of power batteries for NEVs. It  specifies the requirements for power battery traceability at the R&amp;D, production, sales and aftersales stages and carries out full-process information acquisition and uploading to ensure that battery recycling information at all stages is transparent and traceable, and reduce the risk of environmental impacts during battery recycling (2023 ESG Report, page 47).</t>
    <phoneticPr fontId="3" type="noConversion"/>
  </si>
  <si>
    <t>• Chery signed a strategic cooperation agreement with Guanghua Technology. The two parties will collaborate on the recycling and processing of used batteries, as well as remanufacturing of battery materials (https://www.sohu.com/a/294390700_120044724)
• Chery planned to invest 70 million yuan for its  battery recycling and repurposing project, which is under construction by its subsidiary, Anhui Jiaqi Energy Technology Co., Ltd.(http://www.icbattery.com/news/show-htm-itemid-48030.html)</t>
    <phoneticPr fontId="3" type="noConversion"/>
  </si>
  <si>
    <t xml:space="preserve">• Nissan announced a new joint project with Altilium, a UK-based clean technology group, which is aimed at improving the sustainability of UK-made EV batteries by recycling used batteries (https://chargedevs.com/newswire/altilium-partners-with-nissan-on-ev-battery-recycling-project/).
• Nissan planned to build two new EVs at the UK plant.
</t>
    <phoneticPr fontId="3" type="noConversion"/>
  </si>
  <si>
    <t>• Nissan joined forces with Sumitomo Corporation and established 4R Energy Corporation, which specializes in secondary use of lithiumion batteries. The 4R Energy Corporation has promoted the development of technologies for the reuse of used batteries at its plant in the town of Namie, Fukushima Prefecture. (2024 Databook, page 42).
• Nissan partnered with Ecobat Solutions UK Ltd. for a second life of used EVs in the UK. The two companies are working together to investigate how EV batteries, from Nissan LEAFs that are no longer on the road, can be located within the UK salvage network and then be safely recovered, repaired, recycled or repurposed to create a sustainable circular energy economy (https://uk.nissannews.com/en-GB/releases/nissan-and-ecobat-to-give-used-ev-batteries-a-second-life-beyond-the-car and https://ecobat.com/2024/04/nissan-and-ecobat-to-give-used-ev-batteries-a-second-life-beyond-the-car/).
• Nissan continued to work on efforts to utilize the onboard battery as a storage battery and for secondary use at the EV36Zero facility in the UK. In July 2021, Nissan unveiled  as the world’s first hub to create an ecosystem for electric vehicle (EV) manufacturing in order to advance the next phase of the automotive industry and achieve carbon neutrality in Europe.</t>
    <phoneticPr fontId="3" type="noConversion"/>
  </si>
  <si>
    <r>
      <t>• Mercedes-Benz Energy GmbH, based in Kamenz, Germany,  is responsible for the development of innovative energy storage solutions by using automotive battery technology employed in the electric and hybrid vehicles from Mercedes-Benz and smart (2024 Annual Report, page 133).
• Mercedes</t>
    </r>
    <r>
      <rPr>
        <sz val="12"/>
        <color theme="1"/>
        <rFont val="Cambria Math"/>
        <family val="2"/>
        <charset val="1"/>
      </rPr>
      <t>‑</t>
    </r>
    <r>
      <rPr>
        <sz val="12"/>
        <color theme="1"/>
        <rFont val="Calibri"/>
        <family val="2"/>
      </rPr>
      <t>Benz Group, Mercedes-Benz Energy GmbH and Beijing Electric Vehicle Co., Ltd. (BJEV), a subsidiary of the BAIC Group, have entered into a development partnership, intending to establish 2nd-life energy storage systems in China. Together, Mercedes-Benz Energy and Beijing Electric Vehicle plan to set up the first 2nd-life energy storage unit in Beijing, making use of retired BJEV electric car batteries. This project will serve as the basis for other types of cooperation in the future (https://www.mercedes-benz.com/en/mercedes-benz-energy/media/).
• Mercedes-Benz announced a partnership with Huayou Energy in Jiangsu to launch a pilot project for the "Solar Storage Charging" integrated power battery second-life utilization at Fujian Benz. The project features a 500kWh energy storage system and 8 intelligent charging stations, designed to store electricity generated from solar power and during low-grid periods. (https://dchslm.com/index.php?m=home&amp;c=View&amp;a=index&amp;aid=10690).</t>
    </r>
    <phoneticPr fontId="3" type="noConversion"/>
  </si>
  <si>
    <t>United States</t>
    <phoneticPr fontId="3" type="noConversion"/>
  </si>
  <si>
    <t>BMW aims to use “low-carbon” steel to meet over 40% of demand at its European plants by 2030 (BMW Group, 2022).</t>
    <phoneticPr fontId="3" type="noConversion"/>
  </si>
  <si>
    <t>VW is committed to 300,000 tonnes CO2 reduced steel or 3.9% of VW steel and 74,000 tonnes as CO2 reduced from Salzgitter EAF.</t>
    <phoneticPr fontId="3" type="noConversion"/>
  </si>
  <si>
    <t xml:space="preserve">Mercedes-Benz is committed to 200,000 tonnes of green steel,  100,000 of which are fossil fuel steel </t>
    <phoneticPr fontId="3" type="noConversion"/>
  </si>
  <si>
    <t>GM is a member of the FMC, which commits to at least 10% (by volume) of near-zero emission steel annually for crude steel purchases by 2030. This only applies to operations in the United States, Canada, and Mexico, regions that accounted for about 54% of the company’s steel use in 2024 (2022 Sustainability Report).</t>
    <phoneticPr fontId="3" type="noConversion"/>
  </si>
  <si>
    <t>Ford is a member of the FMC, which commits to at least 10% (by volume) of near-zero emission steel annually for crude steel purchases by 2030 (https://media.ford.com/content/fordmedia/img/me/en/news/2022/06/06/ford-motor-company-joins-first-movers-coalition--announces-new-c.html)</t>
    <phoneticPr fontId="3" type="noConversion"/>
  </si>
  <si>
    <t>Volvo has 50% CO2 reduced steel by 2030 based on SteelZero commitment (https://www.media.volvocars.com/global/en-gb/media/pressreleases/301755/volvo-cars-is-first-car-maker-to-join-steelzero-initiative-in-support-of-fossil-free-steel-ambitions)</t>
    <phoneticPr fontId="3" type="noConversion"/>
  </si>
  <si>
    <t>1. MOU with Saltzgitter
2. MOU with Thyssenkrupp
3. MOU with Tata Steel for EU plant after 2030</t>
    <phoneticPr fontId="3" type="noConversion"/>
  </si>
  <si>
    <t>1. MOU up to 300,000 tonnes with Vulcan starting 2027 (3.7% reduced emission steel)
2. Secure supply up to 35,000 tonnes with H2 Green Steel starting 2025 (0.4% fossil free steel)
3. MOU with Salzgitter starting 2025 quantity?
4. 74,000 tonnes of scrap steel going back to VW from Salzgitter
5. MOU with Thyssenkrupp</t>
    <phoneticPr fontId="3" type="noConversion"/>
  </si>
  <si>
    <t>1. Secure supply with U.S. Steel
2. Secure supply with ArcelorMittal
3. Secure supply with Nucor</t>
    <phoneticPr fontId="3" type="noConversion"/>
  </si>
  <si>
    <t>1. Secure supply fossil-fuel SSAB by 2026</t>
    <phoneticPr fontId="3" type="noConversion"/>
  </si>
  <si>
    <t>1. Secure supply steel from H2 Green Steel to European factory starting 2025
2. Secure renewable energy EAF supply from SDI 
3. Secure renewable energy EAF supply from U.S.Steel's Big River Steel plant
4. Secure supply low carbon steel from Saltzgitter startting 2026 that could be switch to green hydrogen + RE eventually (by 2033?)
5. MOU with HBIS</t>
    <phoneticPr fontId="3" type="noConversion"/>
  </si>
  <si>
    <t>1. MOU Baosteel and Chery</t>
    <phoneticPr fontId="3" type="noConversion"/>
  </si>
  <si>
    <t>1. Secure supply for 50,000 almost CO2 free steel from H2 Green Steel for European factory starting in 2025
2. Secure supply for 50,000 tonnes from Steel Dynamics in 2023
4. Secure Supply from Arvedi scrap with 100% RE 2023
5. Secure supply with Nucor for Econiq RE
6. Secure supply with Saltzgitter on scrap only EAF
7. LOI with Thyssenkrupp CO2 reduced steel in 2026 that would be almost CO2 free "if green hydrogen is available"
8. LOI from Saltzgitter raw steel from green electricity 
9. LOI voelstapine EAF</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</si>
</sst>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76" formatCode="_(* #,##0_);_(* \(#,##0\);_(* &quot;-&quot;??_);_(@_)"/>
    <numFmt numFmtId="177" formatCode="0.0%"/>
    <numFmt numFmtId="178" formatCode="0.0"/>
    <numFmt numFmtId="179" formatCode="0.00_);[Red]\(0.00\)"/>
    <numFmt numFmtId="180" formatCode="0.0_);[Red]\(0.0\)"/>
    <numFmt numFmtId="181" formatCode="0_);[Red]\(0\)"/>
    <numFmt numFmtId="182" formatCode="0.000"/>
    <numFmt numFmtId="183" formatCode="_(* #,##0.000_);_(* \(#,##0.000\);_(* &quot;-&quot;??_);_(@_)"/>
    <numFmt numFmtId="184" formatCode="0;[Red]0"/>
    <numFmt numFmtId="185" formatCode="0.000000000_ "/>
    <numFmt numFmtId="186" formatCode="0.0_ "/>
    <numFmt numFmtId="187" formatCode="0_ "/>
  </numFmts>
  <fonts count="54">
    <font>
      <sz val="12"/>
      <color theme="1"/>
      <name val="等线"/>
      <family val="2"/>
      <charset val="134"/>
      <scheme val="minor"/>
    </font>
    <font>
      <sz val="12"/>
      <color theme="1"/>
      <name val="等线"/>
      <family val="2"/>
      <scheme val="minor"/>
    </font>
    <font>
      <sz val="12"/>
      <color theme="1"/>
      <name val="等线"/>
      <family val="2"/>
      <scheme val="minor"/>
    </font>
    <font>
      <sz val="9"/>
      <name val="等线"/>
      <family val="2"/>
      <charset val="134"/>
      <scheme val="minor"/>
    </font>
    <font>
      <sz val="9"/>
      <name val="等线"/>
      <family val="3"/>
      <charset val="134"/>
      <scheme val="minor"/>
    </font>
    <font>
      <sz val="12"/>
      <color theme="1"/>
      <name val="等线"/>
      <family val="2"/>
      <charset val="134"/>
      <scheme val="minor"/>
    </font>
    <font>
      <b/>
      <sz val="12"/>
      <color theme="1"/>
      <name val="等线"/>
      <family val="4"/>
      <charset val="134"/>
      <scheme val="minor"/>
    </font>
    <font>
      <u/>
      <sz val="12"/>
      <color theme="10"/>
      <name val="等线"/>
      <family val="2"/>
      <charset val="134"/>
      <scheme val="minor"/>
    </font>
    <font>
      <sz val="12"/>
      <color theme="1"/>
      <name val="等线"/>
      <family val="4"/>
      <charset val="134"/>
      <scheme val="minor"/>
    </font>
    <font>
      <sz val="12"/>
      <color theme="1"/>
      <name val="Calibri"/>
      <family val="2"/>
    </font>
    <font>
      <b/>
      <sz val="12"/>
      <color theme="1"/>
      <name val="Calibri"/>
      <family val="2"/>
    </font>
    <font>
      <sz val="12"/>
      <name val="Calibri"/>
      <family val="2"/>
    </font>
    <font>
      <sz val="12"/>
      <color theme="5"/>
      <name val="Calibri"/>
      <family val="2"/>
    </font>
    <font>
      <sz val="11"/>
      <color theme="1"/>
      <name val="等线"/>
      <family val="2"/>
      <scheme val="minor"/>
    </font>
    <font>
      <u/>
      <sz val="11"/>
      <color theme="10"/>
      <name val="等线"/>
      <family val="2"/>
      <scheme val="minor"/>
    </font>
    <font>
      <sz val="11"/>
      <color theme="1"/>
      <name val="Calibri"/>
      <family val="2"/>
    </font>
    <font>
      <sz val="12"/>
      <color theme="3" tint="-0.499984740745262"/>
      <name val="等线"/>
      <family val="4"/>
      <charset val="134"/>
      <scheme val="minor"/>
    </font>
    <font>
      <u/>
      <sz val="12"/>
      <color theme="10"/>
      <name val="等线"/>
      <family val="2"/>
      <scheme val="minor"/>
    </font>
    <font>
      <sz val="12"/>
      <color rgb="FF000000"/>
      <name val="Calibri"/>
      <family val="2"/>
    </font>
    <font>
      <sz val="12"/>
      <color theme="0"/>
      <name val="Calibri"/>
      <family val="2"/>
    </font>
    <font>
      <b/>
      <sz val="12"/>
      <color theme="0"/>
      <name val="Calibri"/>
      <family val="2"/>
    </font>
    <font>
      <u/>
      <sz val="12"/>
      <color theme="10"/>
      <name val="Calibri"/>
      <family val="2"/>
    </font>
    <font>
      <b/>
      <sz val="12"/>
      <color theme="8"/>
      <name val="Calibri"/>
      <family val="2"/>
    </font>
    <font>
      <b/>
      <sz val="14"/>
      <color theme="1"/>
      <name val="Calibri"/>
      <family val="2"/>
    </font>
    <font>
      <b/>
      <sz val="12"/>
      <color theme="0"/>
      <name val="等线"/>
      <family val="4"/>
      <charset val="134"/>
      <scheme val="minor"/>
    </font>
    <font>
      <b/>
      <sz val="12"/>
      <color theme="0"/>
      <name val="等线"/>
      <family val="3"/>
      <charset val="134"/>
    </font>
    <font>
      <b/>
      <sz val="16"/>
      <color theme="5"/>
      <name val="Calibri"/>
      <family val="2"/>
    </font>
    <font>
      <sz val="12"/>
      <color theme="0"/>
      <name val="等线"/>
      <family val="2"/>
      <charset val="134"/>
      <scheme val="minor"/>
    </font>
    <font>
      <sz val="12"/>
      <color theme="1"/>
      <name val="Arial"/>
      <family val="2"/>
    </font>
    <font>
      <b/>
      <sz val="18"/>
      <color theme="5"/>
      <name val="Calibri"/>
      <family val="2"/>
    </font>
    <font>
      <b/>
      <sz val="12"/>
      <color theme="9"/>
      <name val="Calibri"/>
      <family val="2"/>
    </font>
    <font>
      <b/>
      <sz val="12"/>
      <color theme="6"/>
      <name val="Calibri"/>
      <family val="2"/>
    </font>
    <font>
      <sz val="12"/>
      <name val="等线"/>
      <family val="4"/>
      <charset val="134"/>
      <scheme val="minor"/>
    </font>
    <font>
      <sz val="12"/>
      <color rgb="FFFFFFFF"/>
      <name val="Calibri"/>
      <family val="2"/>
    </font>
    <font>
      <sz val="12"/>
      <color theme="1"/>
      <name val="Cambria Math"/>
      <family val="2"/>
      <charset val="1"/>
    </font>
    <font>
      <sz val="12"/>
      <name val="等线"/>
      <family val="2"/>
      <charset val="134"/>
      <scheme val="minor"/>
    </font>
    <font>
      <b/>
      <sz val="12"/>
      <name val="等线"/>
      <family val="4"/>
      <charset val="134"/>
      <scheme val="minor"/>
    </font>
    <font>
      <sz val="12"/>
      <color rgb="FFFF0000"/>
      <name val="Calibri"/>
      <family val="2"/>
    </font>
    <font>
      <sz val="12"/>
      <color theme="1"/>
      <name val="Microsoft YaHei"/>
      <family val="2"/>
      <charset val="134"/>
    </font>
    <font>
      <sz val="12"/>
      <color rgb="FF000000"/>
      <name val="Calibri"/>
      <family val="2"/>
      <charset val="134"/>
    </font>
    <font>
      <b/>
      <sz val="12"/>
      <name val="Calibri"/>
      <family val="2"/>
    </font>
    <font>
      <b/>
      <sz val="12"/>
      <color rgb="FF000000"/>
      <name val="Calibri"/>
      <family val="2"/>
    </font>
    <font>
      <b/>
      <sz val="12"/>
      <color theme="5"/>
      <name val="Calibri"/>
      <family val="2"/>
    </font>
    <font>
      <b/>
      <sz val="12"/>
      <color rgb="FFFFFFFF"/>
      <name val="Calibri"/>
      <family val="2"/>
    </font>
    <font>
      <sz val="12"/>
      <color theme="0"/>
      <name val="等线"/>
      <family val="4"/>
      <charset val="134"/>
      <scheme val="minor"/>
    </font>
    <font>
      <b/>
      <sz val="12"/>
      <color rgb="FFFF0000"/>
      <name val="等线"/>
      <family val="4"/>
      <charset val="134"/>
      <scheme val="minor"/>
    </font>
    <font>
      <sz val="14"/>
      <color theme="5"/>
      <name val="Calibri"/>
      <family val="2"/>
    </font>
    <font>
      <b/>
      <sz val="12"/>
      <color rgb="FFC00000"/>
      <name val="Calibri"/>
      <family val="2"/>
    </font>
    <font>
      <b/>
      <sz val="12"/>
      <color theme="1" tint="4.9989318521683403E-2"/>
      <name val="Calibri"/>
      <family val="2"/>
    </font>
    <font>
      <sz val="12"/>
      <color theme="1"/>
      <name val="Calibri (Body)"/>
    </font>
    <font>
      <sz val="12"/>
      <color rgb="FF000000"/>
      <name val="Calibri (Body)"/>
    </font>
    <font>
      <sz val="12"/>
      <color rgb="FFFFFFFF"/>
      <name val="Calibri (Body)"/>
    </font>
    <font>
      <b/>
      <sz val="11"/>
      <color theme="0"/>
      <name val="等线"/>
      <family val="4"/>
      <charset val="134"/>
      <scheme val="minor"/>
    </font>
    <font>
      <sz val="11"/>
      <color theme="0"/>
      <name val="等线"/>
      <family val="4"/>
      <charset val="134"/>
      <scheme val="minor"/>
    </font>
  </fonts>
  <fills count="152">
    <fill>
      <patternFill patternType="none"/>
    </fill>
    <fill>
      <patternFill patternType="gray125"/>
    </fill>
    <fill>
      <patternFill patternType="solid">
        <fgColor rgb="FF45818E"/>
        <bgColor rgb="FF45818E"/>
      </patternFill>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7A94"/>
        <bgColor rgb="FF000000"/>
      </patternFill>
    </fill>
    <fill>
      <patternFill patternType="solid">
        <fgColor theme="0"/>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rgb="FF007A94"/>
        <bgColor indexed="64"/>
      </patternFill>
    </fill>
    <fill>
      <patternFill patternType="solid">
        <fgColor rgb="FFF2F2F2"/>
        <bgColor rgb="FF000000"/>
      </patternFill>
    </fill>
    <fill>
      <patternFill patternType="solid">
        <fgColor rgb="FFFFFFFF"/>
        <bgColor rgb="FF000000"/>
      </patternFill>
    </fill>
    <fill>
      <patternFill patternType="solid">
        <fgColor rgb="FFF4AF00"/>
        <bgColor rgb="FF000000"/>
      </patternFill>
    </fill>
    <fill>
      <patternFill patternType="solid">
        <fgColor rgb="FFF7DBD5"/>
        <bgColor rgb="FF000000"/>
      </patternFill>
    </fill>
    <fill>
      <patternFill patternType="solid">
        <fgColor rgb="FFE1EDD3"/>
        <bgColor rgb="FF000000"/>
      </patternFill>
    </fill>
    <fill>
      <patternFill patternType="solid">
        <fgColor rgb="FFC5DCA9"/>
        <bgColor rgb="FF000000"/>
      </patternFill>
    </fill>
    <fill>
      <patternFill patternType="solid">
        <fgColor rgb="FFB7F2FF"/>
        <bgColor rgb="FF000000"/>
      </patternFill>
    </fill>
    <fill>
      <patternFill patternType="solid">
        <fgColor rgb="FFCAF6FF"/>
        <bgColor rgb="FF000000"/>
      </patternFill>
    </fill>
    <fill>
      <patternFill patternType="solid">
        <fgColor rgb="FFBDF4FF"/>
        <bgColor rgb="FF000000"/>
      </patternFill>
    </fill>
    <fill>
      <patternFill patternType="solid">
        <fgColor rgb="FFFBDC8E"/>
        <bgColor rgb="FF000000"/>
      </patternFill>
    </fill>
    <fill>
      <patternFill patternType="solid">
        <fgColor rgb="FFF9D372"/>
        <bgColor rgb="FF000000"/>
      </patternFill>
    </fill>
    <fill>
      <patternFill patternType="solid">
        <fgColor rgb="FFF7C340"/>
        <bgColor rgb="FF000000"/>
      </patternFill>
    </fill>
    <fill>
      <patternFill patternType="solid">
        <fgColor rgb="FF419CB0"/>
        <bgColor rgb="FF000000"/>
      </patternFill>
    </fill>
    <fill>
      <patternFill patternType="solid">
        <fgColor rgb="FFDCF9FF"/>
        <bgColor rgb="FF000000"/>
      </patternFill>
    </fill>
    <fill>
      <patternFill patternType="solid">
        <fgColor rgb="FFE9FBFF"/>
        <bgColor rgb="FF000000"/>
      </patternFill>
    </fill>
    <fill>
      <patternFill patternType="solid">
        <fgColor rgb="FFDDF9FF"/>
        <bgColor rgb="FF000000"/>
      </patternFill>
    </fill>
    <fill>
      <patternFill patternType="solid">
        <fgColor rgb="FFFBDD90"/>
        <bgColor rgb="FF000000"/>
      </patternFill>
    </fill>
    <fill>
      <patternFill patternType="solid">
        <fgColor rgb="FFFFFBF0"/>
        <bgColor rgb="FF000000"/>
      </patternFill>
    </fill>
    <fill>
      <patternFill patternType="solid">
        <fgColor rgb="FFFADA88"/>
        <bgColor rgb="FF000000"/>
      </patternFill>
    </fill>
    <fill>
      <patternFill patternType="solid">
        <fgColor rgb="FF8AC2CE"/>
        <bgColor rgb="FF000000"/>
      </patternFill>
    </fill>
    <fill>
      <patternFill patternType="solid">
        <fgColor rgb="FFE1FAFF"/>
        <bgColor rgb="FF000000"/>
      </patternFill>
    </fill>
    <fill>
      <patternFill patternType="solid">
        <fgColor rgb="FFEFFDFF"/>
        <bgColor rgb="FF000000"/>
      </patternFill>
    </fill>
    <fill>
      <patternFill patternType="solid">
        <fgColor rgb="FFEBFCFF"/>
        <bgColor rgb="FF000000"/>
      </patternFill>
    </fill>
    <fill>
      <patternFill patternType="solid">
        <fgColor rgb="FFF0FDFF"/>
        <bgColor rgb="FF000000"/>
      </patternFill>
    </fill>
    <fill>
      <patternFill patternType="solid">
        <fgColor rgb="FFFCE5AC"/>
        <bgColor rgb="FF000000"/>
      </patternFill>
    </fill>
    <fill>
      <patternFill patternType="solid">
        <fgColor rgb="FFFEF2D4"/>
        <bgColor rgb="FF000000"/>
      </patternFill>
    </fill>
    <fill>
      <patternFill patternType="solid">
        <fgColor rgb="FFFBDE95"/>
        <bgColor rgb="FF000000"/>
      </patternFill>
    </fill>
    <fill>
      <patternFill patternType="solid">
        <fgColor rgb="FF98C9D4"/>
        <bgColor rgb="FF000000"/>
      </patternFill>
    </fill>
    <fill>
      <patternFill patternType="solid">
        <fgColor rgb="FFE7FBFF"/>
        <bgColor rgb="FF000000"/>
      </patternFill>
    </fill>
    <fill>
      <patternFill patternType="solid">
        <fgColor rgb="FFFDF0CD"/>
        <bgColor rgb="FF000000"/>
      </patternFill>
    </fill>
    <fill>
      <patternFill patternType="solid">
        <fgColor rgb="FFFDEFCB"/>
        <bgColor rgb="FF000000"/>
      </patternFill>
    </fill>
    <fill>
      <patternFill patternType="solid">
        <fgColor rgb="FFFCE5AA"/>
        <bgColor rgb="FF000000"/>
      </patternFill>
    </fill>
    <fill>
      <patternFill patternType="solid">
        <fgColor rgb="FFADD5DD"/>
        <bgColor rgb="FF000000"/>
      </patternFill>
    </fill>
    <fill>
      <patternFill patternType="solid">
        <fgColor rgb="FFECFCFF"/>
        <bgColor rgb="FF000000"/>
      </patternFill>
    </fill>
    <fill>
      <patternFill patternType="solid">
        <fgColor rgb="FFFAFEFF"/>
        <bgColor rgb="FF000000"/>
      </patternFill>
    </fill>
    <fill>
      <patternFill patternType="solid">
        <fgColor rgb="FFFEF3D9"/>
        <bgColor rgb="FF000000"/>
      </patternFill>
    </fill>
    <fill>
      <patternFill patternType="solid">
        <fgColor rgb="FFFDEABA"/>
        <bgColor rgb="FF000000"/>
      </patternFill>
    </fill>
    <fill>
      <patternFill patternType="solid">
        <fgColor rgb="FFBEDDE4"/>
        <bgColor rgb="FF000000"/>
      </patternFill>
    </fill>
    <fill>
      <patternFill patternType="solid">
        <fgColor rgb="FFEDFCFF"/>
        <bgColor rgb="FF000000"/>
      </patternFill>
    </fill>
    <fill>
      <patternFill patternType="solid">
        <fgColor rgb="FFC3F5FF"/>
        <bgColor rgb="FF000000"/>
      </patternFill>
    </fill>
    <fill>
      <patternFill patternType="solid">
        <fgColor rgb="FFFFFAEE"/>
        <bgColor rgb="FF000000"/>
      </patternFill>
    </fill>
    <fill>
      <patternFill patternType="solid">
        <fgColor rgb="FFFCE9B8"/>
        <bgColor rgb="FF000000"/>
      </patternFill>
    </fill>
    <fill>
      <patternFill patternType="solid">
        <fgColor rgb="FFFDEBBE"/>
        <bgColor rgb="FF000000"/>
      </patternFill>
    </fill>
    <fill>
      <patternFill patternType="solid">
        <fgColor rgb="FFC1DFE5"/>
        <bgColor rgb="FF000000"/>
      </patternFill>
    </fill>
    <fill>
      <patternFill patternType="solid">
        <fgColor rgb="FFF4FEFF"/>
        <bgColor rgb="FF000000"/>
      </patternFill>
    </fill>
    <fill>
      <patternFill patternType="solid">
        <fgColor rgb="FFF5FEFF"/>
        <bgColor rgb="FF000000"/>
      </patternFill>
    </fill>
    <fill>
      <patternFill patternType="solid">
        <fgColor rgb="FFFBFFFF"/>
        <bgColor rgb="FF000000"/>
      </patternFill>
    </fill>
    <fill>
      <patternFill patternType="solid">
        <fgColor rgb="FFF8FEFF"/>
        <bgColor rgb="FF000000"/>
      </patternFill>
    </fill>
    <fill>
      <patternFill patternType="solid">
        <fgColor rgb="FFFEF2D3"/>
        <bgColor rgb="FF000000"/>
      </patternFill>
    </fill>
    <fill>
      <patternFill patternType="solid">
        <fgColor rgb="FFFDF0CE"/>
        <bgColor rgb="FF000000"/>
      </patternFill>
    </fill>
    <fill>
      <patternFill patternType="solid">
        <fgColor rgb="FFD2E8EC"/>
        <bgColor rgb="FF000000"/>
      </patternFill>
    </fill>
    <fill>
      <patternFill patternType="solid">
        <fgColor rgb="FFF9FEFF"/>
        <bgColor rgb="FF000000"/>
      </patternFill>
    </fill>
    <fill>
      <patternFill patternType="solid">
        <fgColor rgb="FFFAFFFF"/>
        <bgColor rgb="FF000000"/>
      </patternFill>
    </fill>
    <fill>
      <patternFill patternType="solid">
        <fgColor rgb="FFFEF7E3"/>
        <bgColor rgb="FF000000"/>
      </patternFill>
    </fill>
    <fill>
      <patternFill patternType="solid">
        <fgColor rgb="FFFFF9EC"/>
        <bgColor rgb="FF000000"/>
      </patternFill>
    </fill>
    <fill>
      <patternFill patternType="solid">
        <fgColor rgb="FFFEF4DC"/>
        <bgColor rgb="FF000000"/>
      </patternFill>
    </fill>
    <fill>
      <patternFill patternType="solid">
        <fgColor rgb="FFE0EFF2"/>
        <bgColor rgb="FF000000"/>
      </patternFill>
    </fill>
    <fill>
      <patternFill patternType="solid">
        <fgColor rgb="FFF6FEFF"/>
        <bgColor rgb="FF000000"/>
      </patternFill>
    </fill>
    <fill>
      <patternFill patternType="solid">
        <fgColor rgb="FFFEF8E7"/>
        <bgColor rgb="FF000000"/>
      </patternFill>
    </fill>
    <fill>
      <patternFill patternType="solid">
        <fgColor rgb="FFFFFDF7"/>
        <bgColor rgb="FF000000"/>
      </patternFill>
    </fill>
    <fill>
      <patternFill patternType="solid">
        <fgColor rgb="FFFEF7E5"/>
        <bgColor rgb="FF000000"/>
      </patternFill>
    </fill>
    <fill>
      <patternFill patternType="solid">
        <fgColor rgb="FFE9F4F6"/>
        <bgColor rgb="FF000000"/>
      </patternFill>
    </fill>
    <fill>
      <patternFill patternType="solid">
        <fgColor rgb="FFFEFFFF"/>
        <bgColor rgb="FF000000"/>
      </patternFill>
    </fill>
    <fill>
      <patternFill patternType="solid">
        <fgColor rgb="FFF7FEFF"/>
        <bgColor rgb="FF000000"/>
      </patternFill>
    </fill>
    <fill>
      <patternFill patternType="solid">
        <fgColor rgb="FFFDFFFF"/>
        <bgColor rgb="FF000000"/>
      </patternFill>
    </fill>
    <fill>
      <patternFill patternType="solid">
        <fgColor rgb="FFFFFBF2"/>
        <bgColor rgb="FF000000"/>
      </patternFill>
    </fill>
    <fill>
      <patternFill patternType="solid">
        <fgColor rgb="FFFFF8E9"/>
        <bgColor rgb="FF000000"/>
      </patternFill>
    </fill>
    <fill>
      <patternFill patternType="solid">
        <fgColor rgb="FFEDF6F8"/>
        <bgColor rgb="FF000000"/>
      </patternFill>
    </fill>
    <fill>
      <patternFill patternType="solid">
        <fgColor rgb="FFFFF9E9"/>
        <bgColor rgb="FF000000"/>
      </patternFill>
    </fill>
    <fill>
      <patternFill patternType="solid">
        <fgColor rgb="FFEEF6F8"/>
        <bgColor rgb="FF000000"/>
      </patternFill>
    </fill>
    <fill>
      <patternFill patternType="solid">
        <fgColor rgb="FFFFFAEF"/>
        <bgColor rgb="FF000000"/>
      </patternFill>
    </fill>
    <fill>
      <patternFill patternType="solid">
        <fgColor rgb="FFFFF9EB"/>
        <bgColor rgb="FF000000"/>
      </patternFill>
    </fill>
    <fill>
      <patternFill patternType="solid">
        <fgColor rgb="FFEFF7F9"/>
        <bgColor rgb="FF000000"/>
      </patternFill>
    </fill>
    <fill>
      <patternFill patternType="solid">
        <fgColor rgb="FFB8F3FF"/>
        <bgColor rgb="FF000000"/>
      </patternFill>
    </fill>
    <fill>
      <patternFill patternType="solid">
        <fgColor rgb="FFFFFEFA"/>
        <bgColor rgb="FF000000"/>
      </patternFill>
    </fill>
    <fill>
      <patternFill patternType="solid">
        <fgColor rgb="FFFFFAED"/>
        <bgColor rgb="FF000000"/>
      </patternFill>
    </fill>
    <fill>
      <patternFill patternType="solid">
        <fgColor rgb="FFF1F8F9"/>
        <bgColor rgb="FF000000"/>
      </patternFill>
    </fill>
    <fill>
      <patternFill patternType="solid">
        <fgColor rgb="FFF3FDFF"/>
        <bgColor rgb="FF000000"/>
      </patternFill>
    </fill>
    <fill>
      <patternFill patternType="solid">
        <fgColor rgb="FFFCFFFF"/>
        <bgColor rgb="FF000000"/>
      </patternFill>
    </fill>
    <fill>
      <patternFill patternType="solid">
        <fgColor rgb="FFFFFFFE"/>
        <bgColor rgb="FF000000"/>
      </patternFill>
    </fill>
    <fill>
      <patternFill patternType="solid">
        <fgColor rgb="FFF4F9FB"/>
        <bgColor rgb="FF000000"/>
      </patternFill>
    </fill>
    <fill>
      <patternFill patternType="solid">
        <fgColor rgb="FFFFFCF3"/>
        <bgColor rgb="FF000000"/>
      </patternFill>
    </fill>
    <fill>
      <patternFill patternType="solid">
        <fgColor rgb="FFF7FBFC"/>
        <bgColor rgb="FF000000"/>
      </patternFill>
    </fill>
    <fill>
      <patternFill patternType="solid">
        <fgColor rgb="FFFFFCF5"/>
        <bgColor rgb="FF000000"/>
      </patternFill>
    </fill>
    <fill>
      <patternFill patternType="solid">
        <fgColor rgb="FFFAFCFD"/>
        <bgColor rgb="FF000000"/>
      </patternFill>
    </fill>
    <fill>
      <patternFill patternType="solid">
        <fgColor rgb="FFFFFEFB"/>
        <bgColor rgb="FF000000"/>
      </patternFill>
    </fill>
    <fill>
      <patternFill patternType="solid">
        <fgColor rgb="FFFFFEF9"/>
        <bgColor rgb="FF000000"/>
      </patternFill>
    </fill>
    <fill>
      <patternFill patternType="solid">
        <fgColor rgb="FFFFFCF4"/>
        <bgColor rgb="FF000000"/>
      </patternFill>
    </fill>
    <fill>
      <patternFill patternType="solid">
        <fgColor theme="6" tint="0.59999389629810485"/>
        <bgColor rgb="FF000000"/>
      </patternFill>
    </fill>
    <fill>
      <patternFill patternType="solid">
        <fgColor theme="5" tint="-0.499984740745262"/>
        <bgColor indexed="64"/>
      </patternFill>
    </fill>
    <fill>
      <patternFill patternType="solid">
        <fgColor rgb="FF007C91"/>
        <bgColor rgb="FF000000"/>
      </patternFill>
    </fill>
    <fill>
      <patternFill patternType="solid">
        <fgColor rgb="FF3194A9"/>
        <bgColor rgb="FF000000"/>
      </patternFill>
    </fill>
    <fill>
      <patternFill patternType="solid">
        <fgColor rgb="FF459EB1"/>
        <bgColor rgb="FF000000"/>
      </patternFill>
    </fill>
    <fill>
      <patternFill patternType="solid">
        <fgColor rgb="FF53A5B7"/>
        <bgColor rgb="FF000000"/>
      </patternFill>
    </fill>
    <fill>
      <patternFill patternType="solid">
        <fgColor rgb="FF56A7B9"/>
        <bgColor rgb="FF000000"/>
      </patternFill>
    </fill>
    <fill>
      <patternFill patternType="solid">
        <fgColor rgb="FF61ADBD"/>
        <bgColor rgb="FF000000"/>
      </patternFill>
    </fill>
    <fill>
      <patternFill patternType="solid">
        <fgColor rgb="FF6CB2C2"/>
        <bgColor rgb="FF000000"/>
      </patternFill>
    </fill>
    <fill>
      <patternFill patternType="solid">
        <fgColor rgb="FF6FB4C3"/>
        <bgColor rgb="FF000000"/>
      </patternFill>
    </fill>
    <fill>
      <patternFill patternType="solid">
        <fgColor rgb="FF70B5C3"/>
        <bgColor rgb="FF000000"/>
      </patternFill>
    </fill>
    <fill>
      <patternFill patternType="solid">
        <fgColor rgb="FF84BFCC"/>
        <bgColor rgb="FF000000"/>
      </patternFill>
    </fill>
    <fill>
      <patternFill patternType="solid">
        <fgColor rgb="FF89C2CE"/>
        <bgColor rgb="FF000000"/>
      </patternFill>
    </fill>
    <fill>
      <patternFill patternType="solid">
        <fgColor rgb="FF8EC4D0"/>
        <bgColor rgb="FF000000"/>
      </patternFill>
    </fill>
    <fill>
      <patternFill patternType="solid">
        <fgColor rgb="FF8FC5D0"/>
        <bgColor rgb="FF000000"/>
      </patternFill>
    </fill>
    <fill>
      <patternFill patternType="solid">
        <fgColor rgb="FFA6D1DA"/>
        <bgColor rgb="FF000000"/>
      </patternFill>
    </fill>
    <fill>
      <patternFill patternType="solid">
        <fgColor rgb="FFABD3DC"/>
        <bgColor rgb="FF000000"/>
      </patternFill>
    </fill>
    <fill>
      <patternFill patternType="solid">
        <fgColor rgb="FFBADBE3"/>
        <bgColor rgb="FF000000"/>
      </patternFill>
    </fill>
    <fill>
      <patternFill patternType="solid">
        <fgColor rgb="FFE8F3F6"/>
        <bgColor rgb="FF000000"/>
      </patternFill>
    </fill>
    <fill>
      <patternFill patternType="solid">
        <fgColor rgb="FF85C0CC"/>
        <bgColor rgb="FF000000"/>
      </patternFill>
    </fill>
    <fill>
      <patternFill patternType="solid">
        <fgColor rgb="FF8BC3CF"/>
        <bgColor rgb="FF000000"/>
      </patternFill>
    </fill>
    <fill>
      <patternFill patternType="solid">
        <fgColor rgb="FF8DC4D0"/>
        <bgColor rgb="FF000000"/>
      </patternFill>
    </fill>
    <fill>
      <patternFill patternType="solid">
        <fgColor rgb="FF97C9D4"/>
        <bgColor rgb="FF000000"/>
      </patternFill>
    </fill>
    <fill>
      <patternFill patternType="solid">
        <fgColor rgb="FFA4D0D9"/>
        <bgColor rgb="FF000000"/>
      </patternFill>
    </fill>
    <fill>
      <patternFill patternType="solid">
        <fgColor rgb="FFAAD3DC"/>
        <bgColor rgb="FF000000"/>
      </patternFill>
    </fill>
    <fill>
      <patternFill patternType="solid">
        <fgColor rgb="FFCAE4E9"/>
        <bgColor rgb="FF000000"/>
      </patternFill>
    </fill>
    <fill>
      <patternFill patternType="solid">
        <fgColor rgb="FFCBE4EA"/>
        <bgColor rgb="FF000000"/>
      </patternFill>
    </fill>
    <fill>
      <patternFill patternType="solid">
        <fgColor rgb="FFCDE5EA"/>
        <bgColor rgb="FF000000"/>
      </patternFill>
    </fill>
    <fill>
      <patternFill patternType="solid">
        <fgColor rgb="FFD5E9EE"/>
        <bgColor rgb="FF000000"/>
      </patternFill>
    </fill>
    <fill>
      <patternFill patternType="solid">
        <fgColor rgb="FFDCEDF1"/>
        <bgColor rgb="FF000000"/>
      </patternFill>
    </fill>
    <fill>
      <patternFill patternType="solid">
        <fgColor rgb="FF1A889F"/>
        <bgColor rgb="FF000000"/>
      </patternFill>
    </fill>
    <fill>
      <patternFill patternType="solid">
        <fgColor rgb="FF238DA3"/>
        <bgColor rgb="FF000000"/>
      </patternFill>
    </fill>
    <fill>
      <patternFill patternType="solid">
        <fgColor rgb="FF258EA4"/>
        <bgColor rgb="FF000000"/>
      </patternFill>
    </fill>
    <fill>
      <patternFill patternType="solid">
        <fgColor rgb="FF2F92A8"/>
        <bgColor rgb="FF000000"/>
      </patternFill>
    </fill>
    <fill>
      <patternFill patternType="solid">
        <fgColor rgb="FF3093A8"/>
        <bgColor rgb="FF000000"/>
      </patternFill>
    </fill>
    <fill>
      <patternFill patternType="solid">
        <fgColor rgb="FF429CB0"/>
        <bgColor rgb="FF000000"/>
      </patternFill>
    </fill>
    <fill>
      <patternFill patternType="solid">
        <fgColor rgb="FF4BA2B4"/>
        <bgColor rgb="FF000000"/>
      </patternFill>
    </fill>
    <fill>
      <patternFill patternType="solid">
        <fgColor rgb="FF5FACBC"/>
        <bgColor rgb="FF000000"/>
      </patternFill>
    </fill>
    <fill>
      <patternFill patternType="solid">
        <fgColor rgb="FF78B9C6"/>
        <bgColor rgb="FF000000"/>
      </patternFill>
    </fill>
    <fill>
      <patternFill patternType="solid">
        <fgColor rgb="FF7ABAC8"/>
        <bgColor rgb="FF000000"/>
      </patternFill>
    </fill>
    <fill>
      <patternFill patternType="solid">
        <fgColor rgb="FF7FBDCA"/>
        <bgColor rgb="FF000000"/>
      </patternFill>
    </fill>
    <fill>
      <patternFill patternType="solid">
        <fgColor rgb="FF99CAD5"/>
        <bgColor rgb="FF000000"/>
      </patternFill>
    </fill>
    <fill>
      <patternFill patternType="solid">
        <fgColor rgb="FFA9D2DB"/>
        <bgColor rgb="FF000000"/>
      </patternFill>
    </fill>
    <fill>
      <patternFill patternType="solid">
        <fgColor rgb="FFB7D9E1"/>
        <bgColor rgb="FF000000"/>
      </patternFill>
    </fill>
    <fill>
      <patternFill patternType="solid">
        <fgColor rgb="FFC0DEE5"/>
        <bgColor rgb="FF000000"/>
      </patternFill>
    </fill>
    <fill>
      <patternFill patternType="solid">
        <fgColor rgb="FFC2E0E6"/>
        <bgColor rgb="FF000000"/>
      </patternFill>
    </fill>
    <fill>
      <patternFill patternType="solid">
        <fgColor rgb="FFCEE6EB"/>
        <bgColor rgb="FF000000"/>
      </patternFill>
    </fill>
    <fill>
      <patternFill patternType="solid">
        <fgColor rgb="FFFBFDFE"/>
        <bgColor rgb="FF000000"/>
      </patternFill>
    </fill>
    <fill>
      <patternFill patternType="solid">
        <fgColor theme="5"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theme="0"/>
      </left>
      <right style="thick">
        <color theme="0"/>
      </right>
      <top/>
      <bottom style="thin">
        <color theme="0"/>
      </bottom>
      <diagonal/>
    </border>
    <border>
      <left style="thick">
        <color theme="0"/>
      </left>
      <right style="thick">
        <color theme="0"/>
      </right>
      <top/>
      <bottom style="dotted">
        <color theme="0" tint="-0.14996795556505021"/>
      </bottom>
      <diagonal/>
    </border>
    <border>
      <left style="thick">
        <color theme="0"/>
      </left>
      <right/>
      <top/>
      <bottom style="hair">
        <color theme="3" tint="0.59996337778862885"/>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ck">
        <color theme="0"/>
      </left>
      <right/>
      <top/>
      <bottom style="dotted">
        <color theme="0" tint="-0.14996795556505021"/>
      </bottom>
      <diagonal/>
    </border>
    <border>
      <left/>
      <right/>
      <top style="thin">
        <color indexed="64"/>
      </top>
      <bottom style="thin">
        <color indexed="64"/>
      </bottom>
      <diagonal/>
    </border>
    <border>
      <left style="thick">
        <color theme="0"/>
      </left>
      <right style="thick">
        <color theme="0"/>
      </right>
      <top/>
      <bottom/>
      <diagonal/>
    </border>
    <border>
      <left style="thick">
        <color theme="0"/>
      </left>
      <right style="thick">
        <color theme="0"/>
      </right>
      <top/>
      <bottom style="hair">
        <color theme="3" tint="0.79998168889431442"/>
      </bottom>
      <diagonal/>
    </border>
    <border>
      <left style="thick">
        <color theme="0"/>
      </left>
      <right style="thick">
        <color theme="0"/>
      </right>
      <top/>
      <bottom style="hair">
        <color theme="3" tint="0.59996337778862885"/>
      </bottom>
      <diagonal/>
    </border>
    <border>
      <left style="thick">
        <color theme="0"/>
      </left>
      <right style="thick">
        <color theme="0"/>
      </right>
      <top style="hair">
        <color theme="3" tint="0.59996337778862885"/>
      </top>
      <bottom/>
      <diagonal/>
    </border>
    <border>
      <left/>
      <right/>
      <top/>
      <bottom style="dotted">
        <color theme="0" tint="-0.249977111117893"/>
      </bottom>
      <diagonal/>
    </border>
    <border>
      <left/>
      <right/>
      <top style="dotted">
        <color theme="0" tint="-0.249977111117893"/>
      </top>
      <bottom/>
      <diagonal/>
    </border>
    <border>
      <left style="thick">
        <color theme="0"/>
      </left>
      <right style="thick">
        <color theme="0"/>
      </right>
      <top style="hair">
        <color theme="3" tint="0.79998168889431442"/>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thin">
        <color rgb="FF00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top style="thin">
        <color theme="1"/>
      </top>
      <bottom style="thin">
        <color theme="1"/>
      </bottom>
      <diagonal/>
    </border>
  </borders>
  <cellStyleXfs count="16">
    <xf numFmtId="0" fontId="0" fillId="0" borderId="0">
      <alignment vertical="center"/>
    </xf>
    <xf numFmtId="0" fontId="2" fillId="0" borderId="0"/>
    <xf numFmtId="43"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alignment vertical="center"/>
    </xf>
    <xf numFmtId="0" fontId="7" fillId="0" borderId="0" applyNumberFormat="0" applyFill="0" applyBorder="0" applyAlignment="0" applyProtection="0">
      <alignment vertical="center"/>
    </xf>
    <xf numFmtId="43" fontId="5" fillId="0" borderId="0" applyFont="0" applyFill="0" applyBorder="0" applyAlignment="0" applyProtection="0">
      <alignment vertical="center"/>
    </xf>
    <xf numFmtId="0" fontId="13" fillId="0" borderId="0"/>
    <xf numFmtId="43" fontId="13" fillId="0" borderId="0" applyFont="0" applyFill="0" applyBorder="0" applyAlignment="0" applyProtection="0">
      <alignment vertical="center"/>
    </xf>
    <xf numFmtId="0" fontId="14" fillId="0" borderId="0" applyNumberFormat="0" applyFill="0" applyBorder="0" applyAlignment="0" applyProtection="0"/>
    <xf numFmtId="0" fontId="17" fillId="0" borderId="0" applyNumberFormat="0" applyFill="0" applyBorder="0" applyAlignment="0" applyProtection="0"/>
    <xf numFmtId="43"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4" fillId="0" borderId="0" applyNumberFormat="0" applyFill="0" applyBorder="0" applyAlignment="0" applyProtection="0"/>
    <xf numFmtId="44" fontId="13" fillId="0" borderId="0" applyFont="0" applyFill="0" applyBorder="0" applyAlignment="0" applyProtection="0">
      <alignment vertical="center"/>
    </xf>
    <xf numFmtId="43" fontId="13" fillId="0" borderId="0" applyFont="0" applyFill="0" applyBorder="0" applyAlignment="0" applyProtection="0"/>
  </cellStyleXfs>
  <cellXfs count="560">
    <xf numFmtId="0" fontId="0" fillId="0" borderId="0" xfId="0">
      <alignment vertical="center"/>
    </xf>
    <xf numFmtId="0" fontId="6" fillId="0" borderId="0" xfId="0" applyFont="1">
      <alignment vertical="center"/>
    </xf>
    <xf numFmtId="0" fontId="0" fillId="0" borderId="0" xfId="0" applyAlignment="1">
      <alignment horizontal="left" vertical="center"/>
    </xf>
    <xf numFmtId="0" fontId="8" fillId="0" borderId="0" xfId="0" applyFont="1">
      <alignment vertical="center"/>
    </xf>
    <xf numFmtId="181" fontId="9" fillId="0" borderId="0" xfId="0" applyNumberFormat="1" applyFont="1" applyAlignment="1">
      <alignment horizontal="center"/>
    </xf>
    <xf numFmtId="181" fontId="9" fillId="0" borderId="0" xfId="6" applyNumberFormat="1" applyFont="1" applyAlignment="1">
      <alignment horizontal="center"/>
    </xf>
    <xf numFmtId="2" fontId="9" fillId="0" borderId="1" xfId="0" applyNumberFormat="1" applyFont="1" applyBorder="1">
      <alignment vertical="center"/>
    </xf>
    <xf numFmtId="0" fontId="10" fillId="4" borderId="1" xfId="0" applyFont="1" applyFill="1" applyBorder="1" applyAlignment="1">
      <alignment horizontal="center" vertical="center" wrapText="1"/>
    </xf>
    <xf numFmtId="0" fontId="9" fillId="0" borderId="0" xfId="0" applyFont="1">
      <alignment vertical="center"/>
    </xf>
    <xf numFmtId="178" fontId="18" fillId="0" borderId="0" xfId="0" applyNumberFormat="1" applyFont="1" applyAlignment="1">
      <alignment horizontal="center" vertical="center" wrapText="1"/>
    </xf>
    <xf numFmtId="0" fontId="9" fillId="0" borderId="0" xfId="0" applyFont="1" applyAlignment="1">
      <alignment horizontal="left" vertical="center"/>
    </xf>
    <xf numFmtId="0" fontId="20" fillId="5" borderId="1" xfId="0" applyFont="1" applyFill="1" applyBorder="1" applyAlignment="1">
      <alignment horizontal="center" vertical="center" wrapText="1"/>
    </xf>
    <xf numFmtId="0" fontId="9" fillId="0" borderId="0" xfId="0" applyFont="1" applyAlignment="1">
      <alignment vertical="center" wrapText="1"/>
    </xf>
    <xf numFmtId="0" fontId="10" fillId="0" borderId="0" xfId="0" applyFont="1" applyAlignment="1">
      <alignment horizontal="left" vertical="center"/>
    </xf>
    <xf numFmtId="0" fontId="15" fillId="0" borderId="0" xfId="7" applyFont="1"/>
    <xf numFmtId="0" fontId="19" fillId="0" borderId="0" xfId="0" applyFont="1">
      <alignment vertical="center"/>
    </xf>
    <xf numFmtId="176" fontId="9" fillId="0" borderId="0" xfId="0" applyNumberFormat="1" applyFont="1">
      <alignment vertical="center"/>
    </xf>
    <xf numFmtId="0" fontId="9" fillId="0" borderId="0" xfId="0" applyFont="1" applyAlignment="1">
      <alignment horizontal="right" vertical="center"/>
    </xf>
    <xf numFmtId="0" fontId="19" fillId="12" borderId="9" xfId="0" applyFont="1" applyFill="1" applyBorder="1" applyAlignment="1">
      <alignment horizontal="left" vertical="center"/>
    </xf>
    <xf numFmtId="1" fontId="9" fillId="0" borderId="10" xfId="0" applyNumberFormat="1" applyFont="1" applyBorder="1" applyAlignment="1">
      <alignment horizontal="center" vertical="center"/>
    </xf>
    <xf numFmtId="181" fontId="9" fillId="0" borderId="0" xfId="0" applyNumberFormat="1" applyFont="1">
      <alignment vertical="center"/>
    </xf>
    <xf numFmtId="0" fontId="10" fillId="0" borderId="0" xfId="0" applyFont="1">
      <alignment vertical="center"/>
    </xf>
    <xf numFmtId="0" fontId="20" fillId="5" borderId="0" xfId="0" applyFont="1" applyFill="1" applyAlignment="1">
      <alignment horizontal="center" vertical="center"/>
    </xf>
    <xf numFmtId="1" fontId="23" fillId="0" borderId="10" xfId="0" applyNumberFormat="1" applyFont="1" applyBorder="1" applyAlignment="1">
      <alignment horizontal="center" vertical="center"/>
    </xf>
    <xf numFmtId="1" fontId="9" fillId="0" borderId="0" xfId="0" applyNumberFormat="1" applyFont="1">
      <alignment vertical="center"/>
    </xf>
    <xf numFmtId="0" fontId="15" fillId="0" borderId="0" xfId="7" applyFont="1" applyAlignment="1">
      <alignment horizontal="left"/>
    </xf>
    <xf numFmtId="0" fontId="20" fillId="5" borderId="1" xfId="0" applyFont="1" applyFill="1" applyBorder="1" applyAlignment="1">
      <alignment horizontal="center" vertical="top" wrapText="1"/>
    </xf>
    <xf numFmtId="176" fontId="0" fillId="0" borderId="0" xfId="6" applyNumberFormat="1" applyFont="1" applyBorder="1">
      <alignment vertical="center"/>
    </xf>
    <xf numFmtId="9" fontId="9" fillId="0" borderId="0" xfId="4" applyFont="1" applyFill="1">
      <alignment vertical="center"/>
    </xf>
    <xf numFmtId="0" fontId="20" fillId="5" borderId="13" xfId="0" applyFont="1" applyFill="1" applyBorder="1" applyAlignment="1">
      <alignment horizontal="center" vertical="center" wrapText="1"/>
    </xf>
    <xf numFmtId="176" fontId="9" fillId="0" borderId="0" xfId="6" applyNumberFormat="1" applyFont="1">
      <alignment vertical="center"/>
    </xf>
    <xf numFmtId="0" fontId="0" fillId="0" borderId="0" xfId="0" applyAlignment="1">
      <alignment vertical="center" wrapText="1"/>
    </xf>
    <xf numFmtId="0" fontId="20" fillId="5" borderId="13" xfId="0" applyFont="1" applyFill="1" applyBorder="1" applyAlignment="1">
      <alignment horizontal="center" vertical="center"/>
    </xf>
    <xf numFmtId="0" fontId="11" fillId="0" borderId="0" xfId="0" applyFont="1">
      <alignment vertical="center"/>
    </xf>
    <xf numFmtId="181" fontId="11" fillId="0" borderId="1" xfId="4" applyNumberFormat="1" applyFont="1" applyFill="1" applyBorder="1">
      <alignment vertical="center"/>
    </xf>
    <xf numFmtId="0" fontId="10" fillId="2" borderId="13" xfId="0" applyFont="1" applyFill="1" applyBorder="1" applyAlignment="1">
      <alignment vertical="center" wrapText="1"/>
    </xf>
    <xf numFmtId="0" fontId="9" fillId="0" borderId="0" xfId="0" applyFont="1" applyAlignment="1">
      <alignment vertical="top" wrapText="1"/>
    </xf>
    <xf numFmtId="0" fontId="9" fillId="0" borderId="0" xfId="0" applyFont="1" applyAlignment="1">
      <alignment vertical="top"/>
    </xf>
    <xf numFmtId="0" fontId="9" fillId="0" borderId="1" xfId="0" applyFont="1" applyBorder="1" applyAlignment="1">
      <alignment vertical="top" wrapText="1"/>
    </xf>
    <xf numFmtId="0" fontId="33" fillId="14" borderId="1" xfId="0" applyFont="1" applyFill="1" applyBorder="1" applyAlignment="1">
      <alignment horizontal="center" vertical="center" wrapText="1"/>
    </xf>
    <xf numFmtId="0" fontId="11" fillId="0" borderId="1" xfId="0" applyFont="1" applyBorder="1" applyAlignment="1">
      <alignment vertical="top" wrapText="1"/>
    </xf>
    <xf numFmtId="0" fontId="32" fillId="0" borderId="0" xfId="0" applyFont="1">
      <alignment vertical="center"/>
    </xf>
    <xf numFmtId="176" fontId="8" fillId="0" borderId="0" xfId="0" applyNumberFormat="1" applyFont="1">
      <alignment vertical="center"/>
    </xf>
    <xf numFmtId="181" fontId="9" fillId="0" borderId="1" xfId="0" applyNumberFormat="1" applyFont="1" applyBorder="1" applyAlignment="1">
      <alignment horizontal="center" vertical="center"/>
    </xf>
    <xf numFmtId="0" fontId="18" fillId="0" borderId="12" xfId="0" applyFont="1" applyBorder="1">
      <alignment vertical="center"/>
    </xf>
    <xf numFmtId="0" fontId="16" fillId="0" borderId="0" xfId="0" applyFont="1" applyAlignment="1">
      <alignment horizontal="left" vertical="center"/>
    </xf>
    <xf numFmtId="181" fontId="9" fillId="0" borderId="11" xfId="0" applyNumberFormat="1" applyFont="1" applyBorder="1" applyAlignment="1">
      <alignment horizontal="center" vertical="center"/>
    </xf>
    <xf numFmtId="9" fontId="9" fillId="0" borderId="0" xfId="4" applyFont="1" applyAlignment="1">
      <alignment horizontal="center"/>
    </xf>
    <xf numFmtId="43" fontId="9" fillId="0" borderId="0" xfId="0" applyNumberFormat="1" applyFont="1">
      <alignment vertical="center"/>
    </xf>
    <xf numFmtId="180" fontId="9" fillId="0" borderId="0" xfId="0" applyNumberFormat="1" applyFont="1" applyAlignment="1">
      <alignment horizontal="right" vertic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 fontId="0" fillId="0" borderId="0" xfId="0" applyNumberFormat="1">
      <alignment vertical="center"/>
    </xf>
    <xf numFmtId="181" fontId="9" fillId="0" borderId="0" xfId="6" applyNumberFormat="1" applyFont="1">
      <alignment vertical="center"/>
    </xf>
    <xf numFmtId="182" fontId="18" fillId="0" borderId="0" xfId="0" applyNumberFormat="1" applyFont="1" applyAlignment="1">
      <alignment horizontal="center" vertical="center" wrapText="1"/>
    </xf>
    <xf numFmtId="180" fontId="0" fillId="0" borderId="0" xfId="0" applyNumberFormat="1">
      <alignment vertical="center"/>
    </xf>
    <xf numFmtId="0" fontId="41" fillId="10" borderId="1" xfId="0" applyFont="1" applyFill="1" applyBorder="1" applyAlignment="1">
      <alignment horizontal="center" vertical="center" wrapText="1"/>
    </xf>
    <xf numFmtId="0" fontId="41" fillId="18" borderId="1" xfId="0" applyFont="1" applyFill="1" applyBorder="1" applyAlignment="1">
      <alignment horizontal="center" vertical="center" wrapText="1"/>
    </xf>
    <xf numFmtId="0" fontId="41" fillId="19" borderId="1" xfId="0" applyFont="1" applyFill="1" applyBorder="1" applyAlignment="1">
      <alignment horizontal="center" vertical="center" wrapText="1"/>
    </xf>
    <xf numFmtId="0" fontId="35" fillId="0" borderId="0" xfId="0" applyFont="1">
      <alignment vertical="center"/>
    </xf>
    <xf numFmtId="0" fontId="9" fillId="0" borderId="0" xfId="0" applyFont="1" applyAlignment="1">
      <alignment horizontal="center" vertical="top" wrapText="1"/>
    </xf>
    <xf numFmtId="9" fontId="0" fillId="0" borderId="0" xfId="0" applyNumberFormat="1">
      <alignment vertical="center"/>
    </xf>
    <xf numFmtId="0" fontId="11" fillId="0" borderId="0" xfId="0" applyFont="1" applyAlignment="1">
      <alignment horizontal="right" vertical="center"/>
    </xf>
    <xf numFmtId="1" fontId="9" fillId="0" borderId="7" xfId="0" applyNumberFormat="1" applyFont="1" applyBorder="1">
      <alignment vertical="center"/>
    </xf>
    <xf numFmtId="179" fontId="9" fillId="0" borderId="0" xfId="0" applyNumberFormat="1" applyFont="1" applyAlignment="1">
      <alignment horizontal="right" vertical="center"/>
    </xf>
    <xf numFmtId="0" fontId="10" fillId="0" borderId="6" xfId="0" applyFont="1" applyBorder="1">
      <alignment vertical="center"/>
    </xf>
    <xf numFmtId="1" fontId="10" fillId="0" borderId="6" xfId="0" applyNumberFormat="1" applyFont="1" applyBorder="1">
      <alignment vertical="center"/>
    </xf>
    <xf numFmtId="0" fontId="39" fillId="0" borderId="8" xfId="0"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1" fillId="0" borderId="0" xfId="0" applyFont="1">
      <alignment vertical="center"/>
    </xf>
    <xf numFmtId="2" fontId="18" fillId="0" borderId="1" xfId="0" applyNumberFormat="1" applyFont="1" applyBorder="1">
      <alignment vertical="center"/>
    </xf>
    <xf numFmtId="0" fontId="20" fillId="2" borderId="13" xfId="0" applyFont="1" applyFill="1" applyBorder="1" applyAlignment="1">
      <alignment horizontal="left" vertical="center" wrapText="1"/>
    </xf>
    <xf numFmtId="0" fontId="0" fillId="13" borderId="0" xfId="0" applyFill="1">
      <alignment vertical="center"/>
    </xf>
    <xf numFmtId="1" fontId="9" fillId="0" borderId="0" xfId="0" applyNumberFormat="1" applyFont="1" applyAlignment="1">
      <alignment horizontal="right" vertical="center"/>
    </xf>
    <xf numFmtId="1" fontId="11" fillId="0" borderId="0" xfId="0" applyNumberFormat="1" applyFont="1">
      <alignment vertical="center"/>
    </xf>
    <xf numFmtId="10" fontId="0" fillId="0" borderId="0" xfId="0" applyNumberFormat="1">
      <alignment vertical="center"/>
    </xf>
    <xf numFmtId="177" fontId="0" fillId="0" borderId="0" xfId="0" applyNumberFormat="1">
      <alignment vertical="center"/>
    </xf>
    <xf numFmtId="0" fontId="9" fillId="3" borderId="0" xfId="0" applyFont="1" applyFill="1" applyAlignment="1">
      <alignment horizontal="right" vertical="center"/>
    </xf>
    <xf numFmtId="1" fontId="9" fillId="3" borderId="0" xfId="0" applyNumberFormat="1" applyFont="1" applyFill="1">
      <alignment vertical="center"/>
    </xf>
    <xf numFmtId="2" fontId="35" fillId="0" borderId="0" xfId="0" applyNumberFormat="1" applyFont="1">
      <alignment vertical="center"/>
    </xf>
    <xf numFmtId="185" fontId="0" fillId="0" borderId="0" xfId="0" applyNumberFormat="1">
      <alignment vertical="center"/>
    </xf>
    <xf numFmtId="0" fontId="37" fillId="0" borderId="0" xfId="0" applyFont="1" applyAlignment="1">
      <alignment horizontal="left" vertical="center"/>
    </xf>
    <xf numFmtId="180" fontId="9" fillId="0" borderId="0" xfId="0" applyNumberFormat="1" applyFont="1">
      <alignment vertical="center"/>
    </xf>
    <xf numFmtId="179" fontId="9" fillId="0" borderId="0" xfId="0" applyNumberFormat="1" applyFont="1">
      <alignment vertical="center"/>
    </xf>
    <xf numFmtId="0" fontId="45" fillId="13" borderId="0" xfId="0" applyFont="1" applyFill="1">
      <alignment vertical="center"/>
    </xf>
    <xf numFmtId="179" fontId="0" fillId="0" borderId="0" xfId="0" applyNumberFormat="1">
      <alignment vertical="center"/>
    </xf>
    <xf numFmtId="0" fontId="10" fillId="4" borderId="13"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7" borderId="13" xfId="0" applyFont="1" applyFill="1" applyBorder="1" applyAlignment="1">
      <alignment horizontal="center" vertical="center" wrapText="1"/>
    </xf>
    <xf numFmtId="2" fontId="18" fillId="0" borderId="0" xfId="0" applyNumberFormat="1" applyFont="1">
      <alignment vertical="center"/>
    </xf>
    <xf numFmtId="180" fontId="11" fillId="0" borderId="0" xfId="4" applyNumberFormat="1" applyFont="1" applyFill="1" applyBorder="1">
      <alignment vertical="center"/>
    </xf>
    <xf numFmtId="181" fontId="11" fillId="0" borderId="0" xfId="4" applyNumberFormat="1" applyFont="1" applyFill="1" applyBorder="1">
      <alignment vertical="center"/>
    </xf>
    <xf numFmtId="176" fontId="11" fillId="0" borderId="0" xfId="6" applyNumberFormat="1" applyFont="1" applyFill="1" applyBorder="1" applyAlignment="1">
      <alignment horizontal="right" vertical="center"/>
    </xf>
    <xf numFmtId="1" fontId="10" fillId="0" borderId="0" xfId="0" applyNumberFormat="1" applyFont="1">
      <alignment vertical="center"/>
    </xf>
    <xf numFmtId="0" fontId="10" fillId="3" borderId="0" xfId="0" applyFont="1" applyFill="1" applyAlignment="1">
      <alignment horizontal="left" vertical="center"/>
    </xf>
    <xf numFmtId="176" fontId="9" fillId="0" borderId="0" xfId="6" applyNumberFormat="1" applyFont="1" applyFill="1">
      <alignment vertical="center"/>
    </xf>
    <xf numFmtId="0" fontId="19" fillId="0" borderId="0" xfId="0" applyFont="1" applyAlignment="1">
      <alignment horizontal="left" vertical="center"/>
    </xf>
    <xf numFmtId="0" fontId="20" fillId="0" borderId="0" xfId="0" applyFont="1" applyAlignment="1">
      <alignment horizontal="center" vertical="top" wrapText="1"/>
    </xf>
    <xf numFmtId="1" fontId="19" fillId="0" borderId="0" xfId="0" applyNumberFormat="1" applyFont="1">
      <alignment vertical="center"/>
    </xf>
    <xf numFmtId="0" fontId="29" fillId="0" borderId="0" xfId="0" applyFont="1" applyAlignment="1">
      <alignment vertical="center" wrapText="1"/>
    </xf>
    <xf numFmtId="0" fontId="10" fillId="0" borderId="0" xfId="0" applyFont="1" applyAlignment="1">
      <alignment horizontal="center" vertical="top" wrapText="1"/>
    </xf>
    <xf numFmtId="1" fontId="23" fillId="0" borderId="14" xfId="0" applyNumberFormat="1" applyFont="1" applyBorder="1" applyAlignment="1">
      <alignment horizontal="center" vertical="center"/>
    </xf>
    <xf numFmtId="0" fontId="20" fillId="2" borderId="13" xfId="0" applyFont="1" applyFill="1" applyBorder="1" applyAlignment="1">
      <alignment horizontal="center" vertical="top" wrapText="1"/>
    </xf>
    <xf numFmtId="0" fontId="48" fillId="4" borderId="1" xfId="0" applyFont="1" applyFill="1" applyBorder="1" applyAlignment="1">
      <alignment horizontal="center" vertical="top" wrapText="1"/>
    </xf>
    <xf numFmtId="0" fontId="48" fillId="9" borderId="1" xfId="0" applyFont="1" applyFill="1" applyBorder="1" applyAlignment="1">
      <alignment horizontal="center" vertical="top" wrapText="1"/>
    </xf>
    <xf numFmtId="0" fontId="48" fillId="8" borderId="1" xfId="0" applyFont="1" applyFill="1" applyBorder="1" applyAlignment="1">
      <alignment horizontal="center" vertical="top" wrapText="1"/>
    </xf>
    <xf numFmtId="0" fontId="10" fillId="2" borderId="3" xfId="0" applyFont="1" applyFill="1" applyBorder="1" applyAlignment="1">
      <alignment horizontal="center" vertical="center" wrapText="1"/>
    </xf>
    <xf numFmtId="2" fontId="9" fillId="0" borderId="3" xfId="0" applyNumberFormat="1" applyFont="1" applyBorder="1">
      <alignment vertical="center"/>
    </xf>
    <xf numFmtId="2" fontId="11" fillId="0" borderId="3" xfId="0" applyNumberFormat="1" applyFont="1" applyBorder="1">
      <alignment vertical="center"/>
    </xf>
    <xf numFmtId="2" fontId="19"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vertical="center" wrapText="1"/>
    </xf>
    <xf numFmtId="186" fontId="11" fillId="0" borderId="0" xfId="0" applyNumberFormat="1" applyFont="1">
      <alignment vertical="center"/>
    </xf>
    <xf numFmtId="1" fontId="11" fillId="0" borderId="0" xfId="6" applyNumberFormat="1" applyFont="1">
      <alignment vertical="center"/>
    </xf>
    <xf numFmtId="181" fontId="11" fillId="0" borderId="0" xfId="0" applyNumberFormat="1" applyFont="1">
      <alignment vertical="center"/>
    </xf>
    <xf numFmtId="43" fontId="11" fillId="0" borderId="0" xfId="6" applyFont="1">
      <alignment vertical="center"/>
    </xf>
    <xf numFmtId="0" fontId="12" fillId="0" borderId="0" xfId="0" applyFont="1">
      <alignment vertical="center"/>
    </xf>
    <xf numFmtId="0" fontId="40" fillId="4" borderId="13" xfId="0" applyFont="1" applyFill="1" applyBorder="1" applyAlignment="1">
      <alignment horizontal="center" vertical="center" wrapText="1"/>
    </xf>
    <xf numFmtId="0" fontId="10" fillId="7" borderId="4" xfId="0" applyFont="1" applyFill="1" applyBorder="1" applyAlignment="1">
      <alignment horizontal="center" vertical="center" wrapText="1"/>
    </xf>
    <xf numFmtId="1" fontId="20" fillId="0" borderId="0" xfId="0" applyNumberFormat="1" applyFont="1">
      <alignment vertical="center"/>
    </xf>
    <xf numFmtId="0" fontId="20" fillId="0" borderId="0" xfId="0" applyFont="1">
      <alignment vertical="center"/>
    </xf>
    <xf numFmtId="178" fontId="19" fillId="0" borderId="0" xfId="0" applyNumberFormat="1" applyFont="1">
      <alignment vertical="center"/>
    </xf>
    <xf numFmtId="181" fontId="19" fillId="0" borderId="0" xfId="0" applyNumberFormat="1" applyFont="1">
      <alignment vertical="center"/>
    </xf>
    <xf numFmtId="184" fontId="10" fillId="0" borderId="0" xfId="0" applyNumberFormat="1" applyFont="1" applyAlignment="1">
      <alignment horizontal="center" vertical="center"/>
    </xf>
    <xf numFmtId="184" fontId="10" fillId="0" borderId="7" xfId="0" applyNumberFormat="1" applyFont="1" applyBorder="1" applyAlignment="1">
      <alignment horizontal="center" vertical="center"/>
    </xf>
    <xf numFmtId="1" fontId="10" fillId="0" borderId="7" xfId="0" applyNumberFormat="1"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horizontal="right" vertical="center"/>
    </xf>
    <xf numFmtId="184" fontId="20" fillId="0" borderId="0" xfId="0" applyNumberFormat="1" applyFont="1" applyAlignment="1">
      <alignment horizontal="center" vertical="center"/>
    </xf>
    <xf numFmtId="0" fontId="27" fillId="0" borderId="0" xfId="0" applyFont="1">
      <alignment vertical="center"/>
    </xf>
    <xf numFmtId="178" fontId="19" fillId="0" borderId="0" xfId="4" applyNumberFormat="1" applyFont="1" applyFill="1" applyBorder="1" applyAlignment="1">
      <alignment horizontal="right" vertical="center"/>
    </xf>
    <xf numFmtId="178" fontId="19" fillId="0" borderId="0" xfId="0" applyNumberFormat="1" applyFont="1" applyAlignment="1">
      <alignment horizontal="right" vertical="center"/>
    </xf>
    <xf numFmtId="178" fontId="27" fillId="0" borderId="0" xfId="0" applyNumberFormat="1" applyFont="1">
      <alignment vertical="center"/>
    </xf>
    <xf numFmtId="9" fontId="19" fillId="0" borderId="0" xfId="4" applyFont="1" applyFill="1">
      <alignment vertical="center"/>
    </xf>
    <xf numFmtId="1" fontId="19" fillId="0" borderId="0" xfId="4" applyNumberFormat="1" applyFont="1" applyFill="1" applyBorder="1" applyAlignment="1">
      <alignment horizontal="right" vertical="center"/>
    </xf>
    <xf numFmtId="181" fontId="19" fillId="0" borderId="0" xfId="6" applyNumberFormat="1" applyFont="1" applyFill="1" applyBorder="1" applyAlignment="1">
      <alignment horizontal="right" vertical="center"/>
    </xf>
    <xf numFmtId="181" fontId="19" fillId="0" borderId="0" xfId="6" applyNumberFormat="1" applyFont="1" applyFill="1" applyBorder="1">
      <alignment vertical="center"/>
    </xf>
    <xf numFmtId="181" fontId="19" fillId="0" borderId="0" xfId="4" applyNumberFormat="1" applyFont="1" applyFill="1" applyBorder="1">
      <alignment vertical="center"/>
    </xf>
    <xf numFmtId="9" fontId="19" fillId="0" borderId="0" xfId="4" applyFont="1" applyFill="1" applyBorder="1">
      <alignment vertical="center"/>
    </xf>
    <xf numFmtId="1" fontId="19" fillId="0" borderId="0" xfId="0" applyNumberFormat="1" applyFont="1" applyAlignment="1">
      <alignment horizontal="right" vertical="center"/>
    </xf>
    <xf numFmtId="1" fontId="27" fillId="0" borderId="0" xfId="0" applyNumberFormat="1" applyFont="1">
      <alignment vertical="center"/>
    </xf>
    <xf numFmtId="0" fontId="10" fillId="0" borderId="0" xfId="0" applyFont="1" applyAlignment="1">
      <alignment horizontal="center" vertical="center" wrapText="1"/>
    </xf>
    <xf numFmtId="0" fontId="10" fillId="4" borderId="3"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1" fillId="18" borderId="13" xfId="0" applyFont="1" applyFill="1" applyBorder="1" applyAlignment="1">
      <alignment horizontal="center" vertical="center" wrapText="1"/>
    </xf>
    <xf numFmtId="0" fontId="41" fillId="19" borderId="13" xfId="0" applyFont="1" applyFill="1" applyBorder="1" applyAlignment="1">
      <alignment horizontal="center" vertical="center" wrapText="1"/>
    </xf>
    <xf numFmtId="0" fontId="41" fillId="10" borderId="13" xfId="0" applyFont="1" applyFill="1" applyBorder="1" applyAlignment="1">
      <alignment horizontal="center" vertical="center" wrapText="1"/>
    </xf>
    <xf numFmtId="0" fontId="9" fillId="0" borderId="23" xfId="0" applyFont="1" applyBorder="1">
      <alignment vertical="center"/>
    </xf>
    <xf numFmtId="0" fontId="11" fillId="0" borderId="23" xfId="0" applyFont="1" applyBorder="1">
      <alignment vertical="center"/>
    </xf>
    <xf numFmtId="0" fontId="41" fillId="0" borderId="0" xfId="0" applyFont="1" applyAlignment="1">
      <alignment horizontal="center" vertical="center" wrapText="1"/>
    </xf>
    <xf numFmtId="0" fontId="6" fillId="13" borderId="0" xfId="0" applyFont="1" applyFill="1">
      <alignment vertical="center"/>
    </xf>
    <xf numFmtId="0" fontId="6" fillId="13" borderId="0" xfId="0" applyFont="1" applyFill="1" applyAlignment="1">
      <alignment horizontal="left" vertical="center"/>
    </xf>
    <xf numFmtId="0" fontId="36" fillId="0" borderId="0" xfId="0" applyFont="1" applyAlignment="1">
      <alignment horizontal="center" vertical="center" wrapText="1"/>
    </xf>
    <xf numFmtId="0" fontId="40" fillId="0" borderId="0" xfId="0" applyFont="1" applyAlignment="1">
      <alignment vertical="center" wrapText="1"/>
    </xf>
    <xf numFmtId="0" fontId="10" fillId="4"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40" fillId="17" borderId="5"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40" fillId="103" borderId="5" xfId="0" applyFont="1" applyFill="1" applyBorder="1" applyAlignment="1">
      <alignment horizontal="center" vertical="center" wrapText="1"/>
    </xf>
    <xf numFmtId="1" fontId="11" fillId="0" borderId="3" xfId="0" applyNumberFormat="1" applyFont="1" applyBorder="1" applyAlignment="1">
      <alignment horizontal="center" vertical="center"/>
    </xf>
    <xf numFmtId="1" fontId="11" fillId="0" borderId="8" xfId="0" applyNumberFormat="1" applyFont="1" applyBorder="1" applyAlignment="1">
      <alignment horizontal="center" vertical="center"/>
    </xf>
    <xf numFmtId="0" fontId="40" fillId="5" borderId="23"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7" borderId="1" xfId="0" applyFont="1" applyFill="1" applyBorder="1" applyAlignment="1">
      <alignment horizontal="center" vertical="center" wrapText="1"/>
    </xf>
    <xf numFmtId="181" fontId="11" fillId="0" borderId="3" xfId="6" applyNumberFormat="1" applyFont="1" applyBorder="1" applyAlignment="1">
      <alignment horizontal="center" vertical="center"/>
    </xf>
    <xf numFmtId="181" fontId="11" fillId="0" borderId="1" xfId="6" applyNumberFormat="1" applyFont="1" applyBorder="1" applyAlignment="1">
      <alignment horizontal="center" vertical="center"/>
    </xf>
    <xf numFmtId="181" fontId="11" fillId="0" borderId="1" xfId="0" applyNumberFormat="1" applyFont="1" applyBorder="1" applyAlignment="1">
      <alignment horizontal="center" vertical="center"/>
    </xf>
    <xf numFmtId="181" fontId="11" fillId="0" borderId="1" xfId="4" applyNumberFormat="1" applyFont="1" applyBorder="1" applyAlignment="1">
      <alignment horizontal="center" vertical="center"/>
    </xf>
    <xf numFmtId="179" fontId="11" fillId="0" borderId="3" xfId="6" applyNumberFormat="1" applyFont="1" applyBorder="1" applyAlignment="1">
      <alignment horizontal="center" vertical="center"/>
    </xf>
    <xf numFmtId="179" fontId="11" fillId="0" borderId="1" xfId="6" applyNumberFormat="1" applyFont="1" applyBorder="1" applyAlignment="1">
      <alignment horizontal="center" vertical="center"/>
    </xf>
    <xf numFmtId="181" fontId="11" fillId="0" borderId="1" xfId="6" applyNumberFormat="1" applyFont="1" applyBorder="1" applyAlignment="1">
      <alignment vertical="center"/>
    </xf>
    <xf numFmtId="179" fontId="11" fillId="0" borderId="1" xfId="4" applyNumberFormat="1" applyFont="1" applyBorder="1" applyAlignment="1">
      <alignment vertical="center"/>
    </xf>
    <xf numFmtId="180" fontId="11" fillId="0" borderId="1" xfId="6" applyNumberFormat="1" applyFont="1" applyBorder="1" applyAlignment="1">
      <alignment vertical="center"/>
    </xf>
    <xf numFmtId="0" fontId="41" fillId="17" borderId="5" xfId="0" applyFont="1" applyFill="1" applyBorder="1" applyAlignment="1">
      <alignment horizontal="center" vertical="center" wrapText="1"/>
    </xf>
    <xf numFmtId="0" fontId="41" fillId="10" borderId="23" xfId="0" applyFont="1" applyFill="1" applyBorder="1" applyAlignment="1">
      <alignment horizontal="center" vertical="center" wrapText="1"/>
    </xf>
    <xf numFmtId="0" fontId="41" fillId="17" borderId="3" xfId="0" applyFont="1" applyFill="1" applyBorder="1" applyAlignment="1">
      <alignment horizontal="center" vertical="center" wrapText="1"/>
    </xf>
    <xf numFmtId="181" fontId="11" fillId="0" borderId="3" xfId="4" applyNumberFormat="1" applyFont="1" applyFill="1" applyBorder="1">
      <alignment vertical="center"/>
    </xf>
    <xf numFmtId="181" fontId="9" fillId="0" borderId="23" xfId="0" applyNumberFormat="1" applyFont="1" applyBorder="1">
      <alignment vertical="center"/>
    </xf>
    <xf numFmtId="181" fontId="11" fillId="0" borderId="23" xfId="0" applyNumberFormat="1" applyFont="1" applyBorder="1">
      <alignment vertical="center"/>
    </xf>
    <xf numFmtId="181" fontId="11" fillId="0" borderId="3" xfId="4" applyNumberFormat="1" applyFont="1" applyFill="1" applyBorder="1" applyAlignment="1">
      <alignment horizontal="center" vertical="center"/>
    </xf>
    <xf numFmtId="181" fontId="11" fillId="0" borderId="1" xfId="4" applyNumberFormat="1" applyFont="1" applyFill="1" applyBorder="1" applyAlignment="1">
      <alignment horizontal="center" vertical="center"/>
    </xf>
    <xf numFmtId="181" fontId="9" fillId="0" borderId="24" xfId="0" applyNumberFormat="1" applyFont="1" applyBorder="1" applyAlignment="1">
      <alignment horizontal="center" vertical="center"/>
    </xf>
    <xf numFmtId="181" fontId="9" fillId="0" borderId="23" xfId="0" applyNumberFormat="1" applyFont="1" applyBorder="1" applyAlignment="1">
      <alignment horizontal="center" vertical="center"/>
    </xf>
    <xf numFmtId="181" fontId="9" fillId="0" borderId="3" xfId="0" applyNumberFormat="1" applyFont="1" applyBorder="1" applyAlignment="1">
      <alignment horizontal="center" vertical="center"/>
    </xf>
    <xf numFmtId="181" fontId="9" fillId="0" borderId="15" xfId="6" applyNumberFormat="1" applyFont="1" applyFill="1" applyBorder="1" applyAlignment="1">
      <alignment horizontal="center" vertical="center"/>
    </xf>
    <xf numFmtId="181" fontId="9" fillId="0" borderId="15" xfId="6" applyNumberFormat="1" applyFont="1" applyBorder="1" applyAlignment="1">
      <alignment horizontal="center" vertical="center"/>
    </xf>
    <xf numFmtId="181" fontId="11" fillId="0" borderId="2" xfId="6" applyNumberFormat="1" applyFont="1" applyFill="1" applyBorder="1" applyAlignment="1">
      <alignment horizontal="center" vertical="center"/>
    </xf>
    <xf numFmtId="181" fontId="11" fillId="0" borderId="1" xfId="6" applyNumberFormat="1" applyFont="1" applyFill="1" applyBorder="1" applyAlignment="1">
      <alignment horizontal="center" vertical="center"/>
    </xf>
    <xf numFmtId="0" fontId="40" fillId="5" borderId="2" xfId="0" applyFont="1" applyFill="1" applyBorder="1" applyAlignment="1">
      <alignment horizontal="center" vertical="center" wrapText="1"/>
    </xf>
    <xf numFmtId="0" fontId="32" fillId="0" borderId="0" xfId="0" applyFont="1" applyAlignment="1">
      <alignment horizontal="left" vertical="center"/>
    </xf>
    <xf numFmtId="0" fontId="32" fillId="0" borderId="0" xfId="1" applyFont="1" applyAlignment="1">
      <alignment horizontal="left" vertical="center"/>
    </xf>
    <xf numFmtId="9" fontId="35" fillId="0" borderId="0" xfId="0" applyNumberFormat="1" applyFont="1">
      <alignment vertical="center"/>
    </xf>
    <xf numFmtId="0" fontId="35" fillId="0" borderId="0" xfId="0" applyFont="1" applyAlignment="1"/>
    <xf numFmtId="0" fontId="32" fillId="0" borderId="23" xfId="0" applyFont="1" applyBorder="1">
      <alignment vertical="center"/>
    </xf>
    <xf numFmtId="176" fontId="32" fillId="0" borderId="23" xfId="6" applyNumberFormat="1" applyFont="1" applyFill="1" applyBorder="1">
      <alignment vertical="center"/>
    </xf>
    <xf numFmtId="0" fontId="24" fillId="5" borderId="23" xfId="0" applyFont="1" applyFill="1" applyBorder="1">
      <alignment vertical="center"/>
    </xf>
    <xf numFmtId="0" fontId="24" fillId="5" borderId="23" xfId="0" applyFont="1" applyFill="1" applyBorder="1" applyAlignment="1">
      <alignment horizontal="center" vertical="center"/>
    </xf>
    <xf numFmtId="0" fontId="11" fillId="0" borderId="23" xfId="0" applyFont="1" applyBorder="1" applyAlignment="1">
      <alignment horizontal="center" vertical="center"/>
    </xf>
    <xf numFmtId="9" fontId="11" fillId="21" borderId="23" xfId="0" applyNumberFormat="1" applyFont="1" applyFill="1" applyBorder="1" applyAlignment="1">
      <alignment horizontal="center" vertical="center"/>
    </xf>
    <xf numFmtId="0" fontId="11" fillId="15" borderId="23" xfId="0" applyFont="1" applyFill="1" applyBorder="1" applyAlignment="1">
      <alignment horizontal="center" vertical="center"/>
    </xf>
    <xf numFmtId="9" fontId="11" fillId="17" borderId="23" xfId="0" applyNumberFormat="1" applyFont="1" applyFill="1" applyBorder="1" applyAlignment="1">
      <alignment horizontal="center" vertical="center"/>
    </xf>
    <xf numFmtId="9" fontId="11" fillId="16" borderId="23" xfId="0" applyNumberFormat="1" applyFont="1" applyFill="1" applyBorder="1" applyAlignment="1">
      <alignment horizontal="center" vertical="center"/>
    </xf>
    <xf numFmtId="0" fontId="11" fillId="10" borderId="23" xfId="0" applyFont="1" applyFill="1" applyBorder="1" applyAlignment="1">
      <alignment horizontal="center" vertical="center" wrapText="1"/>
    </xf>
    <xf numFmtId="9" fontId="11" fillId="22" borderId="23" xfId="0" applyNumberFormat="1" applyFont="1" applyFill="1" applyBorder="1" applyAlignment="1">
      <alignment horizontal="center" vertical="center"/>
    </xf>
    <xf numFmtId="9" fontId="11" fillId="23" borderId="23" xfId="0" applyNumberFormat="1" applyFont="1" applyFill="1" applyBorder="1" applyAlignment="1">
      <alignment horizontal="center" vertical="center"/>
    </xf>
    <xf numFmtId="9" fontId="11" fillId="24" borderId="23" xfId="0" applyNumberFormat="1" applyFont="1" applyFill="1" applyBorder="1" applyAlignment="1">
      <alignment horizontal="center" vertical="center"/>
    </xf>
    <xf numFmtId="9" fontId="11" fillId="25" borderId="23" xfId="0" applyNumberFormat="1" applyFont="1" applyFill="1" applyBorder="1" applyAlignment="1">
      <alignment horizontal="center" vertical="center"/>
    </xf>
    <xf numFmtId="9" fontId="11" fillId="26" borderId="23" xfId="0" applyNumberFormat="1" applyFont="1" applyFill="1" applyBorder="1" applyAlignment="1">
      <alignment horizontal="center" vertical="center"/>
    </xf>
    <xf numFmtId="0" fontId="11" fillId="27" borderId="23" xfId="0" applyFont="1" applyFill="1" applyBorder="1" applyAlignment="1">
      <alignment horizontal="center" vertical="center" wrapText="1"/>
    </xf>
    <xf numFmtId="9" fontId="11" fillId="28" borderId="23" xfId="0" applyNumberFormat="1" applyFont="1" applyFill="1" applyBorder="1" applyAlignment="1">
      <alignment horizontal="center" vertical="center"/>
    </xf>
    <xf numFmtId="9" fontId="11" fillId="29" borderId="23" xfId="0" applyNumberFormat="1" applyFont="1" applyFill="1" applyBorder="1" applyAlignment="1">
      <alignment horizontal="center" vertical="center"/>
    </xf>
    <xf numFmtId="9" fontId="11" fillId="30" borderId="23" xfId="0" applyNumberFormat="1" applyFont="1" applyFill="1" applyBorder="1" applyAlignment="1">
      <alignment horizontal="center" vertical="center"/>
    </xf>
    <xf numFmtId="0" fontId="11" fillId="0" borderId="23" xfId="0" quotePrefix="1" applyFont="1" applyBorder="1" applyAlignment="1">
      <alignment horizontal="center" vertical="center"/>
    </xf>
    <xf numFmtId="9" fontId="11" fillId="31" borderId="23" xfId="0" applyNumberFormat="1" applyFont="1" applyFill="1" applyBorder="1" applyAlignment="1">
      <alignment horizontal="center" vertical="center"/>
    </xf>
    <xf numFmtId="9" fontId="11" fillId="32" borderId="23" xfId="0" applyNumberFormat="1" applyFont="1" applyFill="1" applyBorder="1" applyAlignment="1">
      <alignment horizontal="center" vertical="center"/>
    </xf>
    <xf numFmtId="9" fontId="11" fillId="33" borderId="23" xfId="0" applyNumberFormat="1" applyFont="1" applyFill="1" applyBorder="1" applyAlignment="1">
      <alignment horizontal="center" vertical="center"/>
    </xf>
    <xf numFmtId="0" fontId="11" fillId="34" borderId="23" xfId="0" applyFont="1" applyFill="1" applyBorder="1" applyAlignment="1">
      <alignment horizontal="center" vertical="center" wrapText="1"/>
    </xf>
    <xf numFmtId="9" fontId="11" fillId="35" borderId="23" xfId="0" applyNumberFormat="1" applyFont="1" applyFill="1" applyBorder="1" applyAlignment="1">
      <alignment horizontal="center" vertical="center"/>
    </xf>
    <xf numFmtId="9" fontId="11" fillId="36" borderId="23" xfId="0" applyNumberFormat="1" applyFont="1" applyFill="1" applyBorder="1" applyAlignment="1">
      <alignment horizontal="center" vertical="center"/>
    </xf>
    <xf numFmtId="9" fontId="11" fillId="37" borderId="23" xfId="0" applyNumberFormat="1" applyFont="1" applyFill="1" applyBorder="1" applyAlignment="1">
      <alignment horizontal="center" vertical="center"/>
    </xf>
    <xf numFmtId="9" fontId="11" fillId="38" borderId="23" xfId="0" applyNumberFormat="1" applyFont="1" applyFill="1" applyBorder="1" applyAlignment="1">
      <alignment horizontal="center" vertical="center"/>
    </xf>
    <xf numFmtId="9" fontId="11" fillId="39" borderId="23" xfId="0" applyNumberFormat="1" applyFont="1" applyFill="1" applyBorder="1" applyAlignment="1">
      <alignment horizontal="center" vertical="center"/>
    </xf>
    <xf numFmtId="9" fontId="11" fillId="40" borderId="23" xfId="0" applyNumberFormat="1" applyFont="1" applyFill="1" applyBorder="1" applyAlignment="1">
      <alignment horizontal="center" vertical="center"/>
    </xf>
    <xf numFmtId="9" fontId="11" fillId="41" borderId="23" xfId="0" applyNumberFormat="1" applyFont="1" applyFill="1" applyBorder="1" applyAlignment="1">
      <alignment horizontal="center" vertical="center"/>
    </xf>
    <xf numFmtId="0" fontId="11" fillId="42" borderId="23" xfId="0" applyFont="1" applyFill="1" applyBorder="1" applyAlignment="1">
      <alignment horizontal="center" vertical="center" wrapText="1"/>
    </xf>
    <xf numFmtId="9" fontId="11" fillId="43" borderId="23" xfId="0" applyNumberFormat="1" applyFont="1" applyFill="1" applyBorder="1" applyAlignment="1">
      <alignment horizontal="center" vertical="center"/>
    </xf>
    <xf numFmtId="9" fontId="11" fillId="44" borderId="23" xfId="0" applyNumberFormat="1" applyFont="1" applyFill="1" applyBorder="1" applyAlignment="1">
      <alignment horizontal="center" vertical="center"/>
    </xf>
    <xf numFmtId="9" fontId="11" fillId="45" borderId="23" xfId="0" applyNumberFormat="1" applyFont="1" applyFill="1" applyBorder="1" applyAlignment="1">
      <alignment horizontal="center" vertical="center"/>
    </xf>
    <xf numFmtId="9" fontId="11" fillId="46" borderId="23" xfId="0" applyNumberFormat="1" applyFont="1" applyFill="1" applyBorder="1" applyAlignment="1">
      <alignment horizontal="center" vertical="center"/>
    </xf>
    <xf numFmtId="0" fontId="11" fillId="47" borderId="23" xfId="0" applyFont="1" applyFill="1" applyBorder="1" applyAlignment="1">
      <alignment horizontal="center" vertical="center" wrapText="1"/>
    </xf>
    <xf numFmtId="9" fontId="11" fillId="48" borderId="23" xfId="0" applyNumberFormat="1" applyFont="1" applyFill="1" applyBorder="1" applyAlignment="1">
      <alignment horizontal="center" vertical="center"/>
    </xf>
    <xf numFmtId="9" fontId="11" fillId="49" borderId="23" xfId="0" applyNumberFormat="1" applyFont="1" applyFill="1" applyBorder="1" applyAlignment="1">
      <alignment horizontal="center" vertical="center"/>
    </xf>
    <xf numFmtId="9" fontId="11" fillId="50" borderId="23" xfId="0" applyNumberFormat="1" applyFont="1" applyFill="1" applyBorder="1" applyAlignment="1">
      <alignment horizontal="center" vertical="center"/>
    </xf>
    <xf numFmtId="9" fontId="11" fillId="51" borderId="23" xfId="0" applyNumberFormat="1" applyFont="1" applyFill="1" applyBorder="1" applyAlignment="1">
      <alignment horizontal="center" vertical="center"/>
    </xf>
    <xf numFmtId="0" fontId="11" fillId="52" borderId="23" xfId="0" applyFont="1" applyFill="1" applyBorder="1" applyAlignment="1">
      <alignment horizontal="center" vertical="center" wrapText="1"/>
    </xf>
    <xf numFmtId="9" fontId="11" fillId="53" borderId="23" xfId="0" applyNumberFormat="1" applyFont="1" applyFill="1" applyBorder="1" applyAlignment="1">
      <alignment horizontal="center" vertical="center"/>
    </xf>
    <xf numFmtId="9" fontId="11" fillId="54" borderId="23" xfId="0" applyNumberFormat="1" applyFont="1" applyFill="1" applyBorder="1" applyAlignment="1">
      <alignment horizontal="center" vertical="center"/>
    </xf>
    <xf numFmtId="9" fontId="11" fillId="55" borderId="23" xfId="0" applyNumberFormat="1" applyFont="1" applyFill="1" applyBorder="1" applyAlignment="1">
      <alignment horizontal="center" vertical="center"/>
    </xf>
    <xf numFmtId="9" fontId="11" fillId="56" borderId="23" xfId="0" applyNumberFormat="1" applyFont="1" applyFill="1" applyBorder="1" applyAlignment="1">
      <alignment horizontal="center" vertical="center"/>
    </xf>
    <xf numFmtId="9" fontId="11" fillId="57" borderId="23" xfId="0" applyNumberFormat="1" applyFont="1" applyFill="1" applyBorder="1" applyAlignment="1">
      <alignment horizontal="center" vertical="center"/>
    </xf>
    <xf numFmtId="0" fontId="11" fillId="58" borderId="23" xfId="0" applyFont="1" applyFill="1" applyBorder="1" applyAlignment="1">
      <alignment horizontal="center" vertical="center" wrapText="1"/>
    </xf>
    <xf numFmtId="9" fontId="11" fillId="59" borderId="23" xfId="0" applyNumberFormat="1" applyFont="1" applyFill="1" applyBorder="1" applyAlignment="1">
      <alignment horizontal="center" vertical="center"/>
    </xf>
    <xf numFmtId="9" fontId="11" fillId="60" borderId="23" xfId="0" applyNumberFormat="1" applyFont="1" applyFill="1" applyBorder="1" applyAlignment="1">
      <alignment horizontal="center" vertical="center"/>
    </xf>
    <xf numFmtId="9" fontId="11" fillId="61" borderId="23" xfId="0" applyNumberFormat="1" applyFont="1" applyFill="1" applyBorder="1" applyAlignment="1">
      <alignment horizontal="center" vertical="center"/>
    </xf>
    <xf numFmtId="9" fontId="11" fillId="62" borderId="23" xfId="0" applyNumberFormat="1" applyFont="1" applyFill="1" applyBorder="1" applyAlignment="1">
      <alignment horizontal="center" vertical="center"/>
    </xf>
    <xf numFmtId="9" fontId="11" fillId="63" borderId="23" xfId="0" applyNumberFormat="1" applyFont="1" applyFill="1" applyBorder="1" applyAlignment="1">
      <alignment horizontal="center" vertical="center"/>
    </xf>
    <xf numFmtId="9" fontId="11" fillId="64" borderId="23" xfId="0" applyNumberFormat="1" applyFont="1" applyFill="1" applyBorder="1" applyAlignment="1">
      <alignment horizontal="center" vertical="center"/>
    </xf>
    <xf numFmtId="0" fontId="11" fillId="65" borderId="23" xfId="0" applyFont="1" applyFill="1" applyBorder="1" applyAlignment="1">
      <alignment horizontal="center" vertical="center" wrapText="1"/>
    </xf>
    <xf numFmtId="9" fontId="11" fillId="66" borderId="23" xfId="0" applyNumberFormat="1" applyFont="1" applyFill="1" applyBorder="1" applyAlignment="1">
      <alignment horizontal="center" vertical="center"/>
    </xf>
    <xf numFmtId="9" fontId="11" fillId="67" borderId="23" xfId="0" applyNumberFormat="1" applyFont="1" applyFill="1" applyBorder="1" applyAlignment="1">
      <alignment horizontal="center" vertical="center"/>
    </xf>
    <xf numFmtId="9" fontId="11" fillId="68" borderId="23" xfId="0" applyNumberFormat="1" applyFont="1" applyFill="1" applyBorder="1" applyAlignment="1">
      <alignment horizontal="center" vertical="center"/>
    </xf>
    <xf numFmtId="9" fontId="11" fillId="69" borderId="23" xfId="0" applyNumberFormat="1" applyFont="1" applyFill="1" applyBorder="1" applyAlignment="1">
      <alignment horizontal="center" vertical="center"/>
    </xf>
    <xf numFmtId="9" fontId="11" fillId="70" borderId="23" xfId="0" applyNumberFormat="1" applyFont="1" applyFill="1" applyBorder="1" applyAlignment="1">
      <alignment horizontal="center" vertical="center"/>
    </xf>
    <xf numFmtId="0" fontId="11" fillId="71" borderId="23" xfId="0" applyFont="1" applyFill="1" applyBorder="1" applyAlignment="1">
      <alignment horizontal="center" vertical="center" wrapText="1"/>
    </xf>
    <xf numFmtId="9" fontId="11" fillId="72" borderId="23" xfId="0" applyNumberFormat="1" applyFont="1" applyFill="1" applyBorder="1" applyAlignment="1">
      <alignment horizontal="center" vertical="center"/>
    </xf>
    <xf numFmtId="10" fontId="11" fillId="16" borderId="23" xfId="0" applyNumberFormat="1" applyFont="1" applyFill="1" applyBorder="1" applyAlignment="1">
      <alignment horizontal="center" vertical="center"/>
    </xf>
    <xf numFmtId="9" fontId="11" fillId="73" borderId="23" xfId="0" applyNumberFormat="1" applyFont="1" applyFill="1" applyBorder="1" applyAlignment="1">
      <alignment horizontal="center" vertical="center"/>
    </xf>
    <xf numFmtId="9" fontId="11" fillId="74" borderId="23" xfId="0" applyNumberFormat="1" applyFont="1" applyFill="1" applyBorder="1" applyAlignment="1">
      <alignment horizontal="center" vertical="center"/>
    </xf>
    <xf numFmtId="9" fontId="11" fillId="75" borderId="23" xfId="0" applyNumberFormat="1" applyFont="1" applyFill="1" applyBorder="1" applyAlignment="1">
      <alignment horizontal="center" vertical="center"/>
    </xf>
    <xf numFmtId="0" fontId="11" fillId="76" borderId="23" xfId="0" applyFont="1" applyFill="1" applyBorder="1" applyAlignment="1">
      <alignment horizontal="center" vertical="center" wrapText="1"/>
    </xf>
    <xf numFmtId="9" fontId="11" fillId="77" borderId="23" xfId="0" applyNumberFormat="1" applyFont="1" applyFill="1" applyBorder="1" applyAlignment="1">
      <alignment horizontal="center" vertical="center"/>
    </xf>
    <xf numFmtId="9" fontId="11" fillId="78" borderId="23" xfId="0" applyNumberFormat="1" applyFont="1" applyFill="1" applyBorder="1" applyAlignment="1">
      <alignment horizontal="center" vertical="center"/>
    </xf>
    <xf numFmtId="9" fontId="11" fillId="79" borderId="23" xfId="0" applyNumberFormat="1" applyFont="1" applyFill="1" applyBorder="1" applyAlignment="1">
      <alignment horizontal="center" vertical="center"/>
    </xf>
    <xf numFmtId="9" fontId="11" fillId="80" borderId="23" xfId="0" applyNumberFormat="1" applyFont="1" applyFill="1" applyBorder="1" applyAlignment="1">
      <alignment horizontal="center" vertical="center"/>
    </xf>
    <xf numFmtId="9" fontId="11" fillId="81" borderId="23" xfId="0" applyNumberFormat="1" applyFont="1" applyFill="1" applyBorder="1" applyAlignment="1">
      <alignment horizontal="center" vertical="center"/>
    </xf>
    <xf numFmtId="0" fontId="11" fillId="82" borderId="23" xfId="0" applyFont="1" applyFill="1" applyBorder="1" applyAlignment="1">
      <alignment horizontal="center" vertical="center" wrapText="1"/>
    </xf>
    <xf numFmtId="9" fontId="11" fillId="83" borderId="23" xfId="0" applyNumberFormat="1" applyFont="1" applyFill="1" applyBorder="1" applyAlignment="1">
      <alignment horizontal="center" vertical="center"/>
    </xf>
    <xf numFmtId="0" fontId="11" fillId="84" borderId="23" xfId="0" applyFont="1" applyFill="1" applyBorder="1" applyAlignment="1">
      <alignment horizontal="center" vertical="center" wrapText="1"/>
    </xf>
    <xf numFmtId="10" fontId="11" fillId="79" borderId="23" xfId="0" applyNumberFormat="1" applyFont="1" applyFill="1" applyBorder="1" applyAlignment="1">
      <alignment horizontal="center" vertical="center"/>
    </xf>
    <xf numFmtId="9" fontId="11" fillId="85" borderId="23" xfId="0" applyNumberFormat="1" applyFont="1" applyFill="1" applyBorder="1" applyAlignment="1">
      <alignment horizontal="center" vertical="center"/>
    </xf>
    <xf numFmtId="9" fontId="11" fillId="86" borderId="23" xfId="0" applyNumberFormat="1" applyFont="1" applyFill="1" applyBorder="1" applyAlignment="1">
      <alignment horizontal="center" vertical="center"/>
    </xf>
    <xf numFmtId="0" fontId="11" fillId="87" borderId="23" xfId="0" applyFont="1" applyFill="1" applyBorder="1" applyAlignment="1">
      <alignment horizontal="center" vertical="center" wrapText="1"/>
    </xf>
    <xf numFmtId="10" fontId="11" fillId="77" borderId="23" xfId="0" applyNumberFormat="1" applyFont="1" applyFill="1" applyBorder="1" applyAlignment="1">
      <alignment horizontal="center" vertical="center"/>
    </xf>
    <xf numFmtId="9" fontId="11" fillId="88" borderId="23" xfId="0" applyNumberFormat="1" applyFont="1" applyFill="1" applyBorder="1" applyAlignment="1">
      <alignment horizontal="center" vertical="center"/>
    </xf>
    <xf numFmtId="9" fontId="11" fillId="89" borderId="23" xfId="0" applyNumberFormat="1" applyFont="1" applyFill="1" applyBorder="1" applyAlignment="1">
      <alignment horizontal="center" vertical="center"/>
    </xf>
    <xf numFmtId="9" fontId="11" fillId="90" borderId="23" xfId="0" applyNumberFormat="1" applyFont="1" applyFill="1" applyBorder="1" applyAlignment="1">
      <alignment horizontal="center" vertical="center"/>
    </xf>
    <xf numFmtId="0" fontId="11" fillId="91" borderId="23" xfId="0" applyFont="1" applyFill="1" applyBorder="1" applyAlignment="1">
      <alignment horizontal="center" vertical="center" wrapText="1"/>
    </xf>
    <xf numFmtId="10" fontId="11" fillId="92" borderId="23" xfId="0" applyNumberFormat="1" applyFont="1" applyFill="1" applyBorder="1" applyAlignment="1">
      <alignment horizontal="center" vertical="center"/>
    </xf>
    <xf numFmtId="9" fontId="11" fillId="93" borderId="23" xfId="0" applyNumberFormat="1" applyFont="1" applyFill="1" applyBorder="1" applyAlignment="1">
      <alignment horizontal="center" vertical="center"/>
    </xf>
    <xf numFmtId="9" fontId="11" fillId="94" borderId="23" xfId="0" applyNumberFormat="1" applyFont="1" applyFill="1" applyBorder="1" applyAlignment="1">
      <alignment horizontal="center" vertical="center"/>
    </xf>
    <xf numFmtId="0" fontId="11" fillId="95" borderId="23" xfId="0" applyFont="1" applyFill="1" applyBorder="1" applyAlignment="1">
      <alignment horizontal="center" vertical="center" wrapText="1"/>
    </xf>
    <xf numFmtId="9" fontId="11" fillId="96" borderId="23" xfId="0" applyNumberFormat="1" applyFont="1" applyFill="1" applyBorder="1" applyAlignment="1">
      <alignment horizontal="center" vertical="center"/>
    </xf>
    <xf numFmtId="0" fontId="11" fillId="97" borderId="23" xfId="0" applyFont="1" applyFill="1" applyBorder="1" applyAlignment="1">
      <alignment horizontal="center" vertical="center" wrapText="1"/>
    </xf>
    <xf numFmtId="9" fontId="11" fillId="98" borderId="23" xfId="0" applyNumberFormat="1" applyFont="1" applyFill="1" applyBorder="1" applyAlignment="1">
      <alignment horizontal="center" vertical="center"/>
    </xf>
    <xf numFmtId="0" fontId="11" fillId="99" borderId="23" xfId="0" applyFont="1" applyFill="1" applyBorder="1" applyAlignment="1">
      <alignment horizontal="center" vertical="center" wrapText="1"/>
    </xf>
    <xf numFmtId="9" fontId="11" fillId="100" borderId="23" xfId="0" applyNumberFormat="1" applyFont="1" applyFill="1" applyBorder="1" applyAlignment="1">
      <alignment horizontal="center" vertical="center"/>
    </xf>
    <xf numFmtId="9" fontId="11" fillId="101" borderId="23" xfId="0" applyNumberFormat="1" applyFont="1" applyFill="1" applyBorder="1" applyAlignment="1">
      <alignment horizontal="center" vertical="center"/>
    </xf>
    <xf numFmtId="0" fontId="11" fillId="77" borderId="23" xfId="0" applyFont="1" applyFill="1" applyBorder="1" applyAlignment="1">
      <alignment horizontal="center" vertical="center" wrapText="1"/>
    </xf>
    <xf numFmtId="0" fontId="11" fillId="16" borderId="23" xfId="0" applyFont="1" applyFill="1" applyBorder="1" applyAlignment="1">
      <alignment horizontal="center" vertical="center" wrapText="1"/>
    </xf>
    <xf numFmtId="9" fontId="11" fillId="102" borderId="23" xfId="0" applyNumberFormat="1" applyFont="1" applyFill="1" applyBorder="1" applyAlignment="1">
      <alignment horizontal="center" vertical="center"/>
    </xf>
    <xf numFmtId="0" fontId="11" fillId="0" borderId="23" xfId="0" applyFont="1" applyBorder="1" applyAlignment="1">
      <alignment horizontal="left" vertical="center"/>
    </xf>
    <xf numFmtId="177" fontId="11" fillId="16" borderId="23" xfId="0" applyNumberFormat="1" applyFont="1" applyFill="1" applyBorder="1" applyAlignment="1">
      <alignment horizontal="center" vertical="center"/>
    </xf>
    <xf numFmtId="0" fontId="44" fillId="0" borderId="0" xfId="0" applyFont="1">
      <alignment vertical="center"/>
    </xf>
    <xf numFmtId="1" fontId="44" fillId="0" borderId="0" xfId="0" applyNumberFormat="1" applyFont="1">
      <alignment vertical="center"/>
    </xf>
    <xf numFmtId="0" fontId="9" fillId="0" borderId="23" xfId="0" applyFont="1" applyBorder="1" applyAlignment="1">
      <alignment horizontal="left" vertical="center"/>
    </xf>
    <xf numFmtId="181" fontId="11" fillId="0" borderId="23" xfId="0" applyNumberFormat="1" applyFont="1" applyBorder="1" applyAlignment="1">
      <alignment horizontal="center" vertical="center"/>
    </xf>
    <xf numFmtId="1" fontId="9" fillId="0" borderId="23" xfId="0" applyNumberFormat="1" applyFont="1" applyBorder="1" applyAlignment="1">
      <alignment horizontal="center" vertical="center"/>
    </xf>
    <xf numFmtId="180" fontId="19" fillId="0" borderId="0" xfId="6" applyNumberFormat="1" applyFont="1" applyFill="1" applyBorder="1" applyAlignment="1">
      <alignment horizontal="center" vertical="center"/>
    </xf>
    <xf numFmtId="9" fontId="19" fillId="0" borderId="0" xfId="4" applyFont="1" applyFill="1" applyBorder="1" applyAlignment="1">
      <alignment horizontal="center" vertical="center"/>
    </xf>
    <xf numFmtId="180" fontId="9" fillId="0" borderId="23" xfId="6" applyNumberFormat="1" applyFont="1" applyFill="1" applyBorder="1" applyAlignment="1">
      <alignment horizontal="center" vertical="center"/>
    </xf>
    <xf numFmtId="9" fontId="9" fillId="0" borderId="23" xfId="4" applyFont="1" applyFill="1" applyBorder="1" applyAlignment="1">
      <alignment horizontal="center" vertical="center"/>
    </xf>
    <xf numFmtId="9" fontId="11" fillId="0" borderId="23" xfId="4" applyFont="1" applyFill="1" applyBorder="1" applyAlignment="1">
      <alignment horizontal="center" vertical="center"/>
    </xf>
    <xf numFmtId="181" fontId="11" fillId="0" borderId="0" xfId="0" applyNumberFormat="1" applyFont="1" applyAlignment="1">
      <alignment horizontal="center" vertical="center"/>
    </xf>
    <xf numFmtId="0" fontId="11" fillId="0" borderId="0" xfId="0" applyFont="1" applyAlignment="1">
      <alignment vertical="top"/>
    </xf>
    <xf numFmtId="0" fontId="9" fillId="0" borderId="25" xfId="0" applyFont="1" applyBorder="1" applyAlignment="1">
      <alignment horizontal="left" vertical="center"/>
    </xf>
    <xf numFmtId="0" fontId="9" fillId="0" borderId="13" xfId="0" applyFont="1" applyBorder="1" applyAlignment="1">
      <alignment vertical="top" wrapText="1"/>
    </xf>
    <xf numFmtId="180" fontId="9" fillId="0" borderId="25" xfId="6" applyNumberFormat="1" applyFont="1" applyFill="1" applyBorder="1" applyAlignment="1">
      <alignment horizontal="center" vertical="center"/>
    </xf>
    <xf numFmtId="9" fontId="9" fillId="0" borderId="25" xfId="4" applyFont="1" applyFill="1" applyBorder="1" applyAlignment="1">
      <alignment horizontal="center" vertical="center"/>
    </xf>
    <xf numFmtId="181" fontId="9" fillId="0" borderId="25" xfId="0" applyNumberFormat="1" applyFont="1" applyBorder="1" applyAlignment="1">
      <alignment horizontal="center" vertical="center"/>
    </xf>
    <xf numFmtId="0" fontId="9" fillId="0" borderId="23" xfId="0" applyFont="1" applyBorder="1" applyAlignment="1">
      <alignment vertical="top" wrapText="1"/>
    </xf>
    <xf numFmtId="180" fontId="11" fillId="0" borderId="23" xfId="6" applyNumberFormat="1" applyFont="1" applyFill="1" applyBorder="1" applyAlignment="1">
      <alignment horizontal="center" vertical="center"/>
    </xf>
    <xf numFmtId="9" fontId="1" fillId="0" borderId="12" xfId="4" applyFont="1" applyBorder="1" applyAlignment="1">
      <alignment horizontal="center"/>
    </xf>
    <xf numFmtId="0" fontId="33" fillId="10" borderId="13" xfId="0" applyFont="1" applyFill="1" applyBorder="1" applyAlignment="1">
      <alignment horizontal="center" vertical="center" wrapText="1"/>
    </xf>
    <xf numFmtId="0" fontId="33" fillId="10" borderId="12" xfId="0" applyFont="1" applyFill="1" applyBorder="1" applyAlignment="1">
      <alignment horizontal="center" vertical="center" wrapText="1"/>
    </xf>
    <xf numFmtId="9" fontId="9" fillId="0" borderId="1" xfId="4" applyFont="1" applyBorder="1" applyAlignment="1">
      <alignment horizontal="left" vertical="center" wrapText="1"/>
    </xf>
    <xf numFmtId="181" fontId="1" fillId="0" borderId="12" xfId="4" applyNumberFormat="1" applyFont="1" applyBorder="1" applyAlignment="1">
      <alignment horizontal="center" vertical="center" wrapText="1"/>
    </xf>
    <xf numFmtId="181" fontId="9" fillId="0" borderId="1" xfId="4" applyNumberFormat="1" applyFont="1" applyBorder="1" applyAlignment="1">
      <alignment horizontal="center" wrapText="1"/>
    </xf>
    <xf numFmtId="181" fontId="1" fillId="0" borderId="1" xfId="4" applyNumberFormat="1" applyFont="1" applyBorder="1" applyAlignment="1">
      <alignment horizontal="center"/>
    </xf>
    <xf numFmtId="181" fontId="49" fillId="0" borderId="1" xfId="4" applyNumberFormat="1" applyFont="1" applyBorder="1" applyAlignment="1">
      <alignment horizontal="center" vertical="center" wrapText="1"/>
    </xf>
    <xf numFmtId="181" fontId="1" fillId="0" borderId="1" xfId="4" applyNumberFormat="1" applyFont="1" applyBorder="1" applyAlignment="1">
      <alignment horizontal="center" vertical="center" wrapText="1"/>
    </xf>
    <xf numFmtId="181" fontId="49" fillId="0" borderId="2" xfId="4" applyNumberFormat="1" applyFont="1" applyBorder="1" applyAlignment="1">
      <alignment horizontal="center" vertical="center" wrapText="1"/>
    </xf>
    <xf numFmtId="0" fontId="19" fillId="0" borderId="0" xfId="0" applyFont="1" applyAlignment="1">
      <alignment horizontal="center" vertical="center" wrapText="1"/>
    </xf>
    <xf numFmtId="183" fontId="20" fillId="0" borderId="0" xfId="6" applyNumberFormat="1" applyFont="1" applyFill="1" applyBorder="1">
      <alignment vertical="center"/>
    </xf>
    <xf numFmtId="183" fontId="19" fillId="0" borderId="0" xfId="6" applyNumberFormat="1" applyFont="1" applyFill="1" applyBorder="1">
      <alignment vertical="center"/>
    </xf>
    <xf numFmtId="0" fontId="18" fillId="0" borderId="8" xfId="0" applyFont="1" applyBorder="1" applyAlignment="1">
      <alignment horizontal="center" vertical="center" wrapText="1"/>
    </xf>
    <xf numFmtId="1" fontId="33" fillId="10" borderId="1" xfId="0" applyNumberFormat="1" applyFont="1" applyFill="1" applyBorder="1" applyAlignment="1">
      <alignment horizontal="center" vertical="center" wrapText="1"/>
    </xf>
    <xf numFmtId="1" fontId="18" fillId="0" borderId="8" xfId="0" applyNumberFormat="1" applyFont="1" applyBorder="1" applyAlignment="1">
      <alignment horizontal="center" vertical="center" wrapText="1"/>
    </xf>
    <xf numFmtId="1" fontId="18" fillId="0" borderId="8" xfId="0" applyNumberFormat="1" applyFont="1" applyBorder="1" applyAlignment="1">
      <alignment horizontal="center" vertical="center"/>
    </xf>
    <xf numFmtId="1" fontId="33" fillId="106" borderId="1" xfId="0" applyNumberFormat="1" applyFont="1" applyFill="1" applyBorder="1" applyAlignment="1">
      <alignment horizontal="center" vertical="center" wrapText="1"/>
    </xf>
    <xf numFmtId="1" fontId="33" fillId="107" borderId="1" xfId="0" applyNumberFormat="1" applyFont="1" applyFill="1" applyBorder="1" applyAlignment="1">
      <alignment horizontal="center" vertical="center" wrapText="1"/>
    </xf>
    <xf numFmtId="1" fontId="33" fillId="108" borderId="1" xfId="0" applyNumberFormat="1" applyFont="1" applyFill="1" applyBorder="1" applyAlignment="1">
      <alignment horizontal="center" vertical="center" wrapText="1"/>
    </xf>
    <xf numFmtId="1" fontId="33" fillId="109" borderId="1" xfId="0" applyNumberFormat="1" applyFont="1" applyFill="1" applyBorder="1" applyAlignment="1">
      <alignment horizontal="center" vertical="center" wrapText="1"/>
    </xf>
    <xf numFmtId="1" fontId="33" fillId="110" borderId="1" xfId="0" applyNumberFormat="1" applyFont="1" applyFill="1" applyBorder="1" applyAlignment="1">
      <alignment horizontal="center" vertical="center" wrapText="1"/>
    </xf>
    <xf numFmtId="1" fontId="33" fillId="111" borderId="1" xfId="0" applyNumberFormat="1" applyFont="1" applyFill="1" applyBorder="1" applyAlignment="1">
      <alignment horizontal="center" vertical="center" wrapText="1"/>
    </xf>
    <xf numFmtId="1" fontId="33" fillId="112" borderId="1" xfId="0" applyNumberFormat="1" applyFont="1" applyFill="1" applyBorder="1" applyAlignment="1">
      <alignment horizontal="center" vertical="center" wrapText="1"/>
    </xf>
    <xf numFmtId="1" fontId="33" fillId="113" borderId="1" xfId="0" applyNumberFormat="1" applyFont="1" applyFill="1" applyBorder="1" applyAlignment="1">
      <alignment horizontal="center" vertical="center" wrapText="1"/>
    </xf>
    <xf numFmtId="1" fontId="33" fillId="114" borderId="1" xfId="0" applyNumberFormat="1" applyFont="1" applyFill="1" applyBorder="1" applyAlignment="1">
      <alignment horizontal="center" vertical="center" wrapText="1"/>
    </xf>
    <xf numFmtId="1" fontId="33" fillId="115" borderId="1" xfId="0" applyNumberFormat="1" applyFont="1" applyFill="1" applyBorder="1" applyAlignment="1">
      <alignment horizontal="center" vertical="center" wrapText="1"/>
    </xf>
    <xf numFmtId="1" fontId="18" fillId="116" borderId="1" xfId="0" applyNumberFormat="1" applyFont="1" applyFill="1" applyBorder="1" applyAlignment="1">
      <alignment horizontal="center" vertical="center" wrapText="1"/>
    </xf>
    <xf numFmtId="1" fontId="18" fillId="117" borderId="1" xfId="0" applyNumberFormat="1" applyFont="1" applyFill="1" applyBorder="1" applyAlignment="1">
      <alignment horizontal="center" vertical="center" wrapText="1"/>
    </xf>
    <xf numFmtId="1" fontId="18" fillId="118" borderId="1" xfId="0" applyNumberFormat="1" applyFont="1" applyFill="1" applyBorder="1" applyAlignment="1">
      <alignment horizontal="center" vertical="center" wrapText="1"/>
    </xf>
    <xf numFmtId="1" fontId="18" fillId="119" borderId="1" xfId="0" applyNumberFormat="1" applyFont="1" applyFill="1" applyBorder="1" applyAlignment="1">
      <alignment horizontal="center" vertical="center" wrapText="1"/>
    </xf>
    <xf numFmtId="1" fontId="18" fillId="120" borderId="1" xfId="0" applyNumberFormat="1" applyFont="1" applyFill="1" applyBorder="1" applyAlignment="1">
      <alignment horizontal="center" vertical="center" wrapText="1"/>
    </xf>
    <xf numFmtId="1" fontId="18" fillId="121" borderId="1" xfId="0" applyNumberFormat="1" applyFont="1" applyFill="1" applyBorder="1" applyAlignment="1">
      <alignment horizontal="center" vertical="center" wrapText="1"/>
    </xf>
    <xf numFmtId="1" fontId="18" fillId="82" borderId="1" xfId="0" applyNumberFormat="1" applyFont="1" applyFill="1" applyBorder="1" applyAlignment="1">
      <alignment horizontal="center" vertical="center" wrapText="1"/>
    </xf>
    <xf numFmtId="1" fontId="18" fillId="16" borderId="1" xfId="0" applyNumberFormat="1"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0" borderId="8" xfId="0" applyFont="1" applyBorder="1" applyAlignment="1">
      <alignment horizontal="center" vertical="center"/>
    </xf>
    <xf numFmtId="1" fontId="19" fillId="0" borderId="0" xfId="0" applyNumberFormat="1" applyFont="1" applyAlignment="1">
      <alignment horizontal="left" vertical="center"/>
    </xf>
    <xf numFmtId="1" fontId="19" fillId="0" borderId="0" xfId="0" applyNumberFormat="1" applyFont="1" applyAlignment="1">
      <alignment horizontal="center" vertical="center"/>
    </xf>
    <xf numFmtId="0" fontId="19" fillId="0" borderId="0" xfId="0" applyFont="1" applyAlignment="1">
      <alignment horizontal="center" vertical="center"/>
    </xf>
    <xf numFmtId="0" fontId="33" fillId="10" borderId="0" xfId="0" applyFont="1" applyFill="1" applyAlignment="1">
      <alignment horizontal="center" vertical="center" wrapText="1"/>
    </xf>
    <xf numFmtId="0" fontId="33" fillId="105" borderId="8" xfId="0" applyFont="1" applyFill="1" applyBorder="1" applyAlignment="1">
      <alignment horizontal="center" vertical="center" wrapText="1"/>
    </xf>
    <xf numFmtId="0" fontId="18" fillId="15" borderId="1" xfId="0" applyFont="1" applyFill="1" applyBorder="1" applyAlignment="1">
      <alignment horizontal="center" vertical="center"/>
    </xf>
    <xf numFmtId="9" fontId="18" fillId="0" borderId="8" xfId="0" applyNumberFormat="1" applyFont="1" applyBorder="1" applyAlignment="1">
      <alignment horizontal="center" vertical="center"/>
    </xf>
    <xf numFmtId="0" fontId="33" fillId="27" borderId="1" xfId="0" applyFont="1" applyFill="1" applyBorder="1" applyAlignment="1">
      <alignment horizontal="center" vertical="center" wrapText="1"/>
    </xf>
    <xf numFmtId="0" fontId="33" fillId="114" borderId="1" xfId="0" applyFont="1" applyFill="1" applyBorder="1" applyAlignment="1">
      <alignment horizontal="center" vertical="center" wrapText="1"/>
    </xf>
    <xf numFmtId="0" fontId="39" fillId="15" borderId="1" xfId="0" applyFont="1" applyFill="1" applyBorder="1" applyAlignment="1">
      <alignment horizontal="center" vertical="center"/>
    </xf>
    <xf numFmtId="0" fontId="51" fillId="122" borderId="1" xfId="0" applyFont="1" applyFill="1" applyBorder="1" applyAlignment="1">
      <alignment horizontal="center" vertical="center" wrapText="1"/>
    </xf>
    <xf numFmtId="0" fontId="50" fillId="34" borderId="1" xfId="0" applyFont="1" applyFill="1" applyBorder="1" applyAlignment="1">
      <alignment horizontal="center" vertical="center" wrapText="1"/>
    </xf>
    <xf numFmtId="0" fontId="18" fillId="123" borderId="1" xfId="0" applyFont="1" applyFill="1" applyBorder="1" applyAlignment="1">
      <alignment horizontal="center" vertical="center" wrapText="1"/>
    </xf>
    <xf numFmtId="0" fontId="18" fillId="0" borderId="0" xfId="0" applyFont="1" applyAlignment="1">
      <alignment horizontal="center" vertical="center"/>
    </xf>
    <xf numFmtId="9" fontId="18" fillId="0" borderId="12" xfId="0" applyNumberFormat="1" applyFont="1" applyBorder="1" applyAlignment="1">
      <alignment horizontal="center" vertical="center"/>
    </xf>
    <xf numFmtId="0" fontId="18" fillId="124" borderId="1" xfId="0" applyFont="1" applyFill="1" applyBorder="1" applyAlignment="1">
      <alignment horizontal="center" vertical="center" wrapText="1"/>
    </xf>
    <xf numFmtId="0" fontId="18" fillId="117"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125" borderId="1" xfId="0" applyFont="1" applyFill="1" applyBorder="1" applyAlignment="1">
      <alignment horizontal="center" vertical="center" wrapText="1"/>
    </xf>
    <xf numFmtId="0" fontId="18" fillId="0" borderId="3" xfId="0" applyFont="1" applyBorder="1" applyAlignment="1">
      <alignment horizontal="center" vertical="center"/>
    </xf>
    <xf numFmtId="0" fontId="18" fillId="126" borderId="1" xfId="0" applyFont="1" applyFill="1" applyBorder="1" applyAlignment="1">
      <alignment horizontal="center" vertical="center" wrapText="1"/>
    </xf>
    <xf numFmtId="177" fontId="18" fillId="0" borderId="8" xfId="0" applyNumberFormat="1" applyFont="1" applyBorder="1" applyAlignment="1">
      <alignment horizontal="center" vertical="center"/>
    </xf>
    <xf numFmtId="0" fontId="50" fillId="127" borderId="1" xfId="0" applyFont="1" applyFill="1" applyBorder="1" applyAlignment="1">
      <alignment horizontal="center" vertical="center" wrapText="1"/>
    </xf>
    <xf numFmtId="0" fontId="50" fillId="58" borderId="1" xfId="0" applyFont="1" applyFill="1" applyBorder="1" applyAlignment="1">
      <alignment horizontal="center" vertical="center" wrapText="1"/>
    </xf>
    <xf numFmtId="0" fontId="50" fillId="128" borderId="1" xfId="0" applyFont="1" applyFill="1" applyBorder="1" applyAlignment="1">
      <alignment horizontal="center" vertical="center" wrapText="1"/>
    </xf>
    <xf numFmtId="0" fontId="50" fillId="129" borderId="1" xfId="0" applyFont="1" applyFill="1" applyBorder="1" applyAlignment="1">
      <alignment horizontal="center" vertical="center" wrapText="1"/>
    </xf>
    <xf numFmtId="0" fontId="50" fillId="130" borderId="1" xfId="0" applyFont="1" applyFill="1" applyBorder="1" applyAlignment="1">
      <alignment horizontal="center" vertical="center" wrapText="1"/>
    </xf>
    <xf numFmtId="0" fontId="50" fillId="131" borderId="1" xfId="0" applyFont="1" applyFill="1" applyBorder="1" applyAlignment="1">
      <alignment horizontal="center" vertical="center" wrapText="1"/>
    </xf>
    <xf numFmtId="0" fontId="50" fillId="132" borderId="1" xfId="0" applyFont="1" applyFill="1" applyBorder="1" applyAlignment="1">
      <alignment horizontal="center" vertical="center" wrapText="1"/>
    </xf>
    <xf numFmtId="0" fontId="50" fillId="121" borderId="1" xfId="0" applyFont="1" applyFill="1" applyBorder="1" applyAlignment="1">
      <alignment horizontal="center" vertical="center" wrapText="1"/>
    </xf>
    <xf numFmtId="0" fontId="50" fillId="16" borderId="1" xfId="0" applyFont="1" applyFill="1" applyBorder="1" applyAlignment="1">
      <alignment horizontal="center" vertical="center" wrapText="1"/>
    </xf>
    <xf numFmtId="1" fontId="18" fillId="15" borderId="1" xfId="0" applyNumberFormat="1" applyFont="1" applyFill="1" applyBorder="1" applyAlignment="1">
      <alignment horizontal="center" vertical="center"/>
    </xf>
    <xf numFmtId="0" fontId="33" fillId="10" borderId="8" xfId="0" applyFont="1" applyFill="1" applyBorder="1" applyAlignment="1">
      <alignment horizontal="center" vertical="center" wrapText="1"/>
    </xf>
    <xf numFmtId="0" fontId="11" fillId="0" borderId="0" xfId="0" applyFont="1" applyAlignment="1">
      <alignment vertical="center" wrapText="1"/>
    </xf>
    <xf numFmtId="0" fontId="33" fillId="133" borderId="1" xfId="0" applyFont="1" applyFill="1" applyBorder="1" applyAlignment="1">
      <alignment horizontal="center" vertical="center" wrapText="1"/>
    </xf>
    <xf numFmtId="0" fontId="33" fillId="134" borderId="1" xfId="0" applyFont="1" applyFill="1" applyBorder="1" applyAlignment="1">
      <alignment horizontal="center" vertical="center" wrapText="1"/>
    </xf>
    <xf numFmtId="0" fontId="33" fillId="135" borderId="1" xfId="0" applyFont="1" applyFill="1" applyBorder="1" applyAlignment="1">
      <alignment horizontal="center" vertical="center" wrapText="1"/>
    </xf>
    <xf numFmtId="0" fontId="33" fillId="136" borderId="1" xfId="0" applyFont="1" applyFill="1" applyBorder="1" applyAlignment="1">
      <alignment horizontal="center" vertical="center" wrapText="1"/>
    </xf>
    <xf numFmtId="0" fontId="33" fillId="137" borderId="1" xfId="0" applyFont="1" applyFill="1" applyBorder="1" applyAlignment="1">
      <alignment horizontal="center" vertical="center" wrapText="1"/>
    </xf>
    <xf numFmtId="0" fontId="33" fillId="138" borderId="1" xfId="0" applyFont="1" applyFill="1" applyBorder="1" applyAlignment="1">
      <alignment horizontal="center" vertical="center" wrapText="1"/>
    </xf>
    <xf numFmtId="0" fontId="33" fillId="139" borderId="1" xfId="0" applyFont="1" applyFill="1" applyBorder="1" applyAlignment="1">
      <alignment horizontal="center" vertical="center" wrapText="1"/>
    </xf>
    <xf numFmtId="0" fontId="18" fillId="0" borderId="12" xfId="0" applyFont="1" applyBorder="1" applyAlignment="1">
      <alignment horizontal="left" vertical="center"/>
    </xf>
    <xf numFmtId="0" fontId="33" fillId="140" borderId="1" xfId="0" applyFont="1" applyFill="1" applyBorder="1" applyAlignment="1">
      <alignment horizontal="center" vertical="center" wrapText="1"/>
    </xf>
    <xf numFmtId="0" fontId="33" fillId="141" borderId="1" xfId="0" applyFont="1" applyFill="1" applyBorder="1" applyAlignment="1">
      <alignment horizontal="center" vertical="center" wrapText="1"/>
    </xf>
    <xf numFmtId="0" fontId="33" fillId="142" borderId="1" xfId="0" applyFont="1" applyFill="1" applyBorder="1" applyAlignment="1">
      <alignment horizontal="center" vertical="center" wrapText="1"/>
    </xf>
    <xf numFmtId="0" fontId="33" fillId="143" borderId="1" xfId="0" applyFont="1" applyFill="1" applyBorder="1" applyAlignment="1">
      <alignment horizontal="center" vertical="center" wrapText="1"/>
    </xf>
    <xf numFmtId="0" fontId="18" fillId="144" borderId="1" xfId="0" applyFont="1" applyFill="1" applyBorder="1" applyAlignment="1">
      <alignment horizontal="center" vertical="center" wrapText="1"/>
    </xf>
    <xf numFmtId="0" fontId="18" fillId="145" borderId="1" xfId="0" applyFont="1" applyFill="1" applyBorder="1" applyAlignment="1">
      <alignment horizontal="center" vertical="center" wrapText="1"/>
    </xf>
    <xf numFmtId="0" fontId="18" fillId="146" borderId="1" xfId="0" applyFont="1" applyFill="1" applyBorder="1" applyAlignment="1">
      <alignment horizontal="center" vertical="center" wrapText="1"/>
    </xf>
    <xf numFmtId="0" fontId="18" fillId="147" borderId="1" xfId="0" applyFont="1" applyFill="1" applyBorder="1" applyAlignment="1">
      <alignment horizontal="center" vertical="center" wrapText="1"/>
    </xf>
    <xf numFmtId="0" fontId="18" fillId="148" borderId="1" xfId="0" applyFont="1" applyFill="1" applyBorder="1" applyAlignment="1">
      <alignment horizontal="center" vertical="center" wrapText="1"/>
    </xf>
    <xf numFmtId="0" fontId="18" fillId="149" borderId="1" xfId="0" applyFont="1" applyFill="1" applyBorder="1" applyAlignment="1">
      <alignment horizontal="center" vertical="center" wrapText="1"/>
    </xf>
    <xf numFmtId="0" fontId="18" fillId="150"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43" fillId="5" borderId="23" xfId="0" applyFont="1" applyFill="1" applyBorder="1" applyAlignment="1">
      <alignment horizontal="center" vertical="center"/>
    </xf>
    <xf numFmtId="0" fontId="43" fillId="5" borderId="23" xfId="0" applyFont="1" applyFill="1" applyBorder="1" applyAlignment="1">
      <alignment horizontal="center" vertical="center" wrapText="1"/>
    </xf>
    <xf numFmtId="38" fontId="9" fillId="0" borderId="23" xfId="6" applyNumberFormat="1" applyFont="1" applyBorder="1" applyAlignment="1">
      <alignment horizontal="center" vertical="center"/>
    </xf>
    <xf numFmtId="0" fontId="11" fillId="0" borderId="23" xfId="0" applyFont="1" applyBorder="1" applyAlignment="1">
      <alignment horizontal="left" vertical="top"/>
    </xf>
    <xf numFmtId="9" fontId="11" fillId="0" borderId="23" xfId="0" applyNumberFormat="1" applyFont="1" applyBorder="1" applyAlignment="1">
      <alignment horizontal="center" vertical="top"/>
    </xf>
    <xf numFmtId="0" fontId="11" fillId="0" borderId="23" xfId="0" applyFont="1" applyBorder="1" applyAlignment="1">
      <alignment horizontal="center" vertical="top"/>
    </xf>
    <xf numFmtId="0" fontId="11" fillId="0" borderId="23" xfId="0" applyFont="1" applyBorder="1" applyAlignment="1">
      <alignment horizontal="center" vertical="top" wrapText="1"/>
    </xf>
    <xf numFmtId="187" fontId="9" fillId="0" borderId="23" xfId="0" applyNumberFormat="1" applyFont="1" applyBorder="1" applyAlignment="1">
      <alignment horizontal="center" vertical="center"/>
    </xf>
    <xf numFmtId="0" fontId="9" fillId="0" borderId="23" xfId="0" applyFont="1" applyBorder="1" applyAlignment="1">
      <alignment horizontal="left" vertical="top"/>
    </xf>
    <xf numFmtId="187" fontId="9" fillId="0" borderId="23" xfId="4" applyNumberFormat="1" applyFont="1" applyBorder="1" applyAlignment="1">
      <alignment horizontal="center" vertical="center"/>
    </xf>
    <xf numFmtId="9" fontId="9" fillId="0" borderId="23" xfId="0" applyNumberFormat="1" applyFont="1" applyBorder="1" applyAlignment="1">
      <alignment horizontal="center" vertical="top"/>
    </xf>
    <xf numFmtId="0" fontId="9" fillId="0" borderId="23" xfId="0" applyFont="1" applyBorder="1" applyAlignment="1">
      <alignment horizontal="center" vertical="top"/>
    </xf>
    <xf numFmtId="0" fontId="11" fillId="0" borderId="23" xfId="0" applyFont="1" applyBorder="1" applyAlignment="1">
      <alignment vertical="top"/>
    </xf>
    <xf numFmtId="9" fontId="11" fillId="0" borderId="23" xfId="0" applyNumberFormat="1" applyFont="1" applyBorder="1" applyAlignment="1">
      <alignment horizontal="center" vertical="center"/>
    </xf>
    <xf numFmtId="0" fontId="11" fillId="0" borderId="23" xfId="0" applyFont="1" applyBorder="1" applyAlignment="1">
      <alignment horizontal="center" vertical="center" wrapText="1"/>
    </xf>
    <xf numFmtId="187" fontId="9" fillId="0" borderId="23" xfId="0" applyNumberFormat="1" applyFont="1" applyBorder="1" applyAlignment="1">
      <alignment horizontal="center"/>
    </xf>
    <xf numFmtId="0" fontId="11" fillId="0" borderId="23" xfId="0" applyFont="1" applyBorder="1" applyAlignment="1">
      <alignment horizontal="left" vertical="top" wrapText="1"/>
    </xf>
    <xf numFmtId="181" fontId="9" fillId="0" borderId="23" xfId="0" applyNumberFormat="1" applyFont="1" applyBorder="1" applyAlignment="1">
      <alignment horizontal="center" vertical="center" wrapText="1"/>
    </xf>
    <xf numFmtId="9" fontId="11" fillId="0" borderId="23" xfId="0" applyNumberFormat="1" applyFont="1" applyBorder="1" applyAlignment="1">
      <alignment horizontal="center" vertical="top" wrapText="1"/>
    </xf>
    <xf numFmtId="176" fontId="44" fillId="0" borderId="0" xfId="0" applyNumberFormat="1" applyFont="1">
      <alignment vertical="center"/>
    </xf>
    <xf numFmtId="181" fontId="19" fillId="0" borderId="0" xfId="4" applyNumberFormat="1" applyFont="1" applyFill="1" applyBorder="1" applyAlignment="1">
      <alignment horizontal="center"/>
    </xf>
    <xf numFmtId="9"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applyAlignment="1">
      <alignment horizontal="left" vertical="center"/>
    </xf>
    <xf numFmtId="2" fontId="19" fillId="0" borderId="0" xfId="0" applyNumberFormat="1" applyFont="1" applyAlignment="1">
      <alignment horizontal="center" vertical="center"/>
    </xf>
    <xf numFmtId="2" fontId="11" fillId="0" borderId="0" xfId="0" applyNumberFormat="1" applyFont="1">
      <alignment vertical="center"/>
    </xf>
    <xf numFmtId="0" fontId="15" fillId="0" borderId="0" xfId="7" applyFont="1" applyAlignment="1">
      <alignment horizontal="left" vertical="top" wrapText="1"/>
    </xf>
    <xf numFmtId="0" fontId="15" fillId="0" borderId="0" xfId="7" applyFont="1" applyAlignment="1">
      <alignment vertical="top" wrapText="1"/>
    </xf>
    <xf numFmtId="0" fontId="0" fillId="0" borderId="0" xfId="0" applyAlignment="1">
      <alignment horizontal="center" vertical="center"/>
    </xf>
    <xf numFmtId="0" fontId="20" fillId="151" borderId="23" xfId="0" applyFont="1" applyFill="1" applyBorder="1" applyAlignment="1">
      <alignment horizontal="center" vertical="center" wrapText="1"/>
    </xf>
    <xf numFmtId="0" fontId="9" fillId="0" borderId="23" xfId="0" applyFont="1" applyBorder="1" applyAlignment="1">
      <alignment vertical="top"/>
    </xf>
    <xf numFmtId="179" fontId="11" fillId="0" borderId="23" xfId="4" applyNumberFormat="1" applyFont="1" applyFill="1" applyBorder="1" applyAlignment="1">
      <alignment horizontal="center" vertical="center"/>
    </xf>
    <xf numFmtId="0" fontId="20" fillId="151" borderId="0" xfId="0" applyFont="1" applyFill="1" applyAlignment="1">
      <alignment horizontal="center" vertical="center" wrapText="1"/>
    </xf>
    <xf numFmtId="177" fontId="11" fillId="0" borderId="23" xfId="4" applyNumberFormat="1" applyFont="1" applyFill="1" applyBorder="1" applyAlignment="1">
      <alignment horizontal="center" vertical="center"/>
    </xf>
    <xf numFmtId="0" fontId="9" fillId="0" borderId="27" xfId="1" applyFont="1" applyBorder="1"/>
    <xf numFmtId="0" fontId="9" fillId="0" borderId="28" xfId="0" applyFont="1" applyBorder="1">
      <alignment vertical="center"/>
    </xf>
    <xf numFmtId="0" fontId="9" fillId="0" borderId="28" xfId="1" applyFont="1" applyBorder="1" applyAlignment="1">
      <alignment horizontal="center"/>
    </xf>
    <xf numFmtId="0" fontId="9" fillId="0" borderId="29" xfId="1" applyFont="1" applyBorder="1" applyAlignment="1">
      <alignment horizontal="center"/>
    </xf>
    <xf numFmtId="0" fontId="44" fillId="0" borderId="0" xfId="0" applyFont="1" applyAlignment="1">
      <alignment horizontal="center" vertical="center" wrapText="1"/>
    </xf>
    <xf numFmtId="0" fontId="19" fillId="104" borderId="23" xfId="0" applyFont="1" applyFill="1" applyBorder="1" applyAlignment="1">
      <alignment horizontal="center" vertical="center" wrapText="1"/>
    </xf>
    <xf numFmtId="0" fontId="20" fillId="151" borderId="23" xfId="0" applyFont="1" applyFill="1" applyBorder="1" applyAlignment="1">
      <alignment horizontal="center" vertical="center"/>
    </xf>
    <xf numFmtId="38" fontId="9" fillId="0" borderId="23" xfId="6" applyNumberFormat="1" applyFont="1" applyFill="1" applyBorder="1" applyAlignment="1">
      <alignment horizontal="center" vertical="top"/>
    </xf>
    <xf numFmtId="38" fontId="9" fillId="0" borderId="23" xfId="6" applyNumberFormat="1" applyFont="1" applyFill="1" applyBorder="1" applyAlignment="1">
      <alignment horizontal="center" vertical="top" wrapText="1"/>
    </xf>
    <xf numFmtId="0" fontId="21" fillId="0" borderId="23" xfId="5" applyFont="1" applyFill="1" applyBorder="1" applyAlignment="1">
      <alignment horizontal="left" vertical="top" wrapText="1"/>
    </xf>
    <xf numFmtId="0" fontId="21" fillId="0" borderId="23" xfId="5" applyFont="1" applyFill="1" applyBorder="1" applyAlignment="1">
      <alignment vertical="top" wrapText="1"/>
    </xf>
    <xf numFmtId="38" fontId="11" fillId="0" borderId="23" xfId="6" applyNumberFormat="1" applyFont="1" applyFill="1" applyBorder="1" applyAlignment="1">
      <alignment horizontal="center" vertical="top"/>
    </xf>
    <xf numFmtId="38" fontId="9" fillId="0" borderId="23" xfId="0" applyNumberFormat="1" applyFont="1" applyBorder="1" applyAlignment="1">
      <alignment horizontal="center" vertical="top" wrapText="1"/>
    </xf>
    <xf numFmtId="0" fontId="9" fillId="0" borderId="23" xfId="0" applyFont="1" applyBorder="1" applyAlignment="1">
      <alignment horizontal="center" vertical="top" wrapText="1"/>
    </xf>
    <xf numFmtId="38" fontId="9" fillId="0" borderId="23" xfId="0" applyNumberFormat="1" applyFont="1" applyBorder="1" applyAlignment="1">
      <alignment horizontal="center" vertical="top"/>
    </xf>
    <xf numFmtId="9" fontId="9" fillId="0" borderId="23" xfId="4" applyFont="1" applyFill="1" applyBorder="1" applyAlignment="1">
      <alignment horizontal="center" vertical="top"/>
    </xf>
    <xf numFmtId="9" fontId="9" fillId="0" borderId="23" xfId="4" applyFont="1" applyFill="1" applyBorder="1" applyAlignment="1">
      <alignment horizontal="center" vertical="top" wrapText="1"/>
    </xf>
    <xf numFmtId="1" fontId="11" fillId="0" borderId="23" xfId="0" applyNumberFormat="1" applyFont="1" applyBorder="1" applyAlignment="1">
      <alignment horizontal="center" vertical="center"/>
    </xf>
    <xf numFmtId="0" fontId="24" fillId="0" borderId="0" xfId="1" applyFont="1"/>
    <xf numFmtId="9" fontId="44" fillId="0" borderId="0" xfId="0" applyNumberFormat="1" applyFont="1">
      <alignment vertical="center"/>
    </xf>
    <xf numFmtId="0" fontId="24" fillId="0" borderId="0" xfId="1" applyFont="1" applyAlignment="1">
      <alignment horizontal="left"/>
    </xf>
    <xf numFmtId="0" fontId="24" fillId="0" borderId="0" xfId="0" applyFont="1" applyAlignment="1">
      <alignment horizont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1" applyFont="1" applyAlignment="1">
      <alignment horizontal="center"/>
    </xf>
    <xf numFmtId="0" fontId="44" fillId="0" borderId="0" xfId="0" applyFont="1" applyAlignment="1">
      <alignment horizontal="right" vertical="center"/>
    </xf>
    <xf numFmtId="0" fontId="44" fillId="0" borderId="0" xfId="0" applyFont="1" applyAlignment="1">
      <alignment horizontal="left" vertical="center"/>
    </xf>
    <xf numFmtId="181" fontId="44" fillId="0" borderId="0" xfId="0" applyNumberFormat="1" applyFont="1" applyAlignment="1">
      <alignment horizontal="right" vertical="center"/>
    </xf>
    <xf numFmtId="181" fontId="44" fillId="0" borderId="0" xfId="0" applyNumberFormat="1" applyFont="1">
      <alignment vertical="center"/>
    </xf>
    <xf numFmtId="9" fontId="44" fillId="0" borderId="0" xfId="4" applyFont="1" applyFill="1" applyBorder="1" applyAlignment="1"/>
    <xf numFmtId="176" fontId="44" fillId="0" borderId="0" xfId="6" applyNumberFormat="1" applyFont="1" applyFill="1" applyBorder="1" applyAlignment="1">
      <alignment horizontal="left" vertical="center"/>
    </xf>
    <xf numFmtId="9" fontId="44" fillId="0" borderId="0" xfId="4" applyFont="1" applyFill="1" applyBorder="1" applyAlignment="1">
      <alignment horizontal="left" vertical="center"/>
    </xf>
    <xf numFmtId="0" fontId="24" fillId="0" borderId="0" xfId="0" applyFont="1">
      <alignment vertical="center"/>
    </xf>
    <xf numFmtId="176" fontId="24" fillId="0" borderId="0" xfId="6" applyNumberFormat="1" applyFont="1" applyFill="1" applyBorder="1">
      <alignment vertical="center"/>
    </xf>
    <xf numFmtId="0" fontId="24" fillId="0" borderId="0" xfId="0" applyFont="1" applyAlignment="1">
      <alignment horizontal="left" vertical="center"/>
    </xf>
    <xf numFmtId="0" fontId="52" fillId="0" borderId="0" xfId="0" applyFont="1" applyAlignment="1"/>
    <xf numFmtId="0" fontId="52" fillId="0" borderId="0" xfId="0" applyFont="1">
      <alignment vertical="center"/>
    </xf>
    <xf numFmtId="0" fontId="44" fillId="0" borderId="0" xfId="0" applyFont="1" applyAlignment="1"/>
    <xf numFmtId="9" fontId="44" fillId="0" borderId="0" xfId="4" applyFont="1" applyFill="1" applyBorder="1">
      <alignment vertical="center"/>
    </xf>
    <xf numFmtId="0" fontId="53" fillId="0" borderId="0" xfId="0" applyFont="1" applyAlignment="1">
      <alignment horizontal="center"/>
    </xf>
    <xf numFmtId="0" fontId="53" fillId="0" borderId="0" xfId="0" applyFont="1" applyAlignment="1"/>
    <xf numFmtId="0" fontId="53" fillId="0" borderId="0" xfId="0" applyFont="1">
      <alignment vertical="center"/>
    </xf>
    <xf numFmtId="176" fontId="44" fillId="0" borderId="0" xfId="6" applyNumberFormat="1" applyFont="1" applyBorder="1">
      <alignment vertical="center"/>
    </xf>
    <xf numFmtId="181" fontId="44" fillId="0" borderId="0" xfId="4" applyNumberFormat="1" applyFont="1" applyBorder="1">
      <alignment vertical="center"/>
    </xf>
    <xf numFmtId="181" fontId="44" fillId="0" borderId="0" xfId="4" applyNumberFormat="1" applyFont="1" applyFill="1" applyBorder="1">
      <alignment vertical="center"/>
    </xf>
    <xf numFmtId="0" fontId="9" fillId="0" borderId="23" xfId="7" applyFont="1" applyBorder="1"/>
    <xf numFmtId="38" fontId="9" fillId="0" borderId="23" xfId="6" applyNumberFormat="1" applyFont="1" applyBorder="1" applyAlignment="1">
      <alignment horizontal="center"/>
    </xf>
    <xf numFmtId="40" fontId="9" fillId="0" borderId="23" xfId="6" applyNumberFormat="1" applyFont="1" applyBorder="1" applyAlignment="1">
      <alignment horizontal="center"/>
    </xf>
    <xf numFmtId="0" fontId="20" fillId="151" borderId="23" xfId="7" applyFont="1" applyFill="1" applyBorder="1" applyAlignment="1">
      <alignment horizontal="center" vertical="top" wrapText="1"/>
    </xf>
    <xf numFmtId="181" fontId="10" fillId="0" borderId="0" xfId="4" applyNumberFormat="1" applyFont="1" applyAlignment="1">
      <alignment horizontal="center" vertical="center"/>
    </xf>
    <xf numFmtId="181" fontId="9" fillId="0" borderId="0" xfId="4" applyNumberFormat="1" applyFont="1" applyAlignment="1">
      <alignment horizontal="center" vertical="center"/>
    </xf>
    <xf numFmtId="181" fontId="9" fillId="0" borderId="0" xfId="0" applyNumberFormat="1" applyFont="1" applyAlignment="1">
      <alignment horizontal="center" vertical="center"/>
    </xf>
    <xf numFmtId="179" fontId="11" fillId="0" borderId="1" xfId="6" applyNumberFormat="1" applyFont="1" applyFill="1" applyBorder="1" applyAlignment="1">
      <alignment horizontal="center" vertical="center"/>
    </xf>
    <xf numFmtId="181" fontId="9" fillId="0" borderId="1" xfId="6" applyNumberFormat="1" applyFont="1" applyFill="1" applyBorder="1" applyAlignment="1">
      <alignment horizontal="center" vertical="center"/>
    </xf>
    <xf numFmtId="181" fontId="9" fillId="0" borderId="1" xfId="4" applyNumberFormat="1" applyFont="1" applyBorder="1" applyAlignment="1">
      <alignment horizontal="center" vertical="center"/>
    </xf>
    <xf numFmtId="181" fontId="9" fillId="0" borderId="1" xfId="6" applyNumberFormat="1" applyFont="1" applyBorder="1" applyAlignment="1">
      <alignment horizontal="center" vertical="center"/>
    </xf>
    <xf numFmtId="0" fontId="9" fillId="0" borderId="23" xfId="0" applyFont="1" applyBorder="1" applyAlignment="1">
      <alignment horizontal="left" vertical="top" wrapText="1"/>
    </xf>
    <xf numFmtId="0" fontId="19" fillId="0" borderId="0" xfId="0" applyFont="1" applyAlignment="1">
      <alignment horizontal="left" vertical="top"/>
    </xf>
    <xf numFmtId="180" fontId="19" fillId="0" borderId="0" xfId="6" applyNumberFormat="1" applyFont="1" applyFill="1" applyBorder="1" applyAlignment="1">
      <alignment horizontal="center" vertical="top"/>
    </xf>
    <xf numFmtId="0" fontId="19" fillId="0" borderId="0" xfId="0" applyFont="1" applyAlignment="1">
      <alignment horizontal="left" vertical="top" wrapText="1"/>
    </xf>
    <xf numFmtId="1" fontId="9" fillId="0" borderId="23" xfId="0" applyNumberFormat="1" applyFont="1" applyBorder="1" applyAlignment="1">
      <alignment horizontal="center" vertical="top" wrapText="1"/>
    </xf>
    <xf numFmtId="178" fontId="9" fillId="0" borderId="23" xfId="0" applyNumberFormat="1" applyFont="1" applyBorder="1" applyAlignment="1">
      <alignment horizontal="center" vertical="top" wrapText="1"/>
    </xf>
    <xf numFmtId="181" fontId="11" fillId="0" borderId="23" xfId="0" applyNumberFormat="1" applyFont="1" applyBorder="1" applyAlignment="1">
      <alignment horizontal="center" vertical="top" wrapText="1"/>
    </xf>
    <xf numFmtId="1" fontId="9" fillId="0" borderId="23" xfId="0" applyNumberFormat="1" applyFont="1" applyBorder="1" applyAlignment="1">
      <alignment horizontal="left" vertical="top" wrapText="1"/>
    </xf>
    <xf numFmtId="1" fontId="9" fillId="0" borderId="0" xfId="0" applyNumberFormat="1" applyFont="1" applyAlignment="1">
      <alignment horizontal="left" vertical="top"/>
    </xf>
    <xf numFmtId="0" fontId="9" fillId="0" borderId="0" xfId="0" applyFont="1" applyAlignment="1">
      <alignment horizontal="left" vertical="top"/>
    </xf>
    <xf numFmtId="2" fontId="19" fillId="0" borderId="0" xfId="0" applyNumberFormat="1" applyFont="1" applyAlignment="1">
      <alignment horizontal="left" vertical="top"/>
    </xf>
    <xf numFmtId="2" fontId="9" fillId="0" borderId="23" xfId="0" applyNumberFormat="1" applyFont="1" applyBorder="1" applyAlignment="1">
      <alignment horizontal="left" vertical="top" wrapText="1"/>
    </xf>
    <xf numFmtId="181" fontId="19" fillId="0" borderId="23" xfId="0" applyNumberFormat="1" applyFont="1" applyBorder="1" applyAlignment="1">
      <alignment horizontal="center" vertical="top" wrapText="1"/>
    </xf>
    <xf numFmtId="0" fontId="27" fillId="0" borderId="0" xfId="0" applyFont="1" applyAlignment="1">
      <alignment horizontal="center" vertical="center"/>
    </xf>
    <xf numFmtId="0" fontId="22" fillId="11" borderId="0" xfId="0" applyFont="1" applyFill="1" applyAlignment="1">
      <alignment horizontal="center" vertical="center"/>
    </xf>
    <xf numFmtId="0" fontId="22" fillId="11" borderId="20" xfId="0" applyFont="1" applyFill="1" applyBorder="1" applyAlignment="1">
      <alignment horizontal="center" vertical="center"/>
    </xf>
    <xf numFmtId="0" fontId="30" fillId="11" borderId="21" xfId="0" applyFont="1" applyFill="1" applyBorder="1" applyAlignment="1">
      <alignment horizontal="center" vertical="center"/>
    </xf>
    <xf numFmtId="0" fontId="30" fillId="11" borderId="0" xfId="0" applyFont="1" applyFill="1" applyAlignment="1">
      <alignment horizontal="center" vertical="center"/>
    </xf>
    <xf numFmtId="0" fontId="30" fillId="11" borderId="20" xfId="0" applyFont="1" applyFill="1" applyBorder="1" applyAlignment="1">
      <alignment horizontal="center" vertical="center"/>
    </xf>
    <xf numFmtId="0" fontId="47" fillId="11" borderId="0" xfId="0" applyFont="1" applyFill="1" applyAlignment="1">
      <alignment horizontal="center" vertical="center"/>
    </xf>
    <xf numFmtId="0" fontId="42" fillId="0" borderId="0" xfId="0" applyFont="1" applyAlignment="1">
      <alignment horizontal="center" vertical="center"/>
    </xf>
    <xf numFmtId="0" fontId="10" fillId="3" borderId="0" xfId="0" applyFont="1" applyFill="1" applyAlignment="1">
      <alignment horizontal="left" vertical="center"/>
    </xf>
    <xf numFmtId="0" fontId="12" fillId="0" borderId="0" xfId="0" applyFont="1" applyAlignment="1">
      <alignment horizontal="center" vertical="center"/>
    </xf>
    <xf numFmtId="0" fontId="26" fillId="0" borderId="0" xfId="0" applyFont="1" applyAlignment="1">
      <alignment horizontal="center" vertical="center"/>
    </xf>
    <xf numFmtId="0" fontId="22" fillId="11" borderId="19" xfId="0" applyFont="1" applyFill="1" applyBorder="1" applyAlignment="1">
      <alignment horizontal="center" vertical="center"/>
    </xf>
    <xf numFmtId="0" fontId="22" fillId="11" borderId="18" xfId="0" applyFont="1" applyFill="1" applyBorder="1" applyAlignment="1">
      <alignment horizontal="center" vertical="center"/>
    </xf>
    <xf numFmtId="0" fontId="30" fillId="11" borderId="19" xfId="0" applyFont="1" applyFill="1" applyBorder="1" applyAlignment="1">
      <alignment horizontal="center" vertical="center"/>
    </xf>
    <xf numFmtId="0" fontId="30" fillId="11" borderId="16" xfId="0" applyFont="1" applyFill="1" applyBorder="1" applyAlignment="1">
      <alignment horizontal="center" vertical="center"/>
    </xf>
    <xf numFmtId="0" fontId="30" fillId="11" borderId="17" xfId="0" applyFont="1" applyFill="1" applyBorder="1" applyAlignment="1">
      <alignment horizontal="center" vertical="center"/>
    </xf>
    <xf numFmtId="0" fontId="31" fillId="11" borderId="22" xfId="0" applyFont="1" applyFill="1" applyBorder="1" applyAlignment="1">
      <alignment horizontal="center" vertical="center"/>
    </xf>
    <xf numFmtId="0" fontId="31" fillId="11" borderId="16" xfId="0" applyFont="1" applyFill="1" applyBorder="1" applyAlignment="1">
      <alignment horizontal="center" vertical="center"/>
    </xf>
    <xf numFmtId="0" fontId="46" fillId="0" borderId="0" xfId="0" applyFont="1" applyAlignment="1">
      <alignment horizontal="center" vertical="center" wrapText="1"/>
    </xf>
    <xf numFmtId="0" fontId="26" fillId="0" borderId="0" xfId="0" applyFont="1" applyAlignment="1">
      <alignment horizontal="center" vertical="center" wrapText="1"/>
    </xf>
    <xf numFmtId="0" fontId="42" fillId="0" borderId="0" xfId="0" applyFont="1" applyAlignment="1">
      <alignment horizontal="center" vertical="center" wrapText="1"/>
    </xf>
    <xf numFmtId="0" fontId="25" fillId="104" borderId="23" xfId="0" applyFont="1" applyFill="1" applyBorder="1" applyAlignment="1">
      <alignment horizontal="center" vertical="center"/>
    </xf>
    <xf numFmtId="0" fontId="44" fillId="0" borderId="0" xfId="0" applyFont="1" applyAlignment="1">
      <alignment horizontal="center" vertical="center"/>
    </xf>
    <xf numFmtId="0" fontId="33" fillId="10" borderId="1"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9" fillId="14" borderId="12" xfId="0" applyFont="1" applyFill="1" applyBorder="1" applyAlignment="1">
      <alignment horizontal="center" vertical="center" wrapText="1"/>
    </xf>
    <xf numFmtId="0" fontId="19" fillId="0" borderId="0" xfId="0" applyFont="1" applyAlignment="1">
      <alignment horizontal="center" vertical="center" wrapText="1"/>
    </xf>
    <xf numFmtId="0" fontId="33" fillId="14" borderId="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33" fillId="14" borderId="15" xfId="0" applyFont="1" applyFill="1" applyBorder="1" applyAlignment="1">
      <alignment horizontal="center" vertical="center" wrapText="1"/>
    </xf>
    <xf numFmtId="0" fontId="33" fillId="14" borderId="3"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5" borderId="15" xfId="0" applyFont="1" applyFill="1" applyBorder="1" applyAlignment="1">
      <alignment horizontal="center" vertical="center" wrapText="1"/>
    </xf>
    <xf numFmtId="0" fontId="33" fillId="105" borderId="3" xfId="0" applyFont="1" applyFill="1" applyBorder="1" applyAlignment="1">
      <alignment horizontal="center" vertical="center" wrapText="1"/>
    </xf>
    <xf numFmtId="0" fontId="33" fillId="105" borderId="2" xfId="0" applyFont="1" applyFill="1" applyBorder="1" applyAlignment="1">
      <alignment horizontal="center" vertical="center" wrapText="1"/>
    </xf>
    <xf numFmtId="0" fontId="33" fillId="10" borderId="15"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0" borderId="26" xfId="0" applyFont="1" applyFill="1" applyBorder="1" applyAlignment="1">
      <alignment horizontal="center" vertical="center" wrapText="1"/>
    </xf>
    <xf numFmtId="0" fontId="19" fillId="104" borderId="30" xfId="0" applyFont="1" applyFill="1" applyBorder="1" applyAlignment="1">
      <alignment horizontal="center" vertical="center" wrapText="1"/>
    </xf>
    <xf numFmtId="0" fontId="19" fillId="104" borderId="24" xfId="0" applyFont="1" applyFill="1" applyBorder="1" applyAlignment="1">
      <alignment horizontal="center" vertical="center" wrapText="1"/>
    </xf>
    <xf numFmtId="0" fontId="43" fillId="5" borderId="23" xfId="0" applyFont="1" applyFill="1" applyBorder="1" applyAlignment="1">
      <alignment horizontal="center" vertical="center"/>
    </xf>
    <xf numFmtId="0" fontId="11" fillId="0" borderId="23" xfId="0" applyFont="1" applyBorder="1" applyAlignment="1">
      <alignment horizontal="left" vertical="top"/>
    </xf>
    <xf numFmtId="0" fontId="11" fillId="0" borderId="23" xfId="0" applyFont="1" applyBorder="1" applyAlignment="1">
      <alignment horizontal="left" vertical="top" wrapText="1"/>
    </xf>
    <xf numFmtId="0" fontId="43" fillId="5" borderId="23" xfId="0" applyFont="1" applyFill="1" applyBorder="1" applyAlignment="1">
      <alignment horizontal="center" vertical="center" wrapText="1"/>
    </xf>
    <xf numFmtId="181" fontId="20" fillId="5" borderId="23" xfId="0" applyNumberFormat="1" applyFont="1" applyFill="1" applyBorder="1" applyAlignment="1">
      <alignment horizontal="center" vertical="center" wrapText="1"/>
    </xf>
    <xf numFmtId="1" fontId="9" fillId="0" borderId="23" xfId="0" applyNumberFormat="1" applyFont="1" applyBorder="1" applyAlignment="1">
      <alignment horizontal="center" vertical="center"/>
    </xf>
    <xf numFmtId="181" fontId="9" fillId="0" borderId="23" xfId="0" applyNumberFormat="1" applyFont="1" applyBorder="1" applyAlignment="1">
      <alignment horizontal="center" vertical="center"/>
    </xf>
    <xf numFmtId="187" fontId="9" fillId="0" borderId="23" xfId="0" applyNumberFormat="1" applyFont="1" applyBorder="1" applyAlignment="1">
      <alignment horizontal="center" vertical="center"/>
    </xf>
    <xf numFmtId="181" fontId="9" fillId="0" borderId="23" xfId="0" applyNumberFormat="1" applyFont="1" applyBorder="1" applyAlignment="1">
      <alignment horizontal="center" vertical="center" wrapText="1"/>
    </xf>
    <xf numFmtId="187" fontId="9" fillId="0" borderId="23" xfId="4" applyNumberFormat="1" applyFont="1" applyBorder="1" applyAlignment="1">
      <alignment horizontal="center" vertical="center"/>
    </xf>
  </cellXfs>
  <cellStyles count="16">
    <cellStyle name="Comma" xfId="6" builtinId="3"/>
    <cellStyle name="Comma 2" xfId="2" xr:uid="{656A111E-65EF-8E44-95DC-E2E0477DBE0A}"/>
    <cellStyle name="Comma 3" xfId="8" xr:uid="{8782A8FB-5EB3-B14F-8855-DFD099031BE9}"/>
    <cellStyle name="Comma 4" xfId="11" xr:uid="{09BAA649-456F-DD49-8B45-063062AB79A0}"/>
    <cellStyle name="Comma 5" xfId="15" xr:uid="{3C4E383E-1DAA-0A49-9EE5-997FEFC137CD}"/>
    <cellStyle name="Currency 2" xfId="14" xr:uid="{8F93DB23-ED08-8A40-A61B-9473273DA2C5}"/>
    <cellStyle name="Hyperlink" xfId="5" builtinId="8"/>
    <cellStyle name="Hyperlink 2" xfId="9" xr:uid="{D26171E0-77FE-FB46-A809-FDAB0A012C8E}"/>
    <cellStyle name="Hyperlink 3" xfId="10" xr:uid="{B17F4B3C-3BE9-634A-84C6-F79F1AC80A8F}"/>
    <cellStyle name="Hyperlink 4" xfId="13" xr:uid="{6765F62B-F9D0-0843-B7DA-A12A595701DC}"/>
    <cellStyle name="Normal" xfId="0" builtinId="0"/>
    <cellStyle name="Normal 2" xfId="1" xr:uid="{D1C55673-EBB0-E848-A42F-4FB3D97EC512}"/>
    <cellStyle name="Normal 3" xfId="7" xr:uid="{F07008C1-CA3E-C54F-BD45-DB83824BD712}"/>
    <cellStyle name="Percent" xfId="4" builtinId="5"/>
    <cellStyle name="Percent 2" xfId="3" xr:uid="{EF32EAF1-C3C9-FC40-9415-44DC082E01D4}"/>
    <cellStyle name="Percent 3" xfId="12" xr:uid="{18CB7D12-E2C3-B144-B369-184AA1E76EE7}"/>
  </cellStyles>
  <dxfs count="17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theme="0" tint="-0.34998626667073579"/>
      </font>
      <fill>
        <patternFill patternType="none">
          <fgColor auto="1"/>
          <bgColor auto="1"/>
        </patternFill>
      </fill>
    </dxf>
    <dxf>
      <fill>
        <patternFill>
          <bgColor theme="0" tint="-4.9989318521683403E-2"/>
        </patternFill>
      </fill>
    </dxf>
    <dxf>
      <font>
        <b/>
        <i val="0"/>
        <color rgb="FF9C0006"/>
      </font>
    </dxf>
    <dxf>
      <font>
        <b/>
        <i val="0"/>
        <color theme="8"/>
      </font>
    </dxf>
    <dxf>
      <font>
        <b/>
        <i val="0"/>
        <color theme="0" tint="-0.249977111117893"/>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b/>
        <i val="0"/>
        <color theme="0" tint="-0.249977111117893"/>
      </font>
    </dxf>
    <dxf>
      <font>
        <b/>
        <i val="0"/>
        <color theme="8"/>
      </font>
    </dxf>
    <dxf>
      <font>
        <b/>
        <i val="0"/>
        <color rgb="FF9C0006"/>
      </font>
    </dxf>
    <dxf>
      <font>
        <b/>
        <i val="0"/>
        <color rgb="FF9C0006"/>
      </font>
    </dxf>
    <dxf>
      <font>
        <b/>
        <i val="0"/>
        <color theme="0" tint="-0.249977111117893"/>
      </font>
    </dxf>
    <dxf>
      <font>
        <b/>
        <i val="0"/>
        <color theme="8"/>
      </font>
    </dxf>
    <dxf>
      <font>
        <b/>
        <i val="0"/>
        <color theme="8"/>
      </font>
    </dxf>
    <dxf>
      <font>
        <b/>
        <i val="0"/>
        <color theme="0" tint="-0.249977111117893"/>
      </font>
    </dxf>
    <dxf>
      <font>
        <b/>
        <i val="0"/>
        <color rgb="FF9C0006"/>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rgb="FF9C0006"/>
      </font>
    </dxf>
    <dxf>
      <font>
        <b/>
        <i val="0"/>
        <color theme="8"/>
      </font>
    </dxf>
    <dxf>
      <font>
        <b/>
        <i val="0"/>
        <color theme="0" tint="-0.249977111117893"/>
      </font>
    </dxf>
    <dxf>
      <font>
        <b/>
        <i val="0"/>
        <color rgb="FF9C0006"/>
      </font>
    </dxf>
    <dxf>
      <font>
        <b/>
        <i val="0"/>
        <color theme="0" tint="-0.249977111117893"/>
      </font>
    </dxf>
    <dxf>
      <font>
        <b/>
        <i val="0"/>
        <color theme="8"/>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theme="8"/>
      </font>
    </dxf>
    <dxf>
      <font>
        <b/>
        <i val="0"/>
        <color rgb="FF9C0006"/>
      </font>
    </dxf>
    <dxf>
      <font>
        <b/>
        <i val="0"/>
        <color theme="0" tint="-0.249977111117893"/>
      </font>
    </dxf>
    <dxf>
      <font>
        <b/>
        <i val="0"/>
        <color rgb="FF9C0006"/>
      </font>
    </dxf>
    <dxf>
      <font>
        <b/>
        <i val="0"/>
        <color theme="8"/>
      </font>
    </dxf>
    <dxf>
      <font>
        <b/>
        <i val="0"/>
        <color theme="0" tint="-0.249977111117893"/>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b/>
        <i val="0"/>
        <color rgb="FF9C0006"/>
      </font>
    </dxf>
    <dxf>
      <font>
        <b/>
        <i val="0"/>
        <color theme="8"/>
      </font>
    </dxf>
    <dxf>
      <font>
        <b/>
        <i val="0"/>
        <color theme="0" tint="-0.249977111117893"/>
      </font>
    </dxf>
    <dxf>
      <font>
        <b/>
        <i val="0"/>
        <color theme="8"/>
      </font>
    </dxf>
    <dxf>
      <font>
        <b/>
        <i val="0"/>
        <color rgb="FF9C0006"/>
      </font>
    </dxf>
    <dxf>
      <font>
        <b/>
        <i val="0"/>
        <color theme="0" tint="-0.249977111117893"/>
      </font>
    </dxf>
    <dxf>
      <font>
        <b/>
        <i val="0"/>
        <color theme="0" tint="-0.249977111117893"/>
      </font>
    </dxf>
    <dxf>
      <font>
        <b/>
        <i val="0"/>
        <color rgb="FF9C0006"/>
      </font>
    </dxf>
    <dxf>
      <font>
        <b/>
        <i val="0"/>
        <color theme="8"/>
      </font>
    </dxf>
    <dxf>
      <font>
        <b/>
        <i val="0"/>
        <color theme="8"/>
      </font>
    </dxf>
    <dxf>
      <font>
        <b/>
        <i val="0"/>
        <color theme="0" tint="-0.249977111117893"/>
      </font>
    </dxf>
    <dxf>
      <font>
        <b/>
        <i val="0"/>
        <color rgb="FF9C0006"/>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theme="8"/>
      </font>
    </dxf>
    <dxf>
      <font>
        <b/>
        <i val="0"/>
        <color rgb="FF9C0006"/>
      </font>
    </dxf>
    <dxf>
      <font>
        <b/>
        <i val="0"/>
        <color theme="0" tint="-0.249977111117893"/>
      </font>
    </dxf>
    <dxf>
      <font>
        <b/>
        <i val="0"/>
        <color rgb="FF9C0006"/>
      </font>
    </dxf>
    <dxf>
      <font>
        <b/>
        <i val="0"/>
        <color theme="0" tint="-0.249977111117893"/>
      </font>
    </dxf>
    <dxf>
      <font>
        <b/>
        <i val="0"/>
        <color theme="8"/>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b/>
        <i val="0"/>
        <color theme="8"/>
      </font>
    </dxf>
    <dxf>
      <font>
        <b/>
        <i val="0"/>
        <color theme="0" tint="-0.249977111117893"/>
      </font>
    </dxf>
    <dxf>
      <font>
        <b/>
        <i val="0"/>
        <color rgb="FF9C0006"/>
      </font>
    </dxf>
    <dxf>
      <font>
        <b/>
        <i val="0"/>
        <color theme="0" tint="-0.249977111117893"/>
      </font>
    </dxf>
    <dxf>
      <font>
        <b/>
        <i val="0"/>
        <color rgb="FF9C0006"/>
      </font>
    </dxf>
    <dxf>
      <font>
        <b/>
        <i val="0"/>
        <color theme="8"/>
      </font>
    </dxf>
    <dxf>
      <font>
        <b/>
        <i val="0"/>
        <color rgb="FF9C0006"/>
      </font>
    </dxf>
    <dxf>
      <font>
        <b/>
        <i val="0"/>
        <color theme="0" tint="-0.249977111117893"/>
      </font>
    </dxf>
    <dxf>
      <font>
        <b/>
        <i val="0"/>
        <color theme="8"/>
      </font>
    </dxf>
    <dxf>
      <font>
        <b/>
        <i val="0"/>
        <color theme="0" tint="-0.249977111117893"/>
      </font>
    </dxf>
    <dxf>
      <font>
        <b/>
        <i val="0"/>
        <color theme="8"/>
      </font>
    </dxf>
    <dxf>
      <font>
        <b/>
        <i val="0"/>
        <color rgb="FF9C0006"/>
      </font>
    </dxf>
    <dxf>
      <font>
        <b/>
        <i val="0"/>
        <color theme="0" tint="-0.249977111117893"/>
      </font>
    </dxf>
    <dxf>
      <font>
        <b/>
        <i val="0"/>
        <color rgb="FF9C0006"/>
      </font>
    </dxf>
    <dxf>
      <font>
        <b/>
        <i val="0"/>
        <color theme="8"/>
      </font>
    </dxf>
    <dxf>
      <font>
        <b/>
        <i val="0"/>
        <color rgb="FF9C0006"/>
      </font>
    </dxf>
    <dxf>
      <font>
        <b/>
        <i val="0"/>
        <color theme="0" tint="-0.249977111117893"/>
      </font>
    </dxf>
    <dxf>
      <font>
        <b/>
        <i val="0"/>
        <color theme="8"/>
      </font>
    </dxf>
    <dxf>
      <font>
        <b/>
        <i val="0"/>
        <color theme="0" tint="-0.249977111117893"/>
      </font>
    </dxf>
    <dxf>
      <font>
        <b/>
        <i val="0"/>
        <color theme="8"/>
      </font>
    </dxf>
    <dxf>
      <font>
        <b/>
        <i val="0"/>
        <color rgb="FF9C0006"/>
      </font>
    </dxf>
    <dxf>
      <font>
        <color theme="0"/>
      </font>
      <fill>
        <patternFill>
          <bgColor theme="6"/>
        </patternFill>
      </fill>
    </dxf>
    <dxf>
      <font>
        <color theme="0"/>
      </font>
      <fill>
        <patternFill>
          <bgColor theme="8"/>
        </patternFill>
      </fill>
    </dxf>
    <dxf>
      <font>
        <color theme="0"/>
      </font>
      <fill>
        <patternFill>
          <bgColor theme="9"/>
        </patternFill>
      </fill>
    </dxf>
    <dxf>
      <font>
        <color theme="0"/>
      </font>
      <fill>
        <patternFill>
          <bgColor theme="9"/>
        </patternFill>
      </fill>
    </dxf>
    <dxf>
      <font>
        <color theme="0"/>
      </font>
      <fill>
        <patternFill>
          <bgColor theme="8"/>
        </patternFill>
      </fill>
    </dxf>
    <dxf>
      <font>
        <color theme="0"/>
      </font>
      <fill>
        <patternFill>
          <bgColor theme="6"/>
        </patternFill>
      </fill>
    </dxf>
    <dxf>
      <font>
        <color theme="0"/>
      </font>
      <fill>
        <patternFill>
          <bgColor theme="9"/>
        </patternFill>
      </fill>
    </dxf>
    <dxf>
      <font>
        <color theme="0"/>
      </font>
      <fill>
        <patternFill>
          <bgColor theme="8"/>
        </patternFill>
      </fill>
    </dxf>
    <dxf>
      <font>
        <color theme="0"/>
      </font>
      <fill>
        <patternFill>
          <bgColor theme="6"/>
        </patternFill>
      </fill>
    </dxf>
    <dxf>
      <font>
        <color theme="0"/>
      </font>
      <fill>
        <patternFill>
          <bgColor theme="6"/>
        </patternFill>
      </fill>
    </dxf>
    <dxf>
      <font>
        <color theme="0"/>
      </font>
      <fill>
        <patternFill>
          <bgColor theme="9"/>
        </patternFill>
      </fill>
    </dxf>
    <dxf>
      <font>
        <color theme="0"/>
      </font>
      <fill>
        <patternFill>
          <bgColor theme="8"/>
        </patternFill>
      </fill>
    </dxf>
    <dxf>
      <font>
        <color theme="0"/>
      </font>
      <fill>
        <patternFill>
          <bgColor theme="9"/>
        </patternFill>
      </fill>
    </dxf>
    <dxf>
      <font>
        <color theme="0"/>
      </font>
      <fill>
        <patternFill>
          <bgColor theme="8"/>
        </patternFill>
      </fill>
    </dxf>
    <dxf>
      <font>
        <color theme="0"/>
      </font>
      <fill>
        <patternFill>
          <bgColor theme="6"/>
        </patternFill>
      </fill>
    </dxf>
    <dxf>
      <font>
        <color theme="0"/>
      </font>
      <fill>
        <patternFill>
          <bgColor theme="9"/>
        </patternFill>
      </fill>
    </dxf>
    <dxf>
      <font>
        <color theme="0"/>
      </font>
      <fill>
        <patternFill>
          <bgColor theme="8"/>
        </patternFill>
      </fill>
    </dxf>
    <dxf>
      <font>
        <color theme="0"/>
      </font>
      <fill>
        <patternFill>
          <bgColor theme="6"/>
        </patternFill>
      </fill>
    </dxf>
    <dxf>
      <font>
        <color theme="0"/>
      </font>
      <fill>
        <patternFill>
          <bgColor theme="6"/>
        </patternFill>
      </fill>
    </dxf>
    <dxf>
      <font>
        <color theme="0"/>
      </font>
      <fill>
        <patternFill>
          <bgColor theme="8"/>
        </patternFill>
      </fill>
    </dxf>
    <dxf>
      <font>
        <color theme="0"/>
      </font>
      <fill>
        <patternFill>
          <bgColor theme="9"/>
        </patternFill>
      </fill>
    </dxf>
    <dxf>
      <font>
        <color theme="0"/>
      </font>
      <fill>
        <patternFill>
          <bgColor theme="6"/>
        </patternFill>
      </fill>
    </dxf>
    <dxf>
      <font>
        <color theme="0"/>
      </font>
      <fill>
        <patternFill>
          <bgColor theme="9"/>
        </patternFill>
      </fill>
    </dxf>
    <dxf>
      <font>
        <color theme="0"/>
      </font>
      <fill>
        <patternFill>
          <bgColor theme="8"/>
        </patternFill>
      </fill>
    </dxf>
    <dxf>
      <font>
        <color rgb="FF9C0006"/>
      </font>
    </dxf>
    <dxf>
      <font>
        <color theme="0"/>
      </font>
      <fill>
        <patternFill>
          <bgColor theme="6"/>
        </patternFill>
      </fill>
    </dxf>
    <dxf>
      <font>
        <color theme="0"/>
      </font>
      <fill>
        <patternFill>
          <bgColor theme="8"/>
        </patternFill>
      </fill>
    </dxf>
    <dxf>
      <font>
        <color theme="0"/>
      </font>
      <fill>
        <patternFill>
          <bgColor theme="9"/>
        </patternFill>
      </fill>
    </dxf>
    <dxf>
      <fill>
        <patternFill patternType="solid">
          <fgColor rgb="FFF3F3F3"/>
          <bgColor rgb="FFF3F3F3"/>
        </patternFill>
      </fill>
    </dxf>
    <dxf>
      <fill>
        <patternFill patternType="solid">
          <fgColor rgb="FFFFFFFF"/>
          <bgColor rgb="FFFFFFFF"/>
        </patternFill>
      </fill>
    </dxf>
    <dxf>
      <fill>
        <patternFill patternType="solid">
          <fgColor rgb="FF45818E"/>
          <bgColor rgb="FF45818E"/>
        </patternFill>
      </fill>
    </dxf>
    <dxf>
      <fill>
        <patternFill patternType="solid">
          <fgColor rgb="FFF3F3F3"/>
          <bgColor rgb="FFF3F3F3"/>
        </patternFill>
      </fill>
    </dxf>
    <dxf>
      <fill>
        <patternFill patternType="solid">
          <fgColor rgb="FFFFFFFF"/>
          <bgColor rgb="FFFFFFFF"/>
        </patternFill>
      </fill>
    </dxf>
    <dxf>
      <fill>
        <patternFill patternType="solid">
          <fgColor rgb="FF45818E"/>
          <bgColor rgb="FF45818E"/>
        </patternFill>
      </fill>
    </dxf>
    <dxf>
      <fill>
        <patternFill patternType="solid">
          <fgColor rgb="FFF3F3F3"/>
          <bgColor rgb="FFF3F3F3"/>
        </patternFill>
      </fill>
    </dxf>
    <dxf>
      <fill>
        <patternFill patternType="solid">
          <fgColor rgb="FFFFFFFF"/>
          <bgColor rgb="FFFFFFFF"/>
        </patternFill>
      </fill>
    </dxf>
    <dxf>
      <fill>
        <patternFill patternType="solid">
          <fgColor rgb="FF45818E"/>
          <bgColor rgb="FF45818E"/>
        </patternFill>
      </fill>
    </dxf>
    <dxf>
      <fill>
        <patternFill patternType="solid">
          <fgColor rgb="FFF3F3F3"/>
          <bgColor rgb="FFF3F3F3"/>
        </patternFill>
      </fill>
    </dxf>
    <dxf>
      <fill>
        <patternFill patternType="solid">
          <fgColor rgb="FFFFFFFF"/>
          <bgColor rgb="FFFFFFFF"/>
        </patternFill>
      </fill>
    </dxf>
    <dxf>
      <fill>
        <patternFill patternType="solid">
          <fgColor rgb="FF45818E"/>
          <bgColor rgb="FF45818E"/>
        </patternFill>
      </fill>
    </dxf>
  </dxfs>
  <tableStyles count="4" defaultTableStyle="TableStyleMedium2" defaultPivotStyle="PivotStyleLight16">
    <tableStyle name="Live tracking-style" pivot="0" count="3" xr9:uid="{30D7596A-6409-5544-B801-B804F9B4BF98}">
      <tableStyleElement type="headerRow" dxfId="173"/>
      <tableStyleElement type="firstRowStripe" dxfId="172"/>
      <tableStyleElement type="secondRowStripe" dxfId="171"/>
    </tableStyle>
    <tableStyle name="Live tracking-style 2" pivot="0" count="3" xr9:uid="{1E54527F-9810-4E43-A805-F4476EA1A400}">
      <tableStyleElement type="headerRow" dxfId="170"/>
      <tableStyleElement type="firstRowStripe" dxfId="169"/>
      <tableStyleElement type="secondRowStripe" dxfId="168"/>
    </tableStyle>
    <tableStyle name="Live tracking-style 3" pivot="0" count="3" xr9:uid="{3D8F318F-4870-6041-9D36-A18B3E0D99DD}">
      <tableStyleElement type="headerRow" dxfId="167"/>
      <tableStyleElement type="firstRowStripe" dxfId="166"/>
      <tableStyleElement type="secondRowStripe" dxfId="165"/>
    </tableStyle>
    <tableStyle name="Live tracking-style 4" pivot="0" count="3" xr9:uid="{EA4FBD74-AEE4-7C49-A77C-FBA157D0E248}">
      <tableStyleElement type="headerRow" dxfId="164"/>
      <tableStyleElement type="firstRowStripe" dxfId="163"/>
      <tableStyleElement type="secondRowStripe" dxfId="162"/>
    </tableStyle>
  </tableStyles>
  <colors>
    <mruColors>
      <color rgb="FF00BAE2"/>
      <color rgb="FF35444D"/>
      <color rgb="FF36434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icct.sharepoint.com/sites/PV-Global-2021-Auto-Ranking/Shared%20Documents/General/GAR%202.0/Information%20and%20data%20collection/TreemapOEMs_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 val="Sheet1"/>
      <sheetName val="i28_data"/>
      <sheetName val="Chart2030"/>
      <sheetName val="Chart2035"/>
      <sheetName val="Chart2"/>
    </sheetNames>
    <sheetDataSet>
      <sheetData sheetId="0" refreshError="1"/>
      <sheetData sheetId="1" refreshError="1"/>
      <sheetData sheetId="2">
        <row r="1">
          <cell r="A1" t="str">
            <v>make</v>
          </cell>
          <cell r="B1" t="str">
            <v>regs_2020</v>
          </cell>
          <cell r="C1" t="str">
            <v>regs_2021</v>
          </cell>
          <cell r="D1" t="str">
            <v>bev_regs_2021</v>
          </cell>
          <cell r="E1" t="str">
            <v>bev_share_2021</v>
          </cell>
        </row>
        <row r="2">
          <cell r="A2" t="str">
            <v>Alfa Romeo</v>
          </cell>
          <cell r="B2">
            <v>32567</v>
          </cell>
          <cell r="C2">
            <v>23524</v>
          </cell>
          <cell r="D2">
            <v>0</v>
          </cell>
          <cell r="E2">
            <v>0</v>
          </cell>
        </row>
        <row r="3">
          <cell r="A3" t="str">
            <v>Audi</v>
          </cell>
          <cell r="B3">
            <v>477144</v>
          </cell>
          <cell r="C3">
            <v>461506</v>
          </cell>
          <cell r="D3">
            <v>42973</v>
          </cell>
          <cell r="E3">
            <v>9.3114715735006695E-2</v>
          </cell>
        </row>
        <row r="4">
          <cell r="A4" t="str">
            <v>BMW</v>
          </cell>
          <cell r="B4">
            <v>537072</v>
          </cell>
          <cell r="C4">
            <v>544479</v>
          </cell>
          <cell r="D4">
            <v>37675</v>
          </cell>
          <cell r="E4">
            <v>6.9194587853709605E-2</v>
          </cell>
        </row>
        <row r="5">
          <cell r="A5" t="str">
            <v>Bugatti</v>
          </cell>
          <cell r="B5" t="str">
            <v>NA</v>
          </cell>
          <cell r="C5" t="str">
            <v>NA</v>
          </cell>
          <cell r="D5">
            <v>0</v>
          </cell>
          <cell r="E5" t="str">
            <v>NA</v>
          </cell>
        </row>
        <row r="6">
          <cell r="A6" t="str">
            <v>Chevrolet</v>
          </cell>
          <cell r="B6">
            <v>127</v>
          </cell>
          <cell r="C6">
            <v>381</v>
          </cell>
          <cell r="D6">
            <v>3</v>
          </cell>
          <cell r="E6">
            <v>7.8740157480314907E-3</v>
          </cell>
        </row>
        <row r="7">
          <cell r="A7" t="str">
            <v>Chrysler</v>
          </cell>
          <cell r="B7">
            <v>58</v>
          </cell>
          <cell r="C7">
            <v>82</v>
          </cell>
          <cell r="D7">
            <v>0</v>
          </cell>
          <cell r="E7">
            <v>0</v>
          </cell>
        </row>
        <row r="8">
          <cell r="A8" t="str">
            <v>Citroen</v>
          </cell>
          <cell r="B8">
            <v>430528</v>
          </cell>
          <cell r="C8">
            <v>419985</v>
          </cell>
          <cell r="D8">
            <v>11803</v>
          </cell>
          <cell r="E8">
            <v>2.8103384644689599E-2</v>
          </cell>
        </row>
        <row r="9">
          <cell r="A9" t="str">
            <v>Cupra</v>
          </cell>
          <cell r="B9">
            <v>12652</v>
          </cell>
          <cell r="C9">
            <v>61125</v>
          </cell>
          <cell r="D9">
            <v>3110</v>
          </cell>
          <cell r="E9">
            <v>5.0879345603271897E-2</v>
          </cell>
        </row>
        <row r="10">
          <cell r="A10" t="str">
            <v>Dacia</v>
          </cell>
          <cell r="B10">
            <v>375353</v>
          </cell>
          <cell r="C10">
            <v>382108</v>
          </cell>
          <cell r="D10">
            <v>27296</v>
          </cell>
          <cell r="E10">
            <v>7.1435301014372898E-2</v>
          </cell>
        </row>
        <row r="11">
          <cell r="A11" t="str">
            <v>Dodge</v>
          </cell>
          <cell r="B11">
            <v>240</v>
          </cell>
          <cell r="C11">
            <v>238</v>
          </cell>
          <cell r="D11">
            <v>0</v>
          </cell>
          <cell r="E11">
            <v>0</v>
          </cell>
        </row>
        <row r="12">
          <cell r="A12" t="str">
            <v>DS</v>
          </cell>
          <cell r="B12">
            <v>40080</v>
          </cell>
          <cell r="C12">
            <v>39863</v>
          </cell>
          <cell r="D12">
            <v>2882</v>
          </cell>
          <cell r="E12">
            <v>7.2297619346260902E-2</v>
          </cell>
        </row>
        <row r="13">
          <cell r="A13" t="str">
            <v>E.go</v>
          </cell>
          <cell r="B13">
            <v>539</v>
          </cell>
          <cell r="C13">
            <v>2</v>
          </cell>
          <cell r="D13">
            <v>2</v>
          </cell>
          <cell r="E13">
            <v>1</v>
          </cell>
        </row>
        <row r="14">
          <cell r="A14" t="str">
            <v>Fiat</v>
          </cell>
          <cell r="B14">
            <v>468629</v>
          </cell>
          <cell r="C14">
            <v>455362</v>
          </cell>
          <cell r="D14">
            <v>40178</v>
          </cell>
          <cell r="E14">
            <v>8.8233098062640195E-2</v>
          </cell>
        </row>
        <row r="15">
          <cell r="A15" t="str">
            <v>Ford</v>
          </cell>
          <cell r="B15">
            <v>525516</v>
          </cell>
          <cell r="C15">
            <v>432787</v>
          </cell>
          <cell r="D15">
            <v>20234</v>
          </cell>
          <cell r="E15">
            <v>4.6752790633729703E-2</v>
          </cell>
        </row>
        <row r="16">
          <cell r="A16" t="str">
            <v>Great Wall</v>
          </cell>
          <cell r="B16">
            <v>369</v>
          </cell>
          <cell r="C16">
            <v>749</v>
          </cell>
          <cell r="D16">
            <v>0</v>
          </cell>
          <cell r="E16">
            <v>0</v>
          </cell>
        </row>
        <row r="17">
          <cell r="A17" t="str">
            <v>Honda</v>
          </cell>
          <cell r="B17">
            <v>51564</v>
          </cell>
          <cell r="C17">
            <v>38951</v>
          </cell>
          <cell r="D17">
            <v>2529</v>
          </cell>
          <cell r="E17">
            <v>6.4927729711689003E-2</v>
          </cell>
        </row>
        <row r="18">
          <cell r="A18" t="str">
            <v>Hyundai</v>
          </cell>
          <cell r="B18">
            <v>366268</v>
          </cell>
          <cell r="C18">
            <v>433448</v>
          </cell>
          <cell r="D18">
            <v>59306</v>
          </cell>
          <cell r="E18">
            <v>0.13682379431904099</v>
          </cell>
        </row>
        <row r="19">
          <cell r="A19" t="str">
            <v>Isuzu</v>
          </cell>
          <cell r="B19">
            <v>2</v>
          </cell>
          <cell r="C19">
            <v>1</v>
          </cell>
          <cell r="D19">
            <v>0</v>
          </cell>
          <cell r="E19">
            <v>0</v>
          </cell>
        </row>
        <row r="20">
          <cell r="A20" t="str">
            <v>Iveco</v>
          </cell>
          <cell r="B20">
            <v>1092</v>
          </cell>
          <cell r="C20">
            <v>1085</v>
          </cell>
          <cell r="D20">
            <v>0</v>
          </cell>
          <cell r="E20">
            <v>0</v>
          </cell>
        </row>
        <row r="21">
          <cell r="A21" t="str">
            <v>Jaguar</v>
          </cell>
          <cell r="B21">
            <v>21940</v>
          </cell>
          <cell r="C21">
            <v>17528</v>
          </cell>
          <cell r="D21">
            <v>2678</v>
          </cell>
          <cell r="E21">
            <v>0.15278411684162399</v>
          </cell>
        </row>
        <row r="22">
          <cell r="A22" t="str">
            <v>Jeep</v>
          </cell>
          <cell r="B22">
            <v>115337</v>
          </cell>
          <cell r="C22">
            <v>121047</v>
          </cell>
          <cell r="D22">
            <v>0</v>
          </cell>
          <cell r="E22">
            <v>0</v>
          </cell>
        </row>
        <row r="23">
          <cell r="A23" t="str">
            <v>Kia</v>
          </cell>
          <cell r="B23">
            <v>346258</v>
          </cell>
          <cell r="C23">
            <v>408225</v>
          </cell>
          <cell r="D23">
            <v>48399</v>
          </cell>
          <cell r="E23">
            <v>0.118559617857799</v>
          </cell>
        </row>
        <row r="24">
          <cell r="A24" t="str">
            <v>Lada</v>
          </cell>
          <cell r="B24">
            <v>2057</v>
          </cell>
          <cell r="C24">
            <v>1904</v>
          </cell>
          <cell r="D24">
            <v>0</v>
          </cell>
          <cell r="E24">
            <v>0</v>
          </cell>
        </row>
        <row r="25">
          <cell r="A25" t="str">
            <v>Lancia</v>
          </cell>
          <cell r="B25">
            <v>43009</v>
          </cell>
          <cell r="C25">
            <v>43735</v>
          </cell>
          <cell r="D25">
            <v>0</v>
          </cell>
          <cell r="E25">
            <v>0</v>
          </cell>
        </row>
        <row r="26">
          <cell r="A26" t="str">
            <v>Land Rover</v>
          </cell>
          <cell r="B26">
            <v>51446</v>
          </cell>
          <cell r="C26">
            <v>48445</v>
          </cell>
          <cell r="D26">
            <v>0</v>
          </cell>
          <cell r="E26">
            <v>0</v>
          </cell>
        </row>
        <row r="27">
          <cell r="A27" t="str">
            <v>LEVC</v>
          </cell>
          <cell r="B27">
            <v>77</v>
          </cell>
          <cell r="C27">
            <v>76</v>
          </cell>
          <cell r="D27">
            <v>0</v>
          </cell>
          <cell r="E27">
            <v>0</v>
          </cell>
        </row>
        <row r="28">
          <cell r="A28" t="str">
            <v>Lexus</v>
          </cell>
          <cell r="B28">
            <v>32762</v>
          </cell>
          <cell r="C28">
            <v>33165</v>
          </cell>
          <cell r="D28">
            <v>1751</v>
          </cell>
          <cell r="E28">
            <v>5.2796622945876601E-2</v>
          </cell>
        </row>
        <row r="29">
          <cell r="A29" t="str">
            <v>MAN</v>
          </cell>
          <cell r="B29">
            <v>584</v>
          </cell>
          <cell r="C29">
            <v>1230</v>
          </cell>
          <cell r="D29">
            <v>17</v>
          </cell>
          <cell r="E29">
            <v>1.3821138211382099E-2</v>
          </cell>
        </row>
        <row r="30">
          <cell r="A30" t="str">
            <v>Maserati</v>
          </cell>
          <cell r="B30">
            <v>2638</v>
          </cell>
          <cell r="C30">
            <v>3163</v>
          </cell>
          <cell r="D30">
            <v>0</v>
          </cell>
          <cell r="E30">
            <v>0</v>
          </cell>
        </row>
        <row r="31">
          <cell r="A31" t="str">
            <v>Mazda</v>
          </cell>
          <cell r="B31">
            <v>121788</v>
          </cell>
          <cell r="C31">
            <v>124595</v>
          </cell>
          <cell r="D31">
            <v>9245</v>
          </cell>
          <cell r="E31">
            <v>7.4200409326216896E-2</v>
          </cell>
        </row>
        <row r="32">
          <cell r="A32" t="str">
            <v>Mercedes</v>
          </cell>
          <cell r="B32">
            <v>616594</v>
          </cell>
          <cell r="C32">
            <v>524719</v>
          </cell>
          <cell r="D32">
            <v>31747</v>
          </cell>
          <cell r="E32">
            <v>6.0502859625818702E-2</v>
          </cell>
        </row>
        <row r="33">
          <cell r="A33" t="str">
            <v>MG</v>
          </cell>
          <cell r="B33">
            <v>7389</v>
          </cell>
          <cell r="C33">
            <v>21970</v>
          </cell>
          <cell r="D33">
            <v>12972</v>
          </cell>
          <cell r="E33">
            <v>0.59044151115156995</v>
          </cell>
        </row>
        <row r="34">
          <cell r="A34" t="str">
            <v>Mini</v>
          </cell>
          <cell r="B34">
            <v>121858</v>
          </cell>
          <cell r="C34">
            <v>125666</v>
          </cell>
          <cell r="D34">
            <v>22633</v>
          </cell>
          <cell r="E34">
            <v>0.18010440373688899</v>
          </cell>
        </row>
        <row r="35">
          <cell r="A35" t="str">
            <v>Mitsubishi</v>
          </cell>
          <cell r="B35">
            <v>90179</v>
          </cell>
          <cell r="C35">
            <v>65619</v>
          </cell>
          <cell r="D35">
            <v>7</v>
          </cell>
          <cell r="E35">
            <v>1.06676419939346E-4</v>
          </cell>
        </row>
        <row r="36">
          <cell r="A36" t="str">
            <v>Nissan</v>
          </cell>
          <cell r="B36">
            <v>212342</v>
          </cell>
          <cell r="C36">
            <v>177202</v>
          </cell>
          <cell r="D36">
            <v>26878</v>
          </cell>
          <cell r="E36">
            <v>0.15168000361169701</v>
          </cell>
        </row>
        <row r="37">
          <cell r="A37" t="str">
            <v>Opel/Vauxhall</v>
          </cell>
          <cell r="B37">
            <v>388992</v>
          </cell>
          <cell r="C37">
            <v>392846</v>
          </cell>
          <cell r="D37">
            <v>33928</v>
          </cell>
          <cell r="E37">
            <v>8.6364631433182404E-2</v>
          </cell>
        </row>
        <row r="38">
          <cell r="A38" t="str">
            <v>Peugeot</v>
          </cell>
          <cell r="B38">
            <v>689473</v>
          </cell>
          <cell r="C38">
            <v>661487</v>
          </cell>
          <cell r="D38">
            <v>60642</v>
          </cell>
          <cell r="E38">
            <v>9.16752710181757E-2</v>
          </cell>
        </row>
        <row r="39">
          <cell r="A39" t="str">
            <v>Polestar</v>
          </cell>
          <cell r="B39">
            <v>8971</v>
          </cell>
          <cell r="C39">
            <v>14288</v>
          </cell>
          <cell r="D39">
            <v>14228</v>
          </cell>
          <cell r="E39">
            <v>0.99580067189249699</v>
          </cell>
        </row>
        <row r="40">
          <cell r="A40" t="str">
            <v>Porsche</v>
          </cell>
          <cell r="B40">
            <v>55524</v>
          </cell>
          <cell r="C40">
            <v>60098</v>
          </cell>
          <cell r="D40">
            <v>12675</v>
          </cell>
          <cell r="E40">
            <v>0.21090552098239501</v>
          </cell>
        </row>
        <row r="41">
          <cell r="A41" t="str">
            <v>Ram</v>
          </cell>
          <cell r="B41">
            <v>6</v>
          </cell>
          <cell r="C41">
            <v>6</v>
          </cell>
          <cell r="D41">
            <v>0</v>
          </cell>
          <cell r="E41">
            <v>0</v>
          </cell>
        </row>
        <row r="42">
          <cell r="A42" t="str">
            <v>Renault</v>
          </cell>
          <cell r="B42">
            <v>759971</v>
          </cell>
          <cell r="C42">
            <v>637224</v>
          </cell>
          <cell r="D42">
            <v>89366</v>
          </cell>
          <cell r="E42">
            <v>0.14024267761415099</v>
          </cell>
        </row>
        <row r="43">
          <cell r="A43" t="str">
            <v>Renault Trucks</v>
          </cell>
          <cell r="B43" t="str">
            <v>NA</v>
          </cell>
          <cell r="C43">
            <v>3</v>
          </cell>
          <cell r="D43">
            <v>0</v>
          </cell>
          <cell r="E43">
            <v>0</v>
          </cell>
        </row>
        <row r="44">
          <cell r="A44" t="str">
            <v>SEAT</v>
          </cell>
          <cell r="B44">
            <v>303857</v>
          </cell>
          <cell r="C44">
            <v>276199</v>
          </cell>
          <cell r="D44">
            <v>8222</v>
          </cell>
          <cell r="E44">
            <v>2.9768391630671999E-2</v>
          </cell>
        </row>
        <row r="45">
          <cell r="A45" t="str">
            <v>Skoda</v>
          </cell>
          <cell r="B45">
            <v>562318</v>
          </cell>
          <cell r="C45">
            <v>511247</v>
          </cell>
          <cell r="D45">
            <v>43906</v>
          </cell>
          <cell r="E45">
            <v>8.58802105440227E-2</v>
          </cell>
        </row>
        <row r="46">
          <cell r="A46" t="str">
            <v>Smart</v>
          </cell>
          <cell r="B46">
            <v>25691</v>
          </cell>
          <cell r="C46">
            <v>35164</v>
          </cell>
          <cell r="D46">
            <v>35108</v>
          </cell>
          <cell r="E46">
            <v>0.99840746217722598</v>
          </cell>
        </row>
        <row r="47">
          <cell r="A47" t="str">
            <v>SsangYong</v>
          </cell>
          <cell r="B47">
            <v>8206</v>
          </cell>
          <cell r="C47">
            <v>9601</v>
          </cell>
          <cell r="D47">
            <v>18</v>
          </cell>
          <cell r="E47">
            <v>1.87480470784293E-3</v>
          </cell>
        </row>
        <row r="48">
          <cell r="A48" t="str">
            <v>Subaru</v>
          </cell>
          <cell r="B48">
            <v>16298</v>
          </cell>
          <cell r="C48">
            <v>17155</v>
          </cell>
          <cell r="D48">
            <v>0</v>
          </cell>
          <cell r="E48">
            <v>0</v>
          </cell>
        </row>
        <row r="49">
          <cell r="A49" t="str">
            <v>Suzuki</v>
          </cell>
          <cell r="B49">
            <v>147064</v>
          </cell>
          <cell r="C49">
            <v>170239</v>
          </cell>
          <cell r="D49">
            <v>0</v>
          </cell>
          <cell r="E49">
            <v>0</v>
          </cell>
        </row>
        <row r="50">
          <cell r="A50" t="str">
            <v>Tesla</v>
          </cell>
          <cell r="B50">
            <v>68658</v>
          </cell>
          <cell r="C50">
            <v>127912</v>
          </cell>
          <cell r="D50">
            <v>127912</v>
          </cell>
          <cell r="E50">
            <v>1</v>
          </cell>
        </row>
        <row r="51">
          <cell r="A51" t="str">
            <v>Toyota</v>
          </cell>
          <cell r="B51">
            <v>544798</v>
          </cell>
          <cell r="C51">
            <v>597301</v>
          </cell>
          <cell r="D51">
            <v>695</v>
          </cell>
          <cell r="E51">
            <v>1.16356744756831E-3</v>
          </cell>
        </row>
        <row r="52">
          <cell r="A52" t="str">
            <v>Volvo</v>
          </cell>
          <cell r="B52">
            <v>232903</v>
          </cell>
          <cell r="C52">
            <v>233193</v>
          </cell>
          <cell r="D52">
            <v>13673</v>
          </cell>
          <cell r="E52">
            <v>5.8633835492489003E-2</v>
          </cell>
        </row>
        <row r="53">
          <cell r="A53" t="str">
            <v>VW</v>
          </cell>
          <cell r="B53">
            <v>1169459</v>
          </cell>
          <cell r="C53">
            <v>1101291</v>
          </cell>
          <cell r="D53">
            <v>146232</v>
          </cell>
          <cell r="E53">
            <v>0.132782343631247</v>
          </cell>
        </row>
        <row r="54">
          <cell r="A54" t="str">
            <v>NA</v>
          </cell>
          <cell r="B54">
            <v>23240</v>
          </cell>
          <cell r="C54">
            <v>43729</v>
          </cell>
          <cell r="D54">
            <v>4372</v>
          </cell>
          <cell r="E54">
            <v>9.9979418692400901E-2</v>
          </cell>
        </row>
      </sheetData>
      <sheetData sheetId="3" refreshError="1"/>
      <sheetData sheetId="4" refreshError="1"/>
      <sheetData sheetId="5" refreshError="1"/>
    </sheetDataSet>
  </externalBook>
</externalLink>
</file>

<file path=xl/theme/theme1.xml><?xml version="1.0" encoding="utf-8"?>
<a:theme xmlns:a="http://schemas.openxmlformats.org/drawingml/2006/main" name="ICCT">
  <a:themeElements>
    <a:clrScheme name="ICCT">
      <a:dk1>
        <a:srgbClr val="000000"/>
      </a:dk1>
      <a:lt1>
        <a:srgbClr val="FFFFFF"/>
      </a:lt1>
      <a:dk2>
        <a:srgbClr val="45555F"/>
      </a:dk2>
      <a:lt2>
        <a:srgbClr val="DED5B3"/>
      </a:lt2>
      <a:accent1>
        <a:srgbClr val="4E3227"/>
      </a:accent1>
      <a:accent2>
        <a:srgbClr val="007A94"/>
      </a:accent2>
      <a:accent3>
        <a:srgbClr val="D6492A"/>
      </a:accent3>
      <a:accent4>
        <a:srgbClr val="642566"/>
      </a:accent4>
      <a:accent5>
        <a:srgbClr val="6C953C"/>
      </a:accent5>
      <a:accent6>
        <a:srgbClr val="F4AF00"/>
      </a:accent6>
      <a:hlink>
        <a:srgbClr val="007A94"/>
      </a:hlink>
      <a:folHlink>
        <a:srgbClr val="6C953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3" Type="http://schemas.openxmlformats.org/officeDocument/2006/relationships/hyperlink" Target="https://investors.volvocars.com/en/results-and-reports" TargetMode="External"/><Relationship Id="rId2" Type="http://schemas.openxmlformats.org/officeDocument/2006/relationships/hyperlink" Target="https://www.nissan-global.com/EN/IR/LIBRARY/FR/2022/ASSETS/PDF/fr2022.pdf" TargetMode="External"/><Relationship Id="rId1" Type="http://schemas.openxmlformats.org/officeDocument/2006/relationships/hyperlink" Target="https://www.stellantis.com/content/dam/stellantis-corporate/investors/financial-reports/Stellantis-NV-20241231-Annual-Report.pdf" TargetMode="External"/><Relationship Id="rId4" Type="http://schemas.openxmlformats.org/officeDocument/2006/relationships/hyperlink" Target="https://www.jaguarlandrover.com/annual-report-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A2357-7817-422C-AB5C-984C08004177}">
  <sheetPr>
    <tabColor theme="6" tint="0.39997558519241921"/>
  </sheetPr>
  <dimension ref="A1:DH116"/>
  <sheetViews>
    <sheetView tabSelected="1" zoomScale="80" zoomScaleNormal="80" workbookViewId="0">
      <pane xSplit="2" ySplit="1" topLeftCell="C2" activePane="bottomRight" state="frozen"/>
      <selection pane="topRight" activeCell="C1" sqref="C1"/>
      <selection pane="bottomLeft" activeCell="A3" sqref="A3"/>
      <selection pane="bottomRight" activeCell="R58" sqref="R58"/>
    </sheetView>
  </sheetViews>
  <sheetFormatPr baseColWidth="10" defaultColWidth="11" defaultRowHeight="15.75" customHeight="1"/>
  <cols>
    <col min="1" max="1" width="3.33203125" style="21" customWidth="1"/>
    <col min="2" max="2" width="19.33203125" style="8" customWidth="1"/>
    <col min="3" max="3" width="17.83203125" style="8" customWidth="1"/>
    <col min="4" max="7" width="12.83203125" style="8" customWidth="1"/>
    <col min="8" max="14" width="14.33203125" style="8" customWidth="1"/>
    <col min="15" max="17" width="12" style="8" customWidth="1"/>
    <col min="18" max="22" width="12.5" style="8" customWidth="1"/>
    <col min="23" max="25" width="12" style="8" customWidth="1"/>
    <col min="26" max="26" width="12.33203125" style="8" customWidth="1"/>
    <col min="27" max="27" width="11.83203125" style="8" customWidth="1"/>
    <col min="28" max="30" width="11.6640625" style="8" customWidth="1"/>
    <col min="31" max="31" width="15.33203125" style="8" customWidth="1"/>
    <col min="32" max="32" width="12" style="8" customWidth="1"/>
    <col min="33" max="34" width="3.83203125" style="8" customWidth="1"/>
    <col min="35" max="40" width="4.6640625" style="8" customWidth="1"/>
    <col min="41" max="64" width="4.83203125" style="8" customWidth="1"/>
    <col min="65" max="65" width="3.6640625" style="8" customWidth="1"/>
    <col min="66" max="66" width="3" style="8" customWidth="1"/>
    <col min="67" max="67" width="4.83203125" style="8" customWidth="1"/>
    <col min="68" max="68" width="4.33203125" style="8" customWidth="1"/>
    <col min="69" max="69" width="4" style="8" customWidth="1"/>
    <col min="70" max="70" width="2.83203125" style="8" customWidth="1"/>
    <col min="71" max="71" width="4.83203125" style="8" customWidth="1"/>
    <col min="72" max="72" width="3.33203125" style="8" customWidth="1"/>
    <col min="73" max="73" width="4.33203125" style="8" customWidth="1"/>
    <col min="74" max="74" width="3" style="8" customWidth="1"/>
    <col min="75" max="76" width="4.5" style="8" customWidth="1"/>
    <col min="77" max="77" width="4.1640625" style="8" customWidth="1"/>
    <col min="78" max="78" width="3.6640625" style="8" customWidth="1"/>
    <col min="79" max="79" width="4.83203125" style="8" customWidth="1"/>
    <col min="80" max="80" width="4" style="8" customWidth="1"/>
    <col min="81" max="81" width="4.1640625" style="8" customWidth="1"/>
    <col min="82" max="82" width="3.33203125" style="8" customWidth="1"/>
    <col min="83" max="83" width="4.5" style="8" customWidth="1"/>
    <col min="84" max="84" width="4" style="8" customWidth="1"/>
    <col min="85" max="85" width="4.6640625" style="8" customWidth="1"/>
    <col min="86" max="86" width="3.1640625" style="8" customWidth="1"/>
    <col min="87" max="87" width="5.1640625" style="8" customWidth="1"/>
    <col min="88" max="88" width="4" style="8" customWidth="1"/>
    <col min="89" max="89" width="5.1640625" style="8" customWidth="1"/>
    <col min="90" max="90" width="4.1640625" style="8" customWidth="1"/>
    <col min="91" max="91" width="5" style="8" customWidth="1"/>
    <col min="92" max="92" width="3.6640625" style="8" customWidth="1"/>
    <col min="93" max="93" width="5" style="8" customWidth="1"/>
    <col min="94" max="94" width="3.5" style="8" customWidth="1"/>
    <col min="95" max="95" width="5.1640625" style="8" customWidth="1"/>
    <col min="96" max="96" width="3.83203125" style="8" customWidth="1"/>
    <col min="97" max="97" width="4" style="8" customWidth="1"/>
    <col min="98" max="98" width="6.5" style="8" customWidth="1"/>
    <col min="99" max="111" width="11" style="8" customWidth="1"/>
    <col min="112" max="112" width="11" style="8"/>
    <col min="113" max="113" width="0" style="8" hidden="1" customWidth="1"/>
    <col min="114" max="16384" width="11" style="8"/>
  </cols>
  <sheetData>
    <row r="1" spans="1:112" ht="34" customHeight="1">
      <c r="A1" s="8"/>
      <c r="C1" s="519" t="s">
        <v>26</v>
      </c>
      <c r="D1" s="527" t="s">
        <v>28</v>
      </c>
      <c r="E1" s="527" t="str">
        <f>R1</f>
        <v>Technology performance</v>
      </c>
      <c r="F1" s="527" t="str">
        <f>X1</f>
        <v>Strategic vision</v>
      </c>
      <c r="G1" s="528" t="s">
        <v>29</v>
      </c>
      <c r="H1" s="100"/>
      <c r="L1" s="519" t="s">
        <v>26</v>
      </c>
      <c r="M1" s="528" t="s">
        <v>29</v>
      </c>
      <c r="N1" s="528"/>
      <c r="O1" s="518" t="s">
        <v>28</v>
      </c>
      <c r="P1" s="518"/>
      <c r="Q1" s="518"/>
      <c r="R1" s="518" t="s">
        <v>30</v>
      </c>
      <c r="S1" s="518"/>
      <c r="T1" s="518"/>
      <c r="U1" s="518"/>
      <c r="V1" s="518"/>
      <c r="W1" s="518"/>
      <c r="X1" s="518" t="s">
        <v>31</v>
      </c>
      <c r="Y1" s="518"/>
      <c r="Z1" s="518"/>
      <c r="AA1" s="518"/>
      <c r="AE1" s="519" t="s">
        <v>3</v>
      </c>
      <c r="AF1" s="516" t="s">
        <v>58</v>
      </c>
      <c r="AG1" s="516"/>
      <c r="AH1" s="516"/>
      <c r="AI1" s="516" t="s">
        <v>28</v>
      </c>
      <c r="AJ1" s="516"/>
      <c r="AK1" s="516"/>
      <c r="AL1" s="516"/>
      <c r="AM1" s="516"/>
      <c r="AN1" s="516"/>
      <c r="AO1" s="516" t="s">
        <v>30</v>
      </c>
      <c r="AP1" s="516"/>
      <c r="AQ1" s="516"/>
      <c r="AR1" s="516"/>
      <c r="AS1" s="516"/>
      <c r="AT1" s="516"/>
      <c r="AU1" s="516"/>
      <c r="AV1" s="516"/>
      <c r="AW1" s="516"/>
      <c r="AX1" s="516"/>
      <c r="AY1" s="516"/>
      <c r="AZ1" s="516"/>
      <c r="BA1" s="516"/>
      <c r="BB1" s="516"/>
      <c r="BC1" s="516"/>
      <c r="BD1" s="516" t="s">
        <v>31</v>
      </c>
      <c r="BE1" s="516"/>
      <c r="BF1" s="516"/>
      <c r="BG1" s="516"/>
      <c r="BH1" s="516"/>
      <c r="BI1" s="516"/>
      <c r="BJ1" s="516"/>
      <c r="BK1" s="516"/>
      <c r="BL1" s="516"/>
      <c r="BM1" s="117"/>
      <c r="BN1" s="117"/>
      <c r="BO1" s="117"/>
      <c r="BP1" s="117"/>
      <c r="BQ1" s="117"/>
      <c r="BR1" s="117"/>
      <c r="BS1" s="117"/>
      <c r="BT1" s="117"/>
    </row>
    <row r="2" spans="1:112" ht="38" customHeight="1">
      <c r="A2" s="8"/>
      <c r="C2" s="519"/>
      <c r="D2" s="527"/>
      <c r="E2" s="527"/>
      <c r="F2" s="527"/>
      <c r="G2" s="528"/>
      <c r="L2" s="519"/>
      <c r="M2" s="528"/>
      <c r="N2" s="528"/>
      <c r="O2" s="60" t="s">
        <v>33</v>
      </c>
      <c r="P2" s="60" t="s">
        <v>34</v>
      </c>
      <c r="Q2" s="101" t="s">
        <v>35</v>
      </c>
      <c r="R2" s="60" t="s">
        <v>36</v>
      </c>
      <c r="S2" s="60" t="s">
        <v>37</v>
      </c>
      <c r="T2" s="60" t="s">
        <v>38</v>
      </c>
      <c r="U2" s="60" t="s">
        <v>39</v>
      </c>
      <c r="V2" s="60" t="s">
        <v>40</v>
      </c>
      <c r="W2" s="101" t="s">
        <v>35</v>
      </c>
      <c r="X2" s="60" t="s">
        <v>41</v>
      </c>
      <c r="Y2" s="60" t="s">
        <v>42</v>
      </c>
      <c r="Z2" s="60" t="s">
        <v>43</v>
      </c>
      <c r="AA2" s="101" t="s">
        <v>35</v>
      </c>
      <c r="AE2" s="519"/>
      <c r="AF2" s="516"/>
      <c r="AG2" s="516"/>
      <c r="AH2" s="516"/>
      <c r="AI2" s="529" t="s">
        <v>33</v>
      </c>
      <c r="AJ2" s="529"/>
      <c r="AK2" s="529"/>
      <c r="AL2" s="529" t="s">
        <v>34</v>
      </c>
      <c r="AM2" s="529"/>
      <c r="AN2" s="529"/>
      <c r="AO2" s="529" t="s">
        <v>36</v>
      </c>
      <c r="AP2" s="529"/>
      <c r="AQ2" s="529"/>
      <c r="AR2" s="529" t="s">
        <v>37</v>
      </c>
      <c r="AS2" s="529"/>
      <c r="AT2" s="529"/>
      <c r="AU2" s="529" t="s">
        <v>38</v>
      </c>
      <c r="AV2" s="529"/>
      <c r="AW2" s="529"/>
      <c r="AX2" s="529" t="s">
        <v>67</v>
      </c>
      <c r="AY2" s="529"/>
      <c r="AZ2" s="529"/>
      <c r="BA2" s="529" t="s">
        <v>40</v>
      </c>
      <c r="BB2" s="529"/>
      <c r="BC2" s="529"/>
      <c r="BD2" s="529" t="s">
        <v>41</v>
      </c>
      <c r="BE2" s="529"/>
      <c r="BF2" s="529"/>
      <c r="BG2" s="529" t="s">
        <v>42</v>
      </c>
      <c r="BH2" s="529"/>
      <c r="BI2" s="529"/>
      <c r="BJ2" s="529" t="s">
        <v>43</v>
      </c>
      <c r="BK2" s="529"/>
      <c r="BL2" s="529"/>
    </row>
    <row r="3" spans="1:112" ht="18" customHeight="1">
      <c r="A3" s="8"/>
      <c r="B3" s="33"/>
      <c r="C3" s="18" t="s">
        <v>5</v>
      </c>
      <c r="D3" s="19">
        <f t="shared" ref="D3:E23" si="0">ROUND(_xlfn.XLOOKUP($C3,$C$26:$C$47,D$26:D$47),0)</f>
        <v>73</v>
      </c>
      <c r="E3" s="19">
        <f t="shared" si="0"/>
        <v>80</v>
      </c>
      <c r="F3" s="19">
        <f t="shared" ref="F3:F23" si="1">ROUND(_xlfn.XLOOKUP($C3,$C$26:$C$47,G$26:G$47),0)</f>
        <v>84</v>
      </c>
      <c r="G3" s="102">
        <f t="shared" ref="G3:G23" si="2">_xlfn.XLOOKUP($C3,$C$27:$C$47,G$27:G$47)</f>
        <v>84.466666666666669</v>
      </c>
      <c r="H3" s="510" t="s">
        <v>32</v>
      </c>
      <c r="K3" s="15" t="s">
        <v>5</v>
      </c>
      <c r="L3" s="18" t="s">
        <v>5</v>
      </c>
      <c r="M3" s="23">
        <f t="shared" ref="M3:M23" si="3">_xlfn.XLOOKUP($L3,$C$27:$C$47,G$27:G$47)</f>
        <v>84.466666666666669</v>
      </c>
      <c r="N3" s="520" t="s">
        <v>32</v>
      </c>
      <c r="O3" s="46">
        <f t="shared" ref="O3:O21" si="4">ROUND(_xlfn.XLOOKUP($K3,$B$51:$B$71,D$51:D$71),0)</f>
        <v>100</v>
      </c>
      <c r="P3" s="46">
        <f t="shared" ref="P3:P21" si="5">ROUND(_xlfn.XLOOKUP($K3,$B$51:$B$71,E$51:E$71),0)</f>
        <v>46</v>
      </c>
      <c r="Q3" s="19">
        <f t="shared" ref="Q3:Q23" si="6">ROUND(_xlfn.XLOOKUP($L3,$C$27:$C$47,E$27:E$47),0)</f>
        <v>80</v>
      </c>
      <c r="R3" s="46">
        <f t="shared" ref="R3:R21" si="7">ROUND(_xlfn.XLOOKUP($K3,$B$51:$B$71,F$51:F$71),0)</f>
        <v>82</v>
      </c>
      <c r="S3" s="46">
        <f t="shared" ref="S3:S21" si="8">ROUND(_xlfn.XLOOKUP($K3,$B$51:$B$71,G$51:G$71),0)</f>
        <v>100</v>
      </c>
      <c r="T3" s="46">
        <f t="shared" ref="T3:T21" si="9">ROUND(_xlfn.XLOOKUP($K3,$B$51:$B$71,H$51:H$71),0)</f>
        <v>100</v>
      </c>
      <c r="U3" s="46">
        <f t="shared" ref="U3:U21" si="10">ROUND(_xlfn.XLOOKUP($K3,$B$51:$B$71,I$51:I$71),0)</f>
        <v>20</v>
      </c>
      <c r="V3" s="46">
        <f t="shared" ref="V3:V21" si="11">ROUND(_xlfn.XLOOKUP($K3,$B$51:$B$71,J$51:J$71),0)</f>
        <v>100</v>
      </c>
      <c r="W3" s="19">
        <f t="shared" ref="W3:W23" si="12">ROUND(_xlfn.XLOOKUP($L3,$C$27:$C$47,F$27:F$47),0)</f>
        <v>100</v>
      </c>
      <c r="X3" s="46">
        <f t="shared" ref="X3:X21" si="13">ROUND(_xlfn.XLOOKUP($K3,$B$51:$B$71,K$51:K$71),0)</f>
        <v>100</v>
      </c>
      <c r="Y3" s="46">
        <f t="shared" ref="Y3:Y21" si="14">ROUND(_xlfn.XLOOKUP($K3,$B$51:$B$71,L$51:L$71),0)</f>
        <v>100</v>
      </c>
      <c r="Z3" s="46">
        <f t="shared" ref="Z3:Z21" si="15">ROUND(_xlfn.XLOOKUP($K3,$B$51:$B$71,M$51:M$71),0)</f>
        <v>100</v>
      </c>
      <c r="AA3" s="19">
        <f t="shared" ref="AA3:AA23" si="16">ROUND(_xlfn.XLOOKUP($L3,$C$27:$C$47,G$27:G$47),0)</f>
        <v>84</v>
      </c>
      <c r="AB3" s="33"/>
      <c r="AC3" s="33"/>
      <c r="AD3" s="15" t="str">
        <f t="shared" ref="AD3:AD23" si="17">K3</f>
        <v>Tesla</v>
      </c>
      <c r="AE3" s="18" t="str">
        <f t="shared" ref="AE3:AE23" si="18">L3</f>
        <v>Tesla</v>
      </c>
      <c r="AF3" s="23">
        <f t="shared" ref="AF3:AF23" si="19">_xlfn.XLOOKUP($AE3,$L$3:$L$23,$M$3:$M$23)</f>
        <v>84.466666666666669</v>
      </c>
      <c r="AG3" s="17" t="str">
        <f t="shared" ref="AG3:AG23" si="20">IF(AF27&gt;0,"▲",IF(AF27&lt;0,"▼",""))</f>
        <v/>
      </c>
      <c r="AH3" s="124">
        <f t="shared" ref="AH3:AH23" si="21">AF27</f>
        <v>0</v>
      </c>
      <c r="AI3" s="65">
        <f t="shared" ref="AI3:AI23" si="22">_xlfn.XLOOKUP($AE3,$L$3:$L$23,O$3:O$23)</f>
        <v>100</v>
      </c>
      <c r="AJ3" s="17" t="str">
        <f t="shared" ref="AJ3:AJ23" si="23">IF(AJ27&gt;0,"▲",IF(AJ27&lt;0,"▼",""))</f>
        <v/>
      </c>
      <c r="AK3" s="125">
        <f t="shared" ref="AK3:AK23" si="24">AJ27</f>
        <v>0</v>
      </c>
      <c r="AL3" s="65">
        <f t="shared" ref="AL3:AL23" si="25">_xlfn.XLOOKUP($AE3,$L$3:$L$23,P$3:P$23)</f>
        <v>46</v>
      </c>
      <c r="AM3" s="17" t="str">
        <f t="shared" ref="AM3:AM23" si="26">IF(AK27&gt;0,"▲",IF(AK27&lt;0,"▼",""))</f>
        <v/>
      </c>
      <c r="AN3" s="125">
        <f t="shared" ref="AN3:AN23" si="27">AK27</f>
        <v>0</v>
      </c>
      <c r="AO3" s="65">
        <f t="shared" ref="AO3:AO23" si="28">_xlfn.XLOOKUP($AE3,$L$3:$L$23,R$3:R$23)</f>
        <v>82</v>
      </c>
      <c r="AP3" s="17" t="str">
        <f t="shared" ref="AP3:AP22" si="29">IF(AM27&gt;0,"▲",IF(AM27&lt;0,"▼",""))</f>
        <v>▼</v>
      </c>
      <c r="AQ3" s="125">
        <f t="shared" ref="AQ3:AQ22" si="30">AM27</f>
        <v>-12</v>
      </c>
      <c r="AR3" s="65">
        <f t="shared" ref="AR3:AR23" si="31">_xlfn.XLOOKUP($AE3,$L$3:$L$23,S$3:S$23)</f>
        <v>100</v>
      </c>
      <c r="AS3" s="17" t="str">
        <f t="shared" ref="AS3:AS22" si="32">IF(AN27&gt;0,"▲",IF(AN27&lt;0,"▼",""))</f>
        <v/>
      </c>
      <c r="AT3" s="125">
        <f t="shared" ref="AT3:AT22" si="33">AN27</f>
        <v>0</v>
      </c>
      <c r="AU3" s="65">
        <f t="shared" ref="AU3:AU23" si="34">_xlfn.XLOOKUP($AE3,$L$3:$L$23,T$3:T$23)</f>
        <v>100</v>
      </c>
      <c r="AV3" s="17" t="str">
        <f t="shared" ref="AV3:AV22" si="35">IF(AO27&gt;0,"▲",IF(AO27&lt;0,"▼",""))</f>
        <v/>
      </c>
      <c r="AW3" s="125">
        <f t="shared" ref="AW3:AW22" si="36">AO27</f>
        <v>0</v>
      </c>
      <c r="AX3" s="65">
        <f t="shared" ref="AX3:AX23" si="37">_xlfn.XLOOKUP($AE3,$L$3:$L$23,U$3:U$23)</f>
        <v>20</v>
      </c>
      <c r="BA3" s="65">
        <f t="shared" ref="BA3:BA23" si="38">_xlfn.XLOOKUP($AE3,$L$3:$L$23,V$3:V$23)</f>
        <v>100</v>
      </c>
      <c r="BB3" s="17" t="str">
        <f t="shared" ref="BB3:BB23" si="39">IF(AQ27&gt;0,"▲",IF(AQ27&lt;0,"▼",""))</f>
        <v/>
      </c>
      <c r="BC3" s="125">
        <f t="shared" ref="BC3:BC23" si="40">AQ27</f>
        <v>0</v>
      </c>
      <c r="BD3" s="65">
        <f t="shared" ref="BD3:BD23" si="41">_xlfn.XLOOKUP($AE3,$L$3:$L$23,X$3:X$23)</f>
        <v>100</v>
      </c>
      <c r="BE3" s="17" t="str">
        <f t="shared" ref="BE3:BE23" si="42">IF(AS27&gt;0,"▲",IF(AS27&lt;0,"▼",""))</f>
        <v/>
      </c>
      <c r="BF3" s="125">
        <f t="shared" ref="BF3:BF23" si="43">AS27</f>
        <v>0</v>
      </c>
      <c r="BG3" s="65">
        <f t="shared" ref="BG3:BG23" si="44">_xlfn.XLOOKUP($AE3,$L$3:$L$23,Y$3:Y$23)</f>
        <v>100</v>
      </c>
      <c r="BH3" s="17" t="str">
        <f t="shared" ref="BH3:BH23" si="45">IF(AT27&gt;0,"▲",IF(AT27&lt;0,"▼",""))</f>
        <v/>
      </c>
      <c r="BI3" s="125">
        <f t="shared" ref="BI3:BI23" si="46">AT27</f>
        <v>0</v>
      </c>
      <c r="BJ3" s="65">
        <f t="shared" ref="BJ3:BJ23" si="47">_xlfn.XLOOKUP($AE3,$L$3:$L$23,Z$3:Z$23)</f>
        <v>100</v>
      </c>
      <c r="BK3" s="17" t="str">
        <f t="shared" ref="BK3:BK23" si="48">IF(AU27&gt;0,"▲",IF(AU27&lt;0,"▼",""))</f>
        <v/>
      </c>
      <c r="BL3" s="125">
        <f t="shared" ref="BL3:BL23" si="49">AU27</f>
        <v>0</v>
      </c>
      <c r="CR3" s="20"/>
      <c r="CS3" s="20"/>
      <c r="CV3" s="20"/>
      <c r="CW3" s="20"/>
      <c r="CX3" s="24"/>
      <c r="CY3" s="20"/>
      <c r="CZ3" s="20"/>
      <c r="DA3" s="20"/>
      <c r="DB3" s="20"/>
      <c r="DC3" s="20"/>
      <c r="DD3" s="24"/>
      <c r="DE3" s="20"/>
      <c r="DF3" s="20"/>
      <c r="DG3" s="20"/>
      <c r="DH3" s="24"/>
    </row>
    <row r="4" spans="1:112" ht="18" customHeight="1">
      <c r="A4" s="8"/>
      <c r="B4" s="33"/>
      <c r="C4" s="18" t="s">
        <v>6</v>
      </c>
      <c r="D4" s="19">
        <f t="shared" si="0"/>
        <v>76</v>
      </c>
      <c r="E4" s="19">
        <f t="shared" si="0"/>
        <v>53</v>
      </c>
      <c r="F4" s="19">
        <f t="shared" si="1"/>
        <v>70</v>
      </c>
      <c r="G4" s="102">
        <f t="shared" si="2"/>
        <v>70.322222222222237</v>
      </c>
      <c r="H4" s="511"/>
      <c r="K4" s="15" t="s">
        <v>6</v>
      </c>
      <c r="L4" s="18" t="s">
        <v>6</v>
      </c>
      <c r="M4" s="23">
        <f t="shared" si="3"/>
        <v>70.322222222222237</v>
      </c>
      <c r="N4" s="521"/>
      <c r="O4" s="46">
        <f t="shared" si="4"/>
        <v>75</v>
      </c>
      <c r="P4" s="46">
        <f t="shared" si="5"/>
        <v>76</v>
      </c>
      <c r="Q4" s="19">
        <f t="shared" si="6"/>
        <v>53</v>
      </c>
      <c r="R4" s="46">
        <f t="shared" si="7"/>
        <v>65</v>
      </c>
      <c r="S4" s="46">
        <f t="shared" si="8"/>
        <v>25</v>
      </c>
      <c r="T4" s="46">
        <f t="shared" si="9"/>
        <v>60</v>
      </c>
      <c r="U4" s="46">
        <f t="shared" si="10"/>
        <v>15</v>
      </c>
      <c r="V4" s="46">
        <f t="shared" si="11"/>
        <v>99</v>
      </c>
      <c r="W4" s="19">
        <f t="shared" si="12"/>
        <v>83</v>
      </c>
      <c r="X4" s="46">
        <f t="shared" si="13"/>
        <v>75</v>
      </c>
      <c r="Y4" s="46">
        <f t="shared" si="14"/>
        <v>73</v>
      </c>
      <c r="Z4" s="46">
        <f t="shared" si="15"/>
        <v>100</v>
      </c>
      <c r="AA4" s="19">
        <f t="shared" si="16"/>
        <v>70</v>
      </c>
      <c r="AB4" s="33"/>
      <c r="AC4" s="33"/>
      <c r="AD4" s="15" t="str">
        <f t="shared" si="17"/>
        <v>BYD</v>
      </c>
      <c r="AE4" s="18" t="str">
        <f t="shared" si="18"/>
        <v>BYD</v>
      </c>
      <c r="AF4" s="23">
        <f t="shared" si="19"/>
        <v>70.322222222222237</v>
      </c>
      <c r="AG4" s="17" t="str">
        <f t="shared" si="20"/>
        <v/>
      </c>
      <c r="AH4" s="124">
        <f t="shared" si="21"/>
        <v>0</v>
      </c>
      <c r="AI4" s="65">
        <f t="shared" si="22"/>
        <v>75</v>
      </c>
      <c r="AJ4" s="17" t="str">
        <f t="shared" si="23"/>
        <v>▼</v>
      </c>
      <c r="AK4" s="125">
        <f t="shared" si="24"/>
        <v>-1</v>
      </c>
      <c r="AL4" s="65">
        <f t="shared" si="25"/>
        <v>76</v>
      </c>
      <c r="AM4" s="17" t="str">
        <f t="shared" si="26"/>
        <v>▼</v>
      </c>
      <c r="AN4" s="125">
        <f t="shared" si="27"/>
        <v>-1</v>
      </c>
      <c r="AO4" s="65">
        <f t="shared" si="28"/>
        <v>65</v>
      </c>
      <c r="AP4" s="17" t="str">
        <f t="shared" si="29"/>
        <v>▼</v>
      </c>
      <c r="AQ4" s="125">
        <f t="shared" si="30"/>
        <v>-4</v>
      </c>
      <c r="AR4" s="65">
        <f t="shared" si="31"/>
        <v>25</v>
      </c>
      <c r="AS4" s="17" t="str">
        <f t="shared" si="32"/>
        <v/>
      </c>
      <c r="AT4" s="125">
        <f t="shared" si="33"/>
        <v>0</v>
      </c>
      <c r="AU4" s="65">
        <f t="shared" si="34"/>
        <v>60</v>
      </c>
      <c r="AV4" s="17" t="str">
        <f t="shared" si="35"/>
        <v>▼</v>
      </c>
      <c r="AW4" s="125">
        <f t="shared" si="36"/>
        <v>-4</v>
      </c>
      <c r="AX4" s="65">
        <f t="shared" si="37"/>
        <v>15</v>
      </c>
      <c r="BA4" s="65">
        <f t="shared" si="38"/>
        <v>99</v>
      </c>
      <c r="BB4" s="17" t="str">
        <f t="shared" si="39"/>
        <v>▼</v>
      </c>
      <c r="BC4" s="125">
        <f t="shared" si="40"/>
        <v>-1</v>
      </c>
      <c r="BD4" s="65">
        <f t="shared" si="41"/>
        <v>75</v>
      </c>
      <c r="BE4" s="17" t="str">
        <f t="shared" si="42"/>
        <v>▼</v>
      </c>
      <c r="BF4" s="125">
        <f t="shared" si="43"/>
        <v>-1</v>
      </c>
      <c r="BG4" s="65">
        <f t="shared" si="44"/>
        <v>73</v>
      </c>
      <c r="BH4" s="17" t="str">
        <f t="shared" si="45"/>
        <v>▲</v>
      </c>
      <c r="BI4" s="125">
        <f t="shared" si="46"/>
        <v>5</v>
      </c>
      <c r="BJ4" s="65">
        <f t="shared" si="47"/>
        <v>100</v>
      </c>
      <c r="BK4" s="17" t="str">
        <f t="shared" si="48"/>
        <v/>
      </c>
      <c r="BL4" s="125">
        <f t="shared" si="49"/>
        <v>0</v>
      </c>
      <c r="CR4" s="20"/>
      <c r="CS4" s="20"/>
      <c r="CV4" s="20"/>
      <c r="CW4" s="20"/>
      <c r="CX4" s="24"/>
      <c r="CY4" s="20"/>
      <c r="CZ4" s="20"/>
      <c r="DA4" s="20"/>
      <c r="DB4" s="20"/>
      <c r="DC4" s="20"/>
      <c r="DD4" s="24"/>
      <c r="DE4" s="20"/>
      <c r="DF4" s="20"/>
      <c r="DG4" s="20"/>
      <c r="DH4" s="24"/>
    </row>
    <row r="5" spans="1:112" ht="18" customHeight="1">
      <c r="A5" s="8"/>
      <c r="B5" s="33"/>
      <c r="C5" s="18" t="s">
        <v>8</v>
      </c>
      <c r="D5" s="19">
        <f t="shared" si="0"/>
        <v>68</v>
      </c>
      <c r="E5" s="19">
        <f t="shared" si="0"/>
        <v>60</v>
      </c>
      <c r="F5" s="19">
        <f t="shared" si="1"/>
        <v>56</v>
      </c>
      <c r="G5" s="102">
        <f t="shared" si="2"/>
        <v>56.466666666666669</v>
      </c>
      <c r="H5" s="512" t="s">
        <v>45</v>
      </c>
      <c r="K5" s="15" t="s">
        <v>8</v>
      </c>
      <c r="L5" s="18" t="s">
        <v>8</v>
      </c>
      <c r="M5" s="23">
        <f t="shared" si="3"/>
        <v>56.466666666666669</v>
      </c>
      <c r="N5" s="522" t="s">
        <v>45</v>
      </c>
      <c r="O5" s="46">
        <f t="shared" si="4"/>
        <v>42</v>
      </c>
      <c r="P5" s="46">
        <f t="shared" si="5"/>
        <v>94</v>
      </c>
      <c r="Q5" s="19">
        <f t="shared" si="6"/>
        <v>60</v>
      </c>
      <c r="R5" s="46">
        <f t="shared" si="7"/>
        <v>51</v>
      </c>
      <c r="S5" s="46">
        <f t="shared" si="8"/>
        <v>47</v>
      </c>
      <c r="T5" s="46">
        <f t="shared" si="9"/>
        <v>63</v>
      </c>
      <c r="U5" s="46">
        <f t="shared" si="10"/>
        <v>44</v>
      </c>
      <c r="V5" s="46">
        <f t="shared" si="11"/>
        <v>97</v>
      </c>
      <c r="W5" s="19">
        <f t="shared" si="12"/>
        <v>41</v>
      </c>
      <c r="X5" s="46">
        <f t="shared" si="13"/>
        <v>76</v>
      </c>
      <c r="Y5" s="46">
        <f t="shared" si="14"/>
        <v>46</v>
      </c>
      <c r="Z5" s="46">
        <f t="shared" si="15"/>
        <v>1</v>
      </c>
      <c r="AA5" s="19">
        <f t="shared" si="16"/>
        <v>56</v>
      </c>
      <c r="AB5" s="33"/>
      <c r="AC5" s="33"/>
      <c r="AD5" s="15" t="str">
        <f t="shared" si="17"/>
        <v>Geely</v>
      </c>
      <c r="AE5" s="18" t="str">
        <f t="shared" si="18"/>
        <v>Geely</v>
      </c>
      <c r="AF5" s="23">
        <f t="shared" si="19"/>
        <v>56.466666666666669</v>
      </c>
      <c r="AG5" s="17" t="str">
        <f t="shared" si="20"/>
        <v>▲</v>
      </c>
      <c r="AH5" s="124">
        <f t="shared" si="21"/>
        <v>8</v>
      </c>
      <c r="AI5" s="65">
        <f t="shared" si="22"/>
        <v>42</v>
      </c>
      <c r="AJ5" s="17" t="str">
        <f t="shared" si="23"/>
        <v>▲</v>
      </c>
      <c r="AK5" s="125">
        <f t="shared" si="24"/>
        <v>13</v>
      </c>
      <c r="AL5" s="65">
        <f t="shared" si="25"/>
        <v>94</v>
      </c>
      <c r="AM5" s="17" t="str">
        <f t="shared" si="26"/>
        <v>▲</v>
      </c>
      <c r="AN5" s="125">
        <f t="shared" si="27"/>
        <v>16</v>
      </c>
      <c r="AO5" s="65">
        <f t="shared" si="28"/>
        <v>51</v>
      </c>
      <c r="AP5" s="17" t="str">
        <f t="shared" si="29"/>
        <v>▲</v>
      </c>
      <c r="AQ5" s="125">
        <f t="shared" si="30"/>
        <v>14</v>
      </c>
      <c r="AR5" s="65">
        <f t="shared" si="31"/>
        <v>47</v>
      </c>
      <c r="AS5" s="17" t="str">
        <f t="shared" si="32"/>
        <v>▲</v>
      </c>
      <c r="AT5" s="125">
        <f t="shared" si="33"/>
        <v>12</v>
      </c>
      <c r="AU5" s="65">
        <f t="shared" si="34"/>
        <v>63</v>
      </c>
      <c r="AV5" s="17" t="str">
        <f t="shared" si="35"/>
        <v>▲</v>
      </c>
      <c r="AW5" s="125">
        <f t="shared" si="36"/>
        <v>12</v>
      </c>
      <c r="AX5" s="65">
        <f t="shared" si="37"/>
        <v>44</v>
      </c>
      <c r="BA5" s="65">
        <f t="shared" si="38"/>
        <v>97</v>
      </c>
      <c r="BB5" s="17" t="str">
        <f t="shared" si="39"/>
        <v>▼</v>
      </c>
      <c r="BC5" s="125">
        <f t="shared" si="40"/>
        <v>-1</v>
      </c>
      <c r="BD5" s="65">
        <f t="shared" si="41"/>
        <v>76</v>
      </c>
      <c r="BE5" s="17" t="str">
        <f t="shared" si="42"/>
        <v>▼</v>
      </c>
      <c r="BF5" s="125">
        <f t="shared" si="43"/>
        <v>-11</v>
      </c>
      <c r="BG5" s="65">
        <f t="shared" si="44"/>
        <v>46</v>
      </c>
      <c r="BH5" s="17" t="str">
        <f t="shared" si="45"/>
        <v>▲</v>
      </c>
      <c r="BI5" s="125">
        <f t="shared" si="46"/>
        <v>1</v>
      </c>
      <c r="BJ5" s="65">
        <f t="shared" si="47"/>
        <v>1</v>
      </c>
      <c r="BK5" s="17" t="str">
        <f t="shared" si="48"/>
        <v>▼</v>
      </c>
      <c r="BL5" s="125">
        <f t="shared" si="49"/>
        <v>-3</v>
      </c>
      <c r="CR5" s="20"/>
      <c r="CS5" s="20"/>
      <c r="CV5" s="20"/>
      <c r="CW5" s="20"/>
      <c r="CX5" s="24"/>
      <c r="CY5" s="20"/>
      <c r="CZ5" s="20"/>
      <c r="DA5" s="20"/>
      <c r="DB5" s="20"/>
      <c r="DC5" s="20"/>
      <c r="DD5" s="24"/>
      <c r="DE5" s="20"/>
      <c r="DF5" s="20"/>
      <c r="DG5" s="20"/>
      <c r="DH5" s="24"/>
    </row>
    <row r="6" spans="1:112" ht="18" customHeight="1">
      <c r="A6" s="8"/>
      <c r="B6" s="33"/>
      <c r="C6" s="18" t="s">
        <v>214</v>
      </c>
      <c r="D6" s="19">
        <f t="shared" si="0"/>
        <v>74</v>
      </c>
      <c r="E6" s="19">
        <f t="shared" si="0"/>
        <v>41</v>
      </c>
      <c r="F6" s="19">
        <f t="shared" si="1"/>
        <v>53</v>
      </c>
      <c r="G6" s="102">
        <f t="shared" si="2"/>
        <v>52.988888888888887</v>
      </c>
      <c r="H6" s="513"/>
      <c r="K6" s="15" t="s">
        <v>7</v>
      </c>
      <c r="L6" s="18" t="s">
        <v>214</v>
      </c>
      <c r="M6" s="23">
        <f t="shared" si="3"/>
        <v>52.988888888888887</v>
      </c>
      <c r="N6" s="523"/>
      <c r="O6" s="46">
        <f t="shared" si="4"/>
        <v>47</v>
      </c>
      <c r="P6" s="46">
        <f t="shared" si="5"/>
        <v>100</v>
      </c>
      <c r="Q6" s="19">
        <f t="shared" si="6"/>
        <v>41</v>
      </c>
      <c r="R6" s="46">
        <f t="shared" si="7"/>
        <v>61</v>
      </c>
      <c r="S6" s="46">
        <f t="shared" si="8"/>
        <v>14</v>
      </c>
      <c r="T6" s="46">
        <f t="shared" si="9"/>
        <v>29</v>
      </c>
      <c r="U6" s="46">
        <f t="shared" si="10"/>
        <v>16</v>
      </c>
      <c r="V6" s="46">
        <f t="shared" si="11"/>
        <v>84</v>
      </c>
      <c r="W6" s="19">
        <f t="shared" si="12"/>
        <v>45</v>
      </c>
      <c r="X6" s="46">
        <f t="shared" si="13"/>
        <v>71</v>
      </c>
      <c r="Y6" s="46">
        <f t="shared" si="14"/>
        <v>63</v>
      </c>
      <c r="Z6" s="46">
        <f t="shared" si="15"/>
        <v>0</v>
      </c>
      <c r="AA6" s="19">
        <f t="shared" si="16"/>
        <v>53</v>
      </c>
      <c r="AB6" s="33"/>
      <c r="AC6" s="33"/>
      <c r="AD6" s="15" t="str">
        <f t="shared" si="17"/>
        <v>SAIC</v>
      </c>
      <c r="AE6" s="18" t="str">
        <f t="shared" si="18"/>
        <v>SAIC</v>
      </c>
      <c r="AF6" s="23">
        <f t="shared" si="19"/>
        <v>52.988888888888887</v>
      </c>
      <c r="AG6" s="17" t="str">
        <f t="shared" si="20"/>
        <v>▲</v>
      </c>
      <c r="AH6" s="124">
        <f t="shared" si="21"/>
        <v>2</v>
      </c>
      <c r="AI6" s="65">
        <f t="shared" si="22"/>
        <v>47</v>
      </c>
      <c r="AJ6" s="17" t="str">
        <f t="shared" si="23"/>
        <v>▲</v>
      </c>
      <c r="AK6" s="125">
        <f t="shared" si="24"/>
        <v>7</v>
      </c>
      <c r="AL6" s="65">
        <f t="shared" si="25"/>
        <v>100</v>
      </c>
      <c r="AM6" s="17" t="str">
        <f t="shared" si="26"/>
        <v/>
      </c>
      <c r="AN6" s="125">
        <f t="shared" si="27"/>
        <v>0</v>
      </c>
      <c r="AO6" s="65">
        <f t="shared" si="28"/>
        <v>61</v>
      </c>
      <c r="AP6" s="17" t="str">
        <f t="shared" si="29"/>
        <v>▲</v>
      </c>
      <c r="AQ6" s="125">
        <f t="shared" si="30"/>
        <v>5</v>
      </c>
      <c r="AR6" s="65">
        <f t="shared" si="31"/>
        <v>14</v>
      </c>
      <c r="AS6" s="17" t="str">
        <f t="shared" si="32"/>
        <v>▲</v>
      </c>
      <c r="AT6" s="125">
        <f t="shared" si="33"/>
        <v>1</v>
      </c>
      <c r="AU6" s="65">
        <f t="shared" si="34"/>
        <v>29</v>
      </c>
      <c r="AV6" s="17" t="str">
        <f t="shared" si="35"/>
        <v>▲</v>
      </c>
      <c r="AW6" s="125">
        <f t="shared" si="36"/>
        <v>3</v>
      </c>
      <c r="AX6" s="65">
        <f t="shared" si="37"/>
        <v>16</v>
      </c>
      <c r="BA6" s="65">
        <f t="shared" si="38"/>
        <v>84</v>
      </c>
      <c r="BB6" s="17" t="str">
        <f t="shared" si="39"/>
        <v>▲</v>
      </c>
      <c r="BC6" s="125">
        <f t="shared" si="40"/>
        <v>1</v>
      </c>
      <c r="BD6" s="65">
        <f t="shared" si="41"/>
        <v>71</v>
      </c>
      <c r="BE6" s="17" t="str">
        <f t="shared" si="42"/>
        <v>▼</v>
      </c>
      <c r="BF6" s="125">
        <f t="shared" si="43"/>
        <v>-2</v>
      </c>
      <c r="BG6" s="65">
        <f t="shared" si="44"/>
        <v>63</v>
      </c>
      <c r="BH6" s="17" t="str">
        <f t="shared" si="45"/>
        <v>▼</v>
      </c>
      <c r="BI6" s="125">
        <f t="shared" si="46"/>
        <v>-2</v>
      </c>
      <c r="BJ6" s="65">
        <f t="shared" si="47"/>
        <v>0</v>
      </c>
      <c r="BK6" s="17" t="str">
        <f t="shared" si="48"/>
        <v/>
      </c>
      <c r="BL6" s="125">
        <f t="shared" si="49"/>
        <v>0</v>
      </c>
      <c r="CR6" s="20"/>
      <c r="CS6" s="20"/>
      <c r="CV6" s="20"/>
      <c r="CW6" s="20"/>
      <c r="CX6" s="24"/>
      <c r="CY6" s="20"/>
      <c r="CZ6" s="20"/>
      <c r="DA6" s="20"/>
      <c r="DB6" s="20"/>
      <c r="DC6" s="20"/>
      <c r="DD6" s="24"/>
      <c r="DE6" s="20"/>
      <c r="DF6" s="20"/>
      <c r="DG6" s="20"/>
      <c r="DH6" s="24"/>
    </row>
    <row r="7" spans="1:112" ht="18" customHeight="1">
      <c r="A7" s="8"/>
      <c r="B7" s="33"/>
      <c r="C7" s="18" t="s">
        <v>184</v>
      </c>
      <c r="D7" s="19">
        <f t="shared" si="0"/>
        <v>37</v>
      </c>
      <c r="E7" s="19">
        <f t="shared" si="0"/>
        <v>74</v>
      </c>
      <c r="F7" s="19">
        <f t="shared" si="1"/>
        <v>52</v>
      </c>
      <c r="G7" s="102">
        <f t="shared" si="2"/>
        <v>52.166666666666664</v>
      </c>
      <c r="H7" s="513"/>
      <c r="K7" s="15" t="s">
        <v>12</v>
      </c>
      <c r="L7" s="18" t="s">
        <v>184</v>
      </c>
      <c r="M7" s="23">
        <f t="shared" si="3"/>
        <v>52.166666666666664</v>
      </c>
      <c r="N7" s="523"/>
      <c r="O7" s="46">
        <f t="shared" si="4"/>
        <v>19</v>
      </c>
      <c r="P7" s="46">
        <f t="shared" si="5"/>
        <v>54</v>
      </c>
      <c r="Q7" s="19">
        <f t="shared" si="6"/>
        <v>74</v>
      </c>
      <c r="R7" s="46">
        <f t="shared" si="7"/>
        <v>70</v>
      </c>
      <c r="S7" s="46">
        <f t="shared" si="8"/>
        <v>51</v>
      </c>
      <c r="T7" s="46">
        <f t="shared" si="9"/>
        <v>87</v>
      </c>
      <c r="U7" s="46">
        <f t="shared" si="10"/>
        <v>78</v>
      </c>
      <c r="V7" s="46">
        <f t="shared" si="11"/>
        <v>84</v>
      </c>
      <c r="W7" s="19">
        <f t="shared" si="12"/>
        <v>46</v>
      </c>
      <c r="X7" s="46">
        <f t="shared" si="13"/>
        <v>68</v>
      </c>
      <c r="Y7" s="46">
        <f t="shared" si="14"/>
        <v>18</v>
      </c>
      <c r="Z7" s="46">
        <f t="shared" si="15"/>
        <v>52</v>
      </c>
      <c r="AA7" s="19">
        <f t="shared" si="16"/>
        <v>52</v>
      </c>
      <c r="AB7" s="33"/>
      <c r="AC7" s="33"/>
      <c r="AD7" s="15" t="str">
        <f t="shared" si="17"/>
        <v>BMW</v>
      </c>
      <c r="AE7" s="18" t="str">
        <f t="shared" si="18"/>
        <v>BMW</v>
      </c>
      <c r="AF7" s="23">
        <f t="shared" si="19"/>
        <v>52.166666666666664</v>
      </c>
      <c r="AG7" s="17" t="str">
        <f t="shared" si="20"/>
        <v>▼</v>
      </c>
      <c r="AH7" s="124">
        <f t="shared" si="21"/>
        <v>-5</v>
      </c>
      <c r="AI7" s="65">
        <f t="shared" si="22"/>
        <v>19</v>
      </c>
      <c r="AJ7" s="17" t="str">
        <f t="shared" si="23"/>
        <v>▲</v>
      </c>
      <c r="AK7" s="125">
        <f t="shared" si="24"/>
        <v>2</v>
      </c>
      <c r="AL7" s="65">
        <f t="shared" si="25"/>
        <v>54</v>
      </c>
      <c r="AM7" s="17" t="str">
        <f t="shared" si="26"/>
        <v>▼</v>
      </c>
      <c r="AN7" s="125">
        <f t="shared" si="27"/>
        <v>-1</v>
      </c>
      <c r="AO7" s="65">
        <f t="shared" si="28"/>
        <v>70</v>
      </c>
      <c r="AP7" s="17" t="str">
        <f t="shared" si="29"/>
        <v>▼</v>
      </c>
      <c r="AQ7" s="125">
        <f t="shared" si="30"/>
        <v>-3</v>
      </c>
      <c r="AR7" s="65">
        <f t="shared" si="31"/>
        <v>51</v>
      </c>
      <c r="AS7" s="17" t="str">
        <f t="shared" si="32"/>
        <v>▼</v>
      </c>
      <c r="AT7" s="125">
        <f t="shared" si="33"/>
        <v>-3</v>
      </c>
      <c r="AU7" s="65">
        <f t="shared" si="34"/>
        <v>87</v>
      </c>
      <c r="AV7" s="17" t="str">
        <f t="shared" si="35"/>
        <v>▼</v>
      </c>
      <c r="AW7" s="125">
        <f t="shared" si="36"/>
        <v>-3</v>
      </c>
      <c r="AX7" s="65">
        <f t="shared" si="37"/>
        <v>78</v>
      </c>
      <c r="BA7" s="65">
        <f t="shared" si="38"/>
        <v>84</v>
      </c>
      <c r="BB7" s="17" t="str">
        <f t="shared" si="39"/>
        <v>▼</v>
      </c>
      <c r="BC7" s="125">
        <f t="shared" si="40"/>
        <v>-9</v>
      </c>
      <c r="BD7" s="65">
        <f t="shared" si="41"/>
        <v>68</v>
      </c>
      <c r="BE7" s="17" t="str">
        <f t="shared" si="42"/>
        <v>▼</v>
      </c>
      <c r="BF7" s="125">
        <f t="shared" si="43"/>
        <v>-16</v>
      </c>
      <c r="BG7" s="65">
        <f t="shared" si="44"/>
        <v>18</v>
      </c>
      <c r="BH7" s="17" t="str">
        <f t="shared" si="45"/>
        <v>▲</v>
      </c>
      <c r="BI7" s="125">
        <f t="shared" si="46"/>
        <v>1</v>
      </c>
      <c r="BJ7" s="65">
        <f t="shared" si="47"/>
        <v>52</v>
      </c>
      <c r="BK7" s="17" t="str">
        <f t="shared" si="48"/>
        <v>▼</v>
      </c>
      <c r="BL7" s="125">
        <f t="shared" si="49"/>
        <v>-8</v>
      </c>
      <c r="CR7" s="20"/>
      <c r="CS7" s="20"/>
      <c r="CV7" s="20"/>
      <c r="CW7" s="20"/>
      <c r="CX7" s="24"/>
      <c r="CY7" s="20"/>
      <c r="CZ7" s="20"/>
      <c r="DA7" s="20"/>
      <c r="DB7" s="20"/>
      <c r="DC7" s="20"/>
      <c r="DD7" s="24"/>
      <c r="DE7" s="20"/>
      <c r="DF7" s="20"/>
      <c r="DG7" s="20"/>
      <c r="DH7" s="24"/>
    </row>
    <row r="8" spans="1:112" ht="18" customHeight="1">
      <c r="A8" s="8"/>
      <c r="B8" s="33"/>
      <c r="C8" s="18" t="s">
        <v>17</v>
      </c>
      <c r="D8" s="19">
        <f t="shared" si="0"/>
        <v>39</v>
      </c>
      <c r="E8" s="19">
        <f t="shared" si="0"/>
        <v>44</v>
      </c>
      <c r="F8" s="19">
        <f t="shared" si="1"/>
        <v>52</v>
      </c>
      <c r="G8" s="102">
        <f t="shared" si="2"/>
        <v>52.133333333333333</v>
      </c>
      <c r="H8" s="513"/>
      <c r="K8" s="15" t="s">
        <v>79</v>
      </c>
      <c r="L8" s="18" t="s">
        <v>79</v>
      </c>
      <c r="M8" s="23">
        <f t="shared" si="3"/>
        <v>52.133333333333333</v>
      </c>
      <c r="N8" s="523"/>
      <c r="O8" s="46">
        <f t="shared" si="4"/>
        <v>8</v>
      </c>
      <c r="P8" s="46">
        <f t="shared" si="5"/>
        <v>70</v>
      </c>
      <c r="Q8" s="19">
        <f t="shared" si="6"/>
        <v>44</v>
      </c>
      <c r="R8" s="46">
        <f t="shared" si="7"/>
        <v>33</v>
      </c>
      <c r="S8" s="46">
        <f t="shared" si="8"/>
        <v>29</v>
      </c>
      <c r="T8" s="46">
        <f t="shared" si="9"/>
        <v>38</v>
      </c>
      <c r="U8" s="46">
        <f t="shared" si="10"/>
        <v>25</v>
      </c>
      <c r="V8" s="46">
        <f t="shared" si="11"/>
        <v>97</v>
      </c>
      <c r="W8" s="19">
        <f t="shared" si="12"/>
        <v>73</v>
      </c>
      <c r="X8" s="46">
        <f t="shared" si="13"/>
        <v>100</v>
      </c>
      <c r="Y8" s="46">
        <f t="shared" si="14"/>
        <v>19</v>
      </c>
      <c r="Z8" s="46">
        <f t="shared" si="15"/>
        <v>100</v>
      </c>
      <c r="AA8" s="19">
        <f t="shared" si="16"/>
        <v>52</v>
      </c>
      <c r="AB8" s="33"/>
      <c r="AC8" s="33"/>
      <c r="AD8" s="15" t="str">
        <f t="shared" si="17"/>
        <v>Stellantis</v>
      </c>
      <c r="AE8" s="18" t="str">
        <f t="shared" si="18"/>
        <v>Stellantis</v>
      </c>
      <c r="AF8" s="23">
        <f t="shared" si="19"/>
        <v>52.133333333333333</v>
      </c>
      <c r="AG8" s="17" t="str">
        <f t="shared" si="20"/>
        <v>▲</v>
      </c>
      <c r="AH8" s="124">
        <f t="shared" si="21"/>
        <v>3</v>
      </c>
      <c r="AI8" s="65">
        <f t="shared" si="22"/>
        <v>8</v>
      </c>
      <c r="AJ8" s="17" t="str">
        <f t="shared" si="23"/>
        <v>▼</v>
      </c>
      <c r="AK8" s="125">
        <f t="shared" si="24"/>
        <v>-1</v>
      </c>
      <c r="AL8" s="65">
        <f t="shared" si="25"/>
        <v>70</v>
      </c>
      <c r="AM8" s="17" t="str">
        <f t="shared" si="26"/>
        <v>▲</v>
      </c>
      <c r="AN8" s="125">
        <f t="shared" si="27"/>
        <v>2</v>
      </c>
      <c r="AO8" s="65">
        <f t="shared" si="28"/>
        <v>33</v>
      </c>
      <c r="AP8" s="17" t="str">
        <f t="shared" si="29"/>
        <v>▲</v>
      </c>
      <c r="AQ8" s="125">
        <f t="shared" si="30"/>
        <v>2</v>
      </c>
      <c r="AR8" s="65">
        <f t="shared" si="31"/>
        <v>29</v>
      </c>
      <c r="AS8" s="17" t="str">
        <f t="shared" si="32"/>
        <v>▼</v>
      </c>
      <c r="AT8" s="125">
        <f t="shared" si="33"/>
        <v>-2</v>
      </c>
      <c r="AU8" s="65">
        <f t="shared" si="34"/>
        <v>38</v>
      </c>
      <c r="AV8" s="17" t="str">
        <f t="shared" si="35"/>
        <v>▲</v>
      </c>
      <c r="AW8" s="125">
        <f t="shared" si="36"/>
        <v>3</v>
      </c>
      <c r="AX8" s="65">
        <f t="shared" si="37"/>
        <v>25</v>
      </c>
      <c r="BA8" s="65">
        <f t="shared" si="38"/>
        <v>97</v>
      </c>
      <c r="BB8" s="17" t="str">
        <f t="shared" si="39"/>
        <v>▼</v>
      </c>
      <c r="BC8" s="125">
        <f t="shared" si="40"/>
        <v>-2</v>
      </c>
      <c r="BD8" s="65">
        <f t="shared" si="41"/>
        <v>100</v>
      </c>
      <c r="BE8" s="17" t="str">
        <f t="shared" si="42"/>
        <v/>
      </c>
      <c r="BF8" s="125">
        <f t="shared" si="43"/>
        <v>0</v>
      </c>
      <c r="BG8" s="65">
        <f t="shared" si="44"/>
        <v>19</v>
      </c>
      <c r="BH8" s="17" t="str">
        <f t="shared" si="45"/>
        <v>▲</v>
      </c>
      <c r="BI8" s="125">
        <f t="shared" si="46"/>
        <v>12</v>
      </c>
      <c r="BJ8" s="65">
        <f t="shared" si="47"/>
        <v>100</v>
      </c>
      <c r="BK8" s="17" t="str">
        <f t="shared" si="48"/>
        <v/>
      </c>
      <c r="BL8" s="125">
        <f t="shared" si="49"/>
        <v>0</v>
      </c>
      <c r="CR8" s="20"/>
      <c r="CS8" s="20"/>
      <c r="CV8" s="20"/>
      <c r="CW8" s="20"/>
      <c r="CX8" s="24"/>
      <c r="CY8" s="20"/>
      <c r="CZ8" s="20"/>
      <c r="DA8" s="20"/>
      <c r="DB8" s="20"/>
      <c r="DC8" s="20"/>
      <c r="DD8" s="24"/>
      <c r="DE8" s="20"/>
      <c r="DF8" s="20"/>
      <c r="DG8" s="20"/>
      <c r="DH8" s="24"/>
    </row>
    <row r="9" spans="1:112" ht="18" customHeight="1">
      <c r="A9" s="8"/>
      <c r="B9" s="33"/>
      <c r="C9" s="18" t="s">
        <v>13</v>
      </c>
      <c r="D9" s="19">
        <f t="shared" si="0"/>
        <v>33</v>
      </c>
      <c r="E9" s="19">
        <f t="shared" si="0"/>
        <v>74</v>
      </c>
      <c r="F9" s="19">
        <f t="shared" si="1"/>
        <v>51</v>
      </c>
      <c r="G9" s="102">
        <f t="shared" si="2"/>
        <v>51.422222222222217</v>
      </c>
      <c r="H9" s="513"/>
      <c r="K9" s="15" t="s">
        <v>80</v>
      </c>
      <c r="L9" s="18" t="s">
        <v>80</v>
      </c>
      <c r="M9" s="23">
        <f t="shared" si="3"/>
        <v>51.422222222222217</v>
      </c>
      <c r="N9" s="523"/>
      <c r="O9" s="46">
        <f t="shared" si="4"/>
        <v>14</v>
      </c>
      <c r="P9" s="46">
        <f t="shared" si="5"/>
        <v>52</v>
      </c>
      <c r="Q9" s="19">
        <f t="shared" si="6"/>
        <v>74</v>
      </c>
      <c r="R9" s="46">
        <f t="shared" si="7"/>
        <v>49</v>
      </c>
      <c r="S9" s="46">
        <f t="shared" si="8"/>
        <v>44</v>
      </c>
      <c r="T9" s="46">
        <f t="shared" si="9"/>
        <v>84</v>
      </c>
      <c r="U9" s="46">
        <f t="shared" si="10"/>
        <v>100</v>
      </c>
      <c r="V9" s="46">
        <f t="shared" si="11"/>
        <v>91</v>
      </c>
      <c r="W9" s="19">
        <f t="shared" si="12"/>
        <v>48</v>
      </c>
      <c r="X9" s="46">
        <f t="shared" si="13"/>
        <v>89</v>
      </c>
      <c r="Y9" s="46">
        <f t="shared" si="14"/>
        <v>42</v>
      </c>
      <c r="Z9" s="46">
        <f t="shared" si="15"/>
        <v>12</v>
      </c>
      <c r="AA9" s="19">
        <f t="shared" si="16"/>
        <v>51</v>
      </c>
      <c r="AB9" s="33"/>
      <c r="AC9" s="33"/>
      <c r="AD9" s="15" t="str">
        <f t="shared" si="17"/>
        <v>Mercedes-benz</v>
      </c>
      <c r="AE9" s="18" t="str">
        <f t="shared" si="18"/>
        <v>Mercedes-benz</v>
      </c>
      <c r="AF9" s="23">
        <f t="shared" si="19"/>
        <v>51.422222222222217</v>
      </c>
      <c r="AG9" s="17" t="str">
        <f t="shared" si="20"/>
        <v>▼</v>
      </c>
      <c r="AH9" s="124">
        <f t="shared" si="21"/>
        <v>-1</v>
      </c>
      <c r="AI9" s="65">
        <f t="shared" si="22"/>
        <v>14</v>
      </c>
      <c r="AJ9" s="17" t="str">
        <f t="shared" si="23"/>
        <v>▼</v>
      </c>
      <c r="AK9" s="125">
        <f t="shared" si="24"/>
        <v>-1</v>
      </c>
      <c r="AL9" s="65">
        <f t="shared" si="25"/>
        <v>52</v>
      </c>
      <c r="AM9" s="17" t="str">
        <f t="shared" si="26"/>
        <v>▲</v>
      </c>
      <c r="AN9" s="125">
        <f t="shared" si="27"/>
        <v>2</v>
      </c>
      <c r="AO9" s="65">
        <f t="shared" si="28"/>
        <v>49</v>
      </c>
      <c r="AP9" s="17" t="str">
        <f t="shared" si="29"/>
        <v>▼</v>
      </c>
      <c r="AQ9" s="125">
        <f t="shared" si="30"/>
        <v>-1</v>
      </c>
      <c r="AR9" s="65">
        <f t="shared" si="31"/>
        <v>44</v>
      </c>
      <c r="AS9" s="17" t="str">
        <f t="shared" si="32"/>
        <v>▲</v>
      </c>
      <c r="AT9" s="125">
        <f t="shared" si="33"/>
        <v>1</v>
      </c>
      <c r="AU9" s="65">
        <f t="shared" si="34"/>
        <v>84</v>
      </c>
      <c r="AV9" s="17" t="str">
        <f t="shared" si="35"/>
        <v>▲</v>
      </c>
      <c r="AW9" s="125">
        <f t="shared" si="36"/>
        <v>2</v>
      </c>
      <c r="AX9" s="65">
        <f t="shared" si="37"/>
        <v>100</v>
      </c>
      <c r="BA9" s="65">
        <f t="shared" si="38"/>
        <v>91</v>
      </c>
      <c r="BB9" s="17" t="str">
        <f t="shared" si="39"/>
        <v>▼</v>
      </c>
      <c r="BC9" s="125">
        <f t="shared" si="40"/>
        <v>-2</v>
      </c>
      <c r="BD9" s="65">
        <f t="shared" si="41"/>
        <v>89</v>
      </c>
      <c r="BE9" s="17" t="str">
        <f t="shared" si="42"/>
        <v>▼</v>
      </c>
      <c r="BF9" s="125">
        <f t="shared" si="43"/>
        <v>-1</v>
      </c>
      <c r="BG9" s="65">
        <f t="shared" si="44"/>
        <v>42</v>
      </c>
      <c r="BH9" s="17" t="str">
        <f t="shared" si="45"/>
        <v/>
      </c>
      <c r="BI9" s="125">
        <f t="shared" si="46"/>
        <v>0</v>
      </c>
      <c r="BJ9" s="65">
        <f t="shared" si="47"/>
        <v>12</v>
      </c>
      <c r="BK9" s="17" t="str">
        <f t="shared" si="48"/>
        <v>▼</v>
      </c>
      <c r="BL9" s="125">
        <f t="shared" si="49"/>
        <v>-3</v>
      </c>
      <c r="CR9" s="20"/>
      <c r="CS9" s="20"/>
      <c r="CV9" s="20"/>
      <c r="CW9" s="20"/>
      <c r="CX9" s="24"/>
      <c r="CY9" s="20"/>
      <c r="CZ9" s="20"/>
      <c r="DA9" s="20"/>
      <c r="DB9" s="20"/>
      <c r="DC9" s="20"/>
      <c r="DD9" s="24"/>
      <c r="DE9" s="20"/>
      <c r="DF9" s="20"/>
      <c r="DG9" s="20"/>
      <c r="DH9" s="24"/>
    </row>
    <row r="10" spans="1:112" ht="18" customHeight="1">
      <c r="A10" s="8"/>
      <c r="B10" s="33"/>
      <c r="C10" s="18" t="s">
        <v>131</v>
      </c>
      <c r="D10" s="19">
        <f t="shared" si="0"/>
        <v>35</v>
      </c>
      <c r="E10" s="19">
        <f t="shared" si="0"/>
        <v>67</v>
      </c>
      <c r="F10" s="19">
        <f t="shared" si="1"/>
        <v>46</v>
      </c>
      <c r="G10" s="102">
        <f t="shared" si="2"/>
        <v>46.122222222222227</v>
      </c>
      <c r="H10" s="513"/>
      <c r="K10" s="15" t="s">
        <v>14</v>
      </c>
      <c r="L10" s="18" t="s">
        <v>131</v>
      </c>
      <c r="M10" s="23">
        <f t="shared" si="3"/>
        <v>46.122222222222227</v>
      </c>
      <c r="N10" s="523"/>
      <c r="O10" s="46">
        <f t="shared" si="4"/>
        <v>10</v>
      </c>
      <c r="P10" s="46">
        <f t="shared" si="5"/>
        <v>59</v>
      </c>
      <c r="Q10" s="19">
        <f t="shared" si="6"/>
        <v>67</v>
      </c>
      <c r="R10" s="46">
        <f t="shared" si="7"/>
        <v>60</v>
      </c>
      <c r="S10" s="46">
        <f t="shared" si="8"/>
        <v>48</v>
      </c>
      <c r="T10" s="46">
        <f t="shared" si="9"/>
        <v>88</v>
      </c>
      <c r="U10" s="46">
        <f t="shared" si="10"/>
        <v>62</v>
      </c>
      <c r="V10" s="46">
        <f t="shared" si="11"/>
        <v>78</v>
      </c>
      <c r="W10" s="19">
        <f t="shared" si="12"/>
        <v>37</v>
      </c>
      <c r="X10" s="46">
        <f t="shared" si="13"/>
        <v>79</v>
      </c>
      <c r="Y10" s="46">
        <f t="shared" si="14"/>
        <v>23</v>
      </c>
      <c r="Z10" s="46">
        <f t="shared" si="15"/>
        <v>8</v>
      </c>
      <c r="AA10" s="19">
        <f t="shared" si="16"/>
        <v>46</v>
      </c>
      <c r="AB10" s="33"/>
      <c r="AC10" s="33"/>
      <c r="AD10" s="15" t="str">
        <f t="shared" si="17"/>
        <v>VW</v>
      </c>
      <c r="AE10" s="18" t="str">
        <f t="shared" si="18"/>
        <v>VW</v>
      </c>
      <c r="AF10" s="23">
        <f t="shared" si="19"/>
        <v>46.122222222222227</v>
      </c>
      <c r="AG10" s="17" t="str">
        <f t="shared" si="20"/>
        <v>▼</v>
      </c>
      <c r="AH10" s="124">
        <f t="shared" si="21"/>
        <v>-2</v>
      </c>
      <c r="AI10" s="65">
        <f t="shared" si="22"/>
        <v>10</v>
      </c>
      <c r="AJ10" s="17" t="str">
        <f t="shared" si="23"/>
        <v>▼</v>
      </c>
      <c r="AK10" s="125">
        <f t="shared" si="24"/>
        <v>-1</v>
      </c>
      <c r="AL10" s="65">
        <f t="shared" si="25"/>
        <v>59</v>
      </c>
      <c r="AM10" s="17" t="str">
        <f t="shared" si="26"/>
        <v/>
      </c>
      <c r="AN10" s="125">
        <f t="shared" si="27"/>
        <v>0</v>
      </c>
      <c r="AO10" s="65">
        <f t="shared" si="28"/>
        <v>60</v>
      </c>
      <c r="AP10" s="17" t="str">
        <f t="shared" si="29"/>
        <v>▼</v>
      </c>
      <c r="AQ10" s="125">
        <f t="shared" si="30"/>
        <v>-1</v>
      </c>
      <c r="AR10" s="65">
        <f t="shared" si="31"/>
        <v>48</v>
      </c>
      <c r="AS10" s="17" t="str">
        <f t="shared" si="32"/>
        <v>▼</v>
      </c>
      <c r="AT10" s="125">
        <f t="shared" si="33"/>
        <v>-2</v>
      </c>
      <c r="AU10" s="65">
        <f t="shared" si="34"/>
        <v>88</v>
      </c>
      <c r="AV10" s="17" t="str">
        <f t="shared" si="35"/>
        <v>▲</v>
      </c>
      <c r="AW10" s="125">
        <f t="shared" si="36"/>
        <v>1</v>
      </c>
      <c r="AX10" s="65">
        <f t="shared" si="37"/>
        <v>62</v>
      </c>
      <c r="BA10" s="65">
        <f t="shared" si="38"/>
        <v>78</v>
      </c>
      <c r="BB10" s="17" t="str">
        <f t="shared" si="39"/>
        <v>▼</v>
      </c>
      <c r="BC10" s="125">
        <f t="shared" si="40"/>
        <v>-19</v>
      </c>
      <c r="BD10" s="65">
        <f t="shared" si="41"/>
        <v>79</v>
      </c>
      <c r="BE10" s="17" t="str">
        <f t="shared" si="42"/>
        <v/>
      </c>
      <c r="BF10" s="125">
        <f t="shared" si="43"/>
        <v>0</v>
      </c>
      <c r="BG10" s="65">
        <f t="shared" si="44"/>
        <v>23</v>
      </c>
      <c r="BH10" s="17" t="str">
        <f t="shared" si="45"/>
        <v>▲</v>
      </c>
      <c r="BI10" s="125">
        <f t="shared" si="46"/>
        <v>1</v>
      </c>
      <c r="BJ10" s="65">
        <f t="shared" si="47"/>
        <v>8</v>
      </c>
      <c r="BK10" s="17" t="str">
        <f t="shared" si="48"/>
        <v/>
      </c>
      <c r="BL10" s="125">
        <f t="shared" si="49"/>
        <v>0</v>
      </c>
      <c r="CR10" s="20"/>
      <c r="CS10" s="20"/>
      <c r="CV10" s="20"/>
      <c r="CW10" s="20"/>
      <c r="CX10" s="24"/>
      <c r="CY10" s="20"/>
      <c r="CZ10" s="20"/>
      <c r="DA10" s="20"/>
      <c r="DB10" s="20"/>
      <c r="DC10" s="20"/>
      <c r="DD10" s="24"/>
      <c r="DE10" s="20"/>
      <c r="DF10" s="20"/>
      <c r="DG10" s="20"/>
      <c r="DH10" s="24"/>
    </row>
    <row r="11" spans="1:112" ht="18" customHeight="1">
      <c r="A11" s="8"/>
      <c r="B11" s="33"/>
      <c r="C11" s="18" t="s">
        <v>47</v>
      </c>
      <c r="D11" s="19">
        <f t="shared" ref="D11:E17" si="50">ROUND(_xlfn.XLOOKUP($C11,$C$26:$C$47,D$26:D$47),0)</f>
        <v>56</v>
      </c>
      <c r="E11" s="19">
        <f t="shared" si="50"/>
        <v>35</v>
      </c>
      <c r="F11" s="19">
        <f t="shared" ref="F11:F17" si="51">ROUND(_xlfn.XLOOKUP($C11,$C$26:$C$47,G$26:G$47),0)</f>
        <v>45</v>
      </c>
      <c r="G11" s="102">
        <f t="shared" ref="G11:G17" si="52">_xlfn.XLOOKUP($C11,$C$27:$C$47,G$27:G$47)</f>
        <v>44.744444444444447</v>
      </c>
      <c r="H11" s="513"/>
      <c r="K11" s="15" t="s">
        <v>48</v>
      </c>
      <c r="L11" s="18" t="s">
        <v>47</v>
      </c>
      <c r="M11" s="23">
        <f t="shared" si="3"/>
        <v>44.744444444444447</v>
      </c>
      <c r="N11" s="523"/>
      <c r="O11" s="46">
        <f t="shared" si="4"/>
        <v>34</v>
      </c>
      <c r="P11" s="46">
        <f t="shared" si="5"/>
        <v>77</v>
      </c>
      <c r="Q11" s="19">
        <f t="shared" si="6"/>
        <v>35</v>
      </c>
      <c r="R11" s="46">
        <f t="shared" si="7"/>
        <v>52</v>
      </c>
      <c r="S11" s="46">
        <f t="shared" si="8"/>
        <v>18</v>
      </c>
      <c r="T11" s="46">
        <f t="shared" si="9"/>
        <v>41</v>
      </c>
      <c r="U11" s="46">
        <f t="shared" si="10"/>
        <v>16</v>
      </c>
      <c r="V11" s="46">
        <f t="shared" si="11"/>
        <v>50</v>
      </c>
      <c r="W11" s="19">
        <f t="shared" si="12"/>
        <v>43</v>
      </c>
      <c r="X11" s="46">
        <f t="shared" si="13"/>
        <v>94</v>
      </c>
      <c r="Y11" s="46">
        <f t="shared" si="14"/>
        <v>36</v>
      </c>
      <c r="Z11" s="46">
        <f t="shared" si="15"/>
        <v>0</v>
      </c>
      <c r="AA11" s="19">
        <f t="shared" si="16"/>
        <v>45</v>
      </c>
      <c r="AB11" s="33"/>
      <c r="AC11" s="33"/>
      <c r="AD11" s="15" t="str">
        <f t="shared" si="17"/>
        <v>Changan</v>
      </c>
      <c r="AE11" s="18" t="str">
        <f t="shared" si="18"/>
        <v>Chang'an</v>
      </c>
      <c r="AF11" s="23">
        <f t="shared" si="19"/>
        <v>44.744444444444447</v>
      </c>
      <c r="AG11" s="17" t="str">
        <f t="shared" si="20"/>
        <v>▲</v>
      </c>
      <c r="AH11" s="124">
        <f t="shared" si="21"/>
        <v>3</v>
      </c>
      <c r="AI11" s="65">
        <f t="shared" si="22"/>
        <v>34</v>
      </c>
      <c r="AJ11" s="17" t="str">
        <f t="shared" si="23"/>
        <v>▲</v>
      </c>
      <c r="AK11" s="125">
        <f t="shared" si="24"/>
        <v>13</v>
      </c>
      <c r="AL11" s="65">
        <f t="shared" si="25"/>
        <v>77</v>
      </c>
      <c r="AM11" s="17" t="str">
        <f t="shared" si="26"/>
        <v>▼</v>
      </c>
      <c r="AN11" s="125">
        <f t="shared" si="27"/>
        <v>-16</v>
      </c>
      <c r="AO11" s="65">
        <f t="shared" si="28"/>
        <v>52</v>
      </c>
      <c r="AP11" s="17" t="str">
        <f t="shared" si="29"/>
        <v>▲</v>
      </c>
      <c r="AQ11" s="125">
        <f t="shared" si="30"/>
        <v>13</v>
      </c>
      <c r="AR11" s="65">
        <f t="shared" si="31"/>
        <v>18</v>
      </c>
      <c r="AS11" s="17" t="str">
        <f t="shared" si="32"/>
        <v>▲</v>
      </c>
      <c r="AT11" s="125">
        <f t="shared" si="33"/>
        <v>13</v>
      </c>
      <c r="AU11" s="65">
        <f t="shared" si="34"/>
        <v>41</v>
      </c>
      <c r="AV11" s="17" t="str">
        <f t="shared" si="35"/>
        <v>▲</v>
      </c>
      <c r="AW11" s="125">
        <f t="shared" si="36"/>
        <v>20</v>
      </c>
      <c r="AX11" s="65">
        <f t="shared" si="37"/>
        <v>16</v>
      </c>
      <c r="BA11" s="65">
        <f t="shared" si="38"/>
        <v>50</v>
      </c>
      <c r="BB11" s="17" t="str">
        <f t="shared" si="39"/>
        <v>▼</v>
      </c>
      <c r="BC11" s="125">
        <f t="shared" si="40"/>
        <v>-50</v>
      </c>
      <c r="BD11" s="65">
        <f t="shared" si="41"/>
        <v>94</v>
      </c>
      <c r="BE11" s="17" t="str">
        <f t="shared" si="42"/>
        <v>▲</v>
      </c>
      <c r="BF11" s="125">
        <f t="shared" si="43"/>
        <v>21</v>
      </c>
      <c r="BG11" s="65">
        <f t="shared" si="44"/>
        <v>36</v>
      </c>
      <c r="BH11" s="17" t="str">
        <f t="shared" si="45"/>
        <v/>
      </c>
      <c r="BI11" s="125">
        <f t="shared" si="46"/>
        <v>0</v>
      </c>
      <c r="BJ11" s="65">
        <f t="shared" si="47"/>
        <v>0</v>
      </c>
      <c r="BK11" s="17" t="str">
        <f t="shared" si="48"/>
        <v/>
      </c>
      <c r="BL11" s="125">
        <f t="shared" si="49"/>
        <v>0</v>
      </c>
      <c r="CR11" s="20"/>
      <c r="CS11" s="20"/>
      <c r="CV11" s="20"/>
      <c r="CW11" s="20"/>
      <c r="CX11" s="24"/>
      <c r="CY11" s="20"/>
      <c r="CZ11" s="20"/>
      <c r="DA11" s="20"/>
      <c r="DB11" s="20"/>
      <c r="DC11" s="20"/>
      <c r="DD11" s="24"/>
      <c r="DE11" s="20"/>
      <c r="DF11" s="20"/>
      <c r="DG11" s="20"/>
      <c r="DH11" s="24"/>
    </row>
    <row r="12" spans="1:112" ht="18" customHeight="1">
      <c r="A12" s="8"/>
      <c r="C12" s="18" t="s">
        <v>49</v>
      </c>
      <c r="D12" s="19">
        <f t="shared" si="50"/>
        <v>60</v>
      </c>
      <c r="E12" s="19">
        <f t="shared" si="50"/>
        <v>44</v>
      </c>
      <c r="F12" s="19">
        <f t="shared" si="51"/>
        <v>42</v>
      </c>
      <c r="G12" s="102">
        <f t="shared" si="52"/>
        <v>41.9</v>
      </c>
      <c r="H12" s="513"/>
      <c r="K12" s="15" t="s">
        <v>49</v>
      </c>
      <c r="L12" s="18" t="s">
        <v>49</v>
      </c>
      <c r="M12" s="23">
        <f t="shared" si="3"/>
        <v>41.9</v>
      </c>
      <c r="N12" s="523"/>
      <c r="O12" s="46">
        <f t="shared" si="4"/>
        <v>27</v>
      </c>
      <c r="P12" s="46">
        <f t="shared" si="5"/>
        <v>92</v>
      </c>
      <c r="Q12" s="19">
        <f t="shared" si="6"/>
        <v>44</v>
      </c>
      <c r="R12" s="46">
        <f t="shared" si="7"/>
        <v>60</v>
      </c>
      <c r="S12" s="46">
        <f t="shared" si="8"/>
        <v>37</v>
      </c>
      <c r="T12" s="46">
        <f t="shared" si="9"/>
        <v>59</v>
      </c>
      <c r="U12" s="46">
        <f t="shared" si="10"/>
        <v>16</v>
      </c>
      <c r="V12" s="46">
        <f t="shared" si="11"/>
        <v>49</v>
      </c>
      <c r="W12" s="19">
        <f t="shared" si="12"/>
        <v>22</v>
      </c>
      <c r="X12" s="46">
        <f t="shared" si="13"/>
        <v>51</v>
      </c>
      <c r="Y12" s="46">
        <f t="shared" si="14"/>
        <v>15</v>
      </c>
      <c r="Z12" s="46">
        <f t="shared" si="15"/>
        <v>0</v>
      </c>
      <c r="AA12" s="19">
        <f t="shared" si="16"/>
        <v>42</v>
      </c>
      <c r="AB12" s="33"/>
      <c r="AC12" s="33"/>
      <c r="AD12" s="15" t="str">
        <f t="shared" si="17"/>
        <v>Chery</v>
      </c>
      <c r="AE12" s="18" t="str">
        <f t="shared" si="18"/>
        <v>Chery</v>
      </c>
      <c r="AF12" s="23">
        <f t="shared" si="19"/>
        <v>41.9</v>
      </c>
      <c r="AG12" s="17" t="str">
        <f t="shared" si="20"/>
        <v>▲</v>
      </c>
      <c r="AH12" s="124">
        <f t="shared" si="21"/>
        <v>8</v>
      </c>
      <c r="AI12" s="65">
        <f t="shared" si="22"/>
        <v>27</v>
      </c>
      <c r="AJ12" s="17" t="str">
        <f t="shared" si="23"/>
        <v>▲</v>
      </c>
      <c r="AK12" s="125">
        <f t="shared" si="24"/>
        <v>10</v>
      </c>
      <c r="AL12" s="65">
        <f t="shared" si="25"/>
        <v>92</v>
      </c>
      <c r="AM12" s="17" t="str">
        <f t="shared" si="26"/>
        <v>▲</v>
      </c>
      <c r="AN12" s="125">
        <f t="shared" si="27"/>
        <v>14</v>
      </c>
      <c r="AO12" s="65">
        <f t="shared" si="28"/>
        <v>60</v>
      </c>
      <c r="AP12" s="17" t="str">
        <f t="shared" si="29"/>
        <v>▲</v>
      </c>
      <c r="AQ12" s="125">
        <f t="shared" si="30"/>
        <v>14</v>
      </c>
      <c r="AR12" s="65">
        <f t="shared" si="31"/>
        <v>37</v>
      </c>
      <c r="AS12" s="17" t="str">
        <f t="shared" si="32"/>
        <v>▲</v>
      </c>
      <c r="AT12" s="125">
        <f t="shared" si="33"/>
        <v>33</v>
      </c>
      <c r="AU12" s="65">
        <f t="shared" si="34"/>
        <v>59</v>
      </c>
      <c r="AV12" s="17" t="str">
        <f t="shared" si="35"/>
        <v>▲</v>
      </c>
      <c r="AW12" s="125">
        <f t="shared" si="36"/>
        <v>55</v>
      </c>
      <c r="AX12" s="65">
        <f t="shared" si="37"/>
        <v>16</v>
      </c>
      <c r="BA12" s="65">
        <f t="shared" si="38"/>
        <v>49</v>
      </c>
      <c r="BB12" s="17" t="str">
        <f t="shared" si="39"/>
        <v>▼</v>
      </c>
      <c r="BC12" s="125">
        <f t="shared" si="40"/>
        <v>-51</v>
      </c>
      <c r="BD12" s="65">
        <f t="shared" si="41"/>
        <v>51</v>
      </c>
      <c r="BE12" s="17" t="str">
        <f t="shared" si="42"/>
        <v>▼</v>
      </c>
      <c r="BF12" s="125">
        <f t="shared" si="43"/>
        <v>-7</v>
      </c>
      <c r="BG12" s="65">
        <f t="shared" si="44"/>
        <v>15</v>
      </c>
      <c r="BH12" s="17" t="str">
        <f t="shared" si="45"/>
        <v>▼</v>
      </c>
      <c r="BI12" s="125">
        <f t="shared" si="46"/>
        <v>-2</v>
      </c>
      <c r="BJ12" s="65">
        <f t="shared" si="47"/>
        <v>0</v>
      </c>
      <c r="BK12" s="17" t="str">
        <f t="shared" si="48"/>
        <v/>
      </c>
      <c r="BL12" s="125">
        <f t="shared" si="49"/>
        <v>0</v>
      </c>
      <c r="CR12" s="20"/>
      <c r="CS12" s="20"/>
      <c r="CV12" s="20"/>
      <c r="CW12" s="20"/>
      <c r="CX12" s="24"/>
      <c r="CY12" s="20"/>
      <c r="CZ12" s="20"/>
      <c r="DA12" s="20"/>
      <c r="DB12" s="20"/>
      <c r="DC12" s="20"/>
      <c r="DD12" s="24"/>
      <c r="DE12" s="20"/>
      <c r="DF12" s="20"/>
      <c r="DG12" s="20"/>
      <c r="DH12" s="24"/>
    </row>
    <row r="13" spans="1:112" ht="18" customHeight="1">
      <c r="A13" s="8"/>
      <c r="B13" s="33"/>
      <c r="C13" s="18" t="s">
        <v>144</v>
      </c>
      <c r="D13" s="19">
        <f t="shared" si="50"/>
        <v>12</v>
      </c>
      <c r="E13" s="19">
        <f t="shared" si="50"/>
        <v>71</v>
      </c>
      <c r="F13" s="19">
        <f t="shared" si="51"/>
        <v>40</v>
      </c>
      <c r="G13" s="102">
        <f t="shared" si="52"/>
        <v>40.05555555555555</v>
      </c>
      <c r="H13" s="513"/>
      <c r="K13" s="15" t="s">
        <v>19</v>
      </c>
      <c r="L13" s="18" t="s">
        <v>144</v>
      </c>
      <c r="M13" s="23">
        <f t="shared" si="3"/>
        <v>40.05555555555555</v>
      </c>
      <c r="N13" s="523"/>
      <c r="O13" s="46">
        <f t="shared" si="4"/>
        <v>6</v>
      </c>
      <c r="P13" s="46">
        <f t="shared" si="5"/>
        <v>17</v>
      </c>
      <c r="Q13" s="19">
        <f t="shared" si="6"/>
        <v>71</v>
      </c>
      <c r="R13" s="46">
        <f t="shared" si="7"/>
        <v>75</v>
      </c>
      <c r="S13" s="46">
        <f t="shared" si="8"/>
        <v>51</v>
      </c>
      <c r="T13" s="46">
        <f t="shared" si="9"/>
        <v>94</v>
      </c>
      <c r="U13" s="46">
        <f t="shared" si="10"/>
        <v>53</v>
      </c>
      <c r="V13" s="46">
        <f t="shared" si="11"/>
        <v>82</v>
      </c>
      <c r="W13" s="19">
        <f t="shared" si="12"/>
        <v>38</v>
      </c>
      <c r="X13" s="46">
        <f t="shared" si="13"/>
        <v>89</v>
      </c>
      <c r="Y13" s="46">
        <f t="shared" si="14"/>
        <v>9</v>
      </c>
      <c r="Z13" s="46">
        <f t="shared" si="15"/>
        <v>15</v>
      </c>
      <c r="AA13" s="19">
        <f t="shared" si="16"/>
        <v>40</v>
      </c>
      <c r="AB13" s="33"/>
      <c r="AC13" s="33"/>
      <c r="AD13" s="15" t="str">
        <f t="shared" si="17"/>
        <v>GM</v>
      </c>
      <c r="AE13" s="18" t="str">
        <f t="shared" si="18"/>
        <v>GM</v>
      </c>
      <c r="AF13" s="23">
        <f t="shared" si="19"/>
        <v>40.05555555555555</v>
      </c>
      <c r="AG13" s="17" t="str">
        <f t="shared" si="20"/>
        <v>▲</v>
      </c>
      <c r="AH13" s="124">
        <f t="shared" si="21"/>
        <v>3</v>
      </c>
      <c r="AI13" s="65">
        <f t="shared" si="22"/>
        <v>6</v>
      </c>
      <c r="AJ13" s="17" t="str">
        <f t="shared" si="23"/>
        <v>▲</v>
      </c>
      <c r="AK13" s="125">
        <f t="shared" si="24"/>
        <v>2</v>
      </c>
      <c r="AL13" s="65">
        <f t="shared" si="25"/>
        <v>17</v>
      </c>
      <c r="AM13" s="17" t="str">
        <f t="shared" si="26"/>
        <v>▼</v>
      </c>
      <c r="AN13" s="125">
        <f t="shared" si="27"/>
        <v>-2</v>
      </c>
      <c r="AO13" s="65">
        <f t="shared" si="28"/>
        <v>75</v>
      </c>
      <c r="AP13" s="17" t="str">
        <f t="shared" si="29"/>
        <v>▲</v>
      </c>
      <c r="AQ13" s="125">
        <f t="shared" si="30"/>
        <v>16</v>
      </c>
      <c r="AR13" s="65">
        <f t="shared" si="31"/>
        <v>51</v>
      </c>
      <c r="AS13" s="17" t="str">
        <f t="shared" si="32"/>
        <v>▲</v>
      </c>
      <c r="AT13" s="125">
        <f t="shared" si="33"/>
        <v>22</v>
      </c>
      <c r="AU13" s="65">
        <f t="shared" si="34"/>
        <v>94</v>
      </c>
      <c r="AV13" s="17" t="str">
        <f t="shared" si="35"/>
        <v>▲</v>
      </c>
      <c r="AW13" s="125">
        <f t="shared" si="36"/>
        <v>19</v>
      </c>
      <c r="AX13" s="65">
        <f t="shared" si="37"/>
        <v>53</v>
      </c>
      <c r="BA13" s="65">
        <f t="shared" si="38"/>
        <v>82</v>
      </c>
      <c r="BB13" s="17" t="str">
        <f t="shared" si="39"/>
        <v>▲</v>
      </c>
      <c r="BC13" s="125">
        <f t="shared" si="40"/>
        <v>8</v>
      </c>
      <c r="BD13" s="65">
        <f t="shared" si="41"/>
        <v>89</v>
      </c>
      <c r="BE13" s="17" t="str">
        <f t="shared" si="42"/>
        <v>▲</v>
      </c>
      <c r="BF13" s="125">
        <f t="shared" si="43"/>
        <v>2</v>
      </c>
      <c r="BG13" s="65">
        <f t="shared" si="44"/>
        <v>9</v>
      </c>
      <c r="BH13" s="17" t="str">
        <f t="shared" si="45"/>
        <v>▼</v>
      </c>
      <c r="BI13" s="125">
        <f t="shared" si="46"/>
        <v>-1</v>
      </c>
      <c r="BJ13" s="65">
        <f t="shared" si="47"/>
        <v>15</v>
      </c>
      <c r="BK13" s="17" t="str">
        <f t="shared" si="48"/>
        <v>▼</v>
      </c>
      <c r="BL13" s="125">
        <f t="shared" si="49"/>
        <v>-40</v>
      </c>
      <c r="CR13" s="20"/>
      <c r="CS13" s="20"/>
      <c r="CV13" s="20"/>
      <c r="CW13" s="20"/>
      <c r="CX13" s="24"/>
      <c r="CY13" s="20"/>
      <c r="CZ13" s="20"/>
      <c r="DA13" s="20"/>
      <c r="DB13" s="20"/>
      <c r="DC13" s="20"/>
      <c r="DD13" s="24"/>
      <c r="DE13" s="20"/>
      <c r="DF13" s="20"/>
      <c r="DG13" s="20"/>
      <c r="DH13" s="24"/>
    </row>
    <row r="14" spans="1:112" ht="18" customHeight="1">
      <c r="A14" s="8"/>
      <c r="B14" s="33"/>
      <c r="C14" s="18" t="s">
        <v>16</v>
      </c>
      <c r="D14" s="19">
        <f t="shared" si="50"/>
        <v>41</v>
      </c>
      <c r="E14" s="19">
        <f t="shared" si="50"/>
        <v>45</v>
      </c>
      <c r="F14" s="19">
        <f t="shared" si="51"/>
        <v>39</v>
      </c>
      <c r="G14" s="102">
        <f t="shared" si="52"/>
        <v>38.877777777777773</v>
      </c>
      <c r="H14" s="513"/>
      <c r="K14" s="15" t="s">
        <v>16</v>
      </c>
      <c r="L14" s="18" t="s">
        <v>16</v>
      </c>
      <c r="M14" s="23">
        <f t="shared" si="3"/>
        <v>38.877777777777773</v>
      </c>
      <c r="N14" s="523"/>
      <c r="O14" s="46">
        <f t="shared" si="4"/>
        <v>9</v>
      </c>
      <c r="P14" s="46">
        <f t="shared" si="5"/>
        <v>72</v>
      </c>
      <c r="Q14" s="19">
        <f t="shared" si="6"/>
        <v>45</v>
      </c>
      <c r="R14" s="46">
        <f t="shared" si="7"/>
        <v>49</v>
      </c>
      <c r="S14" s="46">
        <f t="shared" si="8"/>
        <v>21</v>
      </c>
      <c r="T14" s="46">
        <f t="shared" si="9"/>
        <v>36</v>
      </c>
      <c r="U14" s="46">
        <f t="shared" si="10"/>
        <v>25</v>
      </c>
      <c r="V14" s="46">
        <f t="shared" si="11"/>
        <v>93</v>
      </c>
      <c r="W14" s="19">
        <f t="shared" si="12"/>
        <v>31</v>
      </c>
      <c r="X14" s="46">
        <f t="shared" si="13"/>
        <v>66</v>
      </c>
      <c r="Y14" s="46">
        <f t="shared" si="14"/>
        <v>11</v>
      </c>
      <c r="Z14" s="46">
        <f t="shared" si="15"/>
        <v>17</v>
      </c>
      <c r="AA14" s="19">
        <f t="shared" si="16"/>
        <v>39</v>
      </c>
      <c r="AB14" s="33"/>
      <c r="AC14" s="33"/>
      <c r="AD14" s="15" t="str">
        <f t="shared" si="17"/>
        <v>Renault</v>
      </c>
      <c r="AE14" s="18" t="str">
        <f t="shared" si="18"/>
        <v>Renault</v>
      </c>
      <c r="AF14" s="23">
        <f t="shared" si="19"/>
        <v>38.877777777777773</v>
      </c>
      <c r="AG14" s="17" t="str">
        <f t="shared" si="20"/>
        <v/>
      </c>
      <c r="AH14" s="124">
        <f t="shared" si="21"/>
        <v>0</v>
      </c>
      <c r="AI14" s="65">
        <f t="shared" si="22"/>
        <v>9</v>
      </c>
      <c r="AJ14" s="17" t="str">
        <f t="shared" si="23"/>
        <v>▼</v>
      </c>
      <c r="AK14" s="125">
        <f t="shared" si="24"/>
        <v>-1</v>
      </c>
      <c r="AL14" s="65">
        <f t="shared" si="25"/>
        <v>72</v>
      </c>
      <c r="AM14" s="17" t="str">
        <f t="shared" si="26"/>
        <v>▼</v>
      </c>
      <c r="AN14" s="125">
        <f t="shared" si="27"/>
        <v>-2</v>
      </c>
      <c r="AO14" s="65">
        <f t="shared" si="28"/>
        <v>49</v>
      </c>
      <c r="AP14" s="17" t="str">
        <f t="shared" si="29"/>
        <v>▲</v>
      </c>
      <c r="AQ14" s="125">
        <f t="shared" si="30"/>
        <v>8</v>
      </c>
      <c r="AR14" s="65">
        <f t="shared" si="31"/>
        <v>21</v>
      </c>
      <c r="AS14" s="17" t="str">
        <f t="shared" si="32"/>
        <v>▲</v>
      </c>
      <c r="AT14" s="125">
        <f t="shared" si="33"/>
        <v>6</v>
      </c>
      <c r="AU14" s="65">
        <f t="shared" si="34"/>
        <v>36</v>
      </c>
      <c r="AV14" s="17" t="str">
        <f t="shared" si="35"/>
        <v>▲</v>
      </c>
      <c r="AW14" s="125">
        <f t="shared" si="36"/>
        <v>9</v>
      </c>
      <c r="AX14" s="65">
        <f t="shared" si="37"/>
        <v>25</v>
      </c>
      <c r="BA14" s="65">
        <f t="shared" si="38"/>
        <v>93</v>
      </c>
      <c r="BB14" s="17" t="str">
        <f t="shared" si="39"/>
        <v>▼</v>
      </c>
      <c r="BC14" s="125">
        <f t="shared" si="40"/>
        <v>-2</v>
      </c>
      <c r="BD14" s="65">
        <f t="shared" si="41"/>
        <v>66</v>
      </c>
      <c r="BE14" s="17" t="str">
        <f t="shared" si="42"/>
        <v>▼</v>
      </c>
      <c r="BF14" s="125">
        <f t="shared" si="43"/>
        <v>-18</v>
      </c>
      <c r="BG14" s="65">
        <f t="shared" si="44"/>
        <v>11</v>
      </c>
      <c r="BH14" s="17" t="str">
        <f t="shared" si="45"/>
        <v/>
      </c>
      <c r="BI14" s="125">
        <f t="shared" si="46"/>
        <v>0</v>
      </c>
      <c r="BJ14" s="65">
        <f t="shared" si="47"/>
        <v>17</v>
      </c>
      <c r="BK14" s="17" t="str">
        <f t="shared" si="48"/>
        <v>▼</v>
      </c>
      <c r="BL14" s="125">
        <f t="shared" si="49"/>
        <v>-7</v>
      </c>
      <c r="CR14" s="20"/>
      <c r="CS14" s="20"/>
      <c r="CV14" s="20"/>
      <c r="CW14" s="20"/>
      <c r="CX14" s="24"/>
      <c r="CY14" s="20"/>
      <c r="CZ14" s="20"/>
      <c r="DA14" s="20"/>
      <c r="DB14" s="20"/>
      <c r="DC14" s="20"/>
      <c r="DD14" s="24"/>
      <c r="DE14" s="20"/>
      <c r="DF14" s="20"/>
      <c r="DG14" s="20"/>
      <c r="DH14" s="24"/>
    </row>
    <row r="15" spans="1:112" ht="18" customHeight="1">
      <c r="A15" s="8"/>
      <c r="B15" s="33"/>
      <c r="C15" s="18" t="s">
        <v>53</v>
      </c>
      <c r="D15" s="19">
        <f t="shared" si="50"/>
        <v>37</v>
      </c>
      <c r="E15" s="19">
        <f t="shared" si="50"/>
        <v>46</v>
      </c>
      <c r="F15" s="19">
        <f t="shared" si="51"/>
        <v>38</v>
      </c>
      <c r="G15" s="102">
        <f t="shared" si="52"/>
        <v>37.81111111111111</v>
      </c>
      <c r="H15" s="513"/>
      <c r="K15" s="15" t="s">
        <v>53</v>
      </c>
      <c r="L15" s="18" t="s">
        <v>53</v>
      </c>
      <c r="M15" s="23">
        <f t="shared" si="3"/>
        <v>37.81111111111111</v>
      </c>
      <c r="N15" s="523"/>
      <c r="O15" s="46">
        <f t="shared" si="4"/>
        <v>26</v>
      </c>
      <c r="P15" s="46">
        <f t="shared" si="5"/>
        <v>47</v>
      </c>
      <c r="Q15" s="19">
        <f t="shared" si="6"/>
        <v>46</v>
      </c>
      <c r="R15" s="46">
        <f t="shared" si="7"/>
        <v>39</v>
      </c>
      <c r="S15" s="46">
        <f t="shared" si="8"/>
        <v>25</v>
      </c>
      <c r="T15" s="46">
        <f t="shared" si="9"/>
        <v>49</v>
      </c>
      <c r="U15" s="46">
        <f t="shared" si="10"/>
        <v>16</v>
      </c>
      <c r="V15" s="46">
        <f t="shared" si="11"/>
        <v>99</v>
      </c>
      <c r="W15" s="19">
        <f t="shared" si="12"/>
        <v>31</v>
      </c>
      <c r="X15" s="46">
        <f t="shared" si="13"/>
        <v>88</v>
      </c>
      <c r="Y15" s="46">
        <f t="shared" si="14"/>
        <v>6</v>
      </c>
      <c r="Z15" s="46">
        <f t="shared" si="15"/>
        <v>0</v>
      </c>
      <c r="AA15" s="19">
        <f t="shared" si="16"/>
        <v>38</v>
      </c>
      <c r="AB15" s="33"/>
      <c r="AC15" s="33"/>
      <c r="AD15" s="15" t="str">
        <f t="shared" si="17"/>
        <v>Great Wall</v>
      </c>
      <c r="AE15" s="18" t="str">
        <f t="shared" si="18"/>
        <v>Great Wall</v>
      </c>
      <c r="AF15" s="23">
        <f t="shared" si="19"/>
        <v>37.81111111111111</v>
      </c>
      <c r="AG15" s="17" t="str">
        <f t="shared" si="20"/>
        <v>▲</v>
      </c>
      <c r="AH15" s="124">
        <f t="shared" si="21"/>
        <v>3</v>
      </c>
      <c r="AI15" s="65">
        <f t="shared" si="22"/>
        <v>26</v>
      </c>
      <c r="AJ15" s="17" t="str">
        <f t="shared" si="23"/>
        <v>▲</v>
      </c>
      <c r="AK15" s="125">
        <f t="shared" si="24"/>
        <v>9</v>
      </c>
      <c r="AL15" s="65">
        <f t="shared" si="25"/>
        <v>47</v>
      </c>
      <c r="AM15" s="17" t="str">
        <f t="shared" si="26"/>
        <v>▲</v>
      </c>
      <c r="AN15" s="125">
        <f t="shared" si="27"/>
        <v>1</v>
      </c>
      <c r="AO15" s="65">
        <f t="shared" si="28"/>
        <v>39</v>
      </c>
      <c r="AP15" s="17" t="str">
        <f t="shared" si="29"/>
        <v>▼</v>
      </c>
      <c r="AQ15" s="125">
        <f t="shared" si="30"/>
        <v>-7</v>
      </c>
      <c r="AR15" s="65">
        <f t="shared" si="31"/>
        <v>25</v>
      </c>
      <c r="AS15" s="17" t="str">
        <f t="shared" si="32"/>
        <v>▲</v>
      </c>
      <c r="AT15" s="125">
        <f t="shared" si="33"/>
        <v>7</v>
      </c>
      <c r="AU15" s="65">
        <f t="shared" si="34"/>
        <v>49</v>
      </c>
      <c r="AV15" s="17" t="str">
        <f t="shared" si="35"/>
        <v>▼</v>
      </c>
      <c r="AW15" s="125">
        <f t="shared" si="36"/>
        <v>-4</v>
      </c>
      <c r="AX15" s="65">
        <f t="shared" si="37"/>
        <v>16</v>
      </c>
      <c r="BA15" s="65">
        <f t="shared" si="38"/>
        <v>99</v>
      </c>
      <c r="BB15" s="17" t="str">
        <f t="shared" si="39"/>
        <v>▼</v>
      </c>
      <c r="BC15" s="125">
        <f t="shared" si="40"/>
        <v>-1</v>
      </c>
      <c r="BD15" s="65">
        <f t="shared" si="41"/>
        <v>88</v>
      </c>
      <c r="BE15" s="17" t="str">
        <f t="shared" si="42"/>
        <v>▼</v>
      </c>
      <c r="BF15" s="125">
        <f t="shared" si="43"/>
        <v>-1</v>
      </c>
      <c r="BG15" s="65">
        <f t="shared" si="44"/>
        <v>6</v>
      </c>
      <c r="BH15" s="17" t="str">
        <f t="shared" si="45"/>
        <v>▲</v>
      </c>
      <c r="BI15" s="125">
        <f t="shared" si="46"/>
        <v>3</v>
      </c>
      <c r="BJ15" s="65">
        <f t="shared" si="47"/>
        <v>0</v>
      </c>
      <c r="BK15" s="17" t="str">
        <f t="shared" si="48"/>
        <v/>
      </c>
      <c r="BL15" s="125">
        <f t="shared" si="49"/>
        <v>0</v>
      </c>
      <c r="CR15" s="20"/>
      <c r="CS15" s="20"/>
      <c r="CV15" s="20"/>
      <c r="CW15" s="20"/>
      <c r="CX15" s="24"/>
      <c r="CY15" s="20"/>
      <c r="CZ15" s="20"/>
      <c r="DA15" s="20"/>
      <c r="DB15" s="20"/>
      <c r="DC15" s="20"/>
      <c r="DD15" s="24"/>
      <c r="DE15" s="20"/>
      <c r="DF15" s="20"/>
      <c r="DG15" s="20"/>
      <c r="DH15" s="24"/>
    </row>
    <row r="16" spans="1:112" ht="18" customHeight="1">
      <c r="A16" s="8"/>
      <c r="B16" s="33"/>
      <c r="C16" s="18" t="s">
        <v>20</v>
      </c>
      <c r="D16" s="19">
        <f t="shared" si="50"/>
        <v>18</v>
      </c>
      <c r="E16" s="19">
        <f t="shared" si="50"/>
        <v>60</v>
      </c>
      <c r="F16" s="19">
        <f t="shared" si="51"/>
        <v>35</v>
      </c>
      <c r="G16" s="102">
        <f t="shared" si="52"/>
        <v>34.877777777777773</v>
      </c>
      <c r="H16" s="513"/>
      <c r="K16" s="15" t="s">
        <v>54</v>
      </c>
      <c r="L16" s="18" t="s">
        <v>54</v>
      </c>
      <c r="M16" s="23">
        <f t="shared" si="3"/>
        <v>34.877777777777773</v>
      </c>
      <c r="N16" s="523"/>
      <c r="O16" s="46">
        <f t="shared" si="4"/>
        <v>5</v>
      </c>
      <c r="P16" s="46">
        <f t="shared" si="5"/>
        <v>30</v>
      </c>
      <c r="Q16" s="19">
        <f t="shared" si="6"/>
        <v>60</v>
      </c>
      <c r="R16" s="46">
        <f t="shared" si="7"/>
        <v>15</v>
      </c>
      <c r="S16" s="46">
        <f t="shared" si="8"/>
        <v>48</v>
      </c>
      <c r="T16" s="46">
        <f t="shared" si="9"/>
        <v>85</v>
      </c>
      <c r="U16" s="46">
        <f t="shared" si="10"/>
        <v>72</v>
      </c>
      <c r="V16" s="46">
        <f t="shared" si="11"/>
        <v>79</v>
      </c>
      <c r="W16" s="19">
        <f t="shared" si="12"/>
        <v>27</v>
      </c>
      <c r="X16" s="46">
        <f t="shared" si="13"/>
        <v>60</v>
      </c>
      <c r="Y16" s="46">
        <f t="shared" si="14"/>
        <v>11</v>
      </c>
      <c r="Z16" s="46">
        <f t="shared" si="15"/>
        <v>11</v>
      </c>
      <c r="AA16" s="19">
        <f t="shared" si="16"/>
        <v>35</v>
      </c>
      <c r="AB16" s="33"/>
      <c r="AC16" s="33"/>
      <c r="AD16" s="15" t="str">
        <f t="shared" si="17"/>
        <v>Ford</v>
      </c>
      <c r="AE16" s="18" t="str">
        <f t="shared" si="18"/>
        <v>Ford</v>
      </c>
      <c r="AF16" s="23">
        <f t="shared" si="19"/>
        <v>34.877777777777773</v>
      </c>
      <c r="AG16" s="17" t="str">
        <f t="shared" si="20"/>
        <v>▲</v>
      </c>
      <c r="AH16" s="124">
        <f t="shared" si="21"/>
        <v>1</v>
      </c>
      <c r="AI16" s="65">
        <f t="shared" si="22"/>
        <v>5</v>
      </c>
      <c r="AJ16" s="17" t="str">
        <f t="shared" si="23"/>
        <v>▲</v>
      </c>
      <c r="AK16" s="125">
        <f t="shared" si="24"/>
        <v>1</v>
      </c>
      <c r="AL16" s="65">
        <f t="shared" si="25"/>
        <v>30</v>
      </c>
      <c r="AM16" s="17" t="str">
        <f t="shared" si="26"/>
        <v/>
      </c>
      <c r="AN16" s="125">
        <f t="shared" si="27"/>
        <v>0</v>
      </c>
      <c r="AO16" s="65">
        <f t="shared" si="28"/>
        <v>15</v>
      </c>
      <c r="AP16" s="17" t="str">
        <f t="shared" si="29"/>
        <v>▼</v>
      </c>
      <c r="AQ16" s="125">
        <f t="shared" si="30"/>
        <v>-8</v>
      </c>
      <c r="AR16" s="65">
        <f t="shared" si="31"/>
        <v>48</v>
      </c>
      <c r="AS16" s="17" t="str">
        <f t="shared" si="32"/>
        <v/>
      </c>
      <c r="AT16" s="125">
        <f t="shared" si="33"/>
        <v>0</v>
      </c>
      <c r="AU16" s="65">
        <f t="shared" si="34"/>
        <v>85</v>
      </c>
      <c r="AV16" s="17" t="str">
        <f t="shared" si="35"/>
        <v>▼</v>
      </c>
      <c r="AW16" s="125">
        <f t="shared" si="36"/>
        <v>-1</v>
      </c>
      <c r="AX16" s="65">
        <f t="shared" si="37"/>
        <v>72</v>
      </c>
      <c r="BA16" s="65">
        <f t="shared" si="38"/>
        <v>79</v>
      </c>
      <c r="BB16" s="17" t="str">
        <f t="shared" si="39"/>
        <v>▼</v>
      </c>
      <c r="BC16" s="125">
        <f t="shared" si="40"/>
        <v>-13</v>
      </c>
      <c r="BD16" s="65">
        <f t="shared" si="41"/>
        <v>60</v>
      </c>
      <c r="BE16" s="17" t="str">
        <f t="shared" si="42"/>
        <v>▼</v>
      </c>
      <c r="BF16" s="125">
        <f t="shared" si="43"/>
        <v>-19</v>
      </c>
      <c r="BG16" s="65">
        <f t="shared" si="44"/>
        <v>11</v>
      </c>
      <c r="BH16" s="17" t="str">
        <f t="shared" si="45"/>
        <v/>
      </c>
      <c r="BI16" s="125">
        <f t="shared" si="46"/>
        <v>0</v>
      </c>
      <c r="BJ16" s="65">
        <f t="shared" si="47"/>
        <v>11</v>
      </c>
      <c r="BK16" s="17" t="str">
        <f t="shared" si="48"/>
        <v/>
      </c>
      <c r="BL16" s="125">
        <f t="shared" si="49"/>
        <v>0</v>
      </c>
      <c r="CR16" s="20"/>
      <c r="CS16" s="20"/>
      <c r="CV16" s="20"/>
      <c r="CW16" s="20"/>
      <c r="CX16" s="24"/>
      <c r="CY16" s="20"/>
      <c r="CZ16" s="20"/>
      <c r="DA16" s="20"/>
      <c r="DB16" s="20"/>
      <c r="DC16" s="20"/>
      <c r="DD16" s="24"/>
      <c r="DE16" s="20"/>
      <c r="DF16" s="20"/>
      <c r="DG16" s="20"/>
      <c r="DH16" s="24"/>
    </row>
    <row r="17" spans="1:112" ht="18" customHeight="1">
      <c r="A17" s="8"/>
      <c r="B17" s="33"/>
      <c r="C17" s="18" t="s">
        <v>105</v>
      </c>
      <c r="D17" s="19">
        <f t="shared" si="50"/>
        <v>22</v>
      </c>
      <c r="E17" s="19">
        <f t="shared" si="50"/>
        <v>49</v>
      </c>
      <c r="F17" s="19">
        <f t="shared" si="51"/>
        <v>34</v>
      </c>
      <c r="G17" s="102">
        <f t="shared" si="52"/>
        <v>33.6</v>
      </c>
      <c r="H17" s="514"/>
      <c r="K17" s="15" t="s">
        <v>15</v>
      </c>
      <c r="L17" s="18" t="s">
        <v>105</v>
      </c>
      <c r="M17" s="23">
        <f t="shared" si="3"/>
        <v>33.6</v>
      </c>
      <c r="N17" s="524"/>
      <c r="O17" s="46">
        <f t="shared" si="4"/>
        <v>9</v>
      </c>
      <c r="P17" s="46">
        <f t="shared" si="5"/>
        <v>35</v>
      </c>
      <c r="Q17" s="19">
        <f t="shared" si="6"/>
        <v>49</v>
      </c>
      <c r="R17" s="46">
        <f t="shared" si="7"/>
        <v>100</v>
      </c>
      <c r="S17" s="46">
        <f t="shared" si="8"/>
        <v>5</v>
      </c>
      <c r="T17" s="46">
        <f t="shared" si="9"/>
        <v>45</v>
      </c>
      <c r="U17" s="46">
        <f t="shared" si="10"/>
        <v>0</v>
      </c>
      <c r="V17" s="46">
        <f t="shared" si="11"/>
        <v>94</v>
      </c>
      <c r="W17" s="19">
        <f t="shared" si="12"/>
        <v>30</v>
      </c>
      <c r="X17" s="46">
        <f t="shared" si="13"/>
        <v>63</v>
      </c>
      <c r="Y17" s="46">
        <f t="shared" si="14"/>
        <v>22</v>
      </c>
      <c r="Z17" s="46">
        <f t="shared" si="15"/>
        <v>5</v>
      </c>
      <c r="AA17" s="19">
        <f t="shared" si="16"/>
        <v>34</v>
      </c>
      <c r="AB17" s="33"/>
      <c r="AC17" s="33"/>
      <c r="AD17" s="15" t="str">
        <f t="shared" si="17"/>
        <v>Tata Motors</v>
      </c>
      <c r="AE17" s="18" t="str">
        <f t="shared" si="18"/>
        <v>Tata Motors</v>
      </c>
      <c r="AF17" s="23">
        <f t="shared" si="19"/>
        <v>33.6</v>
      </c>
      <c r="AG17" s="17" t="str">
        <f t="shared" si="20"/>
        <v>▲</v>
      </c>
      <c r="AH17" s="124">
        <f t="shared" si="21"/>
        <v>3</v>
      </c>
      <c r="AI17" s="65">
        <f t="shared" si="22"/>
        <v>9</v>
      </c>
      <c r="AJ17" s="17" t="str">
        <f t="shared" si="23"/>
        <v>▲</v>
      </c>
      <c r="AK17" s="125">
        <f t="shared" si="24"/>
        <v>1</v>
      </c>
      <c r="AL17" s="65">
        <f t="shared" si="25"/>
        <v>35</v>
      </c>
      <c r="AM17" s="17" t="str">
        <f t="shared" si="26"/>
        <v>▲</v>
      </c>
      <c r="AN17" s="125">
        <f t="shared" si="27"/>
        <v>12</v>
      </c>
      <c r="AO17" s="65">
        <f t="shared" si="28"/>
        <v>100</v>
      </c>
      <c r="AP17" s="17" t="str">
        <f t="shared" si="29"/>
        <v/>
      </c>
      <c r="AQ17" s="125">
        <f t="shared" si="30"/>
        <v>0</v>
      </c>
      <c r="AR17" s="65">
        <f t="shared" si="31"/>
        <v>5</v>
      </c>
      <c r="AS17" s="17" t="str">
        <f t="shared" si="32"/>
        <v/>
      </c>
      <c r="AT17" s="125">
        <f t="shared" si="33"/>
        <v>0</v>
      </c>
      <c r="AU17" s="65">
        <f t="shared" si="34"/>
        <v>45</v>
      </c>
      <c r="AV17" s="17" t="str">
        <f t="shared" si="35"/>
        <v>▲</v>
      </c>
      <c r="AW17" s="125">
        <f t="shared" si="36"/>
        <v>3</v>
      </c>
      <c r="AX17" s="65">
        <f t="shared" si="37"/>
        <v>0</v>
      </c>
      <c r="BA17" s="65">
        <f t="shared" si="38"/>
        <v>94</v>
      </c>
      <c r="BB17" s="17" t="str">
        <f t="shared" si="39"/>
        <v>▲</v>
      </c>
      <c r="BC17" s="125">
        <f t="shared" si="40"/>
        <v>13</v>
      </c>
      <c r="BD17" s="65">
        <f t="shared" si="41"/>
        <v>63</v>
      </c>
      <c r="BE17" s="17" t="str">
        <f t="shared" si="42"/>
        <v>▼</v>
      </c>
      <c r="BF17" s="125">
        <f t="shared" si="43"/>
        <v>-8</v>
      </c>
      <c r="BG17" s="65">
        <f t="shared" si="44"/>
        <v>22</v>
      </c>
      <c r="BH17" s="17" t="str">
        <f t="shared" si="45"/>
        <v>▲</v>
      </c>
      <c r="BI17" s="125">
        <f t="shared" si="46"/>
        <v>2</v>
      </c>
      <c r="BJ17" s="65">
        <f t="shared" si="47"/>
        <v>5</v>
      </c>
      <c r="BK17" s="17" t="str">
        <f t="shared" si="48"/>
        <v>▲</v>
      </c>
      <c r="BL17" s="125">
        <f t="shared" si="49"/>
        <v>1</v>
      </c>
      <c r="CR17" s="20"/>
      <c r="CS17" s="20"/>
      <c r="CV17" s="20"/>
      <c r="CW17" s="20"/>
      <c r="CX17" s="24"/>
      <c r="CY17" s="20"/>
      <c r="CZ17" s="20"/>
      <c r="DA17" s="20"/>
      <c r="DB17" s="20"/>
      <c r="DC17" s="20"/>
      <c r="DD17" s="24"/>
      <c r="DE17" s="20"/>
      <c r="DF17" s="20"/>
      <c r="DG17" s="20"/>
      <c r="DH17" s="24"/>
    </row>
    <row r="18" spans="1:112" ht="18" customHeight="1">
      <c r="A18" s="8"/>
      <c r="B18" s="33"/>
      <c r="C18" s="18" t="s">
        <v>18</v>
      </c>
      <c r="D18" s="19">
        <f t="shared" si="0"/>
        <v>18</v>
      </c>
      <c r="E18" s="19">
        <f t="shared" si="0"/>
        <v>55</v>
      </c>
      <c r="F18" s="19">
        <f t="shared" si="1"/>
        <v>33</v>
      </c>
      <c r="G18" s="102">
        <f t="shared" si="2"/>
        <v>32.588888888888889</v>
      </c>
      <c r="H18" s="515" t="s">
        <v>51</v>
      </c>
      <c r="K18" s="15" t="s">
        <v>55</v>
      </c>
      <c r="L18" s="18" t="s">
        <v>52</v>
      </c>
      <c r="M18" s="23">
        <f t="shared" si="3"/>
        <v>32.588888888888889</v>
      </c>
      <c r="N18" s="525" t="s">
        <v>51</v>
      </c>
      <c r="O18" s="46">
        <f t="shared" si="4"/>
        <v>7</v>
      </c>
      <c r="P18" s="46">
        <f t="shared" si="5"/>
        <v>28</v>
      </c>
      <c r="Q18" s="19">
        <f t="shared" si="6"/>
        <v>55</v>
      </c>
      <c r="R18" s="46">
        <f t="shared" si="7"/>
        <v>40</v>
      </c>
      <c r="S18" s="46">
        <f t="shared" si="8"/>
        <v>76</v>
      </c>
      <c r="T18" s="46">
        <f t="shared" si="9"/>
        <v>73</v>
      </c>
      <c r="U18" s="46">
        <f t="shared" si="10"/>
        <v>23</v>
      </c>
      <c r="V18" s="46">
        <f t="shared" si="11"/>
        <v>61</v>
      </c>
      <c r="W18" s="19">
        <f t="shared" si="12"/>
        <v>26</v>
      </c>
      <c r="X18" s="46">
        <f t="shared" si="13"/>
        <v>53</v>
      </c>
      <c r="Y18" s="46">
        <f t="shared" si="14"/>
        <v>24</v>
      </c>
      <c r="Z18" s="46">
        <f t="shared" si="15"/>
        <v>0</v>
      </c>
      <c r="AA18" s="19">
        <f t="shared" si="16"/>
        <v>33</v>
      </c>
      <c r="AB18" s="33"/>
      <c r="AC18" s="33"/>
      <c r="AD18" s="15" t="str">
        <f t="shared" si="17"/>
        <v>Hyundai Kia</v>
      </c>
      <c r="AE18" s="18" t="str">
        <f t="shared" si="18"/>
        <v>Hyundai-Kia</v>
      </c>
      <c r="AF18" s="23">
        <f t="shared" si="19"/>
        <v>32.588888888888889</v>
      </c>
      <c r="AG18" s="17" t="str">
        <f t="shared" si="20"/>
        <v>▼</v>
      </c>
      <c r="AH18" s="124">
        <f t="shared" si="21"/>
        <v>-1</v>
      </c>
      <c r="AI18" s="65">
        <f t="shared" si="22"/>
        <v>7</v>
      </c>
      <c r="AJ18" s="17" t="str">
        <f t="shared" si="23"/>
        <v/>
      </c>
      <c r="AK18" s="125">
        <f t="shared" si="24"/>
        <v>0</v>
      </c>
      <c r="AL18" s="65">
        <f t="shared" si="25"/>
        <v>28</v>
      </c>
      <c r="AM18" s="17" t="str">
        <f t="shared" si="26"/>
        <v>▼</v>
      </c>
      <c r="AN18" s="125">
        <f t="shared" si="27"/>
        <v>-2</v>
      </c>
      <c r="AO18" s="65">
        <f t="shared" si="28"/>
        <v>40</v>
      </c>
      <c r="AP18" s="17" t="str">
        <f t="shared" si="29"/>
        <v>▲</v>
      </c>
      <c r="AQ18" s="125">
        <f t="shared" si="30"/>
        <v>14</v>
      </c>
      <c r="AR18" s="65">
        <f t="shared" si="31"/>
        <v>76</v>
      </c>
      <c r="AS18" s="17" t="str">
        <f t="shared" si="32"/>
        <v>▼</v>
      </c>
      <c r="AT18" s="125">
        <f t="shared" si="33"/>
        <v>-3</v>
      </c>
      <c r="AU18" s="65">
        <f t="shared" si="34"/>
        <v>73</v>
      </c>
      <c r="AV18" s="17" t="str">
        <f t="shared" si="35"/>
        <v>▲</v>
      </c>
      <c r="AW18" s="125">
        <f t="shared" si="36"/>
        <v>2</v>
      </c>
      <c r="AX18" s="65">
        <f t="shared" si="37"/>
        <v>23</v>
      </c>
      <c r="BA18" s="65">
        <f t="shared" si="38"/>
        <v>61</v>
      </c>
      <c r="BB18" s="17" t="str">
        <f t="shared" si="39"/>
        <v>▼</v>
      </c>
      <c r="BC18" s="125">
        <f t="shared" si="40"/>
        <v>-39</v>
      </c>
      <c r="BD18" s="65">
        <f t="shared" si="41"/>
        <v>53</v>
      </c>
      <c r="BE18" s="17" t="str">
        <f t="shared" si="42"/>
        <v>▼</v>
      </c>
      <c r="BF18" s="125">
        <f t="shared" si="43"/>
        <v>-1</v>
      </c>
      <c r="BG18" s="65">
        <f t="shared" si="44"/>
        <v>24</v>
      </c>
      <c r="BH18" s="17" t="str">
        <f t="shared" si="45"/>
        <v>▲</v>
      </c>
      <c r="BI18" s="125">
        <f t="shared" si="46"/>
        <v>3</v>
      </c>
      <c r="BJ18" s="65">
        <f t="shared" si="47"/>
        <v>0</v>
      </c>
      <c r="BK18" s="17" t="str">
        <f t="shared" si="48"/>
        <v/>
      </c>
      <c r="BL18" s="125">
        <f t="shared" si="49"/>
        <v>0</v>
      </c>
      <c r="CR18" s="20"/>
      <c r="CS18" s="20"/>
      <c r="CV18" s="20"/>
      <c r="CW18" s="20"/>
      <c r="CX18" s="24"/>
      <c r="CY18" s="20"/>
      <c r="CZ18" s="20"/>
      <c r="DA18" s="20"/>
      <c r="DB18" s="20"/>
      <c r="DC18" s="20"/>
      <c r="DD18" s="24"/>
      <c r="DE18" s="20"/>
      <c r="DF18" s="20"/>
      <c r="DG18" s="20"/>
      <c r="DH18" s="24"/>
    </row>
    <row r="19" spans="1:112" ht="18" customHeight="1">
      <c r="A19" s="8"/>
      <c r="B19" s="33"/>
      <c r="C19" s="18" t="s">
        <v>22</v>
      </c>
      <c r="D19" s="19">
        <f t="shared" si="0"/>
        <v>13</v>
      </c>
      <c r="E19" s="19">
        <f t="shared" si="0"/>
        <v>56</v>
      </c>
      <c r="F19" s="19">
        <f t="shared" si="1"/>
        <v>29</v>
      </c>
      <c r="G19" s="102">
        <f t="shared" si="2"/>
        <v>29.411111111111111</v>
      </c>
      <c r="H19" s="515"/>
      <c r="K19" s="15" t="s">
        <v>22</v>
      </c>
      <c r="L19" s="18" t="s">
        <v>22</v>
      </c>
      <c r="M19" s="23">
        <f t="shared" si="3"/>
        <v>29.411111111111111</v>
      </c>
      <c r="N19" s="526"/>
      <c r="O19" s="46">
        <f t="shared" si="4"/>
        <v>2</v>
      </c>
      <c r="P19" s="46">
        <f t="shared" si="5"/>
        <v>23</v>
      </c>
      <c r="Q19" s="19">
        <f t="shared" si="6"/>
        <v>56</v>
      </c>
      <c r="R19" s="46">
        <f t="shared" si="7"/>
        <v>75</v>
      </c>
      <c r="S19" s="46">
        <f t="shared" si="8"/>
        <v>39</v>
      </c>
      <c r="T19" s="46">
        <f t="shared" si="9"/>
        <v>82</v>
      </c>
      <c r="U19" s="46">
        <f t="shared" si="10"/>
        <v>18</v>
      </c>
      <c r="V19" s="46">
        <f t="shared" si="11"/>
        <v>68</v>
      </c>
      <c r="W19" s="19">
        <f t="shared" si="12"/>
        <v>19</v>
      </c>
      <c r="X19" s="46">
        <f t="shared" si="13"/>
        <v>48</v>
      </c>
      <c r="Y19" s="46">
        <f t="shared" si="14"/>
        <v>10</v>
      </c>
      <c r="Z19" s="46">
        <f t="shared" si="15"/>
        <v>0</v>
      </c>
      <c r="AA19" s="19">
        <f t="shared" si="16"/>
        <v>29</v>
      </c>
      <c r="AB19" s="33"/>
      <c r="AC19" s="33"/>
      <c r="AD19" s="15" t="str">
        <f t="shared" si="17"/>
        <v>Toyota</v>
      </c>
      <c r="AE19" s="18" t="str">
        <f t="shared" si="18"/>
        <v>Toyota</v>
      </c>
      <c r="AF19" s="23">
        <f t="shared" si="19"/>
        <v>29.411111111111111</v>
      </c>
      <c r="AG19" s="17" t="str">
        <f t="shared" si="20"/>
        <v>▲</v>
      </c>
      <c r="AH19" s="124">
        <f t="shared" si="21"/>
        <v>1</v>
      </c>
      <c r="AI19" s="65">
        <f t="shared" si="22"/>
        <v>2</v>
      </c>
      <c r="AJ19" s="17" t="str">
        <f t="shared" si="23"/>
        <v/>
      </c>
      <c r="AK19" s="125">
        <f t="shared" si="24"/>
        <v>0</v>
      </c>
      <c r="AL19" s="65">
        <f t="shared" si="25"/>
        <v>23</v>
      </c>
      <c r="AM19" s="17" t="str">
        <f t="shared" si="26"/>
        <v>▼</v>
      </c>
      <c r="AN19" s="125">
        <f t="shared" si="27"/>
        <v>-5</v>
      </c>
      <c r="AO19" s="65">
        <f t="shared" si="28"/>
        <v>75</v>
      </c>
      <c r="AP19" s="17" t="str">
        <f t="shared" si="29"/>
        <v>▲</v>
      </c>
      <c r="AQ19" s="125">
        <f t="shared" si="30"/>
        <v>4</v>
      </c>
      <c r="AR19" s="65">
        <f t="shared" si="31"/>
        <v>39</v>
      </c>
      <c r="AS19" s="17" t="str">
        <f t="shared" si="32"/>
        <v>▲</v>
      </c>
      <c r="AT19" s="125">
        <f t="shared" si="33"/>
        <v>7</v>
      </c>
      <c r="AU19" s="65">
        <f t="shared" si="34"/>
        <v>82</v>
      </c>
      <c r="AV19" s="17" t="str">
        <f t="shared" si="35"/>
        <v/>
      </c>
      <c r="AW19" s="125">
        <f t="shared" si="36"/>
        <v>0</v>
      </c>
      <c r="AX19" s="65">
        <f t="shared" si="37"/>
        <v>18</v>
      </c>
      <c r="BA19" s="65">
        <f t="shared" si="38"/>
        <v>68</v>
      </c>
      <c r="BB19" s="17" t="str">
        <f t="shared" si="39"/>
        <v>▲</v>
      </c>
      <c r="BC19" s="125">
        <f t="shared" si="40"/>
        <v>9</v>
      </c>
      <c r="BD19" s="65">
        <f t="shared" si="41"/>
        <v>48</v>
      </c>
      <c r="BE19" s="17" t="str">
        <f t="shared" si="42"/>
        <v/>
      </c>
      <c r="BF19" s="125">
        <f t="shared" si="43"/>
        <v>0</v>
      </c>
      <c r="BG19" s="65">
        <f t="shared" si="44"/>
        <v>10</v>
      </c>
      <c r="BH19" s="17" t="str">
        <f t="shared" si="45"/>
        <v>▲</v>
      </c>
      <c r="BI19" s="125">
        <f t="shared" si="46"/>
        <v>1</v>
      </c>
      <c r="BJ19" s="65">
        <f t="shared" si="47"/>
        <v>0</v>
      </c>
      <c r="BK19" s="17" t="str">
        <f t="shared" si="48"/>
        <v/>
      </c>
      <c r="BL19" s="125">
        <f t="shared" si="49"/>
        <v>0</v>
      </c>
      <c r="CR19" s="20"/>
      <c r="CS19" s="20"/>
      <c r="CV19" s="20"/>
      <c r="CW19" s="20"/>
      <c r="CX19" s="24"/>
      <c r="CY19" s="20"/>
      <c r="CZ19" s="20"/>
      <c r="DA19" s="20"/>
      <c r="DB19" s="20"/>
      <c r="DC19" s="20"/>
      <c r="DD19" s="24"/>
      <c r="DE19" s="20"/>
      <c r="DF19" s="20"/>
      <c r="DG19" s="20"/>
      <c r="DH19" s="24"/>
    </row>
    <row r="20" spans="1:112" ht="18" customHeight="1">
      <c r="A20" s="8"/>
      <c r="B20" s="33"/>
      <c r="C20" s="18" t="s">
        <v>23</v>
      </c>
      <c r="D20" s="19">
        <f t="shared" si="0"/>
        <v>7</v>
      </c>
      <c r="E20" s="19">
        <f t="shared" si="0"/>
        <v>50</v>
      </c>
      <c r="F20" s="19">
        <f t="shared" si="1"/>
        <v>28</v>
      </c>
      <c r="G20" s="102">
        <f t="shared" si="2"/>
        <v>28.411111111111111</v>
      </c>
      <c r="H20" s="515"/>
      <c r="K20" s="15" t="s">
        <v>23</v>
      </c>
      <c r="L20" s="18" t="s">
        <v>23</v>
      </c>
      <c r="M20" s="23">
        <f t="shared" si="3"/>
        <v>28.411111111111111</v>
      </c>
      <c r="N20" s="526"/>
      <c r="O20" s="46">
        <f t="shared" si="4"/>
        <v>2</v>
      </c>
      <c r="P20" s="46">
        <f t="shared" si="5"/>
        <v>11</v>
      </c>
      <c r="Q20" s="19">
        <f t="shared" si="6"/>
        <v>50</v>
      </c>
      <c r="R20" s="46">
        <f t="shared" si="7"/>
        <v>69</v>
      </c>
      <c r="S20" s="46">
        <f t="shared" si="8"/>
        <v>49</v>
      </c>
      <c r="T20" s="46">
        <f t="shared" si="9"/>
        <v>89</v>
      </c>
      <c r="U20" s="46">
        <f t="shared" si="10"/>
        <v>9</v>
      </c>
      <c r="V20" s="46">
        <f t="shared" si="11"/>
        <v>36</v>
      </c>
      <c r="W20" s="19">
        <f t="shared" si="12"/>
        <v>28</v>
      </c>
      <c r="X20" s="46">
        <f t="shared" si="13"/>
        <v>60</v>
      </c>
      <c r="Y20" s="46">
        <f t="shared" si="14"/>
        <v>20</v>
      </c>
      <c r="Z20" s="46">
        <f t="shared" si="15"/>
        <v>5</v>
      </c>
      <c r="AA20" s="19">
        <f t="shared" si="16"/>
        <v>28</v>
      </c>
      <c r="AB20" s="33"/>
      <c r="AC20" s="33"/>
      <c r="AD20" s="15" t="str">
        <f t="shared" si="17"/>
        <v>Honda</v>
      </c>
      <c r="AE20" s="18" t="str">
        <f t="shared" si="18"/>
        <v>Honda</v>
      </c>
      <c r="AF20" s="23">
        <f t="shared" si="19"/>
        <v>28.411111111111111</v>
      </c>
      <c r="AG20" s="17" t="str">
        <f t="shared" si="20"/>
        <v>▲</v>
      </c>
      <c r="AH20" s="124">
        <f t="shared" si="21"/>
        <v>8</v>
      </c>
      <c r="AI20" s="65">
        <f t="shared" si="22"/>
        <v>2</v>
      </c>
      <c r="AJ20" s="17" t="str">
        <f t="shared" si="23"/>
        <v>▲</v>
      </c>
      <c r="AK20" s="125">
        <f t="shared" si="24"/>
        <v>1</v>
      </c>
      <c r="AL20" s="65">
        <f t="shared" si="25"/>
        <v>11</v>
      </c>
      <c r="AM20" s="17" t="str">
        <f t="shared" si="26"/>
        <v>▲</v>
      </c>
      <c r="AN20" s="125">
        <f t="shared" si="27"/>
        <v>5</v>
      </c>
      <c r="AO20" s="65">
        <f t="shared" si="28"/>
        <v>69</v>
      </c>
      <c r="AP20" s="17" t="str">
        <f t="shared" si="29"/>
        <v>▲</v>
      </c>
      <c r="AQ20" s="125">
        <f t="shared" si="30"/>
        <v>34</v>
      </c>
      <c r="AR20" s="65">
        <f t="shared" si="31"/>
        <v>49</v>
      </c>
      <c r="AS20" s="17" t="str">
        <f t="shared" si="32"/>
        <v>▲</v>
      </c>
      <c r="AT20" s="125">
        <f t="shared" si="33"/>
        <v>23</v>
      </c>
      <c r="AU20" s="65">
        <f t="shared" si="34"/>
        <v>89</v>
      </c>
      <c r="AV20" s="17" t="str">
        <f t="shared" si="35"/>
        <v>▲</v>
      </c>
      <c r="AW20" s="125">
        <f t="shared" si="36"/>
        <v>35</v>
      </c>
      <c r="AX20" s="65">
        <f t="shared" si="37"/>
        <v>9</v>
      </c>
      <c r="BA20" s="65">
        <f t="shared" si="38"/>
        <v>36</v>
      </c>
      <c r="BB20" s="17" t="str">
        <f t="shared" si="39"/>
        <v>▼</v>
      </c>
      <c r="BC20" s="125">
        <f t="shared" si="40"/>
        <v>-6</v>
      </c>
      <c r="BD20" s="65">
        <f t="shared" si="41"/>
        <v>60</v>
      </c>
      <c r="BE20" s="17" t="str">
        <f t="shared" si="42"/>
        <v>▼</v>
      </c>
      <c r="BF20" s="125">
        <f t="shared" si="43"/>
        <v>-7</v>
      </c>
      <c r="BG20" s="65">
        <f t="shared" si="44"/>
        <v>20</v>
      </c>
      <c r="BH20" s="17" t="str">
        <f t="shared" si="45"/>
        <v>▲</v>
      </c>
      <c r="BI20" s="125">
        <f t="shared" si="46"/>
        <v>1</v>
      </c>
      <c r="BJ20" s="65">
        <f t="shared" si="47"/>
        <v>5</v>
      </c>
      <c r="BK20" s="17" t="str">
        <f t="shared" si="48"/>
        <v>▲</v>
      </c>
      <c r="BL20" s="125">
        <f t="shared" si="49"/>
        <v>5</v>
      </c>
      <c r="CR20" s="20"/>
      <c r="CS20" s="20"/>
      <c r="CV20" s="20"/>
      <c r="CW20" s="20"/>
      <c r="CX20" s="24"/>
      <c r="CY20" s="20"/>
      <c r="CZ20" s="20"/>
      <c r="DA20" s="20"/>
      <c r="DB20" s="20"/>
      <c r="DC20" s="20"/>
      <c r="DD20" s="24"/>
      <c r="DE20" s="20"/>
      <c r="DF20" s="20"/>
      <c r="DG20" s="20"/>
      <c r="DH20" s="24"/>
    </row>
    <row r="21" spans="1:112" ht="18" customHeight="1">
      <c r="A21" s="8"/>
      <c r="B21" s="33"/>
      <c r="C21" s="18" t="s">
        <v>21</v>
      </c>
      <c r="D21" s="19">
        <f t="shared" si="0"/>
        <v>17</v>
      </c>
      <c r="E21" s="19">
        <f t="shared" si="0"/>
        <v>28</v>
      </c>
      <c r="F21" s="19">
        <f t="shared" si="1"/>
        <v>23</v>
      </c>
      <c r="G21" s="102">
        <f t="shared" si="2"/>
        <v>23.366666666666664</v>
      </c>
      <c r="H21" s="515"/>
      <c r="K21" s="15" t="s">
        <v>21</v>
      </c>
      <c r="L21" s="18" t="s">
        <v>21</v>
      </c>
      <c r="M21" s="23">
        <f t="shared" si="3"/>
        <v>23.366666666666664</v>
      </c>
      <c r="N21" s="526"/>
      <c r="O21" s="46">
        <f t="shared" si="4"/>
        <v>4</v>
      </c>
      <c r="P21" s="46">
        <f t="shared" si="5"/>
        <v>29</v>
      </c>
      <c r="Q21" s="19">
        <f t="shared" si="6"/>
        <v>28</v>
      </c>
      <c r="R21" s="46">
        <f t="shared" si="7"/>
        <v>16</v>
      </c>
      <c r="S21" s="46">
        <f t="shared" si="8"/>
        <v>24</v>
      </c>
      <c r="T21" s="46">
        <f t="shared" si="9"/>
        <v>37</v>
      </c>
      <c r="U21" s="46">
        <f t="shared" si="10"/>
        <v>27</v>
      </c>
      <c r="V21" s="46">
        <f t="shared" si="11"/>
        <v>34</v>
      </c>
      <c r="W21" s="19">
        <f t="shared" si="12"/>
        <v>26</v>
      </c>
      <c r="X21" s="46">
        <f t="shared" si="13"/>
        <v>60</v>
      </c>
      <c r="Y21" s="46">
        <f t="shared" si="14"/>
        <v>13</v>
      </c>
      <c r="Z21" s="46">
        <f t="shared" si="15"/>
        <v>5</v>
      </c>
      <c r="AA21" s="19">
        <f t="shared" si="16"/>
        <v>23</v>
      </c>
      <c r="AB21" s="33"/>
      <c r="AC21" s="33"/>
      <c r="AD21" s="15" t="str">
        <f t="shared" si="17"/>
        <v>Nissan</v>
      </c>
      <c r="AE21" s="18" t="str">
        <f t="shared" si="18"/>
        <v>Nissan</v>
      </c>
      <c r="AF21" s="23">
        <f t="shared" si="19"/>
        <v>23.366666666666664</v>
      </c>
      <c r="AG21" s="17" t="str">
        <f t="shared" si="20"/>
        <v>▲</v>
      </c>
      <c r="AH21" s="124">
        <f t="shared" si="21"/>
        <v>9</v>
      </c>
      <c r="AI21" s="65">
        <f t="shared" si="22"/>
        <v>4</v>
      </c>
      <c r="AJ21" s="17" t="str">
        <f t="shared" si="23"/>
        <v>▼</v>
      </c>
      <c r="AK21" s="125">
        <f t="shared" si="24"/>
        <v>-1</v>
      </c>
      <c r="AL21" s="65">
        <f t="shared" si="25"/>
        <v>29</v>
      </c>
      <c r="AM21" s="17" t="str">
        <f t="shared" si="26"/>
        <v>▲</v>
      </c>
      <c r="AN21" s="125">
        <f t="shared" si="27"/>
        <v>1</v>
      </c>
      <c r="AO21" s="65">
        <f t="shared" si="28"/>
        <v>16</v>
      </c>
      <c r="AP21" s="17" t="str">
        <f t="shared" si="29"/>
        <v>▼</v>
      </c>
      <c r="AQ21" s="125">
        <f t="shared" si="30"/>
        <v>-2</v>
      </c>
      <c r="AR21" s="65">
        <f t="shared" si="31"/>
        <v>24</v>
      </c>
      <c r="AS21" s="17" t="str">
        <f t="shared" si="32"/>
        <v>▲</v>
      </c>
      <c r="AT21" s="125">
        <f t="shared" si="33"/>
        <v>2</v>
      </c>
      <c r="AU21" s="65">
        <f t="shared" si="34"/>
        <v>37</v>
      </c>
      <c r="AV21" s="17" t="str">
        <f t="shared" si="35"/>
        <v>▲</v>
      </c>
      <c r="AW21" s="125">
        <f t="shared" si="36"/>
        <v>7</v>
      </c>
      <c r="AX21" s="65">
        <f t="shared" si="37"/>
        <v>27</v>
      </c>
      <c r="BA21" s="65">
        <f t="shared" si="38"/>
        <v>34</v>
      </c>
      <c r="BB21" s="17" t="str">
        <f t="shared" si="39"/>
        <v>▲</v>
      </c>
      <c r="BC21" s="125">
        <f t="shared" si="40"/>
        <v>1</v>
      </c>
      <c r="BD21" s="65">
        <f t="shared" si="41"/>
        <v>60</v>
      </c>
      <c r="BE21" s="17" t="str">
        <f t="shared" si="42"/>
        <v>▲</v>
      </c>
      <c r="BF21" s="125">
        <f t="shared" si="43"/>
        <v>60</v>
      </c>
      <c r="BG21" s="65">
        <f t="shared" si="44"/>
        <v>13</v>
      </c>
      <c r="BH21" s="17" t="str">
        <f t="shared" si="45"/>
        <v>▲</v>
      </c>
      <c r="BI21" s="125">
        <f t="shared" si="46"/>
        <v>4</v>
      </c>
      <c r="BJ21" s="65">
        <f t="shared" si="47"/>
        <v>5</v>
      </c>
      <c r="BK21" s="17" t="str">
        <f t="shared" si="48"/>
        <v/>
      </c>
      <c r="BL21" s="125">
        <f t="shared" si="49"/>
        <v>0</v>
      </c>
      <c r="CR21" s="20"/>
      <c r="CS21" s="20"/>
      <c r="CV21" s="20"/>
      <c r="CW21" s="20"/>
      <c r="CX21" s="24"/>
      <c r="CY21" s="20"/>
      <c r="CZ21" s="20"/>
      <c r="DA21" s="20"/>
      <c r="DB21" s="20"/>
      <c r="DC21" s="20"/>
      <c r="DD21" s="24"/>
      <c r="DE21" s="20"/>
      <c r="DF21" s="20"/>
      <c r="DG21" s="20"/>
      <c r="DH21" s="24"/>
    </row>
    <row r="22" spans="1:112" ht="19">
      <c r="A22" s="8"/>
      <c r="B22" s="33"/>
      <c r="C22" s="18" t="s">
        <v>24</v>
      </c>
      <c r="D22" s="19">
        <f t="shared" si="0"/>
        <v>3</v>
      </c>
      <c r="E22" s="19">
        <f t="shared" si="0"/>
        <v>17</v>
      </c>
      <c r="F22" s="19">
        <f t="shared" si="1"/>
        <v>12</v>
      </c>
      <c r="G22" s="102">
        <f t="shared" si="2"/>
        <v>12.1</v>
      </c>
      <c r="H22" s="515"/>
      <c r="K22" s="15" t="s">
        <v>24</v>
      </c>
      <c r="L22" s="18" t="s">
        <v>24</v>
      </c>
      <c r="M22" s="23">
        <f t="shared" si="3"/>
        <v>12.1</v>
      </c>
      <c r="N22" s="526"/>
      <c r="O22" s="46">
        <f>_xlfn.XLOOKUP($K22,$B$51:$B$71,D$51:D$71)</f>
        <v>2</v>
      </c>
      <c r="P22" s="46">
        <f>_xlfn.XLOOKUP($K22,$B$51:$B$71,E$51:E$71)</f>
        <v>3.1233660110457873</v>
      </c>
      <c r="Q22" s="19">
        <f t="shared" si="6"/>
        <v>17</v>
      </c>
      <c r="R22" s="46">
        <f t="shared" ref="R22:V23" si="53">_xlfn.XLOOKUP($K22,$B$51:$B$71,F$51:F$71)</f>
        <v>7.98668885191345</v>
      </c>
      <c r="S22" s="46">
        <f t="shared" si="53"/>
        <v>21.035311985824578</v>
      </c>
      <c r="T22" s="46">
        <f t="shared" si="53"/>
        <v>9.6956891745165343</v>
      </c>
      <c r="U22" s="46">
        <f t="shared" si="53"/>
        <v>44.510430472603915</v>
      </c>
      <c r="V22" s="46">
        <f t="shared" si="53"/>
        <v>0</v>
      </c>
      <c r="W22" s="19">
        <f t="shared" si="12"/>
        <v>17</v>
      </c>
      <c r="X22" s="46">
        <f t="shared" ref="X22:Z23" si="54">_xlfn.XLOOKUP($K22,$B$51:$B$71,K$51:K$71)</f>
        <v>37.54259732554123</v>
      </c>
      <c r="Y22" s="46">
        <f t="shared" si="54"/>
        <v>12.525664433840339</v>
      </c>
      <c r="Z22" s="46">
        <f t="shared" si="54"/>
        <v>0</v>
      </c>
      <c r="AA22" s="19">
        <f t="shared" si="16"/>
        <v>12</v>
      </c>
      <c r="AB22" s="33"/>
      <c r="AC22" s="33"/>
      <c r="AD22" s="15" t="str">
        <f t="shared" si="17"/>
        <v>Mazda</v>
      </c>
      <c r="AE22" s="18" t="str">
        <f t="shared" si="18"/>
        <v>Mazda</v>
      </c>
      <c r="AF22" s="23">
        <f t="shared" si="19"/>
        <v>12.1</v>
      </c>
      <c r="AG22" s="17" t="str">
        <f t="shared" si="20"/>
        <v>▲</v>
      </c>
      <c r="AH22" s="124">
        <f t="shared" si="21"/>
        <v>4</v>
      </c>
      <c r="AI22" s="66">
        <f t="shared" si="22"/>
        <v>2</v>
      </c>
      <c r="AJ22" s="74" t="str">
        <f t="shared" si="23"/>
        <v/>
      </c>
      <c r="AK22" s="126">
        <f t="shared" si="24"/>
        <v>0</v>
      </c>
      <c r="AL22" s="66">
        <f t="shared" si="25"/>
        <v>3.1233660110457873</v>
      </c>
      <c r="AM22" s="74" t="str">
        <f t="shared" si="26"/>
        <v/>
      </c>
      <c r="AN22" s="125">
        <f t="shared" si="27"/>
        <v>0</v>
      </c>
      <c r="AO22" s="66">
        <f t="shared" si="28"/>
        <v>7.98668885191345</v>
      </c>
      <c r="AP22" s="74" t="str">
        <f t="shared" si="29"/>
        <v>▲</v>
      </c>
      <c r="AQ22" s="126">
        <f t="shared" si="30"/>
        <v>8</v>
      </c>
      <c r="AR22" s="66">
        <f t="shared" si="31"/>
        <v>21.035311985824578</v>
      </c>
      <c r="AS22" s="74" t="str">
        <f t="shared" si="32"/>
        <v>▲</v>
      </c>
      <c r="AT22" s="126">
        <f t="shared" si="33"/>
        <v>2</v>
      </c>
      <c r="AU22" s="66">
        <f t="shared" si="34"/>
        <v>9.6956891745165343</v>
      </c>
      <c r="AV22" s="74" t="str">
        <f t="shared" si="35"/>
        <v>▲</v>
      </c>
      <c r="AW22" s="125">
        <f t="shared" si="36"/>
        <v>8</v>
      </c>
      <c r="AX22" s="66">
        <f t="shared" si="37"/>
        <v>44.510430472603915</v>
      </c>
      <c r="AZ22" s="24"/>
      <c r="BA22" s="66">
        <f t="shared" si="38"/>
        <v>0</v>
      </c>
      <c r="BB22" s="74" t="str">
        <f t="shared" si="39"/>
        <v/>
      </c>
      <c r="BC22" s="126">
        <f t="shared" si="40"/>
        <v>0</v>
      </c>
      <c r="BD22" s="66">
        <f t="shared" si="41"/>
        <v>37.54259732554123</v>
      </c>
      <c r="BE22" s="74" t="str">
        <f t="shared" si="42"/>
        <v/>
      </c>
      <c r="BF22" s="126">
        <f t="shared" si="43"/>
        <v>0</v>
      </c>
      <c r="BG22" s="66">
        <f t="shared" si="44"/>
        <v>12.525664433840339</v>
      </c>
      <c r="BH22" s="17" t="str">
        <f t="shared" si="45"/>
        <v>▼</v>
      </c>
      <c r="BI22" s="125">
        <f t="shared" si="46"/>
        <v>-2</v>
      </c>
      <c r="BJ22" s="65">
        <f t="shared" si="47"/>
        <v>0</v>
      </c>
      <c r="BK22" s="17" t="str">
        <f t="shared" si="48"/>
        <v/>
      </c>
      <c r="BL22" s="125">
        <f t="shared" si="49"/>
        <v>0</v>
      </c>
      <c r="CR22" s="20"/>
      <c r="CS22" s="20"/>
      <c r="CV22" s="20"/>
      <c r="CW22" s="20"/>
      <c r="CX22" s="24"/>
      <c r="CY22" s="20"/>
      <c r="CZ22" s="20"/>
      <c r="DA22" s="20"/>
      <c r="DB22" s="20"/>
      <c r="DC22" s="20"/>
      <c r="DD22" s="24"/>
      <c r="DE22" s="20"/>
      <c r="DF22" s="20"/>
      <c r="DG22" s="20"/>
      <c r="DH22" s="24"/>
    </row>
    <row r="23" spans="1:112" ht="19">
      <c r="A23" s="8"/>
      <c r="B23" s="33"/>
      <c r="C23" s="18" t="s">
        <v>25</v>
      </c>
      <c r="D23" s="19">
        <f t="shared" si="0"/>
        <v>0</v>
      </c>
      <c r="E23" s="19">
        <f t="shared" si="0"/>
        <v>14</v>
      </c>
      <c r="F23" s="19">
        <f t="shared" si="1"/>
        <v>9</v>
      </c>
      <c r="G23" s="102">
        <f t="shared" si="2"/>
        <v>8.7777777777777786</v>
      </c>
      <c r="H23" s="515"/>
      <c r="K23" s="15" t="s">
        <v>25</v>
      </c>
      <c r="L23" s="18" t="s">
        <v>25</v>
      </c>
      <c r="M23" s="23">
        <f t="shared" si="3"/>
        <v>8.7777777777777786</v>
      </c>
      <c r="N23" s="526"/>
      <c r="O23" s="46">
        <f>_xlfn.XLOOKUP($K23,$B$51:$B$71,D$51:D$71)</f>
        <v>0.02</v>
      </c>
      <c r="P23" s="46">
        <f>_xlfn.XLOOKUP($K23,$B$51:$B$71,E$51:E$71)</f>
        <v>0</v>
      </c>
      <c r="Q23" s="19">
        <f t="shared" si="6"/>
        <v>14</v>
      </c>
      <c r="R23" s="46" t="str">
        <f t="shared" si="53"/>
        <v>N/A</v>
      </c>
      <c r="S23" s="46" t="str">
        <f t="shared" si="53"/>
        <v>N/A</v>
      </c>
      <c r="T23" s="46" t="str">
        <f t="shared" si="53"/>
        <v>N/A</v>
      </c>
      <c r="U23" s="46">
        <f t="shared" si="53"/>
        <v>28.063416772235762</v>
      </c>
      <c r="V23" s="46">
        <f t="shared" si="53"/>
        <v>0</v>
      </c>
      <c r="W23" s="19">
        <f t="shared" si="12"/>
        <v>12</v>
      </c>
      <c r="X23" s="46">
        <f t="shared" si="54"/>
        <v>32.56641309153968</v>
      </c>
      <c r="Y23" s="46">
        <f t="shared" si="54"/>
        <v>3.8952143242899897</v>
      </c>
      <c r="Z23" s="46">
        <f t="shared" si="54"/>
        <v>0</v>
      </c>
      <c r="AA23" s="19">
        <f t="shared" si="16"/>
        <v>9</v>
      </c>
      <c r="AB23" s="33"/>
      <c r="AC23" s="33"/>
      <c r="AD23" s="15" t="str">
        <f t="shared" si="17"/>
        <v>Suzuki</v>
      </c>
      <c r="AE23" s="18" t="str">
        <f t="shared" si="18"/>
        <v>Suzuki</v>
      </c>
      <c r="AF23" s="23">
        <f t="shared" si="19"/>
        <v>8.7777777777777786</v>
      </c>
      <c r="AG23" s="17" t="str">
        <f t="shared" si="20"/>
        <v>▲</v>
      </c>
      <c r="AH23" s="124">
        <f t="shared" si="21"/>
        <v>5</v>
      </c>
      <c r="AI23" s="66">
        <f t="shared" si="22"/>
        <v>0.02</v>
      </c>
      <c r="AJ23" s="74" t="str">
        <f t="shared" si="23"/>
        <v/>
      </c>
      <c r="AK23" s="126">
        <f t="shared" si="24"/>
        <v>0</v>
      </c>
      <c r="AL23" s="65">
        <f t="shared" si="25"/>
        <v>0</v>
      </c>
      <c r="AM23" s="74" t="str">
        <f t="shared" si="26"/>
        <v/>
      </c>
      <c r="AN23" s="125">
        <f t="shared" si="27"/>
        <v>0</v>
      </c>
      <c r="AO23" s="66" t="str">
        <f t="shared" si="28"/>
        <v>N/A</v>
      </c>
      <c r="AP23" s="74"/>
      <c r="AQ23" s="126"/>
      <c r="AR23" s="65" t="str">
        <f t="shared" si="31"/>
        <v>N/A</v>
      </c>
      <c r="AS23" s="17"/>
      <c r="AT23" s="63"/>
      <c r="AU23" s="65" t="str">
        <f t="shared" si="34"/>
        <v>N/A</v>
      </c>
      <c r="AV23" s="17"/>
      <c r="AW23" s="125"/>
      <c r="AX23" s="66">
        <f t="shared" si="37"/>
        <v>28.063416772235762</v>
      </c>
      <c r="BA23" s="65">
        <f t="shared" si="38"/>
        <v>0</v>
      </c>
      <c r="BB23" s="74" t="str">
        <f t="shared" si="39"/>
        <v/>
      </c>
      <c r="BC23" s="126">
        <f t="shared" si="40"/>
        <v>0</v>
      </c>
      <c r="BD23" s="66">
        <f t="shared" si="41"/>
        <v>32.56641309153968</v>
      </c>
      <c r="BE23" s="74" t="str">
        <f t="shared" si="42"/>
        <v>▲</v>
      </c>
      <c r="BF23" s="126">
        <f t="shared" si="43"/>
        <v>1</v>
      </c>
      <c r="BG23" s="66">
        <f t="shared" si="44"/>
        <v>3.8952143242899897</v>
      </c>
      <c r="BH23" s="17" t="str">
        <f t="shared" si="45"/>
        <v/>
      </c>
      <c r="BI23" s="125">
        <f t="shared" si="46"/>
        <v>0</v>
      </c>
      <c r="BJ23" s="65">
        <f t="shared" si="47"/>
        <v>0</v>
      </c>
      <c r="BK23" s="17" t="str">
        <f t="shared" si="48"/>
        <v/>
      </c>
      <c r="BL23" s="125">
        <f t="shared" si="49"/>
        <v>0</v>
      </c>
      <c r="CV23" s="20"/>
      <c r="CW23" s="20"/>
      <c r="CX23" s="24"/>
      <c r="CY23" s="20"/>
      <c r="CZ23" s="20"/>
      <c r="DA23" s="20"/>
      <c r="DB23" s="20"/>
      <c r="DC23" s="20"/>
      <c r="DD23" s="24"/>
      <c r="DE23" s="20"/>
      <c r="DF23" s="20"/>
      <c r="DG23" s="20"/>
      <c r="DH23" s="24"/>
    </row>
    <row r="24" spans="1:112" ht="16">
      <c r="A24" s="8"/>
    </row>
    <row r="25" spans="1:112" ht="15" customHeight="1">
      <c r="B25" s="21" t="s">
        <v>35</v>
      </c>
      <c r="AX25" s="30"/>
      <c r="AY25" s="96"/>
    </row>
    <row r="26" spans="1:112" ht="47" customHeight="1">
      <c r="B26" s="21"/>
      <c r="C26" s="103" t="s">
        <v>26</v>
      </c>
      <c r="D26" s="104" t="s">
        <v>85</v>
      </c>
      <c r="E26" s="105" t="s">
        <v>30</v>
      </c>
      <c r="F26" s="106" t="s">
        <v>31</v>
      </c>
      <c r="G26" s="26" t="s">
        <v>27</v>
      </c>
      <c r="I26" s="33"/>
      <c r="J26" s="33"/>
      <c r="K26" s="33"/>
      <c r="L26" s="33"/>
      <c r="M26" s="33"/>
      <c r="N26" s="33"/>
      <c r="O26" s="33"/>
      <c r="P26" s="33"/>
      <c r="Q26" s="33"/>
      <c r="R26" s="33"/>
      <c r="S26" s="33"/>
      <c r="T26" s="33"/>
      <c r="U26" s="33"/>
      <c r="V26" s="33"/>
      <c r="W26" s="33"/>
      <c r="X26" s="33"/>
      <c r="Y26" s="33"/>
      <c r="Z26" s="33"/>
      <c r="AA26" s="33"/>
      <c r="AB26" s="33"/>
      <c r="AC26" s="33"/>
      <c r="AD26" s="15"/>
      <c r="AE26" s="127" t="s">
        <v>65</v>
      </c>
      <c r="AF26" s="15" t="s">
        <v>66</v>
      </c>
      <c r="AG26" s="15"/>
      <c r="AH26" s="15"/>
      <c r="AI26" s="15"/>
      <c r="AJ26" s="15" t="s">
        <v>33</v>
      </c>
      <c r="AK26" s="15" t="s">
        <v>34</v>
      </c>
      <c r="AL26" s="15"/>
      <c r="AM26" s="15" t="s">
        <v>36</v>
      </c>
      <c r="AN26" s="15" t="s">
        <v>37</v>
      </c>
      <c r="AO26" s="15" t="s">
        <v>38</v>
      </c>
      <c r="AP26" s="15" t="s">
        <v>39</v>
      </c>
      <c r="AQ26" s="15" t="s">
        <v>40</v>
      </c>
      <c r="AR26" s="15"/>
      <c r="AS26" s="15" t="s">
        <v>41</v>
      </c>
      <c r="AT26" s="15" t="s">
        <v>42</v>
      </c>
      <c r="AU26" s="15" t="s">
        <v>43</v>
      </c>
      <c r="AV26" s="98"/>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U26" s="60"/>
    </row>
    <row r="27" spans="1:112" ht="18" customHeight="1">
      <c r="B27" s="21"/>
      <c r="C27" s="6" t="s">
        <v>22</v>
      </c>
      <c r="D27" s="43">
        <f t="shared" ref="D27:D47" si="55">AVERAGE(ROUND(D51,0),ROUND(E51,0))</f>
        <v>12.5</v>
      </c>
      <c r="E27" s="494">
        <f t="shared" ref="E27:E34" si="56">AVERAGE(ROUND(F51,0),ROUND(G51,0),ROUND(H51,0),ROUND(I51,0),ROUND(J51,0))</f>
        <v>56.4</v>
      </c>
      <c r="F27" s="495">
        <f t="shared" ref="F27:F47" si="57">AVERAGE(ROUND(K51,0),ROUND(L51,0),ROUND(M51,0))</f>
        <v>19.333333333333332</v>
      </c>
      <c r="G27" s="495">
        <f t="shared" ref="G27:G47" si="58">AVERAGE(D27:F27)</f>
        <v>29.411111111111111</v>
      </c>
      <c r="I27" s="33"/>
      <c r="J27" s="33"/>
      <c r="K27" s="33"/>
      <c r="L27" s="33"/>
      <c r="M27" s="33"/>
      <c r="N27" s="33"/>
      <c r="O27" s="75"/>
      <c r="P27" s="75"/>
      <c r="Q27" s="33"/>
      <c r="R27" s="33"/>
      <c r="S27" s="33"/>
      <c r="T27" s="33"/>
      <c r="U27" s="33"/>
      <c r="V27" s="33"/>
      <c r="W27" s="33"/>
      <c r="X27" s="33"/>
      <c r="Y27" s="33"/>
      <c r="Z27" s="33"/>
      <c r="AA27" s="33"/>
      <c r="AB27" s="33"/>
      <c r="AC27" s="113"/>
      <c r="AD27" s="15"/>
      <c r="AE27" s="15" t="str">
        <f t="shared" ref="AE27:AE46" si="59">L3</f>
        <v>Tesla</v>
      </c>
      <c r="AF27" s="15">
        <f>ROUND(_xlfn.XLOOKUP(AE27,$C$51:$C$71,N$51:N$71),0)-ROUND(_xlfn.XLOOKUP(AE27,'Previous GAR scores'!$AD$34:$AD$54,'Previous GAR scores'!$AH$34:$AH$54),0)</f>
        <v>0</v>
      </c>
      <c r="AG27" s="15"/>
      <c r="AH27" s="15"/>
      <c r="AI27" s="15"/>
      <c r="AJ27" s="15">
        <f>ROUND(_xlfn.XLOOKUP($AE27,$C$51:$C$71,D$51:D$71),0)-ROUND(_xlfn.XLOOKUP($AE27,'Previous GAR scores'!$P$34:$P$54,'Previous GAR scores'!Q$34:Q$54),0)</f>
        <v>0</v>
      </c>
      <c r="AK27" s="15">
        <f>ROUND(_xlfn.XLOOKUP($AE27,$C$51:$C$71,E$51:E$71),0)-ROUND(_xlfn.XLOOKUP($AE27,'Previous GAR scores'!$P$34:$P$54,'Previous GAR scores'!R$34:R$54),0)</f>
        <v>0</v>
      </c>
      <c r="AL27" s="15"/>
      <c r="AM27" s="15">
        <f>ROUND(_xlfn.XLOOKUP($AE27,$C$51:$C$71,F$51:F$71),0)-ROUND(_xlfn.XLOOKUP($AE27,'Previous GAR scores'!$P$34:$P$54,'Previous GAR scores'!S$34:S$54),0)</f>
        <v>-12</v>
      </c>
      <c r="AN27" s="15">
        <f>ROUND(_xlfn.XLOOKUP($AE27,$C$51:$C$71,G$51:G$71),0)-ROUND(_xlfn.XLOOKUP($AE27,'Previous GAR scores'!$P$34:$P$54,'Previous GAR scores'!T$34:T$54),0)</f>
        <v>0</v>
      </c>
      <c r="AO27" s="15">
        <f>ROUND(_xlfn.XLOOKUP($AE27,$C$51:$C$71,H$51:H$71),0)-ROUND(_xlfn.XLOOKUP($AE27,'Previous GAR scores'!$P$34:$P$54,'Previous GAR scores'!U$34:U$54),0)</f>
        <v>0</v>
      </c>
      <c r="AP27" s="15">
        <f>ROUND(_xlfn.XLOOKUP($AE27,$C$51:$C$71,I$51:I$71),0)-ROUND(_xlfn.XLOOKUP($AE27,'Previous GAR scores'!$P$34:$P$54,'Previous GAR scores'!V$34:V$54),0)</f>
        <v>20</v>
      </c>
      <c r="AQ27" s="15">
        <f>ROUND(_xlfn.XLOOKUP($AE27,$C$51:$C$71,J$51:J$71),0)-ROUND(_xlfn.XLOOKUP($AE27,'Previous GAR scores'!$P$34:$P$54,'Previous GAR scores'!W$34:W$54),0)</f>
        <v>0</v>
      </c>
      <c r="AR27" s="15"/>
      <c r="AS27" s="15">
        <f>ROUND(_xlfn.XLOOKUP($AE27,$C$51:$C$71,K$51:K$71),0)-ROUND(_xlfn.XLOOKUP($AE27,'Previous GAR scores'!$P$34:$P$54,'Previous GAR scores'!X$34:X$54),0)</f>
        <v>0</v>
      </c>
      <c r="AT27" s="15">
        <f>ROUND(_xlfn.XLOOKUP($AE27,$C$51:$C$71,L$51:L$71),0)-ROUND(_xlfn.XLOOKUP($AE27,'Previous GAR scores'!$P$34:$P$54,'Previous GAR scores'!Y$34:Y$54),0)</f>
        <v>0</v>
      </c>
      <c r="AU27" s="15">
        <f>ROUND(_xlfn.XLOOKUP($AE27,$C$51:$C$71,M$51:M$71),0)-ROUND(_xlfn.XLOOKUP($AE27,'Previous GAR scores'!$P$34:$P$54,'Previous GAR scores'!Z$34:Z$54),0)</f>
        <v>0</v>
      </c>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row>
    <row r="28" spans="1:112" ht="17" customHeight="1">
      <c r="B28" s="21"/>
      <c r="C28" s="6" t="s">
        <v>14</v>
      </c>
      <c r="D28" s="43">
        <f t="shared" si="55"/>
        <v>34.5</v>
      </c>
      <c r="E28" s="494">
        <f t="shared" si="56"/>
        <v>67.2</v>
      </c>
      <c r="F28" s="495">
        <f t="shared" si="57"/>
        <v>36.666666666666664</v>
      </c>
      <c r="G28" s="495">
        <f t="shared" si="58"/>
        <v>46.122222222222227</v>
      </c>
      <c r="I28" s="33"/>
      <c r="J28" s="33"/>
      <c r="K28" s="33"/>
      <c r="L28" s="33"/>
      <c r="M28" s="33"/>
      <c r="N28" s="33"/>
      <c r="O28" s="75"/>
      <c r="P28" s="75"/>
      <c r="Q28" s="33"/>
      <c r="R28" s="33"/>
      <c r="S28" s="33"/>
      <c r="T28" s="33"/>
      <c r="U28" s="33"/>
      <c r="V28" s="33"/>
      <c r="W28" s="33"/>
      <c r="X28" s="33"/>
      <c r="Y28" s="33"/>
      <c r="Z28" s="33"/>
      <c r="AA28" s="33"/>
      <c r="AB28" s="33"/>
      <c r="AC28" s="113"/>
      <c r="AD28" s="15"/>
      <c r="AE28" s="15" t="str">
        <f t="shared" si="59"/>
        <v>BYD</v>
      </c>
      <c r="AF28" s="15">
        <f>ROUND(_xlfn.XLOOKUP(AE28,$C$51:$C$71,N$51:N$71),0)-ROUND(_xlfn.XLOOKUP(AE28,'Previous GAR scores'!$AD$34:$AD$54,'Previous GAR scores'!$AH$34:$AH$54),0)</f>
        <v>0</v>
      </c>
      <c r="AG28" s="15"/>
      <c r="AH28" s="15"/>
      <c r="AI28" s="15"/>
      <c r="AJ28" s="15">
        <f>ROUND(_xlfn.XLOOKUP($AE28,$C$51:$C$71,D$51:D$71),0)-ROUND(_xlfn.XLOOKUP($AE28,'Previous GAR scores'!$P$34:$P$54,'Previous GAR scores'!Q$34:Q$54),0)</f>
        <v>-1</v>
      </c>
      <c r="AK28" s="15">
        <f>ROUND(_xlfn.XLOOKUP($AE28,$C$51:$C$71,E$51:E$71),0)-ROUND(_xlfn.XLOOKUP($AE28,'Previous GAR scores'!$P$34:$P$54,'Previous GAR scores'!R$34:R$54),0)</f>
        <v>-1</v>
      </c>
      <c r="AL28" s="15"/>
      <c r="AM28" s="15">
        <f>ROUND(_xlfn.XLOOKUP($AE28,$C$51:$C$71,F$51:F$71),0)-ROUND(_xlfn.XLOOKUP($AE28,'Previous GAR scores'!$P$34:$P$54,'Previous GAR scores'!S$34:S$54),0)</f>
        <v>-4</v>
      </c>
      <c r="AN28" s="15">
        <f>ROUND(_xlfn.XLOOKUP($AE28,$C$51:$C$71,G$51:G$71),0)-ROUND(_xlfn.XLOOKUP($AE28,'Previous GAR scores'!$P$34:$P$54,'Previous GAR scores'!T$34:T$54),0)</f>
        <v>0</v>
      </c>
      <c r="AO28" s="15">
        <f>ROUND(_xlfn.XLOOKUP($AE28,$C$51:$C$71,H$51:H$71),0)-ROUND(_xlfn.XLOOKUP($AE28,'Previous GAR scores'!$P$34:$P$54,'Previous GAR scores'!U$34:U$54),0)</f>
        <v>-4</v>
      </c>
      <c r="AP28" s="15">
        <f>ROUND(_xlfn.XLOOKUP($AE28,$C$51:$C$71,I$51:I$71),0)-ROUND(_xlfn.XLOOKUP($AE28,'Previous GAR scores'!$P$34:$P$54,'Previous GAR scores'!V$34:V$54),0)</f>
        <v>15</v>
      </c>
      <c r="AQ28" s="15">
        <f>ROUND(_xlfn.XLOOKUP($AE28,$C$51:$C$71,J$51:J$71),0)-ROUND(_xlfn.XLOOKUP($AE28,'Previous GAR scores'!$P$34:$P$54,'Previous GAR scores'!W$34:W$54),0)</f>
        <v>-1</v>
      </c>
      <c r="AR28" s="15"/>
      <c r="AS28" s="15">
        <f>ROUND(_xlfn.XLOOKUP($AE28,$C$51:$C$71,K$51:K$71),0)-ROUND(_xlfn.XLOOKUP($AE28,'Previous GAR scores'!$P$34:$P$54,'Previous GAR scores'!X$34:X$54),0)</f>
        <v>-1</v>
      </c>
      <c r="AT28" s="15">
        <f>ROUND(_xlfn.XLOOKUP($AE28,$C$51:$C$71,L$51:L$71),0)-ROUND(_xlfn.XLOOKUP($AE28,'Previous GAR scores'!$P$34:$P$54,'Previous GAR scores'!Y$34:Y$54),0)</f>
        <v>5</v>
      </c>
      <c r="AU28" s="15">
        <f>ROUND(_xlfn.XLOOKUP($AE28,$C$51:$C$71,M$51:M$71),0)-ROUND(_xlfn.XLOOKUP($AE28,'Previous GAR scores'!$P$34:$P$54,'Previous GAR scores'!Z$34:Z$54),0)</f>
        <v>0</v>
      </c>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row>
    <row r="29" spans="1:112" ht="16">
      <c r="B29" s="21"/>
      <c r="C29" s="6" t="s">
        <v>18</v>
      </c>
      <c r="D29" s="43">
        <f t="shared" si="55"/>
        <v>17.5</v>
      </c>
      <c r="E29" s="494">
        <f t="shared" si="56"/>
        <v>54.6</v>
      </c>
      <c r="F29" s="495">
        <f t="shared" si="57"/>
        <v>25.666666666666668</v>
      </c>
      <c r="G29" s="495">
        <f t="shared" si="58"/>
        <v>32.588888888888889</v>
      </c>
      <c r="N29" s="33"/>
      <c r="O29" s="75"/>
      <c r="P29" s="75"/>
      <c r="Q29" s="33"/>
      <c r="R29" s="33"/>
      <c r="S29" s="33"/>
      <c r="T29" s="33"/>
      <c r="U29" s="33"/>
      <c r="V29" s="33"/>
      <c r="W29" s="33"/>
      <c r="X29" s="33"/>
      <c r="Y29" s="33"/>
      <c r="Z29" s="33"/>
      <c r="AA29" s="33"/>
      <c r="AB29" s="33"/>
      <c r="AC29" s="113"/>
      <c r="AD29" s="15"/>
      <c r="AE29" s="15" t="str">
        <f t="shared" si="59"/>
        <v>Geely</v>
      </c>
      <c r="AF29" s="15">
        <f>ROUND(_xlfn.XLOOKUP(AE29,$C$51:$C$71,N$51:N$71),0)-ROUND(_xlfn.XLOOKUP(AE29,'Previous GAR scores'!$AD$34:$AD$54,'Previous GAR scores'!$AH$34:$AH$54),0)</f>
        <v>8</v>
      </c>
      <c r="AG29" s="15"/>
      <c r="AH29" s="15"/>
      <c r="AI29" s="15"/>
      <c r="AJ29" s="15">
        <f>ROUND(_xlfn.XLOOKUP($AE29,$C$51:$C$71,D$51:D$71),0)-ROUND(_xlfn.XLOOKUP($AE29,'Previous GAR scores'!$P$34:$P$54,'Previous GAR scores'!Q$34:Q$54),0)</f>
        <v>13</v>
      </c>
      <c r="AK29" s="15">
        <f>ROUND(_xlfn.XLOOKUP($AE29,$C$51:$C$71,E$51:E$71),0)-ROUND(_xlfn.XLOOKUP($AE29,'Previous GAR scores'!$P$34:$P$54,'Previous GAR scores'!R$34:R$54),0)</f>
        <v>16</v>
      </c>
      <c r="AL29" s="15"/>
      <c r="AM29" s="15">
        <f>ROUND(_xlfn.XLOOKUP($AE29,$C$51:$C$71,F$51:F$71),0)-ROUND(_xlfn.XLOOKUP($AE29,'Previous GAR scores'!$P$34:$P$54,'Previous GAR scores'!S$34:S$54),0)</f>
        <v>14</v>
      </c>
      <c r="AN29" s="15">
        <f>ROUND(_xlfn.XLOOKUP($AE29,$C$51:$C$71,G$51:G$71),0)-ROUND(_xlfn.XLOOKUP($AE29,'Previous GAR scores'!$P$34:$P$54,'Previous GAR scores'!T$34:T$54),0)</f>
        <v>12</v>
      </c>
      <c r="AO29" s="15">
        <f>ROUND(_xlfn.XLOOKUP($AE29,$C$51:$C$71,H$51:H$71),0)-ROUND(_xlfn.XLOOKUP($AE29,'Previous GAR scores'!$P$34:$P$54,'Previous GAR scores'!U$34:U$54),0)</f>
        <v>12</v>
      </c>
      <c r="AP29" s="15">
        <f>ROUND(_xlfn.XLOOKUP($AE29,$C$51:$C$71,I$51:I$71),0)-ROUND(_xlfn.XLOOKUP($AE29,'Previous GAR scores'!$P$34:$P$54,'Previous GAR scores'!V$34:V$54),0)</f>
        <v>37</v>
      </c>
      <c r="AQ29" s="15">
        <f>ROUND(_xlfn.XLOOKUP($AE29,$C$51:$C$71,J$51:J$71),0)-ROUND(_xlfn.XLOOKUP($AE29,'Previous GAR scores'!$P$34:$P$54,'Previous GAR scores'!W$34:W$54),0)</f>
        <v>-1</v>
      </c>
      <c r="AR29" s="15"/>
      <c r="AS29" s="15">
        <f>ROUND(_xlfn.XLOOKUP($AE29,$C$51:$C$71,K$51:K$71),0)-ROUND(_xlfn.XLOOKUP($AE29,'Previous GAR scores'!$P$34:$P$54,'Previous GAR scores'!X$34:X$54),0)</f>
        <v>-11</v>
      </c>
      <c r="AT29" s="15">
        <f>ROUND(_xlfn.XLOOKUP($AE29,$C$51:$C$71,L$51:L$71),0)-ROUND(_xlfn.XLOOKUP($AE29,'Previous GAR scores'!$P$34:$P$54,'Previous GAR scores'!Y$34:Y$54),0)</f>
        <v>1</v>
      </c>
      <c r="AU29" s="15">
        <f>ROUND(_xlfn.XLOOKUP($AE29,$C$51:$C$71,M$51:M$71),0)-ROUND(_xlfn.XLOOKUP($AE29,'Previous GAR scores'!$P$34:$P$54,'Previous GAR scores'!Z$34:Z$54),0)</f>
        <v>-3</v>
      </c>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row>
    <row r="30" spans="1:112" ht="16">
      <c r="B30" s="21"/>
      <c r="C30" s="6" t="s">
        <v>17</v>
      </c>
      <c r="D30" s="43">
        <f t="shared" si="55"/>
        <v>39</v>
      </c>
      <c r="E30" s="494">
        <f t="shared" si="56"/>
        <v>44.4</v>
      </c>
      <c r="F30" s="495">
        <f t="shared" si="57"/>
        <v>73</v>
      </c>
      <c r="G30" s="495">
        <f t="shared" si="58"/>
        <v>52.133333333333333</v>
      </c>
      <c r="N30" s="33"/>
      <c r="O30" s="75"/>
      <c r="P30" s="75"/>
      <c r="Q30" s="33"/>
      <c r="R30" s="33"/>
      <c r="S30" s="33"/>
      <c r="T30" s="33"/>
      <c r="U30" s="33"/>
      <c r="V30" s="33"/>
      <c r="W30" s="33"/>
      <c r="X30" s="33"/>
      <c r="Y30" s="33"/>
      <c r="Z30" s="33"/>
      <c r="AA30" s="33"/>
      <c r="AB30" s="33"/>
      <c r="AC30" s="113"/>
      <c r="AD30" s="15"/>
      <c r="AE30" s="15" t="str">
        <f t="shared" si="59"/>
        <v>SAIC</v>
      </c>
      <c r="AF30" s="15">
        <f>ROUND(_xlfn.XLOOKUP(AE30,$C$51:$C$71,N$51:N$71),0)-ROUND(_xlfn.XLOOKUP(AE30,'Previous GAR scores'!$AD$34:$AD$54,'Previous GAR scores'!$AH$34:$AH$54),0)</f>
        <v>2</v>
      </c>
      <c r="AG30" s="15"/>
      <c r="AH30" s="15"/>
      <c r="AI30" s="15"/>
      <c r="AJ30" s="15">
        <f>ROUND(_xlfn.XLOOKUP($AE30,$C$51:$C$71,D$51:D$71),0)-ROUND(_xlfn.XLOOKUP($AE30,'Previous GAR scores'!$P$34:$P$54,'Previous GAR scores'!Q$34:Q$54),0)</f>
        <v>7</v>
      </c>
      <c r="AK30" s="15">
        <f>ROUND(_xlfn.XLOOKUP($AE30,$C$51:$C$71,E$51:E$71),0)-ROUND(_xlfn.XLOOKUP($AE30,'Previous GAR scores'!$P$34:$P$54,'Previous GAR scores'!R$34:R$54),0)</f>
        <v>0</v>
      </c>
      <c r="AL30" s="15"/>
      <c r="AM30" s="15">
        <f>ROUND(_xlfn.XLOOKUP($AE30,$C$51:$C$71,F$51:F$71),0)-ROUND(_xlfn.XLOOKUP($AE30,'Previous GAR scores'!$P$34:$P$54,'Previous GAR scores'!S$34:S$54),0)</f>
        <v>5</v>
      </c>
      <c r="AN30" s="15">
        <f>ROUND(_xlfn.XLOOKUP($AE30,$C$51:$C$71,G$51:G$71),0)-ROUND(_xlfn.XLOOKUP($AE30,'Previous GAR scores'!$P$34:$P$54,'Previous GAR scores'!T$34:T$54),0)</f>
        <v>1</v>
      </c>
      <c r="AO30" s="15">
        <f>ROUND(_xlfn.XLOOKUP($AE30,$C$51:$C$71,H$51:H$71),0)-ROUND(_xlfn.XLOOKUP($AE30,'Previous GAR scores'!$P$34:$P$54,'Previous GAR scores'!U$34:U$54),0)</f>
        <v>3</v>
      </c>
      <c r="AP30" s="15">
        <f>ROUND(_xlfn.XLOOKUP($AE30,$C$51:$C$71,I$51:I$71),0)-ROUND(_xlfn.XLOOKUP($AE30,'Previous GAR scores'!$P$34:$P$54,'Previous GAR scores'!V$34:V$54),0)</f>
        <v>16</v>
      </c>
      <c r="AQ30" s="15">
        <f>ROUND(_xlfn.XLOOKUP($AE30,$C$51:$C$71,J$51:J$71),0)-ROUND(_xlfn.XLOOKUP($AE30,'Previous GAR scores'!$P$34:$P$54,'Previous GAR scores'!W$34:W$54),0)</f>
        <v>1</v>
      </c>
      <c r="AR30" s="15"/>
      <c r="AS30" s="15">
        <f>ROUND(_xlfn.XLOOKUP($AE30,$C$51:$C$71,K$51:K$71),0)-ROUND(_xlfn.XLOOKUP($AE30,'Previous GAR scores'!$P$34:$P$54,'Previous GAR scores'!X$34:X$54),0)</f>
        <v>-2</v>
      </c>
      <c r="AT30" s="15">
        <f>ROUND(_xlfn.XLOOKUP($AE30,$C$51:$C$71,L$51:L$71),0)-ROUND(_xlfn.XLOOKUP($AE30,'Previous GAR scores'!$P$34:$P$54,'Previous GAR scores'!Y$34:Y$54),0)</f>
        <v>-2</v>
      </c>
      <c r="AU30" s="15">
        <f>ROUND(_xlfn.XLOOKUP($AE30,$C$51:$C$71,M$51:M$71),0)-ROUND(_xlfn.XLOOKUP($AE30,'Previous GAR scores'!$P$34:$P$54,'Previous GAR scores'!Z$34:Z$54),0)</f>
        <v>0</v>
      </c>
      <c r="AV30" s="99"/>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row>
    <row r="31" spans="1:112" ht="23" customHeight="1">
      <c r="B31" s="21"/>
      <c r="C31" s="6" t="s">
        <v>23</v>
      </c>
      <c r="D31" s="43">
        <f t="shared" si="55"/>
        <v>6.5</v>
      </c>
      <c r="E31" s="494">
        <f t="shared" si="56"/>
        <v>50.4</v>
      </c>
      <c r="F31" s="495">
        <f t="shared" si="57"/>
        <v>28.333333333333332</v>
      </c>
      <c r="G31" s="495">
        <f t="shared" si="58"/>
        <v>28.411111111111111</v>
      </c>
      <c r="I31" s="33"/>
      <c r="J31" s="33"/>
      <c r="K31" s="33"/>
      <c r="L31" s="33"/>
      <c r="M31" s="33"/>
      <c r="N31" s="33"/>
      <c r="O31" s="75"/>
      <c r="P31" s="75"/>
      <c r="Q31" s="33"/>
      <c r="R31" s="33"/>
      <c r="S31" s="33"/>
      <c r="T31" s="33"/>
      <c r="U31" s="33"/>
      <c r="V31" s="33"/>
      <c r="W31" s="33"/>
      <c r="X31" s="33"/>
      <c r="Y31" s="33"/>
      <c r="Z31" s="33"/>
      <c r="AA31" s="33"/>
      <c r="AB31" s="33"/>
      <c r="AC31" s="113"/>
      <c r="AD31" s="15"/>
      <c r="AE31" s="15" t="str">
        <f t="shared" si="59"/>
        <v>BMW</v>
      </c>
      <c r="AF31" s="15">
        <f>ROUND(_xlfn.XLOOKUP(AE31,$C$51:$C$71,N$51:N$71),0)-ROUND(_xlfn.XLOOKUP(AE31,'Previous GAR scores'!$AD$34:$AD$54,'Previous GAR scores'!$AH$34:$AH$54),0)</f>
        <v>-5</v>
      </c>
      <c r="AG31" s="15"/>
      <c r="AH31" s="15"/>
      <c r="AI31" s="15"/>
      <c r="AJ31" s="15">
        <f>ROUND(_xlfn.XLOOKUP($AE31,$C$51:$C$71,D$51:D$71),0)-ROUND(_xlfn.XLOOKUP($AE31,'Previous GAR scores'!$P$34:$P$54,'Previous GAR scores'!Q$34:Q$54),0)</f>
        <v>2</v>
      </c>
      <c r="AK31" s="15">
        <f>ROUND(_xlfn.XLOOKUP($AE31,$C$51:$C$71,E$51:E$71),0)-ROUND(_xlfn.XLOOKUP($AE31,'Previous GAR scores'!$P$34:$P$54,'Previous GAR scores'!R$34:R$54),0)</f>
        <v>-1</v>
      </c>
      <c r="AL31" s="15"/>
      <c r="AM31" s="15">
        <f>ROUND(_xlfn.XLOOKUP($AE31,$C$51:$C$71,F$51:F$71),0)-ROUND(_xlfn.XLOOKUP($AE31,'Previous GAR scores'!$P$34:$P$54,'Previous GAR scores'!S$34:S$54),0)</f>
        <v>-3</v>
      </c>
      <c r="AN31" s="15">
        <f>ROUND(_xlfn.XLOOKUP($AE31,$C$51:$C$71,G$51:G$71),0)-ROUND(_xlfn.XLOOKUP($AE31,'Previous GAR scores'!$P$34:$P$54,'Previous GAR scores'!T$34:T$54),0)</f>
        <v>-3</v>
      </c>
      <c r="AO31" s="15">
        <f>ROUND(_xlfn.XLOOKUP($AE31,$C$51:$C$71,H$51:H$71),0)-ROUND(_xlfn.XLOOKUP($AE31,'Previous GAR scores'!$P$34:$P$54,'Previous GAR scores'!U$34:U$54),0)</f>
        <v>-3</v>
      </c>
      <c r="AP31" s="15">
        <f>ROUND(_xlfn.XLOOKUP($AE31,$C$51:$C$71,I$51:I$71),0)-ROUND(_xlfn.XLOOKUP($AE31,'Previous GAR scores'!$P$34:$P$54,'Previous GAR scores'!V$34:V$54),0)</f>
        <v>-22</v>
      </c>
      <c r="AQ31" s="15">
        <f>ROUND(_xlfn.XLOOKUP($AE31,$C$51:$C$71,J$51:J$71),0)-ROUND(_xlfn.XLOOKUP($AE31,'Previous GAR scores'!$P$34:$P$54,'Previous GAR scores'!W$34:W$54),0)</f>
        <v>-9</v>
      </c>
      <c r="AR31" s="15"/>
      <c r="AS31" s="15">
        <f>ROUND(_xlfn.XLOOKUP($AE31,$C$51:$C$71,K$51:K$71),0)-ROUND(_xlfn.XLOOKUP($AE31,'Previous GAR scores'!$P$34:$P$54,'Previous GAR scores'!X$34:X$54),0)</f>
        <v>-16</v>
      </c>
      <c r="AT31" s="15">
        <f>ROUND(_xlfn.XLOOKUP($AE31,$C$51:$C$71,L$51:L$71),0)-ROUND(_xlfn.XLOOKUP($AE31,'Previous GAR scores'!$P$34:$P$54,'Previous GAR scores'!Y$34:Y$54),0)</f>
        <v>1</v>
      </c>
      <c r="AU31" s="15">
        <f>ROUND(_xlfn.XLOOKUP($AE31,$C$51:$C$71,M$51:M$71),0)-ROUND(_xlfn.XLOOKUP($AE31,'Previous GAR scores'!$P$34:$P$54,'Previous GAR scores'!Z$34:Z$54),0)</f>
        <v>-8</v>
      </c>
      <c r="AV31" s="99"/>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row>
    <row r="32" spans="1:112" ht="16">
      <c r="B32" s="21"/>
      <c r="C32" s="6" t="s">
        <v>19</v>
      </c>
      <c r="D32" s="43">
        <f t="shared" si="55"/>
        <v>11.5</v>
      </c>
      <c r="E32" s="494">
        <f t="shared" si="56"/>
        <v>71</v>
      </c>
      <c r="F32" s="495">
        <f t="shared" si="57"/>
        <v>37.666666666666664</v>
      </c>
      <c r="G32" s="495">
        <f t="shared" si="58"/>
        <v>40.05555555555555</v>
      </c>
      <c r="I32" s="33"/>
      <c r="J32" s="33"/>
      <c r="K32" s="33"/>
      <c r="L32" s="33"/>
      <c r="M32" s="33"/>
      <c r="N32" s="33"/>
      <c r="O32" s="75"/>
      <c r="P32" s="75"/>
      <c r="Q32" s="33"/>
      <c r="R32" s="33"/>
      <c r="S32" s="33"/>
      <c r="T32" s="33"/>
      <c r="U32" s="33"/>
      <c r="V32" s="33"/>
      <c r="W32" s="33"/>
      <c r="X32" s="33"/>
      <c r="Y32" s="33"/>
      <c r="Z32" s="33"/>
      <c r="AA32" s="33"/>
      <c r="AB32" s="33"/>
      <c r="AC32" s="113"/>
      <c r="AD32" s="15"/>
      <c r="AE32" s="15" t="str">
        <f t="shared" si="59"/>
        <v>Stellantis</v>
      </c>
      <c r="AF32" s="15">
        <f>ROUND(_xlfn.XLOOKUP(AE32,$C$51:$C$71,N$51:N$71),0)-ROUND(_xlfn.XLOOKUP(AE32,'Previous GAR scores'!$AD$34:$AD$54,'Previous GAR scores'!$AH$34:$AH$54),0)</f>
        <v>3</v>
      </c>
      <c r="AG32" s="15"/>
      <c r="AH32" s="15"/>
      <c r="AI32" s="15"/>
      <c r="AJ32" s="15">
        <f>ROUND(_xlfn.XLOOKUP($AE32,$C$51:$C$71,D$51:D$71),0)-ROUND(_xlfn.XLOOKUP($AE32,'Previous GAR scores'!$P$34:$P$54,'Previous GAR scores'!Q$34:Q$54),0)</f>
        <v>-1</v>
      </c>
      <c r="AK32" s="15">
        <f>ROUND(_xlfn.XLOOKUP($AE32,$C$51:$C$71,E$51:E$71),0)-ROUND(_xlfn.XLOOKUP($AE32,'Previous GAR scores'!$P$34:$P$54,'Previous GAR scores'!R$34:R$54),0)</f>
        <v>2</v>
      </c>
      <c r="AL32" s="15"/>
      <c r="AM32" s="15">
        <f>ROUND(_xlfn.XLOOKUP($AE32,$C$51:$C$71,F$51:F$71),0)-ROUND(_xlfn.XLOOKUP($AE32,'Previous GAR scores'!$P$34:$P$54,'Previous GAR scores'!S$34:S$54),0)</f>
        <v>2</v>
      </c>
      <c r="AN32" s="15">
        <f>ROUND(_xlfn.XLOOKUP($AE32,$C$51:$C$71,G$51:G$71),0)-ROUND(_xlfn.XLOOKUP($AE32,'Previous GAR scores'!$P$34:$P$54,'Previous GAR scores'!T$34:T$54),0)</f>
        <v>-2</v>
      </c>
      <c r="AO32" s="15">
        <f>ROUND(_xlfn.XLOOKUP($AE32,$C$51:$C$71,H$51:H$71),0)-ROUND(_xlfn.XLOOKUP($AE32,'Previous GAR scores'!$P$34:$P$54,'Previous GAR scores'!U$34:U$54),0)</f>
        <v>3</v>
      </c>
      <c r="AP32" s="15">
        <f>ROUND(_xlfn.XLOOKUP($AE32,$C$51:$C$71,I$51:I$71),0)-ROUND(_xlfn.XLOOKUP($AE32,'Previous GAR scores'!$P$34:$P$54,'Previous GAR scores'!V$34:V$54),0)</f>
        <v>25</v>
      </c>
      <c r="AQ32" s="15">
        <f>ROUND(_xlfn.XLOOKUP($AE32,$C$51:$C$71,J$51:J$71),0)-ROUND(_xlfn.XLOOKUP($AE32,'Previous GAR scores'!$P$34:$P$54,'Previous GAR scores'!W$34:W$54),0)</f>
        <v>-2</v>
      </c>
      <c r="AR32" s="15"/>
      <c r="AS32" s="15">
        <f>ROUND(_xlfn.XLOOKUP($AE32,$C$51:$C$71,K$51:K$71),0)-ROUND(_xlfn.XLOOKUP($AE32,'Previous GAR scores'!$P$34:$P$54,'Previous GAR scores'!X$34:X$54),0)</f>
        <v>0</v>
      </c>
      <c r="AT32" s="15">
        <f>ROUND(_xlfn.XLOOKUP($AE32,$C$51:$C$71,L$51:L$71),0)-ROUND(_xlfn.XLOOKUP($AE32,'Previous GAR scores'!$P$34:$P$54,'Previous GAR scores'!Y$34:Y$54),0)</f>
        <v>12</v>
      </c>
      <c r="AU32" s="15">
        <f>ROUND(_xlfn.XLOOKUP($AE32,$C$51:$C$71,M$51:M$71),0)-ROUND(_xlfn.XLOOKUP($AE32,'Previous GAR scores'!$P$34:$P$54,'Previous GAR scores'!Z$34:Z$54),0)</f>
        <v>0</v>
      </c>
      <c r="AV32" s="99"/>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row>
    <row r="33" spans="2:98" ht="16">
      <c r="B33" s="21"/>
      <c r="C33" s="6" t="s">
        <v>20</v>
      </c>
      <c r="D33" s="43">
        <f t="shared" si="55"/>
        <v>17.5</v>
      </c>
      <c r="E33" s="494">
        <f t="shared" si="56"/>
        <v>59.8</v>
      </c>
      <c r="F33" s="495">
        <f t="shared" si="57"/>
        <v>27.333333333333332</v>
      </c>
      <c r="G33" s="495">
        <f t="shared" si="58"/>
        <v>34.877777777777773</v>
      </c>
      <c r="I33" s="33"/>
      <c r="J33" s="33"/>
      <c r="K33" s="33"/>
      <c r="L33" s="33"/>
      <c r="M33" s="33"/>
      <c r="N33" s="33"/>
      <c r="O33" s="75"/>
      <c r="P33" s="75"/>
      <c r="Q33" s="33"/>
      <c r="R33" s="33"/>
      <c r="S33" s="33"/>
      <c r="T33" s="33"/>
      <c r="U33" s="33"/>
      <c r="V33" s="33"/>
      <c r="W33" s="33"/>
      <c r="X33" s="33"/>
      <c r="Y33" s="33"/>
      <c r="Z33" s="33"/>
      <c r="AA33" s="33"/>
      <c r="AB33" s="33"/>
      <c r="AC33" s="113"/>
      <c r="AD33" s="15"/>
      <c r="AE33" s="15" t="str">
        <f t="shared" si="59"/>
        <v>Mercedes-benz</v>
      </c>
      <c r="AF33" s="15">
        <f>ROUND(_xlfn.XLOOKUP(AE33,$C$51:$C$71,N$51:N$71),0)-ROUND(_xlfn.XLOOKUP(AE33,'Previous GAR scores'!$AD$34:$AD$54,'Previous GAR scores'!$AH$34:$AH$54),0)</f>
        <v>-1</v>
      </c>
      <c r="AG33" s="15"/>
      <c r="AH33" s="15"/>
      <c r="AI33" s="15"/>
      <c r="AJ33" s="15">
        <f>ROUND(_xlfn.XLOOKUP($AE33,$C$51:$C$71,D$51:D$71),0)-ROUND(_xlfn.XLOOKUP($AE33,'Previous GAR scores'!$P$34:$P$54,'Previous GAR scores'!Q$34:Q$54),0)</f>
        <v>-1</v>
      </c>
      <c r="AK33" s="15">
        <f>ROUND(_xlfn.XLOOKUP($AE33,$C$51:$C$71,E$51:E$71),0)-ROUND(_xlfn.XLOOKUP($AE33,'Previous GAR scores'!$P$34:$P$54,'Previous GAR scores'!R$34:R$54),0)</f>
        <v>2</v>
      </c>
      <c r="AL33" s="15"/>
      <c r="AM33" s="15">
        <f>ROUND(_xlfn.XLOOKUP($AE33,$C$51:$C$71,F$51:F$71),0)-ROUND(_xlfn.XLOOKUP($AE33,'Previous GAR scores'!$P$34:$P$54,'Previous GAR scores'!S$34:S$54),0)</f>
        <v>-1</v>
      </c>
      <c r="AN33" s="15">
        <f>ROUND(_xlfn.XLOOKUP($AE33,$C$51:$C$71,G$51:G$71),0)-ROUND(_xlfn.XLOOKUP($AE33,'Previous GAR scores'!$P$34:$P$54,'Previous GAR scores'!T$34:T$54),0)</f>
        <v>1</v>
      </c>
      <c r="AO33" s="15">
        <f>ROUND(_xlfn.XLOOKUP($AE33,$C$51:$C$71,H$51:H$71),0)-ROUND(_xlfn.XLOOKUP($AE33,'Previous GAR scores'!$P$34:$P$54,'Previous GAR scores'!U$34:U$54),0)</f>
        <v>2</v>
      </c>
      <c r="AP33" s="15">
        <f>ROUND(_xlfn.XLOOKUP($AE33,$C$51:$C$71,I$51:I$71),0)-ROUND(_xlfn.XLOOKUP($AE33,'Previous GAR scores'!$P$34:$P$54,'Previous GAR scores'!V$34:V$54),0)</f>
        <v>0</v>
      </c>
      <c r="AQ33" s="15">
        <f>ROUND(_xlfn.XLOOKUP($AE33,$C$51:$C$71,J$51:J$71),0)-ROUND(_xlfn.XLOOKUP($AE33,'Previous GAR scores'!$P$34:$P$54,'Previous GAR scores'!W$34:W$54),0)</f>
        <v>-2</v>
      </c>
      <c r="AR33" s="15"/>
      <c r="AS33" s="15">
        <f>ROUND(_xlfn.XLOOKUP($AE33,$C$51:$C$71,K$51:K$71),0)-ROUND(_xlfn.XLOOKUP($AE33,'Previous GAR scores'!$P$34:$P$54,'Previous GAR scores'!X$34:X$54),0)</f>
        <v>-1</v>
      </c>
      <c r="AT33" s="15">
        <f>ROUND(_xlfn.XLOOKUP($AE33,$C$51:$C$71,L$51:L$71),0)-ROUND(_xlfn.XLOOKUP($AE33,'Previous GAR scores'!$P$34:$P$54,'Previous GAR scores'!Y$34:Y$54),0)</f>
        <v>0</v>
      </c>
      <c r="AU33" s="15">
        <f>ROUND(_xlfn.XLOOKUP($AE33,$C$51:$C$71,M$51:M$71),0)-ROUND(_xlfn.XLOOKUP($AE33,'Previous GAR scores'!$P$34:$P$54,'Previous GAR scores'!Z$34:Z$54),0)</f>
        <v>-3</v>
      </c>
      <c r="AV33" s="99"/>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row>
    <row r="34" spans="2:98" ht="22" customHeight="1">
      <c r="B34" s="21"/>
      <c r="C34" s="6" t="s">
        <v>21</v>
      </c>
      <c r="D34" s="43">
        <f t="shared" si="55"/>
        <v>16.5</v>
      </c>
      <c r="E34" s="494">
        <f t="shared" si="56"/>
        <v>27.6</v>
      </c>
      <c r="F34" s="495">
        <f t="shared" si="57"/>
        <v>26</v>
      </c>
      <c r="G34" s="495">
        <f t="shared" si="58"/>
        <v>23.366666666666664</v>
      </c>
      <c r="I34" s="33"/>
      <c r="O34" s="75"/>
      <c r="P34" s="75"/>
      <c r="Q34" s="33"/>
      <c r="R34" s="33"/>
      <c r="S34" s="33"/>
      <c r="T34" s="33"/>
      <c r="U34" s="33"/>
      <c r="V34" s="33"/>
      <c r="W34" s="33"/>
      <c r="X34" s="33"/>
      <c r="Y34" s="33"/>
      <c r="Z34" s="33"/>
      <c r="AA34" s="33"/>
      <c r="AB34" s="33"/>
      <c r="AC34" s="113"/>
      <c r="AD34" s="15"/>
      <c r="AE34" s="15" t="str">
        <f t="shared" si="59"/>
        <v>VW</v>
      </c>
      <c r="AF34" s="15">
        <f>ROUND(_xlfn.XLOOKUP(AE34,$C$51:$C$71,N$51:N$71),0)-ROUND(_xlfn.XLOOKUP(AE34,'Previous GAR scores'!$AD$34:$AD$54,'Previous GAR scores'!$AH$34:$AH$54),0)</f>
        <v>-2</v>
      </c>
      <c r="AG34" s="15"/>
      <c r="AH34" s="15"/>
      <c r="AI34" s="15"/>
      <c r="AJ34" s="15">
        <f>ROUND(_xlfn.XLOOKUP($AE34,$C$51:$C$71,D$51:D$71),0)-ROUND(_xlfn.XLOOKUP($AE34,'Previous GAR scores'!$P$34:$P$54,'Previous GAR scores'!Q$34:Q$54),0)</f>
        <v>-1</v>
      </c>
      <c r="AK34" s="15">
        <f>ROUND(_xlfn.XLOOKUP($AE34,$C$51:$C$71,E$51:E$71),0)-ROUND(_xlfn.XLOOKUP($AE34,'Previous GAR scores'!$P$34:$P$54,'Previous GAR scores'!R$34:R$54),0)</f>
        <v>0</v>
      </c>
      <c r="AL34" s="15"/>
      <c r="AM34" s="15">
        <f>ROUND(_xlfn.XLOOKUP($AE34,$C$51:$C$71,F$51:F$71),0)-ROUND(_xlfn.XLOOKUP($AE34,'Previous GAR scores'!$P$34:$P$54,'Previous GAR scores'!S$34:S$54),0)</f>
        <v>-1</v>
      </c>
      <c r="AN34" s="15">
        <f>ROUND(_xlfn.XLOOKUP($AE34,$C$51:$C$71,G$51:G$71),0)-ROUND(_xlfn.XLOOKUP($AE34,'Previous GAR scores'!$P$34:$P$54,'Previous GAR scores'!T$34:T$54),0)</f>
        <v>-2</v>
      </c>
      <c r="AO34" s="15">
        <f>ROUND(_xlfn.XLOOKUP($AE34,$C$51:$C$71,H$51:H$71),0)-ROUND(_xlfn.XLOOKUP($AE34,'Previous GAR scores'!$P$34:$P$54,'Previous GAR scores'!U$34:U$54),0)</f>
        <v>1</v>
      </c>
      <c r="AP34" s="15">
        <f>ROUND(_xlfn.XLOOKUP($AE34,$C$51:$C$71,I$51:I$71),0)-ROUND(_xlfn.XLOOKUP($AE34,'Previous GAR scores'!$P$34:$P$54,'Previous GAR scores'!V$34:V$54),0)</f>
        <v>-11</v>
      </c>
      <c r="AQ34" s="15">
        <f>ROUND(_xlfn.XLOOKUP($AE34,$C$51:$C$71,J$51:J$71),0)-ROUND(_xlfn.XLOOKUP($AE34,'Previous GAR scores'!$P$34:$P$54,'Previous GAR scores'!W$34:W$54),0)</f>
        <v>-19</v>
      </c>
      <c r="AR34" s="15"/>
      <c r="AS34" s="15">
        <f>ROUND(_xlfn.XLOOKUP($AE34,$C$51:$C$71,K$51:K$71),0)-ROUND(_xlfn.XLOOKUP($AE34,'Previous GAR scores'!$P$34:$P$54,'Previous GAR scores'!X$34:X$54),0)</f>
        <v>0</v>
      </c>
      <c r="AT34" s="15">
        <f>ROUND(_xlfn.XLOOKUP($AE34,$C$51:$C$71,L$51:L$71),0)-ROUND(_xlfn.XLOOKUP($AE34,'Previous GAR scores'!$P$34:$P$54,'Previous GAR scores'!Y$34:Y$54),0)</f>
        <v>1</v>
      </c>
      <c r="AU34" s="15">
        <f>ROUND(_xlfn.XLOOKUP($AE34,$C$51:$C$71,M$51:M$71),0)-ROUND(_xlfn.XLOOKUP($AE34,'Previous GAR scores'!$P$34:$P$54,'Previous GAR scores'!Z$34:Z$54),0)</f>
        <v>0</v>
      </c>
      <c r="AV34" s="99"/>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row>
    <row r="35" spans="2:98" ht="16">
      <c r="B35" s="21"/>
      <c r="C35" s="6" t="s">
        <v>25</v>
      </c>
      <c r="D35" s="43">
        <f t="shared" si="55"/>
        <v>0</v>
      </c>
      <c r="E35" s="494">
        <f>AVERAGE(ROUND(I59,0),ROUND(J59,0))</f>
        <v>14</v>
      </c>
      <c r="F35" s="495">
        <f t="shared" si="57"/>
        <v>12.333333333333334</v>
      </c>
      <c r="G35" s="495">
        <f t="shared" si="58"/>
        <v>8.7777777777777786</v>
      </c>
      <c r="I35" s="33"/>
      <c r="J35" s="33"/>
      <c r="K35" s="33"/>
      <c r="L35" s="33"/>
      <c r="M35" s="33"/>
      <c r="N35" s="33"/>
      <c r="O35" s="75"/>
      <c r="P35" s="75"/>
      <c r="Q35" s="33"/>
      <c r="R35" s="33"/>
      <c r="S35" s="33"/>
      <c r="T35" s="33"/>
      <c r="U35" s="33"/>
      <c r="V35" s="33"/>
      <c r="W35" s="33"/>
      <c r="X35" s="33"/>
      <c r="Y35" s="33"/>
      <c r="Z35" s="33"/>
      <c r="AA35" s="33"/>
      <c r="AB35" s="33"/>
      <c r="AC35" s="113"/>
      <c r="AD35" s="15"/>
      <c r="AE35" s="15" t="str">
        <f t="shared" si="59"/>
        <v>Chang'an</v>
      </c>
      <c r="AF35" s="15">
        <f>ROUND(_xlfn.XLOOKUP(AE35,$C$51:$C$71,N$51:N$71),0)-ROUND(_xlfn.XLOOKUP(AE35,'Previous GAR scores'!$AD$34:$AD$54,'Previous GAR scores'!$AH$34:$AH$54),0)</f>
        <v>3</v>
      </c>
      <c r="AG35" s="15"/>
      <c r="AH35" s="15"/>
      <c r="AI35" s="15"/>
      <c r="AJ35" s="15">
        <f>ROUND(_xlfn.XLOOKUP($AE35,$C$51:$C$71,D$51:D$71),0)-ROUND(_xlfn.XLOOKUP($AE35,'Previous GAR scores'!$P$34:$P$54,'Previous GAR scores'!Q$34:Q$54),0)</f>
        <v>13</v>
      </c>
      <c r="AK35" s="15">
        <f>ROUND(_xlfn.XLOOKUP($AE35,$C$51:$C$71,E$51:E$71),0)-ROUND(_xlfn.XLOOKUP($AE35,'Previous GAR scores'!$P$34:$P$54,'Previous GAR scores'!R$34:R$54),0)</f>
        <v>-16</v>
      </c>
      <c r="AL35" s="15"/>
      <c r="AM35" s="15">
        <f>ROUND(_xlfn.XLOOKUP($AE35,$C$51:$C$71,F$51:F$71),0)-ROUND(_xlfn.XLOOKUP($AE35,'Previous GAR scores'!$P$34:$P$54,'Previous GAR scores'!S$34:S$54),0)</f>
        <v>13</v>
      </c>
      <c r="AN35" s="15">
        <f>ROUND(_xlfn.XLOOKUP($AE35,$C$51:$C$71,G$51:G$71),0)-ROUND(_xlfn.XLOOKUP($AE35,'Previous GAR scores'!$P$34:$P$54,'Previous GAR scores'!T$34:T$54),0)</f>
        <v>13</v>
      </c>
      <c r="AO35" s="15">
        <f>ROUND(_xlfn.XLOOKUP($AE35,$C$51:$C$71,H$51:H$71),0)-ROUND(_xlfn.XLOOKUP($AE35,'Previous GAR scores'!$P$34:$P$54,'Previous GAR scores'!U$34:U$54),0)</f>
        <v>20</v>
      </c>
      <c r="AP35" s="15">
        <f>ROUND(_xlfn.XLOOKUP($AE35,$C$51:$C$71,I$51:I$71),0)-ROUND(_xlfn.XLOOKUP($AE35,'Previous GAR scores'!$P$34:$P$54,'Previous GAR scores'!V$34:V$54),0)</f>
        <v>16</v>
      </c>
      <c r="AQ35" s="15">
        <f>ROUND(_xlfn.XLOOKUP($AE35,$C$51:$C$71,J$51:J$71),0)-ROUND(_xlfn.XLOOKUP($AE35,'Previous GAR scores'!$P$34:$P$54,'Previous GAR scores'!W$34:W$54),0)</f>
        <v>-50</v>
      </c>
      <c r="AR35" s="15"/>
      <c r="AS35" s="15">
        <f>ROUND(_xlfn.XLOOKUP($AE35,$C$51:$C$71,K$51:K$71),0)-ROUND(_xlfn.XLOOKUP($AE35,'Previous GAR scores'!$P$34:$P$54,'Previous GAR scores'!X$34:X$54),0)</f>
        <v>21</v>
      </c>
      <c r="AT35" s="15">
        <f>ROUND(_xlfn.XLOOKUP($AE35,$C$51:$C$71,L$51:L$71),0)-ROUND(_xlfn.XLOOKUP($AE35,'Previous GAR scores'!$P$34:$P$54,'Previous GAR scores'!Y$34:Y$54),0)</f>
        <v>0</v>
      </c>
      <c r="AU35" s="15">
        <f>ROUND(_xlfn.XLOOKUP($AE35,$C$51:$C$71,M$51:M$71),0)-ROUND(_xlfn.XLOOKUP($AE35,'Previous GAR scores'!$P$34:$P$54,'Previous GAR scores'!Z$34:Z$54),0)</f>
        <v>0</v>
      </c>
      <c r="AV35" s="99"/>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row>
    <row r="36" spans="2:98" ht="16">
      <c r="B36" s="21"/>
      <c r="C36" s="6" t="s">
        <v>12</v>
      </c>
      <c r="D36" s="43">
        <f t="shared" si="55"/>
        <v>36.5</v>
      </c>
      <c r="E36" s="494">
        <f t="shared" ref="E36:E47" si="60">AVERAGE(ROUND(F60,0),ROUND(G60,0),ROUND(H60,0),ROUND(I60,0),ROUND(J60,0))</f>
        <v>74</v>
      </c>
      <c r="F36" s="495">
        <f t="shared" si="57"/>
        <v>46</v>
      </c>
      <c r="G36" s="495">
        <f t="shared" si="58"/>
        <v>52.166666666666664</v>
      </c>
      <c r="I36" s="33"/>
      <c r="J36" s="33"/>
      <c r="K36" s="33"/>
      <c r="L36" s="33"/>
      <c r="M36" s="33"/>
      <c r="N36" s="33"/>
      <c r="O36" s="75"/>
      <c r="P36" s="75"/>
      <c r="Q36" s="33"/>
      <c r="R36" s="33"/>
      <c r="S36" s="33"/>
      <c r="T36" s="33"/>
      <c r="U36" s="33"/>
      <c r="V36" s="33"/>
      <c r="W36" s="33"/>
      <c r="X36" s="33"/>
      <c r="Y36" s="33"/>
      <c r="Z36" s="33"/>
      <c r="AA36" s="33"/>
      <c r="AB36" s="33"/>
      <c r="AC36" s="113"/>
      <c r="AD36" s="15"/>
      <c r="AE36" s="15" t="str">
        <f t="shared" si="59"/>
        <v>Chery</v>
      </c>
      <c r="AF36" s="15">
        <f>ROUND(_xlfn.XLOOKUP(AE36,$C$51:$C$71,N$51:N$71),0)-ROUND(_xlfn.XLOOKUP(AE36,'Previous GAR scores'!$AD$34:$AD$54,'Previous GAR scores'!$AH$34:$AH$54),0)</f>
        <v>8</v>
      </c>
      <c r="AG36" s="15"/>
      <c r="AH36" s="15"/>
      <c r="AI36" s="15"/>
      <c r="AJ36" s="15">
        <f>ROUND(_xlfn.XLOOKUP($AE36,$C$51:$C$71,D$51:D$71),0)-ROUND(_xlfn.XLOOKUP($AE36,'Previous GAR scores'!$P$34:$P$54,'Previous GAR scores'!Q$34:Q$54),0)</f>
        <v>10</v>
      </c>
      <c r="AK36" s="15">
        <f>ROUND(_xlfn.XLOOKUP($AE36,$C$51:$C$71,E$51:E$71),0)-ROUND(_xlfn.XLOOKUP($AE36,'Previous GAR scores'!$P$34:$P$54,'Previous GAR scores'!R$34:R$54),0)</f>
        <v>14</v>
      </c>
      <c r="AL36" s="15"/>
      <c r="AM36" s="15">
        <f>ROUND(_xlfn.XLOOKUP($AE36,$C$51:$C$71,F$51:F$71),0)-ROUND(_xlfn.XLOOKUP($AE36,'Previous GAR scores'!$P$34:$P$54,'Previous GAR scores'!S$34:S$54),0)</f>
        <v>14</v>
      </c>
      <c r="AN36" s="15">
        <f>ROUND(_xlfn.XLOOKUP($AE36,$C$51:$C$71,G$51:G$71),0)-ROUND(_xlfn.XLOOKUP($AE36,'Previous GAR scores'!$P$34:$P$54,'Previous GAR scores'!T$34:T$54),0)</f>
        <v>33</v>
      </c>
      <c r="AO36" s="15">
        <f>ROUND(_xlfn.XLOOKUP($AE36,$C$51:$C$71,H$51:H$71),0)-ROUND(_xlfn.XLOOKUP($AE36,'Previous GAR scores'!$P$34:$P$54,'Previous GAR scores'!U$34:U$54),0)</f>
        <v>55</v>
      </c>
      <c r="AP36" s="15">
        <f>ROUND(_xlfn.XLOOKUP($AE36,$C$51:$C$71,I$51:I$71),0)-ROUND(_xlfn.XLOOKUP($AE36,'Previous GAR scores'!$P$34:$P$54,'Previous GAR scores'!V$34:V$54),0)</f>
        <v>16</v>
      </c>
      <c r="AQ36" s="15">
        <f>ROUND(_xlfn.XLOOKUP($AE36,$C$51:$C$71,J$51:J$71),0)-ROUND(_xlfn.XLOOKUP($AE36,'Previous GAR scores'!$P$34:$P$54,'Previous GAR scores'!W$34:W$54),0)</f>
        <v>-51</v>
      </c>
      <c r="AR36" s="15"/>
      <c r="AS36" s="15">
        <f>ROUND(_xlfn.XLOOKUP($AE36,$C$51:$C$71,K$51:K$71),0)-ROUND(_xlfn.XLOOKUP($AE36,'Previous GAR scores'!$P$34:$P$54,'Previous GAR scores'!X$34:X$54),0)</f>
        <v>-7</v>
      </c>
      <c r="AT36" s="15">
        <f>ROUND(_xlfn.XLOOKUP($AE36,$C$51:$C$71,L$51:L$71),0)-ROUND(_xlfn.XLOOKUP($AE36,'Previous GAR scores'!$P$34:$P$54,'Previous GAR scores'!Y$34:Y$54),0)</f>
        <v>-2</v>
      </c>
      <c r="AU36" s="15">
        <f>ROUND(_xlfn.XLOOKUP($AE36,$C$51:$C$71,M$51:M$71),0)-ROUND(_xlfn.XLOOKUP($AE36,'Previous GAR scores'!$P$34:$P$54,'Previous GAR scores'!Z$34:Z$54),0)</f>
        <v>0</v>
      </c>
      <c r="AV36" s="99"/>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row>
    <row r="37" spans="2:98" ht="16">
      <c r="B37" s="21"/>
      <c r="C37" s="6" t="s">
        <v>7</v>
      </c>
      <c r="D37" s="43">
        <f t="shared" si="55"/>
        <v>73.5</v>
      </c>
      <c r="E37" s="494">
        <f t="shared" si="60"/>
        <v>40.799999999999997</v>
      </c>
      <c r="F37" s="495">
        <f t="shared" si="57"/>
        <v>44.666666666666664</v>
      </c>
      <c r="G37" s="495">
        <f t="shared" si="58"/>
        <v>52.988888888888887</v>
      </c>
      <c r="I37" s="33"/>
      <c r="J37" s="33"/>
      <c r="K37" s="33"/>
      <c r="L37" s="33"/>
      <c r="M37" s="33"/>
      <c r="N37" s="33"/>
      <c r="O37" s="75"/>
      <c r="P37" s="75"/>
      <c r="Q37" s="114"/>
      <c r="R37" s="33"/>
      <c r="S37" s="33"/>
      <c r="T37" s="33"/>
      <c r="U37" s="33"/>
      <c r="V37" s="33"/>
      <c r="W37" s="33"/>
      <c r="X37" s="33"/>
      <c r="Y37" s="33"/>
      <c r="Z37" s="33"/>
      <c r="AA37" s="33"/>
      <c r="AB37" s="33"/>
      <c r="AC37" s="113"/>
      <c r="AD37" s="15"/>
      <c r="AE37" s="15" t="str">
        <f t="shared" si="59"/>
        <v>GM</v>
      </c>
      <c r="AF37" s="15">
        <f>ROUND(_xlfn.XLOOKUP(AE37,$C$51:$C$71,N$51:N$71),0)-ROUND(_xlfn.XLOOKUP(AE37,'Previous GAR scores'!$AD$34:$AD$54,'Previous GAR scores'!$AH$34:$AH$54),0)</f>
        <v>3</v>
      </c>
      <c r="AG37" s="15"/>
      <c r="AH37" s="15"/>
      <c r="AI37" s="15"/>
      <c r="AJ37" s="15">
        <f>ROUND(_xlfn.XLOOKUP($AE37,$C$51:$C$71,D$51:D$71),0)-ROUND(_xlfn.XLOOKUP($AE37,'Previous GAR scores'!$P$34:$P$54,'Previous GAR scores'!Q$34:Q$54),0)</f>
        <v>2</v>
      </c>
      <c r="AK37" s="15">
        <f>ROUND(_xlfn.XLOOKUP($AE37,$C$51:$C$71,E$51:E$71),0)-ROUND(_xlfn.XLOOKUP($AE37,'Previous GAR scores'!$P$34:$P$54,'Previous GAR scores'!R$34:R$54),0)</f>
        <v>-2</v>
      </c>
      <c r="AL37" s="15"/>
      <c r="AM37" s="15">
        <f>ROUND(_xlfn.XLOOKUP($AE37,$C$51:$C$71,F$51:F$71),0)-ROUND(_xlfn.XLOOKUP($AE37,'Previous GAR scores'!$P$34:$P$54,'Previous GAR scores'!S$34:S$54),0)</f>
        <v>16</v>
      </c>
      <c r="AN37" s="15">
        <f>ROUND(_xlfn.XLOOKUP($AE37,$C$51:$C$71,G$51:G$71),0)-ROUND(_xlfn.XLOOKUP($AE37,'Previous GAR scores'!$P$34:$P$54,'Previous GAR scores'!T$34:T$54),0)</f>
        <v>22</v>
      </c>
      <c r="AO37" s="15">
        <f>ROUND(_xlfn.XLOOKUP($AE37,$C$51:$C$71,H$51:H$71),0)-ROUND(_xlfn.XLOOKUP($AE37,'Previous GAR scores'!$P$34:$P$54,'Previous GAR scores'!U$34:U$54),0)</f>
        <v>19</v>
      </c>
      <c r="AP37" s="15">
        <f>ROUND(_xlfn.XLOOKUP($AE37,$C$51:$C$71,I$51:I$71),0)-ROUND(_xlfn.XLOOKUP($AE37,'Previous GAR scores'!$P$34:$P$54,'Previous GAR scores'!V$34:V$54),0)</f>
        <v>53</v>
      </c>
      <c r="AQ37" s="15">
        <f>ROUND(_xlfn.XLOOKUP($AE37,$C$51:$C$71,J$51:J$71),0)-ROUND(_xlfn.XLOOKUP($AE37,'Previous GAR scores'!$P$34:$P$54,'Previous GAR scores'!W$34:W$54),0)</f>
        <v>8</v>
      </c>
      <c r="AR37" s="15"/>
      <c r="AS37" s="15">
        <f>ROUND(_xlfn.XLOOKUP($AE37,$C$51:$C$71,K$51:K$71),0)-ROUND(_xlfn.XLOOKUP($AE37,'Previous GAR scores'!$P$34:$P$54,'Previous GAR scores'!X$34:X$54),0)</f>
        <v>2</v>
      </c>
      <c r="AT37" s="15">
        <f>ROUND(_xlfn.XLOOKUP($AE37,$C$51:$C$71,L$51:L$71),0)-ROUND(_xlfn.XLOOKUP($AE37,'Previous GAR scores'!$P$34:$P$54,'Previous GAR scores'!Y$34:Y$54),0)</f>
        <v>-1</v>
      </c>
      <c r="AU37" s="15">
        <f>ROUND(_xlfn.XLOOKUP($AE37,$C$51:$C$71,M$51:M$71),0)-ROUND(_xlfn.XLOOKUP($AE37,'Previous GAR scores'!$P$34:$P$54,'Previous GAR scores'!Z$34:Z$54),0)</f>
        <v>-40</v>
      </c>
      <c r="AV37" s="99"/>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row>
    <row r="38" spans="2:98" ht="16">
      <c r="B38" s="21"/>
      <c r="C38" s="6" t="s">
        <v>13</v>
      </c>
      <c r="D38" s="43">
        <f t="shared" si="55"/>
        <v>33</v>
      </c>
      <c r="E38" s="494">
        <f t="shared" si="60"/>
        <v>73.599999999999994</v>
      </c>
      <c r="F38" s="495">
        <f t="shared" si="57"/>
        <v>47.666666666666664</v>
      </c>
      <c r="G38" s="495">
        <f t="shared" si="58"/>
        <v>51.422222222222217</v>
      </c>
      <c r="I38" s="33"/>
      <c r="J38" s="33"/>
      <c r="K38" s="33"/>
      <c r="L38" s="33"/>
      <c r="M38" s="33"/>
      <c r="N38" s="33"/>
      <c r="O38" s="75"/>
      <c r="P38" s="75"/>
      <c r="Q38" s="75"/>
      <c r="R38" s="33"/>
      <c r="S38" s="33"/>
      <c r="T38" s="33"/>
      <c r="U38" s="33"/>
      <c r="V38" s="33"/>
      <c r="W38" s="33"/>
      <c r="X38" s="33"/>
      <c r="Y38" s="33"/>
      <c r="Z38" s="33"/>
      <c r="AA38" s="33"/>
      <c r="AB38" s="33"/>
      <c r="AC38" s="113"/>
      <c r="AD38" s="15"/>
      <c r="AE38" s="15" t="str">
        <f t="shared" si="59"/>
        <v>Renault</v>
      </c>
      <c r="AF38" s="15">
        <f>ROUND(_xlfn.XLOOKUP(AE38,$C$51:$C$71,N$51:N$71),0)-ROUND(_xlfn.XLOOKUP(AE38,'Previous GAR scores'!$AD$34:$AD$54,'Previous GAR scores'!$AH$34:$AH$54),0)</f>
        <v>0</v>
      </c>
      <c r="AG38" s="15"/>
      <c r="AH38" s="15"/>
      <c r="AI38" s="15"/>
      <c r="AJ38" s="15">
        <f>ROUND(_xlfn.XLOOKUP($AE38,$C$51:$C$71,D$51:D$71),0)-ROUND(_xlfn.XLOOKUP($AE38,'Previous GAR scores'!$P$34:$P$54,'Previous GAR scores'!Q$34:Q$54),0)</f>
        <v>-1</v>
      </c>
      <c r="AK38" s="15">
        <f>ROUND(_xlfn.XLOOKUP($AE38,$C$51:$C$71,E$51:E$71),0)-ROUND(_xlfn.XLOOKUP($AE38,'Previous GAR scores'!$P$34:$P$54,'Previous GAR scores'!R$34:R$54),0)</f>
        <v>-2</v>
      </c>
      <c r="AL38" s="15"/>
      <c r="AM38" s="15">
        <f>ROUND(_xlfn.XLOOKUP($AE38,$C$51:$C$71,F$51:F$71),0)-ROUND(_xlfn.XLOOKUP($AE38,'Previous GAR scores'!$P$34:$P$54,'Previous GAR scores'!S$34:S$54),0)</f>
        <v>8</v>
      </c>
      <c r="AN38" s="15">
        <f>ROUND(_xlfn.XLOOKUP($AE38,$C$51:$C$71,G$51:G$71),0)-ROUND(_xlfn.XLOOKUP($AE38,'Previous GAR scores'!$P$34:$P$54,'Previous GAR scores'!T$34:T$54),0)</f>
        <v>6</v>
      </c>
      <c r="AO38" s="15">
        <f>ROUND(_xlfn.XLOOKUP($AE38,$C$51:$C$71,H$51:H$71),0)-ROUND(_xlfn.XLOOKUP($AE38,'Previous GAR scores'!$P$34:$P$54,'Previous GAR scores'!U$34:U$54),0)</f>
        <v>9</v>
      </c>
      <c r="AP38" s="15">
        <f>ROUND(_xlfn.XLOOKUP($AE38,$C$51:$C$71,I$51:I$71),0)-ROUND(_xlfn.XLOOKUP($AE38,'Previous GAR scores'!$P$34:$P$54,'Previous GAR scores'!V$34:V$54),0)</f>
        <v>25</v>
      </c>
      <c r="AQ38" s="15">
        <f>ROUND(_xlfn.XLOOKUP($AE38,$C$51:$C$71,J$51:J$71),0)-ROUND(_xlfn.XLOOKUP($AE38,'Previous GAR scores'!$P$34:$P$54,'Previous GAR scores'!W$34:W$54),0)</f>
        <v>-2</v>
      </c>
      <c r="AR38" s="15"/>
      <c r="AS38" s="15">
        <f>ROUND(_xlfn.XLOOKUP($AE38,$C$51:$C$71,K$51:K$71),0)-ROUND(_xlfn.XLOOKUP($AE38,'Previous GAR scores'!$P$34:$P$54,'Previous GAR scores'!X$34:X$54),0)</f>
        <v>-18</v>
      </c>
      <c r="AT38" s="15">
        <f>ROUND(_xlfn.XLOOKUP($AE38,$C$51:$C$71,L$51:L$71),0)-ROUND(_xlfn.XLOOKUP($AE38,'Previous GAR scores'!$P$34:$P$54,'Previous GAR scores'!Y$34:Y$54),0)</f>
        <v>0</v>
      </c>
      <c r="AU38" s="15">
        <f>ROUND(_xlfn.XLOOKUP($AE38,$C$51:$C$71,M$51:M$71),0)-ROUND(_xlfn.XLOOKUP($AE38,'Previous GAR scores'!$P$34:$P$54,'Previous GAR scores'!Z$34:Z$54),0)</f>
        <v>-7</v>
      </c>
      <c r="AV38" s="99"/>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row>
    <row r="39" spans="2:98" ht="16">
      <c r="B39" s="21"/>
      <c r="C39" s="6" t="s">
        <v>8</v>
      </c>
      <c r="D39" s="43">
        <f t="shared" si="55"/>
        <v>68</v>
      </c>
      <c r="E39" s="494">
        <f t="shared" si="60"/>
        <v>60.4</v>
      </c>
      <c r="F39" s="495">
        <f t="shared" si="57"/>
        <v>41</v>
      </c>
      <c r="G39" s="495">
        <f t="shared" si="58"/>
        <v>56.466666666666669</v>
      </c>
      <c r="I39" s="33"/>
      <c r="J39" s="33"/>
      <c r="K39" s="33"/>
      <c r="L39" s="33"/>
      <c r="M39" s="33"/>
      <c r="N39" s="33"/>
      <c r="O39" s="75"/>
      <c r="P39" s="75"/>
      <c r="Q39" s="75"/>
      <c r="R39" s="33"/>
      <c r="S39" s="33"/>
      <c r="T39" s="33"/>
      <c r="U39" s="33"/>
      <c r="V39" s="33"/>
      <c r="W39" s="33"/>
      <c r="X39" s="33"/>
      <c r="Y39" s="33"/>
      <c r="Z39" s="33"/>
      <c r="AA39" s="33"/>
      <c r="AB39" s="33"/>
      <c r="AC39" s="113"/>
      <c r="AD39" s="15"/>
      <c r="AE39" s="15" t="str">
        <f t="shared" si="59"/>
        <v>Great Wall</v>
      </c>
      <c r="AF39" s="15">
        <f>ROUND(_xlfn.XLOOKUP(AE39,$C$51:$C$71,N$51:N$71),0)-ROUND(_xlfn.XLOOKUP(AE39,'Previous GAR scores'!$AD$34:$AD$54,'Previous GAR scores'!$AH$34:$AH$54),0)</f>
        <v>3</v>
      </c>
      <c r="AG39" s="15"/>
      <c r="AH39" s="15"/>
      <c r="AI39" s="15"/>
      <c r="AJ39" s="15">
        <f>ROUND(_xlfn.XLOOKUP($AE39,$C$51:$C$71,D$51:D$71),0)-ROUND(_xlfn.XLOOKUP($AE39,'Previous GAR scores'!$P$34:$P$54,'Previous GAR scores'!Q$34:Q$54),0)</f>
        <v>9</v>
      </c>
      <c r="AK39" s="15">
        <f>ROUND(_xlfn.XLOOKUP($AE39,$C$51:$C$71,E$51:E$71),0)-ROUND(_xlfn.XLOOKUP($AE39,'Previous GAR scores'!$P$34:$P$54,'Previous GAR scores'!R$34:R$54),0)</f>
        <v>1</v>
      </c>
      <c r="AL39" s="15"/>
      <c r="AM39" s="15">
        <f>ROUND(_xlfn.XLOOKUP($AE39,$C$51:$C$71,F$51:F$71),0)-ROUND(_xlfn.XLOOKUP($AE39,'Previous GAR scores'!$P$34:$P$54,'Previous GAR scores'!S$34:S$54),0)</f>
        <v>-7</v>
      </c>
      <c r="AN39" s="15">
        <f>ROUND(_xlfn.XLOOKUP($AE39,$C$51:$C$71,G$51:G$71),0)-ROUND(_xlfn.XLOOKUP($AE39,'Previous GAR scores'!$P$34:$P$54,'Previous GAR scores'!T$34:T$54),0)</f>
        <v>7</v>
      </c>
      <c r="AO39" s="15">
        <f>ROUND(_xlfn.XLOOKUP($AE39,$C$51:$C$71,H$51:H$71),0)-ROUND(_xlfn.XLOOKUP($AE39,'Previous GAR scores'!$P$34:$P$54,'Previous GAR scores'!U$34:U$54),0)</f>
        <v>-4</v>
      </c>
      <c r="AP39" s="15">
        <f>ROUND(_xlfn.XLOOKUP($AE39,$C$51:$C$71,I$51:I$71),0)-ROUND(_xlfn.XLOOKUP($AE39,'Previous GAR scores'!$P$34:$P$54,'Previous GAR scores'!V$34:V$54),0)</f>
        <v>16</v>
      </c>
      <c r="AQ39" s="15">
        <f>ROUND(_xlfn.XLOOKUP($AE39,$C$51:$C$71,J$51:J$71),0)-ROUND(_xlfn.XLOOKUP($AE39,'Previous GAR scores'!$P$34:$P$54,'Previous GAR scores'!W$34:W$54),0)</f>
        <v>-1</v>
      </c>
      <c r="AR39" s="15"/>
      <c r="AS39" s="15">
        <f>ROUND(_xlfn.XLOOKUP($AE39,$C$51:$C$71,K$51:K$71),0)-ROUND(_xlfn.XLOOKUP($AE39,'Previous GAR scores'!$P$34:$P$54,'Previous GAR scores'!X$34:X$54),0)</f>
        <v>-1</v>
      </c>
      <c r="AT39" s="15">
        <f>ROUND(_xlfn.XLOOKUP($AE39,$C$51:$C$71,L$51:L$71),0)-ROUND(_xlfn.XLOOKUP($AE39,'Previous GAR scores'!$P$34:$P$54,'Previous GAR scores'!Y$34:Y$54),0)</f>
        <v>3</v>
      </c>
      <c r="AU39" s="15">
        <f>ROUND(_xlfn.XLOOKUP($AE39,$C$51:$C$71,M$51:M$71),0)-ROUND(_xlfn.XLOOKUP($AE39,'Previous GAR scores'!$P$34:$P$54,'Previous GAR scores'!Z$34:Z$54),0)</f>
        <v>0</v>
      </c>
      <c r="AV39" s="99"/>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row>
    <row r="40" spans="2:98" ht="16">
      <c r="B40" s="21"/>
      <c r="C40" s="6" t="s">
        <v>16</v>
      </c>
      <c r="D40" s="43">
        <f t="shared" si="55"/>
        <v>40.5</v>
      </c>
      <c r="E40" s="494">
        <f t="shared" si="60"/>
        <v>44.8</v>
      </c>
      <c r="F40" s="495">
        <f t="shared" si="57"/>
        <v>31.333333333333332</v>
      </c>
      <c r="G40" s="495">
        <f t="shared" si="58"/>
        <v>38.877777777777773</v>
      </c>
      <c r="I40" s="33"/>
      <c r="J40" s="33"/>
      <c r="K40" s="33"/>
      <c r="L40" s="33"/>
      <c r="M40" s="33"/>
      <c r="N40" s="33"/>
      <c r="O40" s="75"/>
      <c r="P40" s="75"/>
      <c r="Q40" s="75"/>
      <c r="R40" s="33"/>
      <c r="S40" s="33"/>
      <c r="T40" s="33"/>
      <c r="U40" s="33"/>
      <c r="V40" s="33"/>
      <c r="W40" s="33"/>
      <c r="X40" s="33"/>
      <c r="Y40" s="33"/>
      <c r="Z40" s="33"/>
      <c r="AA40" s="33"/>
      <c r="AB40" s="33"/>
      <c r="AC40" s="113"/>
      <c r="AD40" s="15"/>
      <c r="AE40" s="15" t="str">
        <f t="shared" si="59"/>
        <v>Ford</v>
      </c>
      <c r="AF40" s="15">
        <f>ROUND(_xlfn.XLOOKUP(AE40,$C$51:$C$71,N$51:N$71),0)-ROUND(_xlfn.XLOOKUP(AE40,'Previous GAR scores'!$AD$34:$AD$54,'Previous GAR scores'!$AH$34:$AH$54),0)</f>
        <v>1</v>
      </c>
      <c r="AG40" s="15"/>
      <c r="AH40" s="15"/>
      <c r="AI40" s="15"/>
      <c r="AJ40" s="15">
        <f>ROUND(_xlfn.XLOOKUP($AE40,$C$51:$C$71,D$51:D$71),0)-ROUND(_xlfn.XLOOKUP($AE40,'Previous GAR scores'!$P$34:$P$54,'Previous GAR scores'!Q$34:Q$54),0)</f>
        <v>1</v>
      </c>
      <c r="AK40" s="15">
        <f>ROUND(_xlfn.XLOOKUP($AE40,$C$51:$C$71,E$51:E$71),0)-ROUND(_xlfn.XLOOKUP($AE40,'Previous GAR scores'!$P$34:$P$54,'Previous GAR scores'!R$34:R$54),0)</f>
        <v>0</v>
      </c>
      <c r="AL40" s="15"/>
      <c r="AM40" s="15">
        <f>ROUND(_xlfn.XLOOKUP($AE40,$C$51:$C$71,F$51:F$71),0)-ROUND(_xlfn.XLOOKUP($AE40,'Previous GAR scores'!$P$34:$P$54,'Previous GAR scores'!S$34:S$54),0)</f>
        <v>-8</v>
      </c>
      <c r="AN40" s="15">
        <f>ROUND(_xlfn.XLOOKUP($AE40,$C$51:$C$71,G$51:G$71),0)-ROUND(_xlfn.XLOOKUP($AE40,'Previous GAR scores'!$P$34:$P$54,'Previous GAR scores'!T$34:T$54),0)</f>
        <v>0</v>
      </c>
      <c r="AO40" s="15">
        <f>ROUND(_xlfn.XLOOKUP($AE40,$C$51:$C$71,H$51:H$71),0)-ROUND(_xlfn.XLOOKUP($AE40,'Previous GAR scores'!$P$34:$P$54,'Previous GAR scores'!U$34:U$54),0)</f>
        <v>-1</v>
      </c>
      <c r="AP40" s="15">
        <f>ROUND(_xlfn.XLOOKUP($AE40,$C$51:$C$71,I$51:I$71),0)-ROUND(_xlfn.XLOOKUP($AE40,'Previous GAR scores'!$P$34:$P$54,'Previous GAR scores'!V$34:V$54),0)</f>
        <v>58</v>
      </c>
      <c r="AQ40" s="15">
        <f>ROUND(_xlfn.XLOOKUP($AE40,$C$51:$C$71,J$51:J$71),0)-ROUND(_xlfn.XLOOKUP($AE40,'Previous GAR scores'!$P$34:$P$54,'Previous GAR scores'!W$34:W$54),0)</f>
        <v>-13</v>
      </c>
      <c r="AR40" s="15"/>
      <c r="AS40" s="15">
        <f>ROUND(_xlfn.XLOOKUP($AE40,$C$51:$C$71,K$51:K$71),0)-ROUND(_xlfn.XLOOKUP($AE40,'Previous GAR scores'!$P$34:$P$54,'Previous GAR scores'!X$34:X$54),0)</f>
        <v>-19</v>
      </c>
      <c r="AT40" s="15">
        <f>ROUND(_xlfn.XLOOKUP($AE40,$C$51:$C$71,L$51:L$71),0)-ROUND(_xlfn.XLOOKUP($AE40,'Previous GAR scores'!$P$34:$P$54,'Previous GAR scores'!Y$34:Y$54),0)</f>
        <v>0</v>
      </c>
      <c r="AU40" s="15">
        <f>ROUND(_xlfn.XLOOKUP($AE40,$C$51:$C$71,M$51:M$71),0)-ROUND(_xlfn.XLOOKUP($AE40,'Previous GAR scores'!$P$34:$P$54,'Previous GAR scores'!Z$34:Z$54),0)</f>
        <v>0</v>
      </c>
      <c r="AV40" s="99"/>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row>
    <row r="41" spans="2:98" ht="16">
      <c r="B41" s="21"/>
      <c r="C41" s="6" t="s">
        <v>9</v>
      </c>
      <c r="D41" s="43">
        <f t="shared" si="55"/>
        <v>55.5</v>
      </c>
      <c r="E41" s="494">
        <f t="shared" si="60"/>
        <v>35.4</v>
      </c>
      <c r="F41" s="495">
        <f t="shared" si="57"/>
        <v>43.333333333333336</v>
      </c>
      <c r="G41" s="495">
        <f t="shared" si="58"/>
        <v>44.744444444444447</v>
      </c>
      <c r="I41" s="33"/>
      <c r="J41" s="33"/>
      <c r="K41" s="33"/>
      <c r="L41" s="33"/>
      <c r="M41" s="33"/>
      <c r="N41" s="33"/>
      <c r="O41" s="75"/>
      <c r="P41" s="75"/>
      <c r="Q41" s="75"/>
      <c r="R41" s="33"/>
      <c r="S41" s="33"/>
      <c r="T41" s="33"/>
      <c r="U41" s="33"/>
      <c r="V41" s="33"/>
      <c r="W41" s="33"/>
      <c r="X41" s="33"/>
      <c r="Y41" s="33"/>
      <c r="Z41" s="33"/>
      <c r="AA41" s="33"/>
      <c r="AB41" s="33"/>
      <c r="AC41" s="113"/>
      <c r="AD41" s="15"/>
      <c r="AE41" s="15" t="str">
        <f t="shared" si="59"/>
        <v>Tata Motors</v>
      </c>
      <c r="AF41" s="15">
        <f>ROUND(_xlfn.XLOOKUP(AE41,$C$51:$C$71,N$51:N$71),0)-ROUND(_xlfn.XLOOKUP(AE41,'Previous GAR scores'!$AD$34:$AD$54,'Previous GAR scores'!$AH$34:$AH$54),0)</f>
        <v>3</v>
      </c>
      <c r="AG41" s="15"/>
      <c r="AH41" s="15"/>
      <c r="AI41" s="15"/>
      <c r="AJ41" s="15">
        <f>ROUND(_xlfn.XLOOKUP($AE41,$C$51:$C$71,D$51:D$71),0)-ROUND(_xlfn.XLOOKUP($AE41,'Previous GAR scores'!$P$34:$P$54,'Previous GAR scores'!Q$34:Q$54),0)</f>
        <v>1</v>
      </c>
      <c r="AK41" s="15">
        <f>ROUND(_xlfn.XLOOKUP($AE41,$C$51:$C$71,E$51:E$71),0)-ROUND(_xlfn.XLOOKUP($AE41,'Previous GAR scores'!$P$34:$P$54,'Previous GAR scores'!R$34:R$54),0)</f>
        <v>12</v>
      </c>
      <c r="AL41" s="15"/>
      <c r="AM41" s="15">
        <f>ROUND(_xlfn.XLOOKUP($AE41,$C$51:$C$71,F$51:F$71),0)-ROUND(_xlfn.XLOOKUP($AE41,'Previous GAR scores'!$P$34:$P$54,'Previous GAR scores'!S$34:S$54),0)</f>
        <v>0</v>
      </c>
      <c r="AN41" s="15">
        <f>ROUND(_xlfn.XLOOKUP($AE41,$C$51:$C$71,G$51:G$71),0)-ROUND(_xlfn.XLOOKUP($AE41,'Previous GAR scores'!$P$34:$P$54,'Previous GAR scores'!T$34:T$54),0)</f>
        <v>0</v>
      </c>
      <c r="AO41" s="15">
        <f>ROUND(_xlfn.XLOOKUP($AE41,$C$51:$C$71,H$51:H$71),0)-ROUND(_xlfn.XLOOKUP($AE41,'Previous GAR scores'!$P$34:$P$54,'Previous GAR scores'!U$34:U$54),0)</f>
        <v>3</v>
      </c>
      <c r="AP41" s="15">
        <f>ROUND(_xlfn.XLOOKUP($AE41,$C$51:$C$71,I$51:I$71),0)-ROUND(_xlfn.XLOOKUP($AE41,'Previous GAR scores'!$P$34:$P$54,'Previous GAR scores'!V$34:V$54),0)</f>
        <v>-7</v>
      </c>
      <c r="AQ41" s="15">
        <f>ROUND(_xlfn.XLOOKUP($AE41,$C$51:$C$71,J$51:J$71),0)-ROUND(_xlfn.XLOOKUP($AE41,'Previous GAR scores'!$P$34:$P$54,'Previous GAR scores'!W$34:W$54),0)</f>
        <v>13</v>
      </c>
      <c r="AR41" s="15"/>
      <c r="AS41" s="15">
        <f>ROUND(_xlfn.XLOOKUP($AE41,$C$51:$C$71,K$51:K$71),0)-ROUND(_xlfn.XLOOKUP($AE41,'Previous GAR scores'!$P$34:$P$54,'Previous GAR scores'!X$34:X$54),0)</f>
        <v>-8</v>
      </c>
      <c r="AT41" s="15">
        <f>ROUND(_xlfn.XLOOKUP($AE41,$C$51:$C$71,L$51:L$71),0)-ROUND(_xlfn.XLOOKUP($AE41,'Previous GAR scores'!$P$34:$P$54,'Previous GAR scores'!Y$34:Y$54),0)</f>
        <v>2</v>
      </c>
      <c r="AU41" s="15">
        <f>ROUND(_xlfn.XLOOKUP($AE41,$C$51:$C$71,M$51:M$71),0)-ROUND(_xlfn.XLOOKUP($AE41,'Previous GAR scores'!$P$34:$P$54,'Previous GAR scores'!Z$34:Z$54),0)</f>
        <v>1</v>
      </c>
      <c r="AV41" s="99"/>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row>
    <row r="42" spans="2:98" ht="16">
      <c r="B42" s="21"/>
      <c r="C42" s="6" t="s">
        <v>6</v>
      </c>
      <c r="D42" s="43">
        <f t="shared" si="55"/>
        <v>75.5</v>
      </c>
      <c r="E42" s="494">
        <f t="shared" si="60"/>
        <v>52.8</v>
      </c>
      <c r="F42" s="495">
        <f t="shared" si="57"/>
        <v>82.666666666666671</v>
      </c>
      <c r="G42" s="495">
        <f t="shared" si="58"/>
        <v>70.322222222222237</v>
      </c>
      <c r="I42" s="33"/>
      <c r="J42" s="33"/>
      <c r="K42" s="33"/>
      <c r="L42" s="33"/>
      <c r="M42" s="33"/>
      <c r="N42" s="33"/>
      <c r="O42" s="75"/>
      <c r="P42" s="75"/>
      <c r="Q42" s="114"/>
      <c r="R42" s="33"/>
      <c r="S42" s="33"/>
      <c r="T42" s="33"/>
      <c r="U42" s="33"/>
      <c r="V42" s="33"/>
      <c r="W42" s="33"/>
      <c r="X42" s="33"/>
      <c r="Y42" s="33"/>
      <c r="Z42" s="33"/>
      <c r="AA42" s="33"/>
      <c r="AB42" s="33"/>
      <c r="AC42" s="113"/>
      <c r="AD42" s="15"/>
      <c r="AE42" s="15" t="str">
        <f t="shared" si="59"/>
        <v>Hyundai-Kia</v>
      </c>
      <c r="AF42" s="15">
        <f>ROUND(_xlfn.XLOOKUP(AE42,$C$51:$C$71,N$51:N$71),0)-ROUND(_xlfn.XLOOKUP(AE42,'Previous GAR scores'!$AD$34:$AD$54,'Previous GAR scores'!$AH$34:$AH$54),0)</f>
        <v>-1</v>
      </c>
      <c r="AG42" s="15"/>
      <c r="AH42" s="15"/>
      <c r="AI42" s="15"/>
      <c r="AJ42" s="15">
        <f>ROUND(_xlfn.XLOOKUP($AE42,$C$51:$C$71,D$51:D$71),0)-ROUND(_xlfn.XLOOKUP($AE42,'Previous GAR scores'!$P$34:$P$54,'Previous GAR scores'!Q$34:Q$54),0)</f>
        <v>0</v>
      </c>
      <c r="AK42" s="15">
        <f>ROUND(_xlfn.XLOOKUP($AE42,$C$51:$C$71,E$51:E$71),0)-ROUND(_xlfn.XLOOKUP($AE42,'Previous GAR scores'!$P$34:$P$54,'Previous GAR scores'!R$34:R$54),0)</f>
        <v>-2</v>
      </c>
      <c r="AL42" s="15"/>
      <c r="AM42" s="15">
        <f>ROUND(_xlfn.XLOOKUP($AE42,$C$51:$C$71,F$51:F$71),0)-ROUND(_xlfn.XLOOKUP($AE42,'Previous GAR scores'!$P$34:$P$54,'Previous GAR scores'!S$34:S$54),0)</f>
        <v>14</v>
      </c>
      <c r="AN42" s="15">
        <f>ROUND(_xlfn.XLOOKUP($AE42,$C$51:$C$71,G$51:G$71),0)-ROUND(_xlfn.XLOOKUP($AE42,'Previous GAR scores'!$P$34:$P$54,'Previous GAR scores'!T$34:T$54),0)</f>
        <v>-3</v>
      </c>
      <c r="AO42" s="15">
        <f>ROUND(_xlfn.XLOOKUP($AE42,$C$51:$C$71,H$51:H$71),0)-ROUND(_xlfn.XLOOKUP($AE42,'Previous GAR scores'!$P$34:$P$54,'Previous GAR scores'!U$34:U$54),0)</f>
        <v>2</v>
      </c>
      <c r="AP42" s="15">
        <f>ROUND(_xlfn.XLOOKUP($AE42,$C$51:$C$71,I$51:I$71),0)-ROUND(_xlfn.XLOOKUP($AE42,'Previous GAR scores'!$P$34:$P$54,'Previous GAR scores'!V$34:V$54),0)</f>
        <v>12</v>
      </c>
      <c r="AQ42" s="15">
        <f>ROUND(_xlfn.XLOOKUP($AE42,$C$51:$C$71,J$51:J$71),0)-ROUND(_xlfn.XLOOKUP($AE42,'Previous GAR scores'!$P$34:$P$54,'Previous GAR scores'!W$34:W$54),0)</f>
        <v>-39</v>
      </c>
      <c r="AR42" s="15"/>
      <c r="AS42" s="15">
        <f>ROUND(_xlfn.XLOOKUP($AE42,$C$51:$C$71,K$51:K$71),0)-ROUND(_xlfn.XLOOKUP($AE42,'Previous GAR scores'!$P$34:$P$54,'Previous GAR scores'!X$34:X$54),0)</f>
        <v>-1</v>
      </c>
      <c r="AT42" s="15">
        <f>ROUND(_xlfn.XLOOKUP($AE42,$C$51:$C$71,L$51:L$71),0)-ROUND(_xlfn.XLOOKUP($AE42,'Previous GAR scores'!$P$34:$P$54,'Previous GAR scores'!Y$34:Y$54),0)</f>
        <v>3</v>
      </c>
      <c r="AU42" s="15">
        <f>ROUND(_xlfn.XLOOKUP($AE42,$C$51:$C$71,M$51:M$71),0)-ROUND(_xlfn.XLOOKUP($AE42,'Previous GAR scores'!$P$34:$P$54,'Previous GAR scores'!Z$34:Z$54),0)</f>
        <v>0</v>
      </c>
      <c r="AV42" s="99"/>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row>
    <row r="43" spans="2:98" ht="16">
      <c r="B43" s="21"/>
      <c r="C43" s="6" t="s">
        <v>5</v>
      </c>
      <c r="D43" s="43">
        <f t="shared" si="55"/>
        <v>73</v>
      </c>
      <c r="E43" s="494">
        <f t="shared" si="60"/>
        <v>80.400000000000006</v>
      </c>
      <c r="F43" s="495">
        <f t="shared" si="57"/>
        <v>100</v>
      </c>
      <c r="G43" s="495">
        <f t="shared" si="58"/>
        <v>84.466666666666669</v>
      </c>
      <c r="I43" s="33"/>
      <c r="J43" s="33"/>
      <c r="K43" s="33"/>
      <c r="L43" s="33"/>
      <c r="M43" s="33"/>
      <c r="N43" s="33"/>
      <c r="O43" s="75"/>
      <c r="P43" s="75"/>
      <c r="Q43" s="75"/>
      <c r="R43" s="33"/>
      <c r="S43" s="33"/>
      <c r="T43" s="33"/>
      <c r="U43" s="33"/>
      <c r="V43" s="33"/>
      <c r="W43" s="33"/>
      <c r="X43" s="33"/>
      <c r="Y43" s="33"/>
      <c r="Z43" s="33"/>
      <c r="AA43" s="33"/>
      <c r="AB43" s="33"/>
      <c r="AC43" s="113"/>
      <c r="AD43" s="15"/>
      <c r="AE43" s="15" t="str">
        <f t="shared" si="59"/>
        <v>Toyota</v>
      </c>
      <c r="AF43" s="15">
        <f>ROUND(_xlfn.XLOOKUP(AE43,$C$51:$C$71,N$51:N$71),0)-ROUND(_xlfn.XLOOKUP(AE43,'Previous GAR scores'!$AD$34:$AD$54,'Previous GAR scores'!$AH$34:$AH$54),0)</f>
        <v>1</v>
      </c>
      <c r="AG43" s="15"/>
      <c r="AH43" s="15"/>
      <c r="AI43" s="15"/>
      <c r="AJ43" s="15">
        <f>ROUND(_xlfn.XLOOKUP($AE43,$C$51:$C$71,D$51:D$71),0)-ROUND(_xlfn.XLOOKUP($AE43,'Previous GAR scores'!$P$34:$P$54,'Previous GAR scores'!Q$34:Q$54),0)</f>
        <v>0</v>
      </c>
      <c r="AK43" s="15">
        <f>ROUND(_xlfn.XLOOKUP($AE43,$C$51:$C$71,E$51:E$71),0)-ROUND(_xlfn.XLOOKUP($AE43,'Previous GAR scores'!$P$34:$P$54,'Previous GAR scores'!R$34:R$54),0)</f>
        <v>-5</v>
      </c>
      <c r="AL43" s="15"/>
      <c r="AM43" s="15">
        <f>ROUND(_xlfn.XLOOKUP($AE43,$C$51:$C$71,F$51:F$71),0)-ROUND(_xlfn.XLOOKUP($AE43,'Previous GAR scores'!$P$34:$P$54,'Previous GAR scores'!S$34:S$54),0)</f>
        <v>4</v>
      </c>
      <c r="AN43" s="15">
        <f>ROUND(_xlfn.XLOOKUP($AE43,$C$51:$C$71,G$51:G$71),0)-ROUND(_xlfn.XLOOKUP($AE43,'Previous GAR scores'!$P$34:$P$54,'Previous GAR scores'!T$34:T$54),0)</f>
        <v>7</v>
      </c>
      <c r="AO43" s="15">
        <f>ROUND(_xlfn.XLOOKUP($AE43,$C$51:$C$71,H$51:H$71),0)-ROUND(_xlfn.XLOOKUP($AE43,'Previous GAR scores'!$P$34:$P$54,'Previous GAR scores'!U$34:U$54),0)</f>
        <v>0</v>
      </c>
      <c r="AP43" s="15">
        <f>ROUND(_xlfn.XLOOKUP($AE43,$C$51:$C$71,I$51:I$71),0)-ROUND(_xlfn.XLOOKUP($AE43,'Previous GAR scores'!$P$34:$P$54,'Previous GAR scores'!V$34:V$54),0)</f>
        <v>12</v>
      </c>
      <c r="AQ43" s="15">
        <f>ROUND(_xlfn.XLOOKUP($AE43,$C$51:$C$71,J$51:J$71),0)-ROUND(_xlfn.XLOOKUP($AE43,'Previous GAR scores'!$P$34:$P$54,'Previous GAR scores'!W$34:W$54),0)</f>
        <v>9</v>
      </c>
      <c r="AR43" s="15"/>
      <c r="AS43" s="15">
        <f>ROUND(_xlfn.XLOOKUP($AE43,$C$51:$C$71,K$51:K$71),0)-ROUND(_xlfn.XLOOKUP($AE43,'Previous GAR scores'!$P$34:$P$54,'Previous GAR scores'!X$34:X$54),0)</f>
        <v>0</v>
      </c>
      <c r="AT43" s="15">
        <f>ROUND(_xlfn.XLOOKUP($AE43,$C$51:$C$71,L$51:L$71),0)-ROUND(_xlfn.XLOOKUP($AE43,'Previous GAR scores'!$P$34:$P$54,'Previous GAR scores'!Y$34:Y$54),0)</f>
        <v>1</v>
      </c>
      <c r="AU43" s="15">
        <f>ROUND(_xlfn.XLOOKUP($AE43,$C$51:$C$71,M$51:M$71),0)-ROUND(_xlfn.XLOOKUP($AE43,'Previous GAR scores'!$P$34:$P$54,'Previous GAR scores'!Z$34:Z$54),0)</f>
        <v>0</v>
      </c>
      <c r="AV43" s="99"/>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row>
    <row r="44" spans="2:98" ht="16">
      <c r="B44" s="21"/>
      <c r="C44" s="6" t="s">
        <v>15</v>
      </c>
      <c r="D44" s="43">
        <f t="shared" si="55"/>
        <v>22</v>
      </c>
      <c r="E44" s="494">
        <f t="shared" si="60"/>
        <v>48.8</v>
      </c>
      <c r="F44" s="495">
        <f t="shared" si="57"/>
        <v>30</v>
      </c>
      <c r="G44" s="495">
        <f t="shared" si="58"/>
        <v>33.6</v>
      </c>
      <c r="I44" s="33"/>
      <c r="J44" s="33"/>
      <c r="K44" s="33"/>
      <c r="L44" s="33"/>
      <c r="M44" s="33"/>
      <c r="N44" s="33"/>
      <c r="O44" s="75"/>
      <c r="P44" s="75"/>
      <c r="Q44" s="75"/>
      <c r="R44" s="33"/>
      <c r="S44" s="33"/>
      <c r="T44" s="33"/>
      <c r="U44" s="33"/>
      <c r="V44" s="33"/>
      <c r="W44" s="33"/>
      <c r="X44" s="33"/>
      <c r="Y44" s="33"/>
      <c r="Z44" s="33"/>
      <c r="AA44" s="33"/>
      <c r="AB44" s="33"/>
      <c r="AC44" s="113"/>
      <c r="AD44" s="15"/>
      <c r="AE44" s="15" t="str">
        <f t="shared" si="59"/>
        <v>Honda</v>
      </c>
      <c r="AF44" s="15">
        <f>ROUND(_xlfn.XLOOKUP(AE44,$C$51:$C$71,N$51:N$71),0)-ROUND(_xlfn.XLOOKUP(AE44,'Previous GAR scores'!$AD$34:$AD$54,'Previous GAR scores'!$AH$34:$AH$54),0)</f>
        <v>8</v>
      </c>
      <c r="AG44" s="15"/>
      <c r="AH44" s="15"/>
      <c r="AI44" s="15"/>
      <c r="AJ44" s="15">
        <f>ROUND(_xlfn.XLOOKUP($AE44,$C$51:$C$71,D$51:D$71),0)-ROUND(_xlfn.XLOOKUP($AE44,'Previous GAR scores'!$P$34:$P$54,'Previous GAR scores'!Q$34:Q$54),0)</f>
        <v>1</v>
      </c>
      <c r="AK44" s="15">
        <f>ROUND(_xlfn.XLOOKUP($AE44,$C$51:$C$71,E$51:E$71),0)-ROUND(_xlfn.XLOOKUP($AE44,'Previous GAR scores'!$P$34:$P$54,'Previous GAR scores'!R$34:R$54),0)</f>
        <v>5</v>
      </c>
      <c r="AL44" s="15"/>
      <c r="AM44" s="15">
        <f>ROUND(_xlfn.XLOOKUP($AE44,$C$51:$C$71,F$51:F$71),0)-ROUND(_xlfn.XLOOKUP($AE44,'Previous GAR scores'!$P$34:$P$54,'Previous GAR scores'!S$34:S$54),0)</f>
        <v>34</v>
      </c>
      <c r="AN44" s="15">
        <f>ROUND(_xlfn.XLOOKUP($AE44,$C$51:$C$71,G$51:G$71),0)-ROUND(_xlfn.XLOOKUP($AE44,'Previous GAR scores'!$P$34:$P$54,'Previous GAR scores'!T$34:T$54),0)</f>
        <v>23</v>
      </c>
      <c r="AO44" s="15">
        <f>ROUND(_xlfn.XLOOKUP($AE44,$C$51:$C$71,H$51:H$71),0)-ROUND(_xlfn.XLOOKUP($AE44,'Previous GAR scores'!$P$34:$P$54,'Previous GAR scores'!U$34:U$54),0)</f>
        <v>35</v>
      </c>
      <c r="AP44" s="15">
        <f>ROUND(_xlfn.XLOOKUP($AE44,$C$51:$C$71,I$51:I$71),0)-ROUND(_xlfn.XLOOKUP($AE44,'Previous GAR scores'!$P$34:$P$54,'Previous GAR scores'!V$34:V$54),0)</f>
        <v>9</v>
      </c>
      <c r="AQ44" s="15">
        <f>ROUND(_xlfn.XLOOKUP($AE44,$C$51:$C$71,J$51:J$71),0)-ROUND(_xlfn.XLOOKUP($AE44,'Previous GAR scores'!$P$34:$P$54,'Previous GAR scores'!W$34:W$54),0)</f>
        <v>-6</v>
      </c>
      <c r="AR44" s="15"/>
      <c r="AS44" s="15">
        <f>ROUND(_xlfn.XLOOKUP($AE44,$C$51:$C$71,K$51:K$71),0)-ROUND(_xlfn.XLOOKUP($AE44,'Previous GAR scores'!$P$34:$P$54,'Previous GAR scores'!X$34:X$54),0)</f>
        <v>-7</v>
      </c>
      <c r="AT44" s="15">
        <f>ROUND(_xlfn.XLOOKUP($AE44,$C$51:$C$71,L$51:L$71),0)-ROUND(_xlfn.XLOOKUP($AE44,'Previous GAR scores'!$P$34:$P$54,'Previous GAR scores'!Y$34:Y$54),0)</f>
        <v>1</v>
      </c>
      <c r="AU44" s="15">
        <f>ROUND(_xlfn.XLOOKUP($AE44,$C$51:$C$71,M$51:M$71),0)-ROUND(_xlfn.XLOOKUP($AE44,'Previous GAR scores'!$P$34:$P$54,'Previous GAR scores'!Z$34:Z$54),0)</f>
        <v>5</v>
      </c>
      <c r="AV44" s="99"/>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row>
    <row r="45" spans="2:98" ht="16">
      <c r="B45" s="21"/>
      <c r="C45" s="6" t="s">
        <v>11</v>
      </c>
      <c r="D45" s="43">
        <f t="shared" si="55"/>
        <v>36.5</v>
      </c>
      <c r="E45" s="494">
        <f t="shared" si="60"/>
        <v>45.6</v>
      </c>
      <c r="F45" s="495">
        <f t="shared" si="57"/>
        <v>31.333333333333332</v>
      </c>
      <c r="G45" s="495">
        <f t="shared" si="58"/>
        <v>37.81111111111111</v>
      </c>
      <c r="I45" s="33"/>
      <c r="J45" s="33"/>
      <c r="K45" s="33"/>
      <c r="L45" s="33"/>
      <c r="M45" s="33"/>
      <c r="N45" s="33"/>
      <c r="O45" s="75"/>
      <c r="P45" s="75"/>
      <c r="Q45" s="75"/>
      <c r="R45" s="33"/>
      <c r="S45" s="33"/>
      <c r="T45" s="33"/>
      <c r="U45" s="33"/>
      <c r="V45" s="33"/>
      <c r="W45" s="33"/>
      <c r="X45" s="33"/>
      <c r="Y45" s="33"/>
      <c r="Z45" s="33"/>
      <c r="AA45" s="33"/>
      <c r="AB45" s="33"/>
      <c r="AC45" s="113"/>
      <c r="AD45" s="15"/>
      <c r="AE45" s="15" t="str">
        <f t="shared" si="59"/>
        <v>Nissan</v>
      </c>
      <c r="AF45" s="15">
        <f>ROUND(_xlfn.XLOOKUP(AE45,$C$51:$C$71,N$51:N$71),0)-ROUND(_xlfn.XLOOKUP(AE45,'Previous GAR scores'!$AD$34:$AD$54,'Previous GAR scores'!$AH$34:$AH$54),0)</f>
        <v>9</v>
      </c>
      <c r="AG45" s="15"/>
      <c r="AH45" s="15"/>
      <c r="AI45" s="15"/>
      <c r="AJ45" s="15">
        <f>ROUND(_xlfn.XLOOKUP($AE45,$C$51:$C$71,D$51:D$71),0)-ROUND(_xlfn.XLOOKUP($AE45,'Previous GAR scores'!$P$34:$P$54,'Previous GAR scores'!Q$34:Q$54),0)</f>
        <v>-1</v>
      </c>
      <c r="AK45" s="15">
        <f>ROUND(_xlfn.XLOOKUP($AE45,$C$51:$C$71,E$51:E$71),0)-ROUND(_xlfn.XLOOKUP($AE45,'Previous GAR scores'!$P$34:$P$54,'Previous GAR scores'!R$34:R$54),0)</f>
        <v>1</v>
      </c>
      <c r="AL45" s="15"/>
      <c r="AM45" s="15">
        <f>ROUND(_xlfn.XLOOKUP($AE45,$C$51:$C$71,F$51:F$71),0)-ROUND(_xlfn.XLOOKUP($AE45,'Previous GAR scores'!$P$34:$P$54,'Previous GAR scores'!S$34:S$54),0)</f>
        <v>-2</v>
      </c>
      <c r="AN45" s="15">
        <f>ROUND(_xlfn.XLOOKUP($AE45,$C$51:$C$71,G$51:G$71),0)-ROUND(_xlfn.XLOOKUP($AE45,'Previous GAR scores'!$P$34:$P$54,'Previous GAR scores'!T$34:T$54),0)</f>
        <v>2</v>
      </c>
      <c r="AO45" s="15">
        <f>ROUND(_xlfn.XLOOKUP($AE45,$C$51:$C$71,H$51:H$71),0)-ROUND(_xlfn.XLOOKUP($AE45,'Previous GAR scores'!$P$34:$P$54,'Previous GAR scores'!U$34:U$54),0)</f>
        <v>7</v>
      </c>
      <c r="AP45" s="15">
        <f>ROUND(_xlfn.XLOOKUP($AE45,$C$51:$C$71,I$51:I$71),0)-ROUND(_xlfn.XLOOKUP($AE45,'Previous GAR scores'!$P$34:$P$54,'Previous GAR scores'!V$34:V$54),0)</f>
        <v>27</v>
      </c>
      <c r="AQ45" s="15">
        <f>ROUND(_xlfn.XLOOKUP($AE45,$C$51:$C$71,J$51:J$71),0)-ROUND(_xlfn.XLOOKUP($AE45,'Previous GAR scores'!$P$34:$P$54,'Previous GAR scores'!W$34:W$54),0)</f>
        <v>1</v>
      </c>
      <c r="AR45" s="15"/>
      <c r="AS45" s="15">
        <f>ROUND(_xlfn.XLOOKUP($AE45,$C$51:$C$71,K$51:K$71),0)-ROUND(_xlfn.XLOOKUP($AE45,'Previous GAR scores'!$P$34:$P$54,'Previous GAR scores'!X$34:X$54),0)</f>
        <v>60</v>
      </c>
      <c r="AT45" s="15">
        <f>ROUND(_xlfn.XLOOKUP($AE45,$C$51:$C$71,L$51:L$71),0)-ROUND(_xlfn.XLOOKUP($AE45,'Previous GAR scores'!$P$34:$P$54,'Previous GAR scores'!Y$34:Y$54),0)</f>
        <v>4</v>
      </c>
      <c r="AU45" s="15">
        <f>ROUND(_xlfn.XLOOKUP($AE45,$C$51:$C$71,M$51:M$71),0)-ROUND(_xlfn.XLOOKUP($AE45,'Previous GAR scores'!$P$34:$P$54,'Previous GAR scores'!Z$34:Z$54),0)</f>
        <v>0</v>
      </c>
      <c r="AV45" s="99"/>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row>
    <row r="46" spans="2:98" ht="16">
      <c r="B46" s="21"/>
      <c r="C46" s="6" t="s">
        <v>24</v>
      </c>
      <c r="D46" s="43">
        <f t="shared" si="55"/>
        <v>2.5</v>
      </c>
      <c r="E46" s="494">
        <f t="shared" si="60"/>
        <v>16.8</v>
      </c>
      <c r="F46" s="495">
        <f t="shared" si="57"/>
        <v>17</v>
      </c>
      <c r="G46" s="495">
        <f t="shared" si="58"/>
        <v>12.1</v>
      </c>
      <c r="I46" s="33"/>
      <c r="J46" s="33"/>
      <c r="K46" s="33"/>
      <c r="L46" s="33"/>
      <c r="M46" s="33"/>
      <c r="N46" s="33"/>
      <c r="O46" s="75"/>
      <c r="P46" s="75"/>
      <c r="Q46" s="75"/>
      <c r="R46" s="33"/>
      <c r="S46" s="33"/>
      <c r="T46" s="33"/>
      <c r="U46" s="33"/>
      <c r="V46" s="33"/>
      <c r="W46" s="33"/>
      <c r="X46" s="33"/>
      <c r="Y46" s="33"/>
      <c r="Z46" s="33"/>
      <c r="AA46" s="33"/>
      <c r="AB46" s="33"/>
      <c r="AC46" s="113"/>
      <c r="AD46" s="15"/>
      <c r="AE46" s="15" t="str">
        <f t="shared" si="59"/>
        <v>Mazda</v>
      </c>
      <c r="AF46" s="15">
        <f>ROUND(_xlfn.XLOOKUP(AE46,$C$51:$C$71,N$51:N$71),0)-ROUND(_xlfn.XLOOKUP(AE46,'Previous GAR scores'!$AD$34:$AD$54,'Previous GAR scores'!$AH$34:$AH$54),0)</f>
        <v>4</v>
      </c>
      <c r="AG46" s="15"/>
      <c r="AH46" s="15"/>
      <c r="AI46" s="15"/>
      <c r="AJ46" s="15">
        <f>ROUND(_xlfn.XLOOKUP($AE46,$C$51:$C$71,D$51:D$71),0)-ROUND(_xlfn.XLOOKUP($AE46,'Previous GAR scores'!$P$34:$P$54,'Previous GAR scores'!Q$34:Q$54),0)</f>
        <v>0</v>
      </c>
      <c r="AK46" s="15">
        <f>ROUND(_xlfn.XLOOKUP($AE46,$C$51:$C$71,E$51:E$71),0)-ROUND(_xlfn.XLOOKUP($AE46,'Previous GAR scores'!$P$34:$P$54,'Previous GAR scores'!R$34:R$54),0)</f>
        <v>0</v>
      </c>
      <c r="AL46" s="15"/>
      <c r="AM46" s="15">
        <f>ROUND(_xlfn.XLOOKUP($AE46,$C$51:$C$71,F$51:F$71),0)-ROUND(_xlfn.XLOOKUP($AE46,'Previous GAR scores'!$P$34:$P$54,'Previous GAR scores'!S$34:S$54),0)</f>
        <v>8</v>
      </c>
      <c r="AN46" s="15">
        <f>ROUND(_xlfn.XLOOKUP($AE46,$C$51:$C$71,G$51:G$71),0)-ROUND(_xlfn.XLOOKUP($AE46,'Previous GAR scores'!$P$34:$P$54,'Previous GAR scores'!T$34:T$54),0)</f>
        <v>2</v>
      </c>
      <c r="AO46" s="15">
        <f>ROUND(_xlfn.XLOOKUP($AE46,$C$51:$C$71,H$51:H$71),0)-ROUND(_xlfn.XLOOKUP($AE46,'Previous GAR scores'!$P$34:$P$54,'Previous GAR scores'!U$34:U$54),0)</f>
        <v>8</v>
      </c>
      <c r="AP46" s="15">
        <f>ROUND(_xlfn.XLOOKUP($AE46,$C$51:$C$71,I$51:I$71),0)-ROUND(_xlfn.XLOOKUP($AE46,'Previous GAR scores'!$P$34:$P$54,'Previous GAR scores'!V$34:V$54),0)</f>
        <v>45</v>
      </c>
      <c r="AQ46" s="15">
        <f>ROUND(_xlfn.XLOOKUP($AE46,$C$51:$C$71,J$51:J$71),0)-ROUND(_xlfn.XLOOKUP($AE46,'Previous GAR scores'!$P$34:$P$54,'Previous GAR scores'!W$34:W$54),0)</f>
        <v>0</v>
      </c>
      <c r="AR46" s="15"/>
      <c r="AS46" s="15">
        <f>ROUND(_xlfn.XLOOKUP($AE46,$C$51:$C$71,K$51:K$71),0)-ROUND(_xlfn.XLOOKUP($AE46,'Previous GAR scores'!$P$34:$P$54,'Previous GAR scores'!X$34:X$54),0)</f>
        <v>0</v>
      </c>
      <c r="AT46" s="15">
        <f>ROUND(_xlfn.XLOOKUP($AE46,$C$51:$C$71,L$51:L$71),0)-ROUND(_xlfn.XLOOKUP($AE46,'Previous GAR scores'!$P$34:$P$54,'Previous GAR scores'!Y$34:Y$54),0)</f>
        <v>-2</v>
      </c>
      <c r="AU46" s="15">
        <f>ROUND(_xlfn.XLOOKUP($AE46,$C$51:$C$71,M$51:M$71),0)-ROUND(_xlfn.XLOOKUP($AE46,'Previous GAR scores'!$P$34:$P$54,'Previous GAR scores'!Z$34:Z$54),0)</f>
        <v>0</v>
      </c>
      <c r="AV46" s="99"/>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row>
    <row r="47" spans="2:98" ht="16">
      <c r="B47" s="21"/>
      <c r="C47" s="71" t="s">
        <v>49</v>
      </c>
      <c r="D47" s="43">
        <f t="shared" si="55"/>
        <v>59.5</v>
      </c>
      <c r="E47" s="494">
        <f t="shared" si="60"/>
        <v>44.2</v>
      </c>
      <c r="F47" s="495">
        <f t="shared" si="57"/>
        <v>22</v>
      </c>
      <c r="G47" s="495">
        <f t="shared" si="58"/>
        <v>41.9</v>
      </c>
      <c r="I47" s="33"/>
      <c r="J47" s="33"/>
      <c r="K47" s="33"/>
      <c r="L47" s="33"/>
      <c r="M47" s="33"/>
      <c r="N47" s="33"/>
      <c r="O47" s="75"/>
      <c r="P47" s="75"/>
      <c r="Q47" s="33"/>
      <c r="R47" s="33"/>
      <c r="S47" s="33"/>
      <c r="T47" s="33"/>
      <c r="U47" s="33"/>
      <c r="V47" s="33"/>
      <c r="W47" s="33"/>
      <c r="X47" s="33"/>
      <c r="Y47" s="33"/>
      <c r="Z47" s="33"/>
      <c r="AA47" s="33"/>
      <c r="AB47" s="33"/>
      <c r="AC47" s="113"/>
      <c r="AD47" s="15"/>
      <c r="AE47" s="15" t="s">
        <v>177</v>
      </c>
      <c r="AF47" s="15">
        <f>ROUND(_xlfn.XLOOKUP(AE47,$C$51:$C$71,N$51:N$71),0)-ROUND(_xlfn.XLOOKUP(AE47,'Previous GAR scores'!$AD$34:$AD$54,'Previous GAR scores'!$AH$34:$AH$54),0)</f>
        <v>5</v>
      </c>
      <c r="AG47" s="15"/>
      <c r="AH47" s="15"/>
      <c r="AI47" s="15"/>
      <c r="AJ47" s="15">
        <f>ROUND(_xlfn.XLOOKUP($AE47,$C$51:$C$71,D$51:D$71),0)-ROUND(_xlfn.XLOOKUP($AE47,'Previous GAR scores'!$P$34:$P$54,'Previous GAR scores'!Q$34:Q$54),0)</f>
        <v>0</v>
      </c>
      <c r="AK47" s="15">
        <f>ROUND(_xlfn.XLOOKUP($AE47,$C$51:$C$71,E$51:E$71),0)-ROUND(_xlfn.XLOOKUP($AE47,'Previous GAR scores'!$P$34:$P$54,'Previous GAR scores'!R$34:R$54),0)</f>
        <v>0</v>
      </c>
      <c r="AL47" s="15"/>
      <c r="AM47" s="15" t="e">
        <f>ROUND(_xlfn.XLOOKUP($AE47,$C$51:$C$71,F$51:F$71),0)-ROUND(_xlfn.XLOOKUP($AE47,'Previous GAR scores'!$P$34:$P$54,'Previous GAR scores'!S$34:S$54),0)</f>
        <v>#VALUE!</v>
      </c>
      <c r="AN47" s="15" t="e">
        <f>ROUND(_xlfn.XLOOKUP($AE47,$C$51:$C$71,G$51:G$71),0)-ROUND(_xlfn.XLOOKUP($AE47,'Previous GAR scores'!$P$34:$P$54,'Previous GAR scores'!T$34:T$54),0)</f>
        <v>#VALUE!</v>
      </c>
      <c r="AO47" s="15" t="e">
        <f>ROUND(_xlfn.XLOOKUP($AE47,$C$51:$C$71,H$51:H$71),0)-ROUND(_xlfn.XLOOKUP($AE47,'Previous GAR scores'!$P$34:$P$54,'Previous GAR scores'!U$34:U$54),0)</f>
        <v>#VALUE!</v>
      </c>
      <c r="AP47" s="15">
        <f>ROUND(_xlfn.XLOOKUP($AE47,$C$51:$C$71,I$51:I$71),0)-ROUND(_xlfn.XLOOKUP($AE47,'Previous GAR scores'!$P$34:$P$54,'Previous GAR scores'!V$34:V$54),0)</f>
        <v>28</v>
      </c>
      <c r="AQ47" s="15">
        <f>ROUND(_xlfn.XLOOKUP($AE47,$C$51:$C$71,J$51:J$71),0)-ROUND(_xlfn.XLOOKUP($AE47,'Previous GAR scores'!$P$34:$P$54,'Previous GAR scores'!W$34:W$54),0)</f>
        <v>0</v>
      </c>
      <c r="AR47" s="15"/>
      <c r="AS47" s="15">
        <f>ROUND(_xlfn.XLOOKUP($AE47,$C$51:$C$71,K$51:K$71),0)-ROUND(_xlfn.XLOOKUP($AE47,'Previous GAR scores'!$P$34:$P$54,'Previous GAR scores'!X$34:X$54),0)</f>
        <v>1</v>
      </c>
      <c r="AT47" s="15">
        <f>ROUND(_xlfn.XLOOKUP($AE47,$C$51:$C$71,L$51:L$71),0)-ROUND(_xlfn.XLOOKUP($AE47,'Previous GAR scores'!$P$34:$P$54,'Previous GAR scores'!Y$34:Y$54),0)</f>
        <v>0</v>
      </c>
      <c r="AU47" s="15">
        <f>ROUND(_xlfn.XLOOKUP($AE47,$C$51:$C$71,M$51:M$71),0)-ROUND(_xlfn.XLOOKUP($AE47,'Previous GAR scores'!$P$34:$P$54,'Previous GAR scores'!Z$34:Z$54),0)</f>
        <v>0</v>
      </c>
      <c r="AV47" s="99"/>
      <c r="AW47" s="15"/>
      <c r="AX47" s="15"/>
      <c r="AY47" s="15"/>
      <c r="AZ47" s="15"/>
      <c r="BA47" s="15"/>
      <c r="BB47" s="15"/>
      <c r="BC47" s="15"/>
      <c r="BD47" s="15"/>
      <c r="BE47" s="128"/>
      <c r="BF47" s="129"/>
      <c r="BG47" s="15"/>
      <c r="BH47" s="120"/>
      <c r="BI47" s="128"/>
      <c r="BJ47" s="129"/>
      <c r="BK47" s="15"/>
      <c r="BL47" s="121"/>
      <c r="BM47" s="128"/>
      <c r="BN47" s="129"/>
      <c r="BO47" s="122"/>
      <c r="BP47" s="121"/>
      <c r="BQ47" s="128"/>
      <c r="BR47" s="129"/>
      <c r="BS47" s="15"/>
      <c r="BT47" s="121"/>
      <c r="BU47" s="128"/>
      <c r="BV47" s="99"/>
      <c r="BW47" s="15"/>
      <c r="BX47" s="121"/>
      <c r="BY47" s="128"/>
      <c r="BZ47" s="129"/>
      <c r="CA47" s="15"/>
      <c r="CB47" s="94"/>
      <c r="CC47" s="17"/>
      <c r="CD47" s="124"/>
      <c r="CF47" s="21"/>
      <c r="CG47" s="17"/>
      <c r="CH47" s="124"/>
      <c r="CJ47" s="94"/>
      <c r="CK47" s="74"/>
      <c r="CL47" s="124"/>
      <c r="CM47" s="24"/>
      <c r="CN47" s="94"/>
      <c r="CO47" s="17"/>
      <c r="CP47" s="124"/>
      <c r="CR47" s="21"/>
      <c r="CS47" s="17"/>
      <c r="CT47" s="124"/>
    </row>
    <row r="48" spans="2:98" ht="16">
      <c r="I48" s="33"/>
      <c r="J48" s="33"/>
      <c r="K48" s="33"/>
      <c r="L48" s="33"/>
      <c r="M48" s="33"/>
      <c r="N48" s="33"/>
      <c r="O48" s="115"/>
      <c r="P48" s="33"/>
      <c r="Q48" s="33"/>
      <c r="R48" s="33"/>
      <c r="S48" s="33"/>
      <c r="T48" s="33"/>
      <c r="U48" s="33"/>
      <c r="V48" s="33"/>
      <c r="W48" s="33"/>
      <c r="X48" s="33"/>
      <c r="Y48" s="33"/>
      <c r="Z48" s="33"/>
      <c r="AA48" s="33"/>
      <c r="AB48" s="33"/>
      <c r="AC48" s="33"/>
      <c r="AD48" s="15"/>
      <c r="AE48" s="15" t="s">
        <v>340</v>
      </c>
      <c r="AF48" s="15">
        <f>COUNTIF(AF$27:AF$46, "&gt;0")</f>
        <v>13</v>
      </c>
      <c r="AG48" s="15"/>
      <c r="AH48" s="15"/>
      <c r="AI48" s="15"/>
      <c r="AJ48" s="15">
        <f>COUNTIF(AJ$27:AJ$46, "&gt;0")</f>
        <v>10</v>
      </c>
      <c r="AK48" s="15">
        <f>COUNTIF(AK$27:AK$46, "&gt;0")</f>
        <v>8</v>
      </c>
      <c r="AL48" s="15"/>
      <c r="AM48" s="15">
        <f>COUNTIF(AM$27:AM$46, "&gt;0")</f>
        <v>11</v>
      </c>
      <c r="AN48" s="15">
        <f>COUNTIF(AN$27:AN$46, "&gt;0")</f>
        <v>12</v>
      </c>
      <c r="AO48" s="15">
        <f>COUNTIF(AO$27:AO$46, "&gt;0")</f>
        <v>14</v>
      </c>
      <c r="AP48" s="15">
        <f>COUNTIF(AP$27:AP$46, "&gt;0")</f>
        <v>16</v>
      </c>
      <c r="AQ48" s="15">
        <f>COUNTIF(AQ$27:AQ$46, "&gt;0")</f>
        <v>5</v>
      </c>
      <c r="AR48" s="15"/>
      <c r="AS48" s="15">
        <f>COUNTIF(AS$27:AS$46, "&gt;0")</f>
        <v>3</v>
      </c>
      <c r="AT48" s="15">
        <f>COUNTIF(AT$27:AT$46, "&gt;0")</f>
        <v>11</v>
      </c>
      <c r="AU48" s="15">
        <f>COUNTIF(AU$27:AU$46, "&gt;0")</f>
        <v>2</v>
      </c>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row>
    <row r="49" spans="1:79" ht="16">
      <c r="A49" s="8"/>
      <c r="B49" s="21" t="s">
        <v>57</v>
      </c>
      <c r="D49" s="83"/>
      <c r="E49" s="83"/>
      <c r="F49" s="83"/>
      <c r="G49" s="84"/>
      <c r="O49" s="20"/>
      <c r="P49" s="33"/>
      <c r="Q49" s="33"/>
      <c r="R49" s="33"/>
      <c r="S49" s="33"/>
      <c r="T49" s="33"/>
      <c r="U49" s="33"/>
      <c r="V49" s="33"/>
      <c r="W49" s="33"/>
      <c r="X49" s="33"/>
      <c r="Y49" s="33"/>
      <c r="Z49" s="33"/>
      <c r="AA49" s="33"/>
      <c r="AB49" s="33"/>
      <c r="AC49" s="33"/>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row>
    <row r="50" spans="1:79" ht="43" customHeight="1">
      <c r="B50" s="111"/>
      <c r="C50" s="107" t="s">
        <v>26</v>
      </c>
      <c r="D50" s="118" t="s">
        <v>59</v>
      </c>
      <c r="E50" s="87" t="s">
        <v>60</v>
      </c>
      <c r="F50" s="88" t="s">
        <v>61</v>
      </c>
      <c r="G50" s="88" t="s">
        <v>62</v>
      </c>
      <c r="H50" s="88" t="s">
        <v>63</v>
      </c>
      <c r="I50" s="88" t="s">
        <v>39</v>
      </c>
      <c r="J50" s="88" t="s">
        <v>1</v>
      </c>
      <c r="K50" s="89" t="s">
        <v>2</v>
      </c>
      <c r="L50" s="89" t="s">
        <v>42</v>
      </c>
      <c r="M50" s="119" t="s">
        <v>64</v>
      </c>
      <c r="N50" s="11" t="s">
        <v>27</v>
      </c>
      <c r="O50" s="20"/>
      <c r="P50" s="33"/>
      <c r="Q50" s="33"/>
      <c r="R50" s="33"/>
      <c r="S50" s="33"/>
      <c r="T50" s="33"/>
      <c r="U50" s="33"/>
      <c r="V50" s="33"/>
      <c r="W50" s="33"/>
      <c r="X50" s="33"/>
      <c r="Y50" s="33"/>
      <c r="Z50" s="33"/>
      <c r="AA50" s="33"/>
      <c r="AB50" s="33"/>
      <c r="AC50" s="33"/>
      <c r="AD50" s="15"/>
      <c r="AE50" s="15"/>
      <c r="AF50" s="15"/>
      <c r="AG50" s="15"/>
      <c r="AH50" s="15"/>
      <c r="AI50" s="15"/>
      <c r="AJ50" s="123"/>
      <c r="AK50" s="123"/>
      <c r="AL50" s="99"/>
      <c r="AM50" s="123"/>
      <c r="AN50" s="123"/>
      <c r="AO50" s="123"/>
      <c r="AP50" s="123"/>
      <c r="AQ50" s="123"/>
      <c r="AR50" s="99"/>
      <c r="AS50" s="123"/>
      <c r="AT50" s="123"/>
      <c r="AU50" s="123"/>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row>
    <row r="51" spans="1:79" ht="17" customHeight="1">
      <c r="B51" s="110" t="s">
        <v>22</v>
      </c>
      <c r="C51" s="108" t="s">
        <v>22</v>
      </c>
      <c r="D51" s="184">
        <f t="shared" ref="D51:D71" si="61">(D75-$D$97)/(D$96-$D$97)*100</f>
        <v>2</v>
      </c>
      <c r="E51" s="184">
        <f t="shared" ref="E51:E71" si="62">(E75-$E$97)/(E$96-$E$97)*100</f>
        <v>22.83553920225534</v>
      </c>
      <c r="F51" s="184">
        <f t="shared" ref="F51:F58" si="63">($F$96-F75)/(F$96-$F$97)*100</f>
        <v>75.041597337770384</v>
      </c>
      <c r="G51" s="184">
        <f t="shared" ref="G51:G58" si="64">(G75-$G$97)/(G$96-$G$97)*100</f>
        <v>39.191241614985444</v>
      </c>
      <c r="H51" s="184">
        <f t="shared" ref="H51:H58" si="65">(H75-$H$97)/(H$96-$H$97)*100</f>
        <v>81.952636675763713</v>
      </c>
      <c r="I51" s="184">
        <f t="shared" ref="I51:I71" si="66">(I75-$I$97)/(I$96-$I$97)*100</f>
        <v>18.11653930918477</v>
      </c>
      <c r="J51" s="184">
        <f t="shared" ref="J51:J71" si="67">(J75-$J$97)/(J$96-$J$97)*100</f>
        <v>68.483499512152335</v>
      </c>
      <c r="K51" s="184">
        <f t="shared" ref="K51:K65" si="68">(K75-$K$97)/(K$96-$K$97)*100</f>
        <v>48.054524576692764</v>
      </c>
      <c r="L51" s="184">
        <f t="shared" ref="L51:L71" si="69">(L75-$L$97)/(L$96-$L$97)*100</f>
        <v>9.6660953566421721</v>
      </c>
      <c r="M51" s="184">
        <f>(M75-$M$97)/(M$96-$M$97)*100</f>
        <v>0</v>
      </c>
      <c r="N51" s="191">
        <f>(AVERAGE(D51:E51)+AVERAGE(F51:J51)+AVERAGE(K51:M51))/3</f>
        <v>29.405026378514659</v>
      </c>
      <c r="O51" s="20"/>
      <c r="P51" s="33"/>
      <c r="Q51" s="33"/>
      <c r="R51" s="116"/>
      <c r="S51" s="116"/>
      <c r="T51" s="116"/>
      <c r="U51" s="116"/>
      <c r="V51" s="33"/>
      <c r="W51" s="33"/>
      <c r="X51" s="33"/>
      <c r="Y51" s="33"/>
      <c r="Z51" s="33"/>
      <c r="AA51" s="33"/>
      <c r="AB51" s="33"/>
      <c r="AC51" s="33"/>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row>
    <row r="52" spans="1:79" ht="16">
      <c r="B52" s="110" t="s">
        <v>14</v>
      </c>
      <c r="C52" s="108" t="s">
        <v>14</v>
      </c>
      <c r="D52" s="184">
        <f t="shared" si="61"/>
        <v>10</v>
      </c>
      <c r="E52" s="184">
        <f t="shared" si="62"/>
        <v>59.144064529125259</v>
      </c>
      <c r="F52" s="184">
        <f t="shared" si="63"/>
        <v>59.567387687188003</v>
      </c>
      <c r="G52" s="184">
        <f t="shared" si="64"/>
        <v>48.392608530565745</v>
      </c>
      <c r="H52" s="184">
        <f t="shared" si="65"/>
        <v>87.959620858643675</v>
      </c>
      <c r="I52" s="184">
        <f t="shared" si="66"/>
        <v>62.107401636792467</v>
      </c>
      <c r="J52" s="184">
        <f t="shared" si="67"/>
        <v>77.785384243434848</v>
      </c>
      <c r="K52" s="184">
        <f t="shared" si="68"/>
        <v>78.818061274574603</v>
      </c>
      <c r="L52" s="184">
        <f t="shared" si="69"/>
        <v>23.354235772300886</v>
      </c>
      <c r="M52" s="184">
        <f t="shared" ref="M52:M71" si="70">(M76-$M$97)/(M$96-$M$97)*100</f>
        <v>7.6312576312576308</v>
      </c>
      <c r="N52" s="191">
        <f t="shared" ref="N52:N71" si="71">(AVERAGE(D52:E52)+AVERAGE(F52:J52)+AVERAGE(K52:M52))/3</f>
        <v>46.111899249532875</v>
      </c>
      <c r="O52" s="53"/>
      <c r="P52" s="33"/>
      <c r="Q52" s="33"/>
      <c r="R52" s="116"/>
      <c r="S52" s="116"/>
      <c r="T52" s="116"/>
      <c r="U52" s="116"/>
      <c r="V52" s="33"/>
      <c r="W52" s="33"/>
      <c r="X52" s="33"/>
      <c r="Y52" s="33"/>
      <c r="Z52" s="33"/>
      <c r="AA52" s="33"/>
      <c r="AB52" s="33"/>
      <c r="AC52" s="33"/>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row>
    <row r="53" spans="1:79" ht="16">
      <c r="B53" s="110" t="s">
        <v>44</v>
      </c>
      <c r="C53" s="108" t="s">
        <v>18</v>
      </c>
      <c r="D53" s="184">
        <f t="shared" si="61"/>
        <v>7.0000000000000009</v>
      </c>
      <c r="E53" s="184">
        <f t="shared" si="62"/>
        <v>28.463825796801789</v>
      </c>
      <c r="F53" s="184">
        <f t="shared" si="63"/>
        <v>40.099833610648908</v>
      </c>
      <c r="G53" s="184">
        <f t="shared" si="64"/>
        <v>75.844829768383732</v>
      </c>
      <c r="H53" s="184">
        <f t="shared" si="65"/>
        <v>72.896675176805488</v>
      </c>
      <c r="I53" s="184">
        <f t="shared" si="66"/>
        <v>22.524926077508493</v>
      </c>
      <c r="J53" s="184">
        <f t="shared" si="67"/>
        <v>60.68909942657239</v>
      </c>
      <c r="K53" s="184">
        <f t="shared" si="68"/>
        <v>53.067036087999575</v>
      </c>
      <c r="L53" s="184">
        <f t="shared" si="69"/>
        <v>24.252394148727667</v>
      </c>
      <c r="M53" s="184">
        <f t="shared" si="70"/>
        <v>0</v>
      </c>
      <c r="N53" s="191">
        <f>(AVERAGE(D53:E53)+AVERAGE(F53:J53)+AVERAGE(K53:M53))/3</f>
        <v>32.638709707542375</v>
      </c>
      <c r="O53" s="20"/>
      <c r="P53" s="33"/>
      <c r="Q53" s="33"/>
      <c r="R53" s="116"/>
      <c r="S53" s="116"/>
      <c r="T53" s="116"/>
      <c r="U53" s="116"/>
      <c r="V53" s="33"/>
      <c r="W53" s="33"/>
      <c r="X53" s="33"/>
      <c r="Y53" s="33"/>
      <c r="Z53" s="33"/>
      <c r="AA53" s="33"/>
      <c r="AB53" s="33"/>
      <c r="AC53" s="33"/>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row>
    <row r="54" spans="1:79" ht="16">
      <c r="B54" s="110" t="s">
        <v>17</v>
      </c>
      <c r="C54" s="108" t="s">
        <v>17</v>
      </c>
      <c r="D54" s="184">
        <f t="shared" si="61"/>
        <v>8</v>
      </c>
      <c r="E54" s="184">
        <f t="shared" si="62"/>
        <v>70.444366186144293</v>
      </c>
      <c r="F54" s="184">
        <f t="shared" si="63"/>
        <v>32.778702163061546</v>
      </c>
      <c r="G54" s="184">
        <f t="shared" si="64"/>
        <v>28.509049487406653</v>
      </c>
      <c r="H54" s="184">
        <f t="shared" si="65"/>
        <v>37.503301346949563</v>
      </c>
      <c r="I54" s="184">
        <f t="shared" si="66"/>
        <v>24.742014941317564</v>
      </c>
      <c r="J54" s="184">
        <f t="shared" si="67"/>
        <v>97.273263421272389</v>
      </c>
      <c r="K54" s="184">
        <f t="shared" si="68"/>
        <v>100</v>
      </c>
      <c r="L54" s="184">
        <f t="shared" si="69"/>
        <v>18.869052832117905</v>
      </c>
      <c r="M54" s="184">
        <f t="shared" si="70"/>
        <v>100</v>
      </c>
      <c r="N54" s="191">
        <f t="shared" si="71"/>
        <v>52.113266769704332</v>
      </c>
      <c r="O54" s="20"/>
      <c r="P54" s="33"/>
      <c r="Q54" s="33"/>
      <c r="R54" s="116"/>
      <c r="S54" s="116"/>
      <c r="T54" s="116"/>
      <c r="U54" s="116"/>
      <c r="V54" s="33"/>
      <c r="W54" s="33"/>
      <c r="X54" s="33"/>
      <c r="Y54" s="33"/>
      <c r="Z54" s="33"/>
      <c r="AA54" s="33"/>
      <c r="AB54" s="33"/>
      <c r="AC54" s="33"/>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row>
    <row r="55" spans="1:79" ht="16">
      <c r="B55" s="110" t="s">
        <v>23</v>
      </c>
      <c r="C55" s="108" t="s">
        <v>23</v>
      </c>
      <c r="D55" s="184">
        <f t="shared" si="61"/>
        <v>2</v>
      </c>
      <c r="E55" s="184">
        <f t="shared" si="62"/>
        <v>11.275272317224573</v>
      </c>
      <c r="F55" s="184">
        <f t="shared" si="63"/>
        <v>68.885191347753718</v>
      </c>
      <c r="G55" s="184">
        <f t="shared" si="64"/>
        <v>48.936843437539544</v>
      </c>
      <c r="H55" s="184">
        <f t="shared" si="65"/>
        <v>89.309504944684093</v>
      </c>
      <c r="I55" s="184">
        <f t="shared" si="66"/>
        <v>8.9786274172760621</v>
      </c>
      <c r="J55" s="184">
        <f t="shared" si="67"/>
        <v>36.207977584384011</v>
      </c>
      <c r="K55" s="184">
        <f t="shared" si="68"/>
        <v>60.068155720865967</v>
      </c>
      <c r="L55" s="184">
        <f t="shared" si="69"/>
        <v>19.861133714262774</v>
      </c>
      <c r="M55" s="184">
        <f t="shared" si="70"/>
        <v>5.3516819571865453</v>
      </c>
      <c r="N55" s="191">
        <f t="shared" si="71"/>
        <v>28.509418523014958</v>
      </c>
      <c r="O55" s="20"/>
      <c r="P55" s="33"/>
      <c r="Q55" s="33"/>
      <c r="R55" s="116"/>
      <c r="S55" s="116"/>
      <c r="T55" s="116"/>
      <c r="U55" s="116"/>
      <c r="V55" s="33"/>
      <c r="W55" s="33"/>
      <c r="X55" s="33"/>
      <c r="Y55" s="33"/>
      <c r="Z55" s="33"/>
      <c r="AA55" s="33"/>
      <c r="AB55" s="33"/>
      <c r="AC55" s="33"/>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row>
    <row r="56" spans="1:79" ht="16">
      <c r="B56" s="110" t="s">
        <v>19</v>
      </c>
      <c r="C56" s="109" t="s">
        <v>19</v>
      </c>
      <c r="D56" s="184">
        <f t="shared" si="61"/>
        <v>6</v>
      </c>
      <c r="E56" s="184">
        <f t="shared" si="62"/>
        <v>17.440433191907502</v>
      </c>
      <c r="F56" s="184">
        <f t="shared" si="63"/>
        <v>75.041597337770384</v>
      </c>
      <c r="G56" s="184">
        <f t="shared" si="64"/>
        <v>50.734084293127445</v>
      </c>
      <c r="H56" s="184">
        <f t="shared" si="65"/>
        <v>94.336355899873823</v>
      </c>
      <c r="I56" s="184">
        <f t="shared" si="66"/>
        <v>53.16404748445246</v>
      </c>
      <c r="J56" s="184">
        <f t="shared" si="67"/>
        <v>81.918297326917298</v>
      </c>
      <c r="K56" s="184">
        <f t="shared" si="68"/>
        <v>89.318895203430742</v>
      </c>
      <c r="L56" s="184">
        <f t="shared" si="69"/>
        <v>9.3828154303828484</v>
      </c>
      <c r="M56" s="184">
        <f t="shared" si="70"/>
        <v>14.534883720930235</v>
      </c>
      <c r="N56" s="191">
        <f t="shared" si="71"/>
        <v>40.168208171987771</v>
      </c>
      <c r="O56" s="53"/>
      <c r="P56" s="33"/>
      <c r="Q56" s="33"/>
      <c r="R56" s="116"/>
      <c r="S56" s="116"/>
      <c r="T56" s="116"/>
      <c r="U56" s="116"/>
      <c r="V56" s="33"/>
      <c r="W56" s="33"/>
      <c r="X56" s="33"/>
      <c r="Y56" s="33"/>
      <c r="Z56" s="33"/>
      <c r="AA56" s="33"/>
      <c r="AB56" s="33"/>
      <c r="AC56" s="33"/>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row>
    <row r="57" spans="1:79" ht="16">
      <c r="B57" s="110" t="s">
        <v>20</v>
      </c>
      <c r="C57" s="109" t="s">
        <v>20</v>
      </c>
      <c r="D57" s="184">
        <f t="shared" si="61"/>
        <v>5</v>
      </c>
      <c r="E57" s="184">
        <f t="shared" si="62"/>
        <v>29.61873076241573</v>
      </c>
      <c r="F57" s="184">
        <f t="shared" si="63"/>
        <v>14.525790349417623</v>
      </c>
      <c r="G57" s="184">
        <f t="shared" si="64"/>
        <v>47.550942918617892</v>
      </c>
      <c r="H57" s="184">
        <f t="shared" si="65"/>
        <v>84.925316195674512</v>
      </c>
      <c r="I57" s="184">
        <f t="shared" si="66"/>
        <v>71.82724597910159</v>
      </c>
      <c r="J57" s="184">
        <f t="shared" si="67"/>
        <v>79.115375015841735</v>
      </c>
      <c r="K57" s="184">
        <f t="shared" si="68"/>
        <v>59.603711217869581</v>
      </c>
      <c r="L57" s="184">
        <f t="shared" si="69"/>
        <v>11.370296284608102</v>
      </c>
      <c r="M57" s="184">
        <f t="shared" si="70"/>
        <v>11.380372205114476</v>
      </c>
      <c r="N57" s="191">
        <f t="shared" si="71"/>
        <v>34.783253125156413</v>
      </c>
      <c r="O57" s="53"/>
      <c r="P57" s="33"/>
      <c r="Q57" s="33"/>
      <c r="R57" s="116"/>
      <c r="S57" s="116"/>
      <c r="T57" s="116"/>
      <c r="U57" s="116"/>
      <c r="V57" s="33"/>
      <c r="W57" s="33"/>
      <c r="X57" s="33"/>
      <c r="Y57" s="33"/>
      <c r="Z57" s="33"/>
      <c r="AA57" s="33"/>
      <c r="AB57" s="33"/>
      <c r="AC57" s="33"/>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row>
    <row r="58" spans="1:79" ht="16">
      <c r="B58" s="110" t="s">
        <v>21</v>
      </c>
      <c r="C58" s="109" t="s">
        <v>21</v>
      </c>
      <c r="D58" s="184">
        <f t="shared" si="61"/>
        <v>4</v>
      </c>
      <c r="E58" s="184">
        <f t="shared" si="62"/>
        <v>28.586052430832424</v>
      </c>
      <c r="F58" s="184">
        <f t="shared" si="63"/>
        <v>16.306156405989991</v>
      </c>
      <c r="G58" s="184">
        <f t="shared" si="64"/>
        <v>24.047588912795849</v>
      </c>
      <c r="H58" s="184">
        <f t="shared" si="65"/>
        <v>36.975085835020685</v>
      </c>
      <c r="I58" s="184">
        <f t="shared" si="66"/>
        <v>27.086227534685985</v>
      </c>
      <c r="J58" s="184">
        <f t="shared" si="67"/>
        <v>33.979078429857822</v>
      </c>
      <c r="K58" s="184">
        <f t="shared" si="68"/>
        <v>60.068155720865967</v>
      </c>
      <c r="L58" s="184">
        <f t="shared" si="69"/>
        <v>12.501699895440202</v>
      </c>
      <c r="M58" s="184">
        <f t="shared" si="70"/>
        <v>5.0785395881978346</v>
      </c>
      <c r="N58" s="191">
        <f t="shared" si="71"/>
        <v>23.284884013529204</v>
      </c>
      <c r="O58" s="53"/>
      <c r="P58" s="33"/>
      <c r="Q58" s="33"/>
      <c r="R58" s="116"/>
      <c r="S58" s="116"/>
      <c r="T58" s="116"/>
      <c r="U58" s="116"/>
      <c r="V58" s="33"/>
      <c r="W58" s="33"/>
      <c r="X58" s="33"/>
      <c r="Y58" s="33"/>
      <c r="Z58" s="33"/>
      <c r="AA58" s="33"/>
      <c r="AB58" s="33"/>
      <c r="AC58" s="33"/>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row>
    <row r="59" spans="1:79" ht="18" customHeight="1">
      <c r="B59" s="110" t="s">
        <v>25</v>
      </c>
      <c r="C59" s="109" t="s">
        <v>25</v>
      </c>
      <c r="D59" s="184">
        <f t="shared" si="61"/>
        <v>0.02</v>
      </c>
      <c r="E59" s="184">
        <f t="shared" si="62"/>
        <v>0</v>
      </c>
      <c r="F59" s="184" t="s">
        <v>56</v>
      </c>
      <c r="G59" s="184" t="s">
        <v>56</v>
      </c>
      <c r="H59" s="184" t="s">
        <v>56</v>
      </c>
      <c r="I59" s="184">
        <f t="shared" si="66"/>
        <v>28.063416772235762</v>
      </c>
      <c r="J59" s="184">
        <f t="shared" si="67"/>
        <v>0</v>
      </c>
      <c r="K59" s="184">
        <f t="shared" si="68"/>
        <v>32.56641309153968</v>
      </c>
      <c r="L59" s="184">
        <f t="shared" si="69"/>
        <v>3.8952143242899897</v>
      </c>
      <c r="M59" s="184">
        <f t="shared" si="70"/>
        <v>0</v>
      </c>
      <c r="N59" s="191">
        <f t="shared" si="71"/>
        <v>8.73186139713148</v>
      </c>
      <c r="O59" s="53"/>
      <c r="P59" s="33"/>
      <c r="Q59" s="33"/>
      <c r="R59" s="116"/>
      <c r="S59" s="116"/>
      <c r="T59" s="116"/>
      <c r="U59" s="116"/>
      <c r="V59" s="33"/>
      <c r="W59" s="33"/>
      <c r="X59" s="33"/>
      <c r="Y59" s="33"/>
      <c r="Z59" s="33"/>
      <c r="AA59" s="33"/>
      <c r="AB59" s="33"/>
      <c r="AC59" s="33"/>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row>
    <row r="60" spans="1:79" ht="16">
      <c r="B60" s="110" t="s">
        <v>12</v>
      </c>
      <c r="C60" s="109" t="s">
        <v>12</v>
      </c>
      <c r="D60" s="184">
        <f t="shared" si="61"/>
        <v>19</v>
      </c>
      <c r="E60" s="184">
        <f t="shared" si="62"/>
        <v>54.422521198468957</v>
      </c>
      <c r="F60" s="184">
        <f t="shared" ref="F60:F71" si="72">($F$96-F84)/(F$96-$F$97)*100</f>
        <v>70.216306156405977</v>
      </c>
      <c r="G60" s="184">
        <f t="shared" ref="G60:G71" si="73">(G84-$G$97)/(G$96-$G$97)*100</f>
        <v>50.993545120870778</v>
      </c>
      <c r="H60" s="184">
        <f t="shared" ref="H60:H71" si="74">(H84-$H$97)/(H$96-$H$97)*100</f>
        <v>87.15555946826305</v>
      </c>
      <c r="I60" s="184">
        <f t="shared" si="66"/>
        <v>77.729763569298754</v>
      </c>
      <c r="J60" s="184">
        <f t="shared" si="67"/>
        <v>83.935072233339724</v>
      </c>
      <c r="K60" s="184">
        <f t="shared" si="68"/>
        <v>67.658767563689253</v>
      </c>
      <c r="L60" s="184">
        <f t="shared" si="69"/>
        <v>17.937350808137893</v>
      </c>
      <c r="M60" s="184">
        <f t="shared" si="70"/>
        <v>52.046025331099912</v>
      </c>
      <c r="N60" s="191">
        <f t="shared" si="71"/>
        <v>52.199341492170824</v>
      </c>
      <c r="O60" s="53"/>
      <c r="P60" s="33"/>
      <c r="Q60" s="33"/>
      <c r="R60" s="116"/>
      <c r="S60" s="116"/>
      <c r="T60" s="116"/>
      <c r="U60" s="116"/>
      <c r="V60" s="33"/>
      <c r="W60" s="33"/>
      <c r="X60" s="33"/>
      <c r="Y60" s="33"/>
      <c r="Z60" s="33"/>
      <c r="AA60" s="33"/>
      <c r="AB60" s="33"/>
      <c r="AC60" s="33"/>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row>
    <row r="61" spans="1:79" ht="16">
      <c r="B61" s="110" t="s">
        <v>7</v>
      </c>
      <c r="C61" s="109" t="s">
        <v>7</v>
      </c>
      <c r="D61" s="184">
        <f t="shared" si="61"/>
        <v>47</v>
      </c>
      <c r="E61" s="184">
        <f t="shared" si="62"/>
        <v>100</v>
      </c>
      <c r="F61" s="184">
        <f t="shared" si="72"/>
        <v>61.231281198003309</v>
      </c>
      <c r="G61" s="184">
        <f t="shared" si="73"/>
        <v>13.934944943678016</v>
      </c>
      <c r="H61" s="184">
        <f t="shared" si="74"/>
        <v>29.136954544120673</v>
      </c>
      <c r="I61" s="184">
        <f t="shared" si="66"/>
        <v>15.704163154042616</v>
      </c>
      <c r="J61" s="184">
        <f t="shared" si="67"/>
        <v>83.640560377246231</v>
      </c>
      <c r="K61" s="184">
        <f t="shared" si="68"/>
        <v>70.913878184666771</v>
      </c>
      <c r="L61" s="184">
        <f t="shared" si="69"/>
        <v>62.544410926484439</v>
      </c>
      <c r="M61" s="184">
        <f t="shared" si="70"/>
        <v>0</v>
      </c>
      <c r="N61" s="191">
        <f t="shared" si="71"/>
        <v>52.905225737933968</v>
      </c>
      <c r="O61" s="53"/>
      <c r="P61" s="33"/>
      <c r="Q61" s="33"/>
      <c r="R61" s="116"/>
      <c r="S61" s="116"/>
      <c r="T61" s="116"/>
      <c r="U61" s="116"/>
      <c r="V61" s="33"/>
      <c r="W61" s="33"/>
      <c r="X61" s="33"/>
      <c r="Y61" s="33"/>
      <c r="Z61" s="33"/>
      <c r="AA61" s="33"/>
      <c r="AB61" s="33"/>
      <c r="AC61" s="33"/>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row>
    <row r="62" spans="1:79" ht="16">
      <c r="B62" s="110" t="s">
        <v>13</v>
      </c>
      <c r="C62" s="109" t="s">
        <v>13</v>
      </c>
      <c r="D62" s="184">
        <f t="shared" si="61"/>
        <v>14.000000000000002</v>
      </c>
      <c r="E62" s="184">
        <f t="shared" si="62"/>
        <v>52.374160080806952</v>
      </c>
      <c r="F62" s="184">
        <f t="shared" si="72"/>
        <v>48.585690515806974</v>
      </c>
      <c r="G62" s="184">
        <f t="shared" si="73"/>
        <v>43.855208201493475</v>
      </c>
      <c r="H62" s="184">
        <f t="shared" si="74"/>
        <v>84.027349825395419</v>
      </c>
      <c r="I62" s="184">
        <f t="shared" si="66"/>
        <v>100</v>
      </c>
      <c r="J62" s="184">
        <f t="shared" si="67"/>
        <v>90.999108481022802</v>
      </c>
      <c r="K62" s="184">
        <f t="shared" si="68"/>
        <v>88.619092498589097</v>
      </c>
      <c r="L62" s="184">
        <f t="shared" si="69"/>
        <v>41.810126136608453</v>
      </c>
      <c r="M62" s="184">
        <f t="shared" si="70"/>
        <v>12.275602181487656</v>
      </c>
      <c r="N62" s="191">
        <f t="shared" si="71"/>
        <v>51.416275016902979</v>
      </c>
      <c r="O62" s="53"/>
      <c r="P62" s="33"/>
      <c r="Q62" s="33"/>
      <c r="R62" s="116"/>
      <c r="S62" s="116"/>
      <c r="T62" s="116"/>
      <c r="U62" s="116"/>
      <c r="V62" s="33"/>
      <c r="W62" s="33"/>
      <c r="X62" s="33"/>
      <c r="Y62" s="33"/>
      <c r="Z62" s="33"/>
      <c r="AA62" s="33"/>
      <c r="AB62" s="33"/>
      <c r="AC62" s="33"/>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row>
    <row r="63" spans="1:79" ht="17" customHeight="1">
      <c r="B63" s="110" t="s">
        <v>8</v>
      </c>
      <c r="C63" s="109" t="s">
        <v>8</v>
      </c>
      <c r="D63" s="184">
        <f t="shared" si="61"/>
        <v>42</v>
      </c>
      <c r="E63" s="184">
        <f t="shared" si="62"/>
        <v>93.849992298448811</v>
      </c>
      <c r="F63" s="184">
        <f t="shared" si="72"/>
        <v>50.582362728785327</v>
      </c>
      <c r="G63" s="184">
        <f t="shared" si="73"/>
        <v>46.90545500569548</v>
      </c>
      <c r="H63" s="184">
        <f t="shared" si="74"/>
        <v>63.110015553012303</v>
      </c>
      <c r="I63" s="184">
        <f t="shared" si="66"/>
        <v>43.748174427576643</v>
      </c>
      <c r="J63" s="184">
        <f t="shared" si="67"/>
        <v>96.83898994794383</v>
      </c>
      <c r="K63" s="184">
        <f t="shared" si="68"/>
        <v>75.710424979125634</v>
      </c>
      <c r="L63" s="184">
        <f t="shared" si="69"/>
        <v>46.362668946442028</v>
      </c>
      <c r="M63" s="184">
        <f t="shared" si="70"/>
        <v>0.6904600998538053</v>
      </c>
      <c r="N63" s="191">
        <f t="shared" si="71"/>
        <v>56.361060118989208</v>
      </c>
      <c r="O63" s="53"/>
      <c r="P63" s="33"/>
      <c r="Q63" s="33"/>
      <c r="R63" s="116"/>
      <c r="S63" s="116"/>
      <c r="T63" s="116"/>
      <c r="U63" s="116"/>
      <c r="V63" s="33"/>
      <c r="W63" s="33"/>
      <c r="X63" s="33"/>
      <c r="Y63" s="33"/>
      <c r="Z63" s="33"/>
      <c r="AA63" s="33"/>
      <c r="AB63" s="33"/>
      <c r="AC63" s="33"/>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row>
    <row r="64" spans="1:79" ht="17" customHeight="1">
      <c r="B64" s="110" t="s">
        <v>16</v>
      </c>
      <c r="C64" s="109" t="s">
        <v>16</v>
      </c>
      <c r="D64" s="184">
        <f t="shared" si="61"/>
        <v>9</v>
      </c>
      <c r="E64" s="184">
        <f t="shared" si="62"/>
        <v>72.000170981183956</v>
      </c>
      <c r="F64" s="171">
        <f t="shared" si="72"/>
        <v>48.752079866888501</v>
      </c>
      <c r="G64" s="184">
        <f t="shared" si="73"/>
        <v>20.953043918491328</v>
      </c>
      <c r="H64" s="184">
        <f t="shared" si="74"/>
        <v>36.212107873345659</v>
      </c>
      <c r="I64" s="184">
        <f t="shared" si="66"/>
        <v>25.317330472475653</v>
      </c>
      <c r="J64" s="184">
        <f t="shared" si="67"/>
        <v>93.478554689244547</v>
      </c>
      <c r="K64" s="184">
        <f t="shared" si="68"/>
        <v>66.022591978637067</v>
      </c>
      <c r="L64" s="184">
        <f t="shared" si="69"/>
        <v>11.36392338778958</v>
      </c>
      <c r="M64" s="184">
        <f t="shared" si="70"/>
        <v>16.737710918773395</v>
      </c>
      <c r="N64" s="191">
        <f t="shared" si="71"/>
        <v>38.939150316582598</v>
      </c>
      <c r="O64" s="53"/>
      <c r="P64" s="33"/>
      <c r="Q64" s="33"/>
      <c r="R64" s="116"/>
      <c r="S64" s="116"/>
      <c r="T64" s="116"/>
      <c r="U64" s="116"/>
      <c r="V64" s="33"/>
      <c r="W64" s="33"/>
      <c r="X64" s="33"/>
      <c r="Y64" s="33"/>
      <c r="Z64" s="33"/>
      <c r="AA64" s="33"/>
      <c r="AB64" s="33"/>
      <c r="AC64" s="33"/>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row>
    <row r="65" spans="1:79" ht="16">
      <c r="B65" s="110" t="s">
        <v>46</v>
      </c>
      <c r="C65" s="109" t="s">
        <v>9</v>
      </c>
      <c r="D65" s="184">
        <f t="shared" si="61"/>
        <v>34</v>
      </c>
      <c r="E65" s="184">
        <f t="shared" si="62"/>
        <v>76.541563556249471</v>
      </c>
      <c r="F65" s="184">
        <f t="shared" si="72"/>
        <v>52.412645590682203</v>
      </c>
      <c r="G65" s="184">
        <f t="shared" si="73"/>
        <v>18.396405518288823</v>
      </c>
      <c r="H65" s="184">
        <f t="shared" si="74"/>
        <v>41.394488951492214</v>
      </c>
      <c r="I65" s="184">
        <f t="shared" si="66"/>
        <v>15.898417902779451</v>
      </c>
      <c r="J65" s="184">
        <f t="shared" si="67"/>
        <v>50</v>
      </c>
      <c r="K65" s="184">
        <f t="shared" si="68"/>
        <v>93.55444343643191</v>
      </c>
      <c r="L65" s="184">
        <f t="shared" si="69"/>
        <v>36.16523649734112</v>
      </c>
      <c r="M65" s="184">
        <f t="shared" si="70"/>
        <v>0</v>
      </c>
      <c r="N65" s="191">
        <f t="shared" si="71"/>
        <v>44.710355560676987</v>
      </c>
      <c r="O65" s="53"/>
      <c r="P65" s="33"/>
      <c r="Q65" s="33"/>
      <c r="R65" s="116"/>
      <c r="S65" s="116"/>
      <c r="T65" s="116"/>
      <c r="U65" s="116"/>
      <c r="V65" s="33"/>
      <c r="W65" s="33"/>
      <c r="X65" s="33"/>
      <c r="Y65" s="33"/>
      <c r="Z65" s="33"/>
      <c r="AA65" s="33"/>
      <c r="AB65" s="33"/>
      <c r="AC65" s="33"/>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row>
    <row r="66" spans="1:79" ht="16">
      <c r="B66" s="110" t="s">
        <v>68</v>
      </c>
      <c r="C66" s="109" t="s">
        <v>6</v>
      </c>
      <c r="D66" s="184">
        <f t="shared" si="61"/>
        <v>75</v>
      </c>
      <c r="E66" s="184">
        <f t="shared" si="62"/>
        <v>76.060033436824639</v>
      </c>
      <c r="F66" s="184">
        <f t="shared" si="72"/>
        <v>64.891846921797011</v>
      </c>
      <c r="G66" s="184">
        <f t="shared" si="73"/>
        <v>25.079103910897356</v>
      </c>
      <c r="H66" s="184">
        <f t="shared" si="74"/>
        <v>59.987674971388337</v>
      </c>
      <c r="I66" s="184">
        <f t="shared" si="66"/>
        <v>15.498818473133493</v>
      </c>
      <c r="J66" s="184">
        <f t="shared" si="67"/>
        <v>98.511662040932876</v>
      </c>
      <c r="K66" s="184">
        <f>(K90-$K$97)/(K$96-$K$97)*100*'ZEV investment'!$F$4</f>
        <v>75.042534930425774</v>
      </c>
      <c r="L66" s="184">
        <f t="shared" si="69"/>
        <v>72.752662788302132</v>
      </c>
      <c r="M66" s="184">
        <f t="shared" si="70"/>
        <v>100</v>
      </c>
      <c r="N66" s="191">
        <f t="shared" si="71"/>
        <v>70.307412407206044</v>
      </c>
      <c r="O66" s="53"/>
      <c r="P66" s="33"/>
      <c r="Q66" s="33"/>
      <c r="R66" s="116"/>
      <c r="S66" s="116"/>
      <c r="T66" s="116"/>
      <c r="U66" s="116"/>
      <c r="V66" s="33"/>
      <c r="W66" s="33"/>
      <c r="X66" s="33"/>
      <c r="Y66" s="33"/>
      <c r="Z66" s="33"/>
      <c r="AA66" s="33"/>
      <c r="AB66" s="33"/>
      <c r="AC66" s="33"/>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row>
    <row r="67" spans="1:79" ht="16">
      <c r="B67" s="110" t="s">
        <v>5</v>
      </c>
      <c r="C67" s="109" t="s">
        <v>5</v>
      </c>
      <c r="D67" s="184">
        <f t="shared" si="61"/>
        <v>100</v>
      </c>
      <c r="E67" s="184">
        <f t="shared" si="62"/>
        <v>45.57135855103504</v>
      </c>
      <c r="F67" s="184">
        <f t="shared" si="72"/>
        <v>82.362728785357717</v>
      </c>
      <c r="G67" s="184">
        <f t="shared" si="73"/>
        <v>100</v>
      </c>
      <c r="H67" s="184">
        <f t="shared" si="74"/>
        <v>100</v>
      </c>
      <c r="I67" s="184">
        <f t="shared" si="66"/>
        <v>19.515817469078261</v>
      </c>
      <c r="J67" s="184">
        <f t="shared" si="67"/>
        <v>100</v>
      </c>
      <c r="K67" s="184">
        <f>(K91-$K$97)/(K$96-$K$97)*100</f>
        <v>100</v>
      </c>
      <c r="L67" s="184">
        <f t="shared" si="69"/>
        <v>100</v>
      </c>
      <c r="M67" s="184">
        <f t="shared" si="70"/>
        <v>100</v>
      </c>
      <c r="N67" s="191">
        <f t="shared" si="71"/>
        <v>84.387129508801578</v>
      </c>
      <c r="O67" s="48"/>
      <c r="P67" s="33"/>
      <c r="Q67" s="116"/>
      <c r="R67" s="116"/>
      <c r="S67" s="116"/>
      <c r="T67" s="116"/>
      <c r="U67" s="116"/>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row>
    <row r="68" spans="1:79" ht="16">
      <c r="B68" s="110" t="s">
        <v>15</v>
      </c>
      <c r="C68" s="109" t="s">
        <v>15</v>
      </c>
      <c r="D68" s="184">
        <f t="shared" si="61"/>
        <v>9</v>
      </c>
      <c r="E68" s="184">
        <f t="shared" si="62"/>
        <v>35.026223289203145</v>
      </c>
      <c r="F68" s="184">
        <f t="shared" si="72"/>
        <v>99.833610648918452</v>
      </c>
      <c r="G68" s="184">
        <f t="shared" si="73"/>
        <v>5.1449183647639529</v>
      </c>
      <c r="H68" s="184">
        <f t="shared" si="74"/>
        <v>44.728115737887734</v>
      </c>
      <c r="I68" s="184">
        <f t="shared" si="66"/>
        <v>0</v>
      </c>
      <c r="J68" s="184">
        <f t="shared" si="67"/>
        <v>94.311669001224715</v>
      </c>
      <c r="K68" s="184">
        <f>(K92-$K$97)/(K$96-$K$97)*100</f>
        <v>63.239299011083538</v>
      </c>
      <c r="L68" s="184">
        <f t="shared" si="69"/>
        <v>21.667347628474808</v>
      </c>
      <c r="M68" s="184">
        <f t="shared" si="70"/>
        <v>4.8616071428571432</v>
      </c>
      <c r="N68" s="191">
        <f t="shared" si="71"/>
        <v>33.579841885321898</v>
      </c>
      <c r="O68" s="48"/>
      <c r="P68" s="116"/>
      <c r="Q68" s="116"/>
      <c r="R68" s="116"/>
      <c r="S68" s="116"/>
      <c r="T68" s="116"/>
      <c r="U68" s="116"/>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row>
    <row r="69" spans="1:79" ht="16">
      <c r="B69" s="110" t="s">
        <v>11</v>
      </c>
      <c r="C69" s="109" t="s">
        <v>11</v>
      </c>
      <c r="D69" s="184">
        <f t="shared" si="61"/>
        <v>26</v>
      </c>
      <c r="E69" s="184">
        <f t="shared" si="62"/>
        <v>46.701817926447475</v>
      </c>
      <c r="F69" s="184">
        <f t="shared" si="72"/>
        <v>38.602329450915121</v>
      </c>
      <c r="G69" s="184">
        <f t="shared" si="73"/>
        <v>24.591823819769647</v>
      </c>
      <c r="H69" s="184">
        <f t="shared" si="74"/>
        <v>48.619303342430378</v>
      </c>
      <c r="I69" s="184">
        <f t="shared" si="66"/>
        <v>15.615338695613248</v>
      </c>
      <c r="J69" s="184">
        <f t="shared" si="67"/>
        <v>99.343408334653788</v>
      </c>
      <c r="K69" s="184">
        <f>(K93-$K$97)/(K$96-$K$97)*100</f>
        <v>88.438625147423906</v>
      </c>
      <c r="L69" s="184">
        <f t="shared" si="69"/>
        <v>6.3507369087639027</v>
      </c>
      <c r="M69" s="184">
        <f t="shared" si="70"/>
        <v>0</v>
      </c>
      <c r="N69" s="191">
        <f t="shared" si="71"/>
        <v>37.76726790354315</v>
      </c>
      <c r="O69" s="48"/>
      <c r="P69" s="116"/>
      <c r="Q69" s="116"/>
      <c r="R69" s="116"/>
      <c r="S69" s="116"/>
      <c r="T69" s="116"/>
      <c r="U69" s="116"/>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row>
    <row r="70" spans="1:79" ht="16">
      <c r="B70" s="110" t="s">
        <v>24</v>
      </c>
      <c r="C70" s="109" t="s">
        <v>24</v>
      </c>
      <c r="D70" s="184">
        <f t="shared" si="61"/>
        <v>2</v>
      </c>
      <c r="E70" s="184">
        <f t="shared" si="62"/>
        <v>3.1233660110457873</v>
      </c>
      <c r="F70" s="184">
        <f t="shared" si="72"/>
        <v>7.98668885191345</v>
      </c>
      <c r="G70" s="184">
        <f t="shared" si="73"/>
        <v>21.035311985824578</v>
      </c>
      <c r="H70" s="184">
        <f t="shared" si="74"/>
        <v>9.6956891745165343</v>
      </c>
      <c r="I70" s="184">
        <f t="shared" si="66"/>
        <v>44.510430472603915</v>
      </c>
      <c r="J70" s="184">
        <f t="shared" si="67"/>
        <v>0</v>
      </c>
      <c r="K70" s="184">
        <f>(K94-$K$97)/(K$96-$K$97)*100</f>
        <v>37.54259732554123</v>
      </c>
      <c r="L70" s="184">
        <f t="shared" si="69"/>
        <v>12.525664433840339</v>
      </c>
      <c r="M70" s="184">
        <f t="shared" si="70"/>
        <v>0</v>
      </c>
      <c r="N70" s="191">
        <f t="shared" si="71"/>
        <v>11.96557589631837</v>
      </c>
      <c r="O70" s="48"/>
      <c r="P70" s="116"/>
      <c r="Q70" s="116"/>
      <c r="R70" s="116"/>
      <c r="S70" s="116"/>
      <c r="T70" s="116"/>
      <c r="U70" s="116"/>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row>
    <row r="71" spans="1:79" ht="16">
      <c r="B71" s="15" t="s">
        <v>49</v>
      </c>
      <c r="C71" s="109" t="s">
        <v>49</v>
      </c>
      <c r="D71" s="184">
        <f t="shared" si="61"/>
        <v>27</v>
      </c>
      <c r="E71" s="184">
        <f t="shared" si="62"/>
        <v>91.60853671826257</v>
      </c>
      <c r="F71" s="184">
        <f t="shared" si="72"/>
        <v>59.900166389351085</v>
      </c>
      <c r="G71" s="184">
        <f t="shared" si="73"/>
        <v>36.843437539551957</v>
      </c>
      <c r="H71" s="184">
        <f t="shared" si="74"/>
        <v>58.508671537987503</v>
      </c>
      <c r="I71" s="184">
        <f t="shared" si="66"/>
        <v>16.266325988247797</v>
      </c>
      <c r="J71" s="184">
        <f t="shared" si="67"/>
        <v>49.368659333699782</v>
      </c>
      <c r="K71" s="184">
        <f>(K95-$K$97)/(K$96-$K$97)*100</f>
        <v>50.527883927234427</v>
      </c>
      <c r="L71" s="184">
        <f t="shared" si="69"/>
        <v>14.993677208228695</v>
      </c>
      <c r="M71" s="184">
        <f t="shared" si="70"/>
        <v>0</v>
      </c>
      <c r="N71" s="191">
        <f t="shared" si="71"/>
        <v>41.774080298462209</v>
      </c>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row>
    <row r="72" spans="1:79" ht="16">
      <c r="B72" s="15"/>
      <c r="C72" s="90"/>
      <c r="D72" s="91"/>
      <c r="E72" s="91"/>
      <c r="F72" s="91"/>
      <c r="G72" s="91"/>
      <c r="H72" s="91"/>
      <c r="I72" s="92"/>
      <c r="J72" s="91"/>
      <c r="K72" s="91"/>
      <c r="L72" s="92"/>
      <c r="M72" s="91"/>
      <c r="N72" s="9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row>
    <row r="73" spans="1:79" ht="16">
      <c r="A73" s="8"/>
      <c r="B73" s="21" t="s">
        <v>69</v>
      </c>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row>
    <row r="74" spans="1:79" ht="48" customHeight="1">
      <c r="B74" s="112"/>
      <c r="C74" s="107" t="s">
        <v>26</v>
      </c>
      <c r="D74" s="118" t="s">
        <v>59</v>
      </c>
      <c r="E74" s="87" t="s">
        <v>60</v>
      </c>
      <c r="F74" s="88" t="s">
        <v>70</v>
      </c>
      <c r="G74" s="88" t="s">
        <v>62</v>
      </c>
      <c r="H74" s="88" t="s">
        <v>63</v>
      </c>
      <c r="I74" s="88" t="s">
        <v>39</v>
      </c>
      <c r="J74" s="88" t="s">
        <v>1</v>
      </c>
      <c r="K74" s="89" t="s">
        <v>2</v>
      </c>
      <c r="L74" s="89" t="s">
        <v>42</v>
      </c>
      <c r="M74" s="89" t="s">
        <v>64</v>
      </c>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row>
    <row r="75" spans="1:79" ht="16">
      <c r="B75" s="431" t="s">
        <v>22</v>
      </c>
      <c r="C75" s="109" t="s">
        <v>22</v>
      </c>
      <c r="D75" s="493">
        <f>_xlfn.XLOOKUP(C75,'ZEV market share'!B:B,'ZEV market share'!K:K)*100</f>
        <v>2</v>
      </c>
      <c r="E75" s="493">
        <f>_xlfn.XLOOKUP(C75,'Class coverage'!$M$4:$M$24,'Class coverage'!$N$4:$N$24)*100</f>
        <v>18.497184598265676</v>
      </c>
      <c r="F75" s="43">
        <f>_xlfn.XLOOKUP(C75,'Energy consumption'!$K$4:$K$24,'Energy consumption'!$M$4:$M$24)</f>
        <v>124.6</v>
      </c>
      <c r="G75" s="43">
        <f>_xlfn.XLOOKUP(C75,'Charging speed'!$L$4:$L$24,'Charging speed'!$Q$4:$Q$24)</f>
        <v>79.930000000000007</v>
      </c>
      <c r="H75" s="43">
        <f>_xlfn.XLOOKUP(C75,'Driving range'!$H$4:$H$24,'Driving range'!$I$4:$I$24)</f>
        <v>475.27</v>
      </c>
      <c r="I75" s="43">
        <f>_xlfn.XLOOKUP(C75,'Green Steel'!$B$2:$B$22,'Green Steel'!$I$2:$I$22)</f>
        <v>13.567261363854529</v>
      </c>
      <c r="J75" s="494">
        <f>_xlfn.XLOOKUP(C75,'Battery recycling'!$B$2:$B$28,'Battery recycling'!$K$2:$K$28)</f>
        <v>0.68483499512152335</v>
      </c>
      <c r="K75" s="492">
        <f>IFERROR(_xlfn.XLOOKUP(C75,'ZEV target'!$B$47:$B$67,'ZEV target'!$F$47:$F$67),0)</f>
        <v>0.41558441558441556</v>
      </c>
      <c r="L75" s="493">
        <f>_xlfn.XLOOKUP(C75,'ZEV investment'!$B$3:$B$23,'ZEV investment'!$E$3:$E$23)</f>
        <v>376.68183421049463</v>
      </c>
      <c r="M75" s="43">
        <f>_xlfn.XLOOKUP(C75,'ZEV exec compensation'!$A$2:$A$22,'ZEV exec compensation'!$K$2:$K$22)</f>
        <v>0</v>
      </c>
      <c r="O75" s="16"/>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row>
    <row r="76" spans="1:79" ht="16">
      <c r="B76" s="431" t="s">
        <v>14</v>
      </c>
      <c r="C76" s="109" t="s">
        <v>14</v>
      </c>
      <c r="D76" s="493">
        <f>_xlfn.XLOOKUP(C76,'ZEV market share'!B:B,'ZEV market share'!K:K)*100</f>
        <v>10</v>
      </c>
      <c r="E76" s="493">
        <f>_xlfn.XLOOKUP(C76,'Class coverage'!$M$4:$M$24,'Class coverage'!$N$4:$N$24)*100</f>
        <v>47.907722686001605</v>
      </c>
      <c r="F76" s="43">
        <f>_xlfn.XLOOKUP(C76,'Energy consumption'!$K$4:$K$24,'Energy consumption'!$M$4:$M$24)</f>
        <v>133.9</v>
      </c>
      <c r="G76" s="43">
        <f>_xlfn.XLOOKUP(C76,'Charging speed'!$L$4:$L$24,'Charging speed'!$Q$4:$Q$24)</f>
        <v>94.47</v>
      </c>
      <c r="H76" s="43">
        <f>_xlfn.XLOOKUP(C76,'Driving range'!$H$4:$H$24,'Driving range'!$I$4:$I$24)</f>
        <v>495.74</v>
      </c>
      <c r="I76" s="43">
        <f>_xlfn.XLOOKUP(C76,'Green Steel'!$B$2:$B$22,'Green Steel'!$I$2:$I$22)</f>
        <v>46.511496277274794</v>
      </c>
      <c r="J76" s="494">
        <f>_xlfn.XLOOKUP(C76,'Battery recycling'!$B$2:$B$28,'Battery recycling'!$K$2:$K$28)</f>
        <v>0.77785384243434852</v>
      </c>
      <c r="K76" s="492">
        <f>IFERROR(_xlfn.XLOOKUP(C76,'ZEV target'!$B$47:$B$67,'ZEV target'!$F$47:$F$67),0)</f>
        <v>0.68163317025464298</v>
      </c>
      <c r="L76" s="493">
        <f>_xlfn.XLOOKUP(C76,'ZEV investment'!$B$3:$B$23,'ZEV investment'!$E$3:$E$23)</f>
        <v>891.78455868106721</v>
      </c>
      <c r="M76" s="43">
        <f>_xlfn.XLOOKUP(C76,'ZEV exec compensation'!$A$2:$A$22,'ZEV exec compensation'!$K$2:$K$22)</f>
        <v>2.1367521367521363</v>
      </c>
      <c r="O76" s="16"/>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row>
    <row r="77" spans="1:79" ht="16">
      <c r="B77" s="431" t="s">
        <v>44</v>
      </c>
      <c r="C77" s="109" t="s">
        <v>18</v>
      </c>
      <c r="D77" s="493">
        <f>_xlfn.XLOOKUP(C77,'ZEV market share'!B:B,'ZEV market share'!K:K)*100</f>
        <v>7.0000000000000009</v>
      </c>
      <c r="E77" s="493">
        <f>_xlfn.XLOOKUP(C77,'Class coverage'!$M$4:$M$24,'Class coverage'!$N$4:$N$24)*100</f>
        <v>23.056194796763098</v>
      </c>
      <c r="F77" s="43">
        <f>_xlfn.XLOOKUP(C77,'Energy consumption'!$K$4:$K$24,'Energy consumption'!$M$4:$M$24)</f>
        <v>145.6</v>
      </c>
      <c r="G77" s="43">
        <f>_xlfn.XLOOKUP(C77,'Charging speed'!$L$4:$L$24,'Charging speed'!$Q$4:$Q$24)</f>
        <v>137.85</v>
      </c>
      <c r="H77" s="43">
        <f>_xlfn.XLOOKUP(C77,'Driving range'!$H$4:$H$24,'Driving range'!$I$4:$I$24)</f>
        <v>444.41</v>
      </c>
      <c r="I77" s="43">
        <f>_xlfn.XLOOKUP(C77,'Green Steel'!$B$2:$B$22,'Green Steel'!$I$2:$I$22)</f>
        <v>16.868649915943141</v>
      </c>
      <c r="J77" s="494">
        <f>_xlfn.XLOOKUP(C77,'Battery recycling'!$B$2:$B$28,'Battery recycling'!$K$2:$K$28)</f>
        <v>0.6068909942657239</v>
      </c>
      <c r="K77" s="492">
        <f>IFERROR(_xlfn.XLOOKUP(C77,'ZEV target'!$B$47:$B$67,'ZEV target'!$F$47:$F$67),0)</f>
        <v>0.45893354213153253</v>
      </c>
      <c r="L77" s="493">
        <f>_xlfn.XLOOKUP(C77,'ZEV investment'!$B$3:$B$23,'ZEV investment'!$E$3:$E$23)</f>
        <v>925.58343951182292</v>
      </c>
      <c r="M77" s="43">
        <f>_xlfn.XLOOKUP(C77,'ZEV exec compensation'!$A$2:$A$22,'ZEV exec compensation'!$K$2:$K$22)</f>
        <v>0</v>
      </c>
      <c r="O77" s="16"/>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row>
    <row r="78" spans="1:79" ht="16">
      <c r="B78" s="431" t="s">
        <v>17</v>
      </c>
      <c r="C78" s="109" t="s">
        <v>17</v>
      </c>
      <c r="D78" s="493">
        <f>_xlfn.XLOOKUP(C78,'ZEV market share'!B:B,'ZEV market share'!K:K)*100</f>
        <v>8</v>
      </c>
      <c r="E78" s="493">
        <f>_xlfn.XLOOKUP(C78,'Class coverage'!$M$4:$M$24,'Class coverage'!$N$4:$N$24)*100</f>
        <v>57.061163903861015</v>
      </c>
      <c r="F78" s="43">
        <f>_xlfn.XLOOKUP(C78,'Energy consumption'!$K$4:$K$24,'Energy consumption'!$M$4:$M$24)</f>
        <v>150</v>
      </c>
      <c r="G78" s="43">
        <f>_xlfn.XLOOKUP(C78,'Charging speed'!$L$4:$L$24,'Charging speed'!$Q$4:$Q$24)</f>
        <v>63.05</v>
      </c>
      <c r="H78" s="43">
        <f>_xlfn.XLOOKUP(C78,'Driving range'!$H$4:$H$24,'Driving range'!$I$4:$I$24)</f>
        <v>323.8</v>
      </c>
      <c r="I78" s="43">
        <f>_xlfn.XLOOKUP(C78,'Green Steel'!$B$2:$B$22,'Green Steel'!$I$2:$I$22)</f>
        <v>18.529001463710269</v>
      </c>
      <c r="J78" s="494">
        <f>_xlfn.XLOOKUP(C78,'Battery recycling'!$B$2:$B$28,'Battery recycling'!$K$2:$K$28)</f>
        <v>0.97273263421272382</v>
      </c>
      <c r="K78" s="492">
        <f>IFERROR(_xlfn.XLOOKUP(C78,'ZEV target'!$B$47:$B$67,'ZEV target'!$F$47:$F$67),0)</f>
        <v>0.864818493669961</v>
      </c>
      <c r="L78" s="493">
        <f>_xlfn.XLOOKUP(C78,'ZEV investment'!$B$3:$B$23,'ZEV investment'!$E$3:$E$23)</f>
        <v>723.00122638895709</v>
      </c>
      <c r="M78" s="43">
        <f>_xlfn.XLOOKUP(C78,'ZEV exec compensation'!$A$2:$A$22,'ZEV exec compensation'!$K$2:$K$22)</f>
        <v>27.999999999999996</v>
      </c>
      <c r="O78" s="16"/>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row>
    <row r="79" spans="1:79" ht="16">
      <c r="B79" s="431" t="s">
        <v>23</v>
      </c>
      <c r="C79" s="109" t="s">
        <v>23</v>
      </c>
      <c r="D79" s="493">
        <f>_xlfn.XLOOKUP(C79,'ZEV market share'!B:B,'ZEV market share'!K:K)*100</f>
        <v>2</v>
      </c>
      <c r="E79" s="493">
        <f>_xlfn.XLOOKUP(C79,'Class coverage'!$M$4:$M$24,'Class coverage'!$N$4:$N$24)*100</f>
        <v>9.1331670165607175</v>
      </c>
      <c r="F79" s="43">
        <f>_xlfn.XLOOKUP(C79,'Energy consumption'!$K$4:$K$24,'Energy consumption'!$M$4:$M$24)</f>
        <v>128.30000000000001</v>
      </c>
      <c r="G79" s="43">
        <f>_xlfn.XLOOKUP(C79,'Charging speed'!$L$4:$L$24,'Charging speed'!$Q$4:$Q$24)</f>
        <v>95.33</v>
      </c>
      <c r="H79" s="43">
        <f>_xlfn.XLOOKUP(C79,'Driving range'!$H$4:$H$24,'Driving range'!$I$4:$I$24)</f>
        <v>500.34</v>
      </c>
      <c r="I79" s="43">
        <f>_xlfn.XLOOKUP(C79,'Green Steel'!$B$2:$B$22,'Green Steel'!$I$2:$I$22)</f>
        <v>6.723987555233367</v>
      </c>
      <c r="J79" s="494">
        <f>_xlfn.XLOOKUP(C79,'Battery recycling'!$B$2:$B$28,'Battery recycling'!$K$2:$K$28)</f>
        <v>0.3620797758438401</v>
      </c>
      <c r="K79" s="492">
        <f>IFERROR(_xlfn.XLOOKUP(C79,'ZEV target'!$B$47:$B$67,'ZEV target'!$F$47:$F$67),0)</f>
        <v>0.51948051948051954</v>
      </c>
      <c r="L79" s="493">
        <f>_xlfn.XLOOKUP(C79,'ZEV investment'!$B$3:$B$23,'ZEV investment'!$E$3:$E$23)</f>
        <v>760.33453462295211</v>
      </c>
      <c r="M79" s="43">
        <f>_xlfn.XLOOKUP(C79,'ZEV exec compensation'!$A$2:$A$22,'ZEV exec compensation'!$K$2:$K$22)</f>
        <v>1.4984709480122325</v>
      </c>
      <c r="O79" s="16"/>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row>
    <row r="80" spans="1:79" ht="16">
      <c r="B80" s="431" t="s">
        <v>19</v>
      </c>
      <c r="C80" s="109" t="s">
        <v>19</v>
      </c>
      <c r="D80" s="493">
        <f>_xlfn.XLOOKUP(C80,'ZEV market share'!B:B,'ZEV market share'!K:K)*100</f>
        <v>6</v>
      </c>
      <c r="E80" s="493">
        <f>_xlfn.XLOOKUP(C80,'Class coverage'!$M$4:$M$24,'Class coverage'!$N$4:$N$24)*100</f>
        <v>14.127054735478794</v>
      </c>
      <c r="F80" s="43">
        <f>_xlfn.XLOOKUP(C80,'Energy consumption'!$K$4:$K$24,'Energy consumption'!$M$4:$M$24)</f>
        <v>124.6</v>
      </c>
      <c r="G80" s="43">
        <f>_xlfn.XLOOKUP(C80,'Charging speed'!$L$4:$L$24,'Charging speed'!$Q$4:$Q$24)</f>
        <v>98.17</v>
      </c>
      <c r="H80" s="43">
        <f>_xlfn.XLOOKUP(C80,'Driving range'!$H$4:$H$24,'Driving range'!$I$4:$I$24)</f>
        <v>517.47</v>
      </c>
      <c r="I80" s="43">
        <f>_xlfn.XLOOKUP(C80,'Green Steel'!$B$2:$B$22,'Green Steel'!$I$2:$I$22)</f>
        <v>39.813924451689161</v>
      </c>
      <c r="J80" s="494">
        <f>_xlfn.XLOOKUP(C80,'Battery recycling'!$B$2:$B$28,'Battery recycling'!$K$2:$K$28)</f>
        <v>0.819182973269173</v>
      </c>
      <c r="K80" s="492">
        <f>IFERROR(_xlfn.XLOOKUP(C80,'ZEV target'!$B$47:$B$67,'ZEV target'!$F$47:$F$67),0)</f>
        <v>0.7724463240609607</v>
      </c>
      <c r="L80" s="493">
        <f>_xlfn.XLOOKUP(C80,'ZEV investment'!$B$3:$B$23,'ZEV investment'!$E$3:$E$23)</f>
        <v>366.02163805725564</v>
      </c>
      <c r="M80" s="43">
        <f>_xlfn.XLOOKUP(C80,'ZEV exec compensation'!$A$2:$A$22,'ZEV exec compensation'!$K$2:$K$22)</f>
        <v>4.0697674418604652</v>
      </c>
      <c r="O80" s="16"/>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row>
    <row r="81" spans="1:61" ht="16">
      <c r="B81" s="431" t="s">
        <v>20</v>
      </c>
      <c r="C81" s="109" t="s">
        <v>20</v>
      </c>
      <c r="D81" s="493">
        <f>_xlfn.XLOOKUP(C81,'ZEV market share'!B:B,'ZEV market share'!K:K)*100</f>
        <v>5</v>
      </c>
      <c r="E81" s="493">
        <f>_xlfn.XLOOKUP(C81,'Class coverage'!$M$4:$M$24,'Class coverage'!$N$4:$N$24)*100</f>
        <v>23.991687939850557</v>
      </c>
      <c r="F81" s="43">
        <f>_xlfn.XLOOKUP(C81,'Energy consumption'!$K$4:$K$24,'Energy consumption'!$M$4:$M$24)</f>
        <v>160.97</v>
      </c>
      <c r="G81" s="43">
        <f>_xlfn.XLOOKUP(C81,'Charging speed'!$L$4:$L$24,'Charging speed'!$Q$4:$Q$24)</f>
        <v>93.14</v>
      </c>
      <c r="H81" s="43">
        <f>_xlfn.XLOOKUP(C81,'Driving range'!$H$4:$H$24,'Driving range'!$I$4:$I$24)</f>
        <v>485.4</v>
      </c>
      <c r="I81" s="43">
        <f>_xlfn.XLOOKUP(C81,'Green Steel'!$B$2:$B$22,'Green Steel'!$I$2:$I$22)</f>
        <v>53.790572394269937</v>
      </c>
      <c r="J81" s="494">
        <f>_xlfn.XLOOKUP(C81,'Battery recycling'!$B$2:$B$28,'Battery recycling'!$K$2:$K$28)</f>
        <v>0.79115375015841738</v>
      </c>
      <c r="K81" s="492">
        <f>IFERROR(_xlfn.XLOOKUP(C81,'ZEV target'!$B$47:$B$67,'ZEV target'!$F$47:$F$67),0)</f>
        <v>0.51546391752577325</v>
      </c>
      <c r="L81" s="493">
        <f>_xlfn.XLOOKUP(C81,'ZEV investment'!$B$3:$B$23,'ZEV investment'!$E$3:$E$23)</f>
        <v>440.813156244298</v>
      </c>
      <c r="M81" s="43">
        <f>_xlfn.XLOOKUP(C81,'ZEV exec compensation'!$A$2:$A$22,'ZEV exec compensation'!$K$2:$K$22)</f>
        <v>3.1865042174320526</v>
      </c>
      <c r="O81" s="16"/>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row>
    <row r="82" spans="1:61" ht="16">
      <c r="B82" s="431" t="s">
        <v>21</v>
      </c>
      <c r="C82" s="109" t="s">
        <v>21</v>
      </c>
      <c r="D82" s="493">
        <f>_xlfn.XLOOKUP(C82,'ZEV market share'!B:B,'ZEV market share'!K:K)*100</f>
        <v>4</v>
      </c>
      <c r="E82" s="493">
        <f>_xlfn.XLOOKUP(C82,'Class coverage'!$M$4:$M$24,'Class coverage'!$N$4:$N$24)*100</f>
        <v>23.155200499780001</v>
      </c>
      <c r="F82" s="43">
        <f>_xlfn.XLOOKUP(C82,'Energy consumption'!$K$4:$K$24,'Energy consumption'!$M$4:$M$24)</f>
        <v>159.9</v>
      </c>
      <c r="G82" s="43">
        <f>_xlfn.XLOOKUP(C82,'Charging speed'!$L$4:$L$24,'Charging speed'!$Q$4:$Q$24)</f>
        <v>56</v>
      </c>
      <c r="H82" s="43">
        <f>_xlfn.XLOOKUP(C82,'Driving range'!$H$4:$H$24,'Driving range'!$I$4:$I$24)</f>
        <v>322</v>
      </c>
      <c r="I82" s="43">
        <f>_xlfn.XLOOKUP(C82,'Green Steel'!$B$2:$B$22,'Green Steel'!$I$2:$I$22)</f>
        <v>20.284554464417432</v>
      </c>
      <c r="J82" s="494">
        <f>_xlfn.XLOOKUP(C82,'Battery recycling'!$B$2:$B$28,'Battery recycling'!$K$2:$K$28)</f>
        <v>0.33979078429857823</v>
      </c>
      <c r="K82" s="492">
        <f>IFERROR(_xlfn.XLOOKUP(C82,'ZEV target'!$B$47:$B$67,'ZEV target'!$F$47:$F$67),0)</f>
        <v>0.51948051948051954</v>
      </c>
      <c r="L82" s="493">
        <f>_xlfn.XLOOKUP(C82,'ZEV investment'!$B$3:$B$23,'ZEV investment'!$E$3:$E$23)</f>
        <v>483.3893619755579</v>
      </c>
      <c r="M82" s="43">
        <f>_xlfn.XLOOKUP(C82,'ZEV exec compensation'!$A$2:$A$22,'ZEV exec compensation'!$K$2:$K$22)</f>
        <v>1.4219910846953936</v>
      </c>
      <c r="O82" s="16"/>
    </row>
    <row r="83" spans="1:61" ht="16">
      <c r="B83" s="431" t="s">
        <v>25</v>
      </c>
      <c r="C83" s="109" t="s">
        <v>25</v>
      </c>
      <c r="D83" s="493">
        <f>_xlfn.XLOOKUP(C83,'ZEV market share'!B:B,'ZEV market share'!K:K)*100</f>
        <v>0.02</v>
      </c>
      <c r="E83" s="493">
        <f>_xlfn.XLOOKUP(C83,'Class coverage'!$M$4:$M$24,'Class coverage'!$N$4:$N$24)*100</f>
        <v>0</v>
      </c>
      <c r="F83" s="43"/>
      <c r="G83" s="43"/>
      <c r="H83" s="43" t="str">
        <f>_xlfn.XLOOKUP(C83,'Driving range'!$H$4:$H$24,'Driving range'!$I$4:$I$24)</f>
        <v> </v>
      </c>
      <c r="I83" s="43">
        <f>_xlfn.XLOOKUP(C83,'Green Steel'!$B$2:$B$22,'Green Steel'!$I$2:$I$22)</f>
        <v>21.016359891575483</v>
      </c>
      <c r="J83" s="494">
        <f>_xlfn.XLOOKUP(C83,'Battery recycling'!$B$2:$B$28,'Battery recycling'!$K$2:$K$28)</f>
        <v>0</v>
      </c>
      <c r="K83" s="492">
        <f>IFERROR(_xlfn.XLOOKUP(C83,'ZEV target'!$B$47:$B$67,'ZEV target'!$F$47:$F$67),0)</f>
        <v>0.28164036314059043</v>
      </c>
      <c r="L83" s="493">
        <f>_xlfn.XLOOKUP(C83,'ZEV investment'!$B$3:$B$23,'ZEV investment'!$E$3:$E$23)</f>
        <v>159.51599194899782</v>
      </c>
      <c r="M83" s="43">
        <f>_xlfn.XLOOKUP(C83,'ZEV exec compensation'!$A$2:$A$22,'ZEV exec compensation'!$K$2:$K$22)</f>
        <v>0</v>
      </c>
      <c r="O83" s="16"/>
    </row>
    <row r="84" spans="1:61" ht="16">
      <c r="B84" s="431" t="s">
        <v>12</v>
      </c>
      <c r="C84" s="109" t="s">
        <v>12</v>
      </c>
      <c r="D84" s="493">
        <f>_xlfn.XLOOKUP(C84,'ZEV market share'!B:B,'ZEV market share'!K:K)*100</f>
        <v>19</v>
      </c>
      <c r="E84" s="493">
        <f>_xlfn.XLOOKUP(C84,'Class coverage'!$M$4:$M$24,'Class coverage'!$N$4:$N$24)*100</f>
        <v>44.083190328682257</v>
      </c>
      <c r="F84" s="43">
        <f>_xlfn.XLOOKUP(C84,'Energy consumption'!$K$4:$K$24,'Energy consumption'!$M$4:$M$24)</f>
        <v>127.5</v>
      </c>
      <c r="G84" s="43">
        <f>_xlfn.XLOOKUP(C84,'Charging speed'!$L$4:$L$24,'Charging speed'!$Q$4:$Q$24)</f>
        <v>98.58</v>
      </c>
      <c r="H84" s="43">
        <f>_xlfn.XLOOKUP(C84,'Driving range'!$H$4:$H$24,'Driving range'!$I$4:$I$24)</f>
        <v>493</v>
      </c>
      <c r="I84" s="43">
        <f>_xlfn.XLOOKUP(C84,'Green Steel'!$B$2:$B$22,'Green Steel'!$I$2:$I$22)</f>
        <v>58.210897793302081</v>
      </c>
      <c r="J84" s="494">
        <f>_xlfn.XLOOKUP(C84,'Battery recycling'!$B$2:$B$28,'Battery recycling'!$K$2:$K$28)</f>
        <v>0.83935072233339725</v>
      </c>
      <c r="K84" s="492">
        <f>IFERROR(_xlfn.XLOOKUP(C84,'ZEV target'!$B$47:$B$67,'ZEV target'!$F$47:$F$67),0)</f>
        <v>0.58512553447995763</v>
      </c>
      <c r="L84" s="493">
        <f>_xlfn.XLOOKUP(C84,'ZEV investment'!$B$3:$B$23,'ZEV investment'!$E$3:$E$23)</f>
        <v>687.94005398910076</v>
      </c>
      <c r="M84" s="43">
        <f>_xlfn.XLOOKUP(C84,'ZEV exec compensation'!$A$2:$A$22,'ZEV exec compensation'!$K$2:$K$22)</f>
        <v>14.572887092707973</v>
      </c>
      <c r="O84" s="16"/>
    </row>
    <row r="85" spans="1:61" ht="16">
      <c r="B85" s="431" t="s">
        <v>7</v>
      </c>
      <c r="C85" s="109" t="s">
        <v>7</v>
      </c>
      <c r="D85" s="493">
        <f>_xlfn.XLOOKUP(C85,'ZEV market share'!B:B,'ZEV market share'!K:K)*100</f>
        <v>47</v>
      </c>
      <c r="E85" s="493">
        <f>_xlfn.XLOOKUP(C85,'Class coverage'!$M$4:$M$24,'Class coverage'!$N$4:$N$24)*100</f>
        <v>81.001742216092765</v>
      </c>
      <c r="F85" s="43">
        <f>_xlfn.XLOOKUP(C85,'Energy consumption'!$K$4:$K$24,'Energy consumption'!$M$4:$M$24)</f>
        <v>132.9</v>
      </c>
      <c r="G85" s="43">
        <f>_xlfn.XLOOKUP(C85,'Charging speed'!$L$4:$L$24,'Charging speed'!$Q$4:$Q$24)</f>
        <v>40.020000000000003</v>
      </c>
      <c r="H85" s="43">
        <f>_xlfn.XLOOKUP(C85,'Driving range'!$H$4:$H$24,'Driving range'!$I$4:$I$24)</f>
        <v>295.29000000000002</v>
      </c>
      <c r="I85" s="43">
        <f>_xlfn.XLOOKUP(C85,'Green Steel'!$B$2:$B$22,'Green Steel'!$I$2:$I$22)</f>
        <v>11.760661480390533</v>
      </c>
      <c r="J85" s="494">
        <f>_xlfn.XLOOKUP(C85,'Battery recycling'!$B$2:$B$28,'Battery recycling'!$K$2:$K$28)</f>
        <v>0.83640560377246231</v>
      </c>
      <c r="K85" s="492">
        <f>IFERROR(_xlfn.XLOOKUP(C85,'ZEV target'!$B$47:$B$67,'ZEV target'!$F$47:$F$67),0)</f>
        <v>0.61327633311958618</v>
      </c>
      <c r="L85" s="493">
        <f>_xlfn.XLOOKUP(C85,'ZEV investment'!$B$3:$B$23,'ZEV investment'!$E$3:$E$23)</f>
        <v>2366.5623868881603</v>
      </c>
      <c r="M85" s="43">
        <f>_xlfn.XLOOKUP(C85,'ZEV exec compensation'!$A$2:$A$22,'ZEV exec compensation'!$K$2:$K$22)</f>
        <v>0</v>
      </c>
      <c r="O85" s="16"/>
    </row>
    <row r="86" spans="1:61" ht="16">
      <c r="B86" s="431" t="s">
        <v>13</v>
      </c>
      <c r="C86" s="109" t="s">
        <v>13</v>
      </c>
      <c r="D86" s="493">
        <f>_xlfn.XLOOKUP(C86,'ZEV market share'!B:B,'ZEV market share'!K:K)*100</f>
        <v>14.000000000000002</v>
      </c>
      <c r="E86" s="493">
        <f>_xlfn.XLOOKUP(C86,'Class coverage'!$M$4:$M$24,'Class coverage'!$N$4:$N$24)*100</f>
        <v>42.423982136499006</v>
      </c>
      <c r="F86" s="43">
        <f>_xlfn.XLOOKUP(C86,'Energy consumption'!$K$4:$K$24,'Energy consumption'!$M$4:$M$24)</f>
        <v>140.5</v>
      </c>
      <c r="G86" s="43">
        <f>_xlfn.XLOOKUP(C86,'Charging speed'!$L$4:$L$24,'Charging speed'!$Q$4:$Q$24)</f>
        <v>87.3</v>
      </c>
      <c r="H86" s="43">
        <f>_xlfn.XLOOKUP(C86,'Driving range'!$H$4:$H$24,'Driving range'!$I$4:$I$24)</f>
        <v>482.34</v>
      </c>
      <c r="I86" s="43">
        <f>_xlfn.XLOOKUP(C86,'Green Steel'!$B$2:$B$22,'Green Steel'!$I$2:$I$22)</f>
        <v>74.888813654251081</v>
      </c>
      <c r="J86" s="494">
        <f>_xlfn.XLOOKUP(C86,'Battery recycling'!$B$2:$B$28,'Battery recycling'!$K$2:$K$28)</f>
        <v>0.90999108481022795</v>
      </c>
      <c r="K86" s="492">
        <f>IFERROR(_xlfn.XLOOKUP(C86,'ZEV target'!$B$47:$B$67,'ZEV target'!$F$47:$F$67),0)</f>
        <v>0.7663943008502877</v>
      </c>
      <c r="L86" s="493">
        <f>_xlfn.XLOOKUP(C86,'ZEV investment'!$B$3:$B$23,'ZEV investment'!$E$3:$E$23)</f>
        <v>1586.3039835628967</v>
      </c>
      <c r="M86" s="43">
        <f>_xlfn.XLOOKUP(C86,'ZEV exec compensation'!$A$2:$A$22,'ZEV exec compensation'!$K$2:$K$22)</f>
        <v>3.4371686108165433</v>
      </c>
      <c r="O86" s="16"/>
    </row>
    <row r="87" spans="1:61" ht="16">
      <c r="B87" s="431" t="s">
        <v>8</v>
      </c>
      <c r="C87" s="109" t="s">
        <v>8</v>
      </c>
      <c r="D87" s="493">
        <f>_xlfn.XLOOKUP(C87,'ZEV market share'!B:B,'ZEV market share'!K:K)*100</f>
        <v>42</v>
      </c>
      <c r="E87" s="493">
        <f>_xlfn.XLOOKUP(C87,'Class coverage'!$M$4:$M$24,'Class coverage'!$N$4:$N$24)*100</f>
        <v>76.020128831412421</v>
      </c>
      <c r="F87" s="43">
        <f>_xlfn.XLOOKUP(C87,'Energy consumption'!$K$4:$K$24,'Energy consumption'!$M$4:$M$24)</f>
        <v>139.30000000000001</v>
      </c>
      <c r="G87" s="43">
        <f>_xlfn.XLOOKUP(C87,'Charging speed'!$L$4:$L$24,'Charging speed'!$Q$4:$Q$24)</f>
        <v>92.12</v>
      </c>
      <c r="H87" s="43">
        <f>_xlfn.XLOOKUP(C87,'Driving range'!$H$4:$H$24,'Driving range'!$I$4:$I$24)</f>
        <v>411.06</v>
      </c>
      <c r="I87" s="43">
        <f>_xlfn.XLOOKUP(C87,'Green Steel'!$B$2:$B$22,'Green Steel'!$I$2:$I$22)</f>
        <v>32.762488824204596</v>
      </c>
      <c r="J87" s="494">
        <f>_xlfn.XLOOKUP(C87,'Battery recycling'!$B$2:$B$28,'Battery recycling'!$K$2:$K$28)</f>
        <v>0.96838989947943832</v>
      </c>
      <c r="K87" s="492">
        <f>IFERROR(_xlfn.XLOOKUP(C87,'ZEV target'!$B$47:$B$67,'ZEV target'!$F$47:$F$67),0)</f>
        <v>0.65475775685560023</v>
      </c>
      <c r="L87" s="493">
        <f>_xlfn.XLOOKUP(C87,'ZEV investment'!$B$3:$B$23,'ZEV investment'!$E$3:$E$23)</f>
        <v>1757.6221563317538</v>
      </c>
      <c r="M87" s="43">
        <f>_xlfn.XLOOKUP(C87,'ZEV exec compensation'!$A$2:$A$22,'ZEV exec compensation'!$K$2:$K$22)</f>
        <v>0.19332882795906545</v>
      </c>
      <c r="O87" s="16"/>
    </row>
    <row r="88" spans="1:61" ht="16">
      <c r="B88" s="431" t="s">
        <v>16</v>
      </c>
      <c r="C88" s="109" t="s">
        <v>16</v>
      </c>
      <c r="D88" s="493">
        <f>_xlfn.XLOOKUP(C88,'ZEV market share'!B:B,'ZEV market share'!K:K)*100</f>
        <v>9</v>
      </c>
      <c r="E88" s="493">
        <f>_xlfn.XLOOKUP(C88,'Class coverage'!$M$4:$M$24,'Class coverage'!$N$4:$N$24)*100</f>
        <v>58.321392893324656</v>
      </c>
      <c r="F88" s="43">
        <f>_xlfn.XLOOKUP(C88,'Energy consumption'!$K$4:$K$24,'Energy consumption'!$M$4:$M$24)</f>
        <v>140.4</v>
      </c>
      <c r="G88" s="43">
        <f>_xlfn.XLOOKUP(C88,'Charging speed'!$L$4:$L$24,'Charging speed'!$Q$4:$Q$24)</f>
        <v>51.11</v>
      </c>
      <c r="H88" s="43">
        <f>_xlfn.XLOOKUP(C88,'Driving range'!$H$4:$H$24,'Driving range'!$I$4:$I$24)</f>
        <v>319.39999999999998</v>
      </c>
      <c r="I88" s="43">
        <f>_xlfn.XLOOKUP(C88,'Green Steel'!$B$2:$B$22,'Green Steel'!$I$2:$I$22)</f>
        <v>18.959848439763217</v>
      </c>
      <c r="J88" s="494">
        <f>_xlfn.XLOOKUP(C88,'Battery recycling'!$B$2:$B$28,'Battery recycling'!$K$2:$K$28)</f>
        <v>0.93478554689244553</v>
      </c>
      <c r="K88" s="492">
        <f>IFERROR(_xlfn.XLOOKUP(C88,'ZEV target'!$B$47:$B$67,'ZEV target'!$F$47:$F$67),0)</f>
        <v>0.57097558543151361</v>
      </c>
      <c r="L88" s="493">
        <f>_xlfn.XLOOKUP(C88,'ZEV investment'!$B$3:$B$23,'ZEV investment'!$E$3:$E$23)</f>
        <v>440.57333575632038</v>
      </c>
      <c r="M88" s="43">
        <f>_xlfn.XLOOKUP(C88,'ZEV exec compensation'!$A$2:$A$22,'ZEV exec compensation'!$K$2:$K$22)</f>
        <v>4.6865590572565505</v>
      </c>
      <c r="O88" s="16"/>
    </row>
    <row r="89" spans="1:61" ht="16">
      <c r="B89" s="431" t="s">
        <v>46</v>
      </c>
      <c r="C89" s="109" t="s">
        <v>9</v>
      </c>
      <c r="D89" s="493">
        <f>_xlfn.XLOOKUP(C89,'ZEV market share'!B:B,'ZEV market share'!K:K)*100</f>
        <v>34</v>
      </c>
      <c r="E89" s="493">
        <f>_xlfn.XLOOKUP(C89,'Class coverage'!$M$4:$M$24,'Class coverage'!$N$4:$N$24)*100</f>
        <v>62</v>
      </c>
      <c r="F89" s="43">
        <f>_xlfn.XLOOKUP(C89,'Energy consumption'!$K$4:$K$24,'Energy consumption'!$M$4:$M$24)</f>
        <v>138.19999999999999</v>
      </c>
      <c r="G89" s="43">
        <f>_xlfn.XLOOKUP(C89,'Charging speed'!$L$4:$L$24,'Charging speed'!$Q$4:$Q$24)</f>
        <v>47.07</v>
      </c>
      <c r="H89" s="43">
        <f>_xlfn.XLOOKUP(C89,'Driving range'!$H$4:$H$24,'Driving range'!$I$4:$I$24)</f>
        <v>337.06</v>
      </c>
      <c r="I89" s="43">
        <f>_xlfn.XLOOKUP(C89,'Green Steel'!$B$2:$B$22,'Green Steel'!$I$2:$I$22)</f>
        <v>11.906136557186597</v>
      </c>
      <c r="J89" s="494">
        <f>_xlfn.XLOOKUP(C89,'Battery recycling'!$B$2:$B$28,'Battery recycling'!$K$2:$K$28)</f>
        <v>0.5</v>
      </c>
      <c r="K89" s="492">
        <f>IFERROR(_xlfn.XLOOKUP(C89,'ZEV target'!$B$47:$B$67,'ZEV target'!$F$47:$F$67),0)</f>
        <v>0.80907612848826616</v>
      </c>
      <c r="L89" s="493">
        <f>_xlfn.XLOOKUP(C89,'ZEV investment'!$B$3:$B$23,'ZEV investment'!$E$3:$E$23)</f>
        <v>1373.879363108535</v>
      </c>
      <c r="M89" s="43">
        <f>_xlfn.XLOOKUP(C89,'ZEV exec compensation'!$A$2:$A$22,'ZEV exec compensation'!$K$2:$K$22)</f>
        <v>0</v>
      </c>
      <c r="O89" s="16"/>
    </row>
    <row r="90" spans="1:61" ht="16">
      <c r="B90" s="431" t="s">
        <v>6</v>
      </c>
      <c r="C90" s="109" t="s">
        <v>6</v>
      </c>
      <c r="D90" s="493">
        <f>_xlfn.XLOOKUP(C90,'ZEV market share'!B:B,'ZEV market share'!K:K)*100</f>
        <v>75</v>
      </c>
      <c r="E90" s="493">
        <f>_xlfn.XLOOKUP(C90,'Class coverage'!$M$4:$M$24,'Class coverage'!$N$4:$N$24)*100</f>
        <v>61.609952213970651</v>
      </c>
      <c r="F90" s="43">
        <f>_xlfn.XLOOKUP(C90,'Energy consumption'!$K$4:$K$24,'Energy consumption'!$M$4:$M$24)</f>
        <v>130.69999999999999</v>
      </c>
      <c r="G90" s="43">
        <f>_xlfn.XLOOKUP(C90,'Charging speed'!$L$4:$L$24,'Charging speed'!$Q$4:$Q$24)</f>
        <v>57.63</v>
      </c>
      <c r="H90" s="43">
        <f>_xlfn.XLOOKUP(C90,'Driving range'!$H$4:$H$24,'Driving range'!$I$4:$I$24)</f>
        <v>400.42</v>
      </c>
      <c r="I90" s="43">
        <f>_xlfn.XLOOKUP(C90,'Green Steel'!$B$2:$B$22,'Green Steel'!$I$2:$I$22)</f>
        <v>11.606881284955586</v>
      </c>
      <c r="J90" s="494">
        <f>_xlfn.XLOOKUP(C90,'Battery recycling'!$B$2:$B$28,'Battery recycling'!$K$2:$K$28)</f>
        <v>0.98511662040932879</v>
      </c>
      <c r="K90" s="492">
        <f>IFERROR(_xlfn.XLOOKUP(C90,'ZEV target'!$B$47:$B$67,'ZEV target'!$F$47:$F$67),0)</f>
        <v>0.864818493669961</v>
      </c>
      <c r="L90" s="493">
        <f>_xlfn.XLOOKUP(C90,'ZEV investment'!$B$3:$B$23,'ZEV investment'!$E$3:$E$23)</f>
        <v>2750.7123288400117</v>
      </c>
      <c r="M90" s="43">
        <f>_xlfn.XLOOKUP(C90,'ZEV exec compensation'!$A$2:$A$22,'ZEV exec compensation'!$K$2:$K$22)</f>
        <v>27.999999999999996</v>
      </c>
      <c r="O90" s="16"/>
    </row>
    <row r="91" spans="1:61" ht="16">
      <c r="B91" s="431" t="s">
        <v>5</v>
      </c>
      <c r="C91" s="109" t="s">
        <v>5</v>
      </c>
      <c r="D91" s="493">
        <f>_xlfn.XLOOKUP(C91,'ZEV market share'!B:B,'ZEV market share'!K:K)*100</f>
        <v>100</v>
      </c>
      <c r="E91" s="493">
        <f>_xlfn.XLOOKUP(C91,'Class coverage'!$M$4:$M$24,'Class coverage'!$N$4:$N$24)*100</f>
        <v>36.913594377880749</v>
      </c>
      <c r="F91" s="43">
        <f>_xlfn.XLOOKUP(C91,'Energy consumption'!$K$4:$K$24,'Energy consumption'!$M$4:$M$24)</f>
        <v>120.2</v>
      </c>
      <c r="G91" s="43">
        <f>_xlfn.XLOOKUP(C91,'Charging speed'!$L$4:$L$24,'Charging speed'!$Q$4:$Q$24)</f>
        <v>176.02</v>
      </c>
      <c r="H91" s="43">
        <f>_xlfn.XLOOKUP(C91,'Driving range'!$H$4:$H$24,'Driving range'!$I$4:$I$24)</f>
        <v>536.77</v>
      </c>
      <c r="I91" s="43">
        <f>_xlfn.XLOOKUP(C91,'Green Steel'!$B$2:$B$22,'Green Steel'!$I$2:$I$22)</f>
        <v>14.615164177521798</v>
      </c>
      <c r="J91" s="494">
        <f>_xlfn.XLOOKUP(C91,'Battery recycling'!$B$2:$B$28,'Battery recycling'!$K$2:$K$28)</f>
        <v>1</v>
      </c>
      <c r="K91" s="492">
        <f>IFERROR(_xlfn.XLOOKUP(C91,'ZEV target'!$B$47:$B$67,'ZEV target'!$F$47:$F$67),0)</f>
        <v>0.864818493669961</v>
      </c>
      <c r="L91" s="493">
        <f>_xlfn.XLOOKUP(C91,'ZEV investment'!$B$3:$B$23,'ZEV investment'!$E$3:$E$23)</f>
        <v>3776.0654598071865</v>
      </c>
      <c r="M91" s="43">
        <f>_xlfn.XLOOKUP(C91,'ZEV exec compensation'!$A$2:$A$22,'ZEV exec compensation'!$K$2:$K$22)</f>
        <v>27.999999999999996</v>
      </c>
      <c r="O91" s="16"/>
    </row>
    <row r="92" spans="1:61" ht="16">
      <c r="B92" s="431" t="s">
        <v>15</v>
      </c>
      <c r="C92" s="109" t="s">
        <v>15</v>
      </c>
      <c r="D92" s="493">
        <f>_xlfn.XLOOKUP(C92,'ZEV market share'!B:B,'ZEV market share'!K:K)*100</f>
        <v>9</v>
      </c>
      <c r="E92" s="493">
        <f>_xlfn.XLOOKUP(C92,'Class coverage'!$M$4:$M$24,'Class coverage'!$N$4:$N$24)*100</f>
        <v>28.371851096753382</v>
      </c>
      <c r="F92" s="43">
        <f>_xlfn.XLOOKUP(C92,'Energy consumption'!$K$4:$K$24,'Energy consumption'!$M$4:$M$24)</f>
        <v>109.7</v>
      </c>
      <c r="G92" s="43">
        <f>_xlfn.XLOOKUP(C92,'Charging speed'!$L$4:$L$24,'Charging speed'!$Q$4:$Q$24)</f>
        <v>26.13</v>
      </c>
      <c r="H92" s="43">
        <f>_xlfn.XLOOKUP(C92,'Driving range'!$H$4:$H$24,'Driving range'!$I$4:$I$24)</f>
        <v>348.42</v>
      </c>
      <c r="I92" s="43">
        <f>_xlfn.XLOOKUP(C92,'Green Steel'!$B$2:$B$22,'Green Steel'!$I$2:$I$22)</f>
        <v>0</v>
      </c>
      <c r="J92" s="494">
        <f>_xlfn.XLOOKUP(C92,'Battery recycling'!$B$2:$B$28,'Battery recycling'!$K$2:$K$28)</f>
        <v>0.94311669001224718</v>
      </c>
      <c r="K92" s="492">
        <f>IFERROR(_xlfn.XLOOKUP(C92,'ZEV target'!$B$47:$B$67,'ZEV target'!$F$47:$F$67),0)</f>
        <v>0.54690515311509524</v>
      </c>
      <c r="L92" s="493">
        <f>_xlfn.XLOOKUP(C92,'ZEV investment'!$B$3:$B$23,'ZEV investment'!$E$3:$E$23)</f>
        <v>828.30473948167412</v>
      </c>
      <c r="M92" s="43">
        <f>_xlfn.XLOOKUP(C92,'ZEV exec compensation'!$A$2:$A$22,'ZEV exec compensation'!$K$2:$K$22)</f>
        <v>1.3612499999999998</v>
      </c>
      <c r="O92" s="16"/>
    </row>
    <row r="93" spans="1:61" ht="16">
      <c r="B93" s="431" t="s">
        <v>11</v>
      </c>
      <c r="C93" s="109" t="s">
        <v>11</v>
      </c>
      <c r="D93" s="493">
        <f>_xlfn.XLOOKUP(C93,'ZEV market share'!B:B,'ZEV market share'!K:K)*100</f>
        <v>26</v>
      </c>
      <c r="E93" s="493">
        <f>_xlfn.XLOOKUP(C93,'Class coverage'!$M$4:$M$24,'Class coverage'!$N$4:$N$24)*100</f>
        <v>37.829286167009982</v>
      </c>
      <c r="F93" s="43">
        <f>_xlfn.XLOOKUP(C93,'Energy consumption'!$K$4:$K$24,'Energy consumption'!$M$4:$M$24)</f>
        <v>146.5</v>
      </c>
      <c r="G93" s="43">
        <f>_xlfn.XLOOKUP(C93,'Charging speed'!$L$4:$L$24,'Charging speed'!$Q$4:$Q$24)</f>
        <v>56.86</v>
      </c>
      <c r="H93" s="43">
        <f>_xlfn.XLOOKUP(C93,'Driving range'!$H$4:$H$24,'Driving range'!$I$4:$I$24)</f>
        <v>361.68</v>
      </c>
      <c r="I93" s="43">
        <f>_xlfn.XLOOKUP(C93,'Green Steel'!$B$2:$B$22,'Green Steel'!$I$2:$I$22)</f>
        <v>11.694141897237968</v>
      </c>
      <c r="J93" s="494">
        <f>_xlfn.XLOOKUP(C93,'Battery recycling'!$B$2:$B$28,'Battery recycling'!$K$2:$K$28)</f>
        <v>0.99343408334653782</v>
      </c>
      <c r="K93" s="492">
        <f>IFERROR(_xlfn.XLOOKUP(C93,'ZEV target'!$B$47:$B$67,'ZEV target'!$F$47:$F$67),0)</f>
        <v>0.76483358582237482</v>
      </c>
      <c r="L93" s="493">
        <f>_xlfn.XLOOKUP(C93,'ZEV investment'!$B$3:$B$23,'ZEV investment'!$E$3:$E$23)</f>
        <v>251.92053594495204</v>
      </c>
      <c r="M93" s="43">
        <f>_xlfn.XLOOKUP(C93,'ZEV exec compensation'!$A$2:$A$22,'ZEV exec compensation'!$K$2:$K$22)</f>
        <v>0</v>
      </c>
      <c r="O93" s="16"/>
    </row>
    <row r="94" spans="1:61" ht="16">
      <c r="B94" s="431" t="s">
        <v>24</v>
      </c>
      <c r="C94" s="109" t="s">
        <v>24</v>
      </c>
      <c r="D94" s="493">
        <f>_xlfn.XLOOKUP(C94,'ZEV market share'!B:B,'ZEV market share'!K:K)*100</f>
        <v>2</v>
      </c>
      <c r="E94" s="493">
        <f>_xlfn.XLOOKUP(C94,'Class coverage'!$M$4:$M$24,'Class coverage'!$N$4:$N$24)*100</f>
        <v>2.5299808847323679</v>
      </c>
      <c r="F94" s="43">
        <f>_xlfn.XLOOKUP(C94,'Energy consumption'!$K$4:$K$24,'Energy consumption'!$M$4:$M$24)</f>
        <v>164.9</v>
      </c>
      <c r="G94" s="43">
        <f>_xlfn.XLOOKUP(C94,'Charging speed'!$L$4:$L$24,'Charging speed'!$Q$4:$Q$24)</f>
        <v>51.24</v>
      </c>
      <c r="H94" s="43">
        <f>_xlfn.XLOOKUP(C94,'Driving range'!$H$4:$H$24,'Driving range'!$I$4:$I$24)</f>
        <v>229.04</v>
      </c>
      <c r="I94" s="43">
        <f>_xlfn.XLOOKUP(C94,'Green Steel'!$B$2:$B$22,'Green Steel'!$I$2:$I$22)</f>
        <v>33.333333333333336</v>
      </c>
      <c r="J94" s="494">
        <f>_xlfn.XLOOKUP(C94,'Battery recycling'!$B$2:$B$28,'Battery recycling'!$K$2:$K$28)</f>
        <v>0</v>
      </c>
      <c r="K94" s="492">
        <f>IFERROR(_xlfn.XLOOKUP(C94,'ZEV target'!$B$47:$B$67,'ZEV target'!$F$47:$F$67),0)</f>
        <v>0.32467532467532473</v>
      </c>
      <c r="L94" s="493">
        <f>_xlfn.XLOOKUP(C94,'ZEV investment'!$B$3:$B$23,'ZEV investment'!$E$3:$E$23)</f>
        <v>484.29117907019179</v>
      </c>
      <c r="M94" s="43">
        <f>_xlfn.XLOOKUP(C94,'ZEV exec compensation'!$A$2:$A$22,'ZEV exec compensation'!$K$2:$K$22)</f>
        <v>0</v>
      </c>
      <c r="O94" s="16"/>
    </row>
    <row r="95" spans="1:61" ht="15.75" customHeight="1">
      <c r="B95" s="431" t="s">
        <v>49</v>
      </c>
      <c r="C95" s="109" t="s">
        <v>49</v>
      </c>
      <c r="D95" s="493">
        <f>_xlfn.XLOOKUP(C95,'ZEV market share'!B:B,'ZEV market share'!K:K)*100</f>
        <v>27</v>
      </c>
      <c r="E95" s="493">
        <f>_xlfn.XLOOKUP(C95,'Class coverage'!$M$4:$M$24,'Class coverage'!$N$4:$N$24)*100</f>
        <v>74.20451076046173</v>
      </c>
      <c r="F95" s="43">
        <f>_xlfn.XLOOKUP(C95,'Energy consumption'!$K$4:$K$24,'Energy consumption'!$M$4:$M$24)</f>
        <v>133.69999999999999</v>
      </c>
      <c r="G95" s="43">
        <f>_xlfn.XLOOKUP(C95,'Charging speed'!$L$4:$L$24,'Charging speed'!$Q$4:$Q$24)</f>
        <v>76.22</v>
      </c>
      <c r="H95" s="43">
        <f>_xlfn.XLOOKUP(C95,'Driving range'!$H$4:$H$24,'Driving range'!$I$4:$I$24)</f>
        <v>395.38</v>
      </c>
      <c r="I95" s="43">
        <f>_xlfn.XLOOKUP(C95,'Green Steel'!$B$2:$B$22,'Green Steel'!$I$2:$I$22)</f>
        <v>12.181658557731907</v>
      </c>
      <c r="J95" s="494">
        <f>_xlfn.XLOOKUP(C95,'Battery recycling'!$B$2:$B$28,'Battery recycling'!$K$2:$K$28)</f>
        <v>0.49368659333699783</v>
      </c>
      <c r="K95" s="492">
        <f>IFERROR(_xlfn.XLOOKUP(C95,'ZEV target'!$B$47:$B$67,'ZEV target'!$F$47:$F$67),0)</f>
        <v>0.43697448466281513</v>
      </c>
      <c r="L95" s="493">
        <f>_xlfn.XLOOKUP(C95,'ZEV investment'!$B$3:$B$23,'ZEV investment'!$E$3:$E$23)</f>
        <v>577.16574533788742</v>
      </c>
      <c r="M95" s="43">
        <f>_xlfn.XLOOKUP(C95,'ZEV exec compensation'!$A$2:$A$22,'ZEV exec compensation'!$K$2:$K$22)</f>
        <v>0</v>
      </c>
      <c r="N95" s="9"/>
      <c r="O95" s="16"/>
    </row>
    <row r="96" spans="1:61" ht="15.75" customHeight="1">
      <c r="A96" s="8"/>
      <c r="B96" s="517" t="s">
        <v>341</v>
      </c>
      <c r="C96" s="68" t="s">
        <v>73</v>
      </c>
      <c r="D96" s="489">
        <f>IF(D$102="Y",D113,D115)</f>
        <v>100</v>
      </c>
      <c r="E96" s="489">
        <f>IF(E$102="Y",E113,E115)</f>
        <v>81.001742216092765</v>
      </c>
      <c r="F96" s="489">
        <f>F115</f>
        <v>169.7</v>
      </c>
      <c r="G96" s="489">
        <f t="shared" ref="G96:M96" si="75">IF(G$102="Y",G113,G115)</f>
        <v>176.02</v>
      </c>
      <c r="H96" s="489">
        <f t="shared" si="75"/>
        <v>536.77</v>
      </c>
      <c r="I96" s="489">
        <f t="shared" si="75"/>
        <v>74.888813654251081</v>
      </c>
      <c r="J96" s="490">
        <f t="shared" si="75"/>
        <v>1</v>
      </c>
      <c r="K96" s="490">
        <f t="shared" si="75"/>
        <v>0.864818493669961</v>
      </c>
      <c r="L96" s="490">
        <f t="shared" si="75"/>
        <v>3776.0654598071865</v>
      </c>
      <c r="M96" s="490">
        <f t="shared" si="75"/>
        <v>27.999999999999996</v>
      </c>
      <c r="N96" s="9"/>
      <c r="O96" s="16"/>
    </row>
    <row r="97" spans="1:15" ht="15.75" customHeight="1">
      <c r="A97" s="8"/>
      <c r="B97" s="517"/>
      <c r="C97" s="68" t="s">
        <v>74</v>
      </c>
      <c r="D97" s="489">
        <f>IF(D$102="Y",D114,D116)</f>
        <v>0</v>
      </c>
      <c r="E97" s="489">
        <f>IF(E$102="Y",E114,E116)</f>
        <v>0</v>
      </c>
      <c r="F97" s="489">
        <f>F116</f>
        <v>109.6</v>
      </c>
      <c r="G97" s="489">
        <f>IF(G$102="Y",G114,G116)</f>
        <v>18</v>
      </c>
      <c r="H97" s="489">
        <f>IF(H$102="Y",H114,H116)</f>
        <v>196</v>
      </c>
      <c r="I97" s="490">
        <f>IF(I$102="Y",I114,I116)</f>
        <v>0</v>
      </c>
      <c r="J97" s="490">
        <f>IF(J$102="Y",J114,J116)</f>
        <v>0</v>
      </c>
      <c r="K97" s="490">
        <f>IF(K$102="Y",K114,K116)</f>
        <v>0</v>
      </c>
      <c r="L97" s="491">
        <f>L116</f>
        <v>12.933954512905462</v>
      </c>
      <c r="M97" s="490">
        <f>IF(M$102="Y",M114,M116)</f>
        <v>0</v>
      </c>
      <c r="N97" s="9"/>
      <c r="O97" s="16"/>
    </row>
    <row r="98" spans="1:15" ht="15.75" customHeight="1">
      <c r="A98" s="8"/>
      <c r="B98" s="69"/>
      <c r="C98" s="62"/>
      <c r="D98" s="49"/>
      <c r="E98" s="49"/>
      <c r="F98" s="49"/>
      <c r="G98" s="49"/>
      <c r="H98" s="49"/>
      <c r="I98" s="49"/>
      <c r="J98" s="49"/>
      <c r="K98" s="64"/>
      <c r="L98" s="49"/>
      <c r="M98" s="49"/>
      <c r="N98" s="9"/>
    </row>
    <row r="99" spans="1:15" ht="15.75" customHeight="1">
      <c r="A99" s="8"/>
      <c r="B99" s="21"/>
      <c r="D99" s="49"/>
      <c r="E99" s="49"/>
      <c r="F99" s="49"/>
      <c r="G99" s="49"/>
      <c r="H99" s="49"/>
      <c r="I99" s="49"/>
      <c r="J99" s="49"/>
      <c r="K99" s="49"/>
      <c r="L99" s="49"/>
      <c r="M99" s="49"/>
      <c r="N99" s="54"/>
    </row>
    <row r="100" spans="1:15" ht="43" customHeight="1">
      <c r="A100" s="8"/>
      <c r="B100" s="72" t="s">
        <v>346</v>
      </c>
      <c r="C100" s="35"/>
      <c r="D100" s="118" t="s">
        <v>59</v>
      </c>
      <c r="E100" s="87" t="s">
        <v>60</v>
      </c>
      <c r="F100" s="88" t="s">
        <v>70</v>
      </c>
      <c r="G100" s="88" t="s">
        <v>62</v>
      </c>
      <c r="H100" s="88" t="s">
        <v>63</v>
      </c>
      <c r="I100" s="88" t="s">
        <v>39</v>
      </c>
      <c r="J100" s="88" t="s">
        <v>1</v>
      </c>
      <c r="K100" s="89" t="s">
        <v>2</v>
      </c>
      <c r="L100" s="89" t="s">
        <v>42</v>
      </c>
      <c r="M100" s="89" t="s">
        <v>64</v>
      </c>
      <c r="N100" s="9"/>
    </row>
    <row r="101" spans="1:15" ht="15.75" customHeight="1">
      <c r="A101" s="8"/>
      <c r="B101" s="21"/>
      <c r="D101" s="64"/>
      <c r="E101" s="64"/>
      <c r="F101" s="64"/>
      <c r="G101" s="64"/>
      <c r="H101" s="64"/>
      <c r="I101" s="64"/>
      <c r="J101" s="64"/>
      <c r="K101" s="64"/>
      <c r="L101" s="64"/>
      <c r="M101" s="64"/>
    </row>
    <row r="102" spans="1:15" ht="15.75" customHeight="1">
      <c r="A102" s="8"/>
      <c r="B102" s="13" t="s">
        <v>345</v>
      </c>
      <c r="C102" s="28"/>
      <c r="D102" s="17" t="s">
        <v>81</v>
      </c>
      <c r="E102" s="17" t="s">
        <v>81</v>
      </c>
      <c r="F102" s="17" t="s">
        <v>81</v>
      </c>
      <c r="G102" s="17" t="s">
        <v>81</v>
      </c>
      <c r="H102" s="17" t="s">
        <v>81</v>
      </c>
      <c r="I102" s="17" t="s">
        <v>82</v>
      </c>
      <c r="J102" s="17" t="s">
        <v>83</v>
      </c>
      <c r="K102" s="17" t="s">
        <v>84</v>
      </c>
      <c r="L102" s="17" t="s">
        <v>84</v>
      </c>
      <c r="M102" s="17" t="s">
        <v>84</v>
      </c>
    </row>
    <row r="103" spans="1:15" ht="15.75" customHeight="1">
      <c r="A103" s="8"/>
      <c r="B103" s="13"/>
    </row>
    <row r="104" spans="1:15" ht="15.75" customHeight="1">
      <c r="A104" s="8"/>
      <c r="B104" s="13"/>
    </row>
    <row r="105" spans="1:15" ht="15.75" customHeight="1">
      <c r="A105" s="8"/>
      <c r="B105" s="13">
        <v>2022</v>
      </c>
      <c r="C105" s="17" t="s">
        <v>76</v>
      </c>
      <c r="D105" s="24">
        <f>'Previous GAR scores'!D25</f>
        <v>100</v>
      </c>
      <c r="E105" s="24">
        <f>'Previous GAR scores'!E25</f>
        <v>100</v>
      </c>
      <c r="F105" s="24">
        <f>'Previous GAR scores'!F25</f>
        <v>171</v>
      </c>
      <c r="G105" s="24">
        <f>'Previous GAR scores'!G25</f>
        <v>172</v>
      </c>
      <c r="H105" s="24">
        <f>'Previous GAR scores'!H25</f>
        <v>503</v>
      </c>
      <c r="I105" s="24">
        <f>'Previous GAR scores'!I25</f>
        <v>100</v>
      </c>
      <c r="J105" s="24">
        <f>'Previous GAR scores'!J25</f>
        <v>100</v>
      </c>
      <c r="K105" s="24">
        <f>'Previous GAR scores'!K25</f>
        <v>1.0740797502235442</v>
      </c>
      <c r="L105" s="24">
        <f>'Previous GAR scores'!L25</f>
        <v>2928.526637550975</v>
      </c>
      <c r="M105" s="24">
        <f>'Previous GAR scores'!M25</f>
        <v>18.695652173913047</v>
      </c>
    </row>
    <row r="106" spans="1:15" ht="15.75" customHeight="1">
      <c r="A106" s="8"/>
      <c r="B106" s="13"/>
      <c r="C106" s="17" t="s">
        <v>77</v>
      </c>
      <c r="D106" s="24">
        <f>'Previous GAR scores'!D26</f>
        <v>3.3447527695219796E-2</v>
      </c>
      <c r="E106" s="24">
        <f>'Previous GAR scores'!E26</f>
        <v>0</v>
      </c>
      <c r="F106" s="24">
        <f>'Previous GAR scores'!F26</f>
        <v>124</v>
      </c>
      <c r="G106" s="24">
        <f>'Previous GAR scores'!G26</f>
        <v>18</v>
      </c>
      <c r="H106" s="24">
        <f>'Previous GAR scores'!H26</f>
        <v>196</v>
      </c>
      <c r="I106" s="24">
        <f>'Previous GAR scores'!I26</f>
        <v>0</v>
      </c>
      <c r="J106" s="24">
        <f>'Previous GAR scores'!J26</f>
        <v>0</v>
      </c>
      <c r="K106" s="24">
        <f>'Previous GAR scores'!K26</f>
        <v>0</v>
      </c>
      <c r="L106" s="24">
        <f>'Previous GAR scores'!L26</f>
        <v>12.933954512905462</v>
      </c>
      <c r="M106" s="24">
        <f>'Previous GAR scores'!M26</f>
        <v>0</v>
      </c>
    </row>
    <row r="107" spans="1:15" ht="15.75" customHeight="1">
      <c r="A107" s="8"/>
      <c r="B107" s="95" t="s">
        <v>342</v>
      </c>
      <c r="C107" s="78" t="s">
        <v>76</v>
      </c>
      <c r="D107" s="79">
        <f>D105</f>
        <v>100</v>
      </c>
      <c r="E107" s="79">
        <f t="shared" ref="E107:M107" si="76">E105</f>
        <v>100</v>
      </c>
      <c r="F107" s="79">
        <f t="shared" si="76"/>
        <v>171</v>
      </c>
      <c r="G107" s="79">
        <f t="shared" si="76"/>
        <v>172</v>
      </c>
      <c r="H107" s="79">
        <f t="shared" si="76"/>
        <v>503</v>
      </c>
      <c r="I107" s="79">
        <f t="shared" si="76"/>
        <v>100</v>
      </c>
      <c r="J107" s="79">
        <f t="shared" si="76"/>
        <v>100</v>
      </c>
      <c r="K107" s="79">
        <f t="shared" si="76"/>
        <v>1.0740797502235442</v>
      </c>
      <c r="L107" s="79">
        <f t="shared" si="76"/>
        <v>2928.526637550975</v>
      </c>
      <c r="M107" s="79">
        <f t="shared" si="76"/>
        <v>18.695652173913047</v>
      </c>
    </row>
    <row r="108" spans="1:15" ht="15.75" customHeight="1">
      <c r="A108" s="8"/>
      <c r="B108" s="95"/>
      <c r="C108" s="78" t="s">
        <v>77</v>
      </c>
      <c r="D108" s="79">
        <f>D106</f>
        <v>3.3447527695219796E-2</v>
      </c>
      <c r="E108" s="79">
        <f t="shared" ref="E108:M108" si="77">E106</f>
        <v>0</v>
      </c>
      <c r="F108" s="79">
        <f t="shared" si="77"/>
        <v>124</v>
      </c>
      <c r="G108" s="79">
        <f t="shared" si="77"/>
        <v>18</v>
      </c>
      <c r="H108" s="79">
        <f t="shared" si="77"/>
        <v>196</v>
      </c>
      <c r="I108" s="79">
        <f t="shared" si="77"/>
        <v>0</v>
      </c>
      <c r="J108" s="79">
        <f t="shared" si="77"/>
        <v>0</v>
      </c>
      <c r="K108" s="79">
        <f t="shared" si="77"/>
        <v>0</v>
      </c>
      <c r="L108" s="79">
        <f t="shared" si="77"/>
        <v>12.933954512905462</v>
      </c>
      <c r="M108" s="79">
        <f t="shared" si="77"/>
        <v>0</v>
      </c>
    </row>
    <row r="109" spans="1:15" ht="15.75" customHeight="1">
      <c r="A109" s="8"/>
      <c r="B109" s="13">
        <v>2023</v>
      </c>
      <c r="C109" s="17" t="s">
        <v>76</v>
      </c>
      <c r="D109" s="24">
        <f>'Previous GAR scores'!D55</f>
        <v>100</v>
      </c>
      <c r="E109" s="24">
        <f>'Previous GAR scores'!E55</f>
        <v>80.38</v>
      </c>
      <c r="F109" s="24">
        <f>'Previous GAR scores'!F55</f>
        <v>169</v>
      </c>
      <c r="G109" s="24">
        <f>'Previous GAR scores'!G55</f>
        <v>172</v>
      </c>
      <c r="H109" s="24">
        <f>'Previous GAR scores'!H55</f>
        <v>527</v>
      </c>
      <c r="I109" s="24">
        <f>'Previous GAR scores'!I55</f>
        <v>100</v>
      </c>
      <c r="J109" s="24">
        <f>'Previous GAR scores'!J55</f>
        <v>100</v>
      </c>
      <c r="K109" s="24">
        <f>'Previous GAR scores'!K55</f>
        <v>0.86</v>
      </c>
      <c r="L109" s="24">
        <f>'Previous GAR scores'!L55</f>
        <v>3740</v>
      </c>
      <c r="M109" s="24">
        <f>'Previous GAR scores'!M55</f>
        <v>26.591000000000001</v>
      </c>
    </row>
    <row r="110" spans="1:15" ht="15.75" customHeight="1">
      <c r="A110" s="8"/>
      <c r="B110" s="13"/>
      <c r="C110" s="17" t="s">
        <v>77</v>
      </c>
      <c r="D110" s="24">
        <f>'Previous GAR scores'!D56</f>
        <v>0.03</v>
      </c>
      <c r="E110" s="24">
        <f>'Previous GAR scores'!E56</f>
        <v>0</v>
      </c>
      <c r="F110" s="24">
        <f>'Previous GAR scores'!F56</f>
        <v>114</v>
      </c>
      <c r="G110" s="24">
        <f>'Previous GAR scores'!G56</f>
        <v>24</v>
      </c>
      <c r="H110" s="24">
        <f>'Previous GAR scores'!H56</f>
        <v>203</v>
      </c>
      <c r="I110" s="24">
        <f>'Previous GAR scores'!I56</f>
        <v>0</v>
      </c>
      <c r="J110" s="24">
        <f>'Previous GAR scores'!J56</f>
        <v>0</v>
      </c>
      <c r="K110" s="24">
        <f>'Previous GAR scores'!K56</f>
        <v>0</v>
      </c>
      <c r="L110" s="24">
        <f>'Previous GAR scores'!L56</f>
        <v>123</v>
      </c>
      <c r="M110" s="24">
        <f>'Previous GAR scores'!M56</f>
        <v>0</v>
      </c>
    </row>
    <row r="111" spans="1:15" ht="15.75" customHeight="1">
      <c r="A111" s="8"/>
      <c r="B111" s="95" t="s">
        <v>343</v>
      </c>
      <c r="C111" s="78" t="s">
        <v>76</v>
      </c>
      <c r="D111" s="79">
        <f>'Previous GAR scores'!D58</f>
        <v>100</v>
      </c>
      <c r="E111" s="79">
        <f>'Previous GAR scores'!E58</f>
        <v>80.400000000000006</v>
      </c>
      <c r="F111" s="79">
        <f>'Previous GAR scores'!F58</f>
        <v>169.2</v>
      </c>
      <c r="G111" s="79">
        <f>'Previous GAR scores'!G58</f>
        <v>172</v>
      </c>
      <c r="H111" s="79">
        <f>'Previous GAR scores'!H58</f>
        <v>527</v>
      </c>
      <c r="I111" s="79">
        <f>'Previous GAR scores'!I58</f>
        <v>100</v>
      </c>
      <c r="J111" s="79">
        <f>'Previous GAR scores'!J58</f>
        <v>100</v>
      </c>
      <c r="K111" s="79">
        <f>'Previous GAR scores'!K58</f>
        <v>0.86</v>
      </c>
      <c r="L111" s="79">
        <f>'Previous GAR scores'!L58</f>
        <v>3740</v>
      </c>
      <c r="M111" s="79">
        <f>'Previous GAR scores'!M58</f>
        <v>26.6</v>
      </c>
    </row>
    <row r="112" spans="1:15" ht="15.75" customHeight="1">
      <c r="A112" s="8"/>
      <c r="B112" s="95"/>
      <c r="C112" s="78" t="s">
        <v>77</v>
      </c>
      <c r="D112" s="79">
        <f>'Previous GAR scores'!D59</f>
        <v>0</v>
      </c>
      <c r="E112" s="79">
        <f>'Previous GAR scores'!E59</f>
        <v>0</v>
      </c>
      <c r="F112" s="79">
        <f>'Previous GAR scores'!F59</f>
        <v>113.7</v>
      </c>
      <c r="G112" s="79">
        <f>'Previous GAR scores'!G59</f>
        <v>18</v>
      </c>
      <c r="H112" s="79">
        <f>'Previous GAR scores'!H59</f>
        <v>196</v>
      </c>
      <c r="I112" s="79">
        <f>'Previous GAR scores'!I59</f>
        <v>0</v>
      </c>
      <c r="J112" s="79">
        <f>'Previous GAR scores'!J59</f>
        <v>0</v>
      </c>
      <c r="K112" s="79">
        <f>'Previous GAR scores'!K59</f>
        <v>0</v>
      </c>
      <c r="L112" s="79">
        <f>'Previous GAR scores'!L59</f>
        <v>12.933954512905462</v>
      </c>
      <c r="M112" s="79">
        <f>'Previous GAR scores'!M59</f>
        <v>0</v>
      </c>
    </row>
    <row r="113" spans="1:13" ht="15.75" customHeight="1">
      <c r="A113" s="8"/>
      <c r="B113" s="13">
        <v>2024</v>
      </c>
      <c r="C113" s="17" t="s">
        <v>76</v>
      </c>
      <c r="D113" s="24">
        <f t="shared" ref="D113:M113" si="78">MAX(D75:D95)</f>
        <v>100</v>
      </c>
      <c r="E113" s="24">
        <f t="shared" si="78"/>
        <v>81.001742216092765</v>
      </c>
      <c r="F113" s="24">
        <f t="shared" si="78"/>
        <v>164.9</v>
      </c>
      <c r="G113" s="24">
        <f t="shared" si="78"/>
        <v>176.02</v>
      </c>
      <c r="H113" s="24">
        <f t="shared" si="78"/>
        <v>536.77</v>
      </c>
      <c r="I113" s="24">
        <f>MAX(I75:I95)</f>
        <v>74.888813654251081</v>
      </c>
      <c r="J113" s="24">
        <f t="shared" si="78"/>
        <v>1</v>
      </c>
      <c r="K113" s="24">
        <f t="shared" si="78"/>
        <v>0.864818493669961</v>
      </c>
      <c r="L113" s="24">
        <f t="shared" si="78"/>
        <v>3776.0654598071865</v>
      </c>
      <c r="M113" s="24">
        <f t="shared" si="78"/>
        <v>27.999999999999996</v>
      </c>
    </row>
    <row r="114" spans="1:13" ht="15.75" customHeight="1">
      <c r="A114" s="8"/>
      <c r="B114" s="13"/>
      <c r="C114" s="17" t="s">
        <v>77</v>
      </c>
      <c r="D114" s="24">
        <f t="shared" ref="D114:M114" si="79">MIN(D75:D95)</f>
        <v>0.02</v>
      </c>
      <c r="E114" s="24">
        <f t="shared" si="79"/>
        <v>0</v>
      </c>
      <c r="F114" s="24">
        <f t="shared" si="79"/>
        <v>109.7</v>
      </c>
      <c r="G114" s="24">
        <f t="shared" si="79"/>
        <v>26.13</v>
      </c>
      <c r="H114" s="24">
        <f t="shared" si="79"/>
        <v>229.04</v>
      </c>
      <c r="I114" s="24">
        <f t="shared" si="79"/>
        <v>0</v>
      </c>
      <c r="J114" s="24">
        <f t="shared" si="79"/>
        <v>0</v>
      </c>
      <c r="K114" s="24">
        <f t="shared" si="79"/>
        <v>0.28164036314059043</v>
      </c>
      <c r="L114" s="24">
        <f t="shared" si="79"/>
        <v>159.51599194899782</v>
      </c>
      <c r="M114" s="24">
        <f t="shared" si="79"/>
        <v>0</v>
      </c>
    </row>
    <row r="115" spans="1:13" ht="15.75" customHeight="1">
      <c r="A115" s="8"/>
      <c r="B115" s="95" t="s">
        <v>344</v>
      </c>
      <c r="C115" s="78" t="s">
        <v>76</v>
      </c>
      <c r="D115" s="79">
        <f>MAX(D113,D111)</f>
        <v>100</v>
      </c>
      <c r="E115" s="79">
        <f t="shared" ref="E115:M115" si="80">MAX(E113,E111)</f>
        <v>81.001742216092765</v>
      </c>
      <c r="F115" s="79">
        <v>169.7</v>
      </c>
      <c r="G115" s="79">
        <f>MAX(G113,G111)</f>
        <v>176.02</v>
      </c>
      <c r="H115" s="79">
        <f t="shared" si="80"/>
        <v>536.77</v>
      </c>
      <c r="I115" s="79">
        <f>IF(I102="Y",I113,MAX(I111,I113))</f>
        <v>74.888813654251081</v>
      </c>
      <c r="J115" s="79">
        <f t="shared" si="80"/>
        <v>100</v>
      </c>
      <c r="K115" s="79">
        <f t="shared" si="80"/>
        <v>0.864818493669961</v>
      </c>
      <c r="L115" s="79">
        <f t="shared" si="80"/>
        <v>3776.0654598071865</v>
      </c>
      <c r="M115" s="79">
        <f t="shared" si="80"/>
        <v>27.999999999999996</v>
      </c>
    </row>
    <row r="116" spans="1:13" ht="15.75" customHeight="1">
      <c r="A116" s="8"/>
      <c r="B116" s="95"/>
      <c r="C116" s="78" t="s">
        <v>77</v>
      </c>
      <c r="D116" s="79">
        <f>MIN(D112,D114)</f>
        <v>0</v>
      </c>
      <c r="E116" s="79">
        <f t="shared" ref="E116:M116" si="81">MIN(E112,E114)</f>
        <v>0</v>
      </c>
      <c r="F116" s="79">
        <v>109.6</v>
      </c>
      <c r="G116" s="79">
        <f>MIN(G112,G114)</f>
        <v>18</v>
      </c>
      <c r="H116" s="79">
        <f>MIN(H112,H114)</f>
        <v>196</v>
      </c>
      <c r="I116" s="79">
        <f t="shared" si="81"/>
        <v>0</v>
      </c>
      <c r="J116" s="79">
        <f>IF(J102="Y",J114,MIN(J112,J114))</f>
        <v>0</v>
      </c>
      <c r="K116" s="79">
        <f t="shared" si="81"/>
        <v>0</v>
      </c>
      <c r="L116" s="79">
        <f>IF(L102="Y",L114,MIN(L112,L114))</f>
        <v>12.933954512905462</v>
      </c>
      <c r="M116" s="79">
        <f t="shared" si="81"/>
        <v>0</v>
      </c>
    </row>
  </sheetData>
  <sheetProtection algorithmName="SHA-512" hashValue="T7wKxjrLi7PMeUQS114ttAb7qV3OekKHUdGkcdjUKI4afPDisO+QMvXwwTlVI8Z+yITen5dW7qBojFbnB51JLA==" saltValue="kVlnVhYKqxA1tvVLtjexXA==" spinCount="100000" sheet="1" objects="1" scenarios="1"/>
  <sortState xmlns:xlrd2="http://schemas.microsoft.com/office/spreadsheetml/2017/richdata2" ref="J3:M23">
    <sortCondition descending="1" ref="M3:M23"/>
  </sortState>
  <mergeCells count="32">
    <mergeCell ref="G1:G2"/>
    <mergeCell ref="BD2:BF2"/>
    <mergeCell ref="BG2:BI2"/>
    <mergeCell ref="BJ2:BL2"/>
    <mergeCell ref="M1:N2"/>
    <mergeCell ref="AE1:AE2"/>
    <mergeCell ref="AF1:AH2"/>
    <mergeCell ref="AI1:AN1"/>
    <mergeCell ref="AO1:BC1"/>
    <mergeCell ref="AL2:AN2"/>
    <mergeCell ref="AI2:AK2"/>
    <mergeCell ref="AO2:AQ2"/>
    <mergeCell ref="AR2:AT2"/>
    <mergeCell ref="AU2:AW2"/>
    <mergeCell ref="AX2:AZ2"/>
    <mergeCell ref="BA2:BC2"/>
    <mergeCell ref="H3:H4"/>
    <mergeCell ref="H5:H17"/>
    <mergeCell ref="H18:H23"/>
    <mergeCell ref="BD1:BL1"/>
    <mergeCell ref="B96:B97"/>
    <mergeCell ref="R1:W1"/>
    <mergeCell ref="X1:AA1"/>
    <mergeCell ref="O1:Q1"/>
    <mergeCell ref="L1:L2"/>
    <mergeCell ref="N3:N4"/>
    <mergeCell ref="N5:N17"/>
    <mergeCell ref="N18:N23"/>
    <mergeCell ref="C1:C2"/>
    <mergeCell ref="D1:D2"/>
    <mergeCell ref="E1:E2"/>
    <mergeCell ref="F1:F2"/>
  </mergeCells>
  <phoneticPr fontId="3" type="noConversion"/>
  <conditionalFormatting sqref="D3:D23">
    <cfRule type="expression" dxfId="161" priority="567">
      <formula>$D3&gt;33.3</formula>
    </cfRule>
    <cfRule type="expression" dxfId="160" priority="566" stopIfTrue="1">
      <formula>$D3&gt;66.67</formula>
    </cfRule>
    <cfRule type="expression" dxfId="159" priority="565">
      <formula>$D3&lt;33.3</formula>
    </cfRule>
  </conditionalFormatting>
  <conditionalFormatting sqref="D27:G47">
    <cfRule type="colorScale" priority="550">
      <colorScale>
        <cfvo type="min"/>
        <cfvo type="percentile" val="50"/>
        <cfvo type="max"/>
        <color theme="6" tint="0.39997558519241921"/>
        <color theme="9" tint="0.39997558519241921"/>
        <color theme="8" tint="0.39997558519241921"/>
      </colorScale>
    </cfRule>
    <cfRule type="colorScale" priority="552">
      <colorScale>
        <cfvo type="min"/>
        <cfvo type="percentile" val="50"/>
        <cfvo type="max"/>
        <color rgb="FFF8696B"/>
        <color rgb="FFFFEB84"/>
        <color rgb="FF63BE7B"/>
      </colorScale>
    </cfRule>
    <cfRule type="colorScale" priority="551">
      <colorScale>
        <cfvo type="min"/>
        <cfvo type="max"/>
        <color theme="6" tint="0.39997558519241921"/>
        <color theme="8" tint="0.39997558519241921"/>
      </colorScale>
    </cfRule>
  </conditionalFormatting>
  <conditionalFormatting sqref="D101:M101">
    <cfRule type="expression" dxfId="158" priority="250" stopIfTrue="1">
      <formula>#REF!&gt;#REF!</formula>
    </cfRule>
  </conditionalFormatting>
  <conditionalFormatting sqref="E3:E23">
    <cfRule type="expression" dxfId="157" priority="569">
      <formula>$E3&gt;66.67</formula>
    </cfRule>
    <cfRule type="expression" dxfId="156" priority="570" stopIfTrue="1">
      <formula>$E3&gt;33.3</formula>
    </cfRule>
    <cfRule type="expression" dxfId="155" priority="568">
      <formula>$E3&lt;33.3</formula>
    </cfRule>
  </conditionalFormatting>
  <conditionalFormatting sqref="F3:F23">
    <cfRule type="expression" dxfId="154" priority="573">
      <formula>$F3&gt;33.3</formula>
    </cfRule>
    <cfRule type="expression" dxfId="153" priority="572">
      <formula>$F3&gt;66.67</formula>
    </cfRule>
    <cfRule type="expression" dxfId="152" priority="571">
      <formula>$F3&lt;33.3</formula>
    </cfRule>
  </conditionalFormatting>
  <conditionalFormatting sqref="G3:G23">
    <cfRule type="expression" dxfId="151" priority="574" stopIfTrue="1">
      <formula>$G3&lt;33.3</formula>
    </cfRule>
    <cfRule type="expression" dxfId="150" priority="575">
      <formula>$G3&gt;66.67</formula>
    </cfRule>
    <cfRule type="expression" dxfId="149" priority="576" stopIfTrue="1">
      <formula>$G3&gt;33.3</formula>
    </cfRule>
  </conditionalFormatting>
  <conditionalFormatting sqref="M3:M23">
    <cfRule type="expression" dxfId="148" priority="329">
      <formula>M3&lt;33.3</formula>
    </cfRule>
    <cfRule type="expression" dxfId="147" priority="330" stopIfTrue="1">
      <formula>M3&gt;66.67</formula>
    </cfRule>
    <cfRule type="expression" dxfId="146" priority="331">
      <formula>M3&gt;33.3</formula>
    </cfRule>
  </conditionalFormatting>
  <conditionalFormatting sqref="Q3:Q23">
    <cfRule type="expression" dxfId="145" priority="324" stopIfTrue="1">
      <formula>Q3&gt;66.67</formula>
    </cfRule>
    <cfRule type="expression" dxfId="144" priority="325">
      <formula>Q3&gt;33.3</formula>
    </cfRule>
    <cfRule type="expression" dxfId="143" priority="323" stopIfTrue="1">
      <formula>Q3&lt;33.3</formula>
    </cfRule>
  </conditionalFormatting>
  <conditionalFormatting sqref="W3:W23">
    <cfRule type="expression" dxfId="142" priority="326">
      <formula>W3&lt;33.3</formula>
    </cfRule>
    <cfRule type="expression" dxfId="141" priority="327">
      <formula>W3&gt;66.67</formula>
    </cfRule>
    <cfRule type="expression" dxfId="140" priority="328" stopIfTrue="1">
      <formula>W3&gt;33.3</formula>
    </cfRule>
  </conditionalFormatting>
  <conditionalFormatting sqref="AA3:AA23">
    <cfRule type="expression" dxfId="139" priority="332" stopIfTrue="1">
      <formula>AA3&lt;33.3</formula>
    </cfRule>
    <cfRule type="expression" dxfId="138" priority="333" stopIfTrue="1">
      <formula>AA3&gt;66.67</formula>
    </cfRule>
    <cfRule type="expression" dxfId="137" priority="334" stopIfTrue="1">
      <formula>AA3&gt;33.3</formula>
    </cfRule>
  </conditionalFormatting>
  <conditionalFormatting sqref="AF3:AF23">
    <cfRule type="expression" dxfId="136" priority="249">
      <formula>AF3&gt;33.3</formula>
    </cfRule>
    <cfRule type="expression" dxfId="135" priority="248" stopIfTrue="1">
      <formula>AF3&gt;66.67</formula>
    </cfRule>
    <cfRule type="expression" dxfId="134" priority="247">
      <formula>AF3&lt;33.3</formula>
    </cfRule>
  </conditionalFormatting>
  <conditionalFormatting sqref="AG3:AG23">
    <cfRule type="expression" dxfId="133" priority="707" stopIfTrue="1">
      <formula>(AF27&lt;0)</formula>
    </cfRule>
    <cfRule type="expression" dxfId="132" priority="708" stopIfTrue="1">
      <formula>(AF27&gt;0)</formula>
    </cfRule>
    <cfRule type="expression" dxfId="131" priority="706" stopIfTrue="1">
      <formula>(AF27=0)</formula>
    </cfRule>
  </conditionalFormatting>
  <conditionalFormatting sqref="AH3:AH23">
    <cfRule type="expression" dxfId="130" priority="720" stopIfTrue="1">
      <formula>(AF27&gt;0)</formula>
    </cfRule>
    <cfRule type="expression" dxfId="129" priority="718" stopIfTrue="1">
      <formula>(AF27=0)</formula>
    </cfRule>
    <cfRule type="expression" dxfId="128" priority="719" stopIfTrue="1">
      <formula>(AF27&lt;0)</formula>
    </cfRule>
  </conditionalFormatting>
  <conditionalFormatting sqref="AJ3:AJ23">
    <cfRule type="expression" dxfId="127" priority="423">
      <formula>(AJ27&gt;0)</formula>
    </cfRule>
    <cfRule type="expression" dxfId="126" priority="422">
      <formula>(AJ27&lt;0)</formula>
    </cfRule>
    <cfRule type="expression" dxfId="125" priority="421">
      <formula>(AJ27=0)</formula>
    </cfRule>
  </conditionalFormatting>
  <conditionalFormatting sqref="AK3:AK23">
    <cfRule type="expression" dxfId="124" priority="644">
      <formula>(AJ27&lt;0)</formula>
    </cfRule>
    <cfRule type="expression" dxfId="123" priority="645">
      <formula>(AJ27&gt;0)</formula>
    </cfRule>
    <cfRule type="expression" dxfId="122" priority="643">
      <formula>(AJ27=0)</formula>
    </cfRule>
  </conditionalFormatting>
  <conditionalFormatting sqref="AM3:AM23">
    <cfRule type="expression" dxfId="121" priority="648" stopIfTrue="1">
      <formula>(AK27&gt;0)</formula>
    </cfRule>
    <cfRule type="expression" dxfId="120" priority="646" stopIfTrue="1">
      <formula>(AK27 =0)</formula>
    </cfRule>
    <cfRule type="expression" dxfId="119" priority="647" stopIfTrue="1">
      <formula>(AK27 &lt;0)</formula>
    </cfRule>
  </conditionalFormatting>
  <conditionalFormatting sqref="AN3:AN23">
    <cfRule type="expression" dxfId="118" priority="651" stopIfTrue="1">
      <formula>(AK27&gt;0)</formula>
    </cfRule>
    <cfRule type="expression" dxfId="117" priority="650" stopIfTrue="1">
      <formula>(AK27 &lt;0)</formula>
    </cfRule>
    <cfRule type="expression" dxfId="116" priority="649">
      <formula>(AK27=0)</formula>
    </cfRule>
  </conditionalFormatting>
  <conditionalFormatting sqref="AP3:AP23">
    <cfRule type="expression" dxfId="115" priority="653">
      <formula>(AM27 &lt;0)</formula>
    </cfRule>
    <cfRule type="expression" dxfId="114" priority="652">
      <formula>(AM27 =0)</formula>
    </cfRule>
    <cfRule type="expression" dxfId="113" priority="654">
      <formula>(AM27&gt;0)</formula>
    </cfRule>
  </conditionalFormatting>
  <conditionalFormatting sqref="AQ3:AQ23">
    <cfRule type="expression" dxfId="112" priority="655" stopIfTrue="1">
      <formula>(AM27=0)</formula>
    </cfRule>
    <cfRule type="expression" dxfId="111" priority="656">
      <formula>(AM27 &lt;0)</formula>
    </cfRule>
    <cfRule type="expression" dxfId="110" priority="657">
      <formula>(AM27&gt;0)</formula>
    </cfRule>
  </conditionalFormatting>
  <conditionalFormatting sqref="AS3:AS22">
    <cfRule type="expression" dxfId="109" priority="595">
      <formula>(AN27 =0)</formula>
    </cfRule>
    <cfRule type="expression" dxfId="108" priority="596">
      <formula>(AN27 &lt;0)</formula>
    </cfRule>
    <cfRule type="expression" dxfId="107" priority="597">
      <formula>(AN27&gt;0)</formula>
    </cfRule>
  </conditionalFormatting>
  <conditionalFormatting sqref="AS23">
    <cfRule type="expression" dxfId="106" priority="660">
      <formula>(AN27&gt;0)</formula>
    </cfRule>
    <cfRule type="expression" dxfId="105" priority="658">
      <formula>(AN27 =0)</formula>
    </cfRule>
    <cfRule type="expression" dxfId="104" priority="659">
      <formula>(AN27 &lt;0)</formula>
    </cfRule>
  </conditionalFormatting>
  <conditionalFormatting sqref="AT3:AT22">
    <cfRule type="expression" dxfId="103" priority="601" stopIfTrue="1">
      <formula>(AN27=0)</formula>
    </cfRule>
    <cfRule type="expression" dxfId="102" priority="602">
      <formula>(AN27 &lt;0)</formula>
    </cfRule>
    <cfRule type="expression" dxfId="101" priority="603">
      <formula>(AN27&gt;0)</formula>
    </cfRule>
  </conditionalFormatting>
  <conditionalFormatting sqref="AV3:AV23">
    <cfRule type="expression" dxfId="100" priority="663">
      <formula>(AO27&gt;0)</formula>
    </cfRule>
    <cfRule type="expression" dxfId="99" priority="662">
      <formula>(AO27 &lt;0)</formula>
    </cfRule>
    <cfRule type="expression" dxfId="98" priority="661">
      <formula>(AO27 =0)</formula>
    </cfRule>
  </conditionalFormatting>
  <conditionalFormatting sqref="AW3:AW23">
    <cfRule type="expression" dxfId="97" priority="666">
      <formula>(AO27&gt;0)</formula>
    </cfRule>
    <cfRule type="expression" dxfId="96" priority="665">
      <formula>(AO27 &lt;0)</formula>
    </cfRule>
    <cfRule type="expression" dxfId="95" priority="664">
      <formula>(AO27=0)</formula>
    </cfRule>
  </conditionalFormatting>
  <conditionalFormatting sqref="AX25:AY25">
    <cfRule type="colorScale" priority="395">
      <colorScale>
        <cfvo type="min"/>
        <cfvo type="percentile" val="50"/>
        <cfvo type="max"/>
        <color rgb="FFF8696B"/>
        <color rgb="FFFCFCFF"/>
        <color rgb="FF63BE7B"/>
      </colorScale>
    </cfRule>
  </conditionalFormatting>
  <conditionalFormatting sqref="BB3:BB23">
    <cfRule type="expression" dxfId="94" priority="675">
      <formula>(AQ27&gt;0)</formula>
    </cfRule>
    <cfRule type="expression" dxfId="93" priority="674">
      <formula>(AQ27 &lt;0)</formula>
    </cfRule>
    <cfRule type="expression" dxfId="92" priority="673">
      <formula>(AQ27 =0)</formula>
    </cfRule>
  </conditionalFormatting>
  <conditionalFormatting sqref="BC3:BC23">
    <cfRule type="expression" dxfId="91" priority="678">
      <formula>(AQ27&gt;0)</formula>
    </cfRule>
    <cfRule type="expression" dxfId="90" priority="677">
      <formula>(AQ27 &lt;0)</formula>
    </cfRule>
    <cfRule type="expression" dxfId="89" priority="676">
      <formula>(AQ27=0)</formula>
    </cfRule>
  </conditionalFormatting>
  <conditionalFormatting sqref="BE3:BE23">
    <cfRule type="expression" dxfId="88" priority="680">
      <formula>(AS27 &lt;0)</formula>
    </cfRule>
    <cfRule type="expression" dxfId="87" priority="679">
      <formula>(AS27 =0)</formula>
    </cfRule>
    <cfRule type="expression" dxfId="86" priority="681">
      <formula>(AS27&gt;0)</formula>
    </cfRule>
  </conditionalFormatting>
  <conditionalFormatting sqref="BE47">
    <cfRule type="expression" dxfId="85" priority="702" stopIfTrue="1">
      <formula>(AF47&gt;0)</formula>
    </cfRule>
    <cfRule type="expression" dxfId="84" priority="701" stopIfTrue="1">
      <formula>(AF47&lt;0)</formula>
    </cfRule>
    <cfRule type="expression" dxfId="83" priority="700" stopIfTrue="1">
      <formula>(AF47=0)</formula>
    </cfRule>
  </conditionalFormatting>
  <conditionalFormatting sqref="BF3:BF23">
    <cfRule type="expression" dxfId="82" priority="682">
      <formula>(AS27=0)</formula>
    </cfRule>
    <cfRule type="expression" dxfId="81" priority="683">
      <formula>(AS27 &lt;0)</formula>
    </cfRule>
    <cfRule type="expression" dxfId="80" priority="684">
      <formula>(AS27&gt;0)</formula>
    </cfRule>
  </conditionalFormatting>
  <conditionalFormatting sqref="BF47">
    <cfRule type="expression" dxfId="79" priority="715" stopIfTrue="1">
      <formula>(AF47=0)</formula>
    </cfRule>
    <cfRule type="expression" dxfId="78" priority="717" stopIfTrue="1">
      <formula>(AF47&gt;0)</formula>
    </cfRule>
    <cfRule type="expression" dxfId="77" priority="716" stopIfTrue="1">
      <formula>(AF47&lt;0)</formula>
    </cfRule>
  </conditionalFormatting>
  <conditionalFormatting sqref="BH3:BH23">
    <cfRule type="expression" dxfId="76" priority="685">
      <formula>(AT27 =0)</formula>
    </cfRule>
    <cfRule type="expression" dxfId="75" priority="686">
      <formula>(AT27 &lt;0)</formula>
    </cfRule>
    <cfRule type="expression" dxfId="74" priority="687">
      <formula>(AT27&gt;0)</formula>
    </cfRule>
  </conditionalFormatting>
  <conditionalFormatting sqref="BI3:BI23">
    <cfRule type="expression" dxfId="73" priority="688">
      <formula>(AT27=0)</formula>
    </cfRule>
    <cfRule type="expression" dxfId="72" priority="689">
      <formula>(AT27 &lt;0)</formula>
    </cfRule>
    <cfRule type="expression" dxfId="71" priority="690">
      <formula>(AT27&gt;0)</formula>
    </cfRule>
  </conditionalFormatting>
  <conditionalFormatting sqref="BI47">
    <cfRule type="expression" dxfId="70" priority="219">
      <formula>(AJ47=0)</formula>
    </cfRule>
    <cfRule type="expression" dxfId="69" priority="221">
      <formula>(AJ47&gt;0)</formula>
    </cfRule>
    <cfRule type="expression" dxfId="68" priority="220">
      <formula>(AJ47&lt;0)</formula>
    </cfRule>
  </conditionalFormatting>
  <conditionalFormatting sqref="BJ47">
    <cfRule type="expression" dxfId="67" priority="580">
      <formula>(AJ47=0)</formula>
    </cfRule>
    <cfRule type="expression" dxfId="66" priority="581">
      <formula>(AJ47&lt;0)</formula>
    </cfRule>
    <cfRule type="expression" dxfId="65" priority="582">
      <formula>(AJ47&gt;0)</formula>
    </cfRule>
  </conditionalFormatting>
  <conditionalFormatting sqref="BK3:BK23">
    <cfRule type="expression" dxfId="64" priority="693">
      <formula>(AU27&gt;0)</formula>
    </cfRule>
    <cfRule type="expression" dxfId="63" priority="692">
      <formula>(AU27 &lt;0)</formula>
    </cfRule>
    <cfRule type="expression" dxfId="62" priority="691">
      <formula>(AU27 =0)</formula>
    </cfRule>
  </conditionalFormatting>
  <conditionalFormatting sqref="BL3:BL23">
    <cfRule type="expression" dxfId="61" priority="696">
      <formula>(AU27&gt;0)</formula>
    </cfRule>
    <cfRule type="expression" dxfId="60" priority="695">
      <formula>(AU27 &lt;0)</formula>
    </cfRule>
    <cfRule type="expression" dxfId="59" priority="694">
      <formula>(AU27=0)</formula>
    </cfRule>
  </conditionalFormatting>
  <conditionalFormatting sqref="BM47">
    <cfRule type="expression" dxfId="58" priority="583" stopIfTrue="1">
      <formula>(AK47 =0)</formula>
    </cfRule>
    <cfRule type="expression" dxfId="57" priority="584" stopIfTrue="1">
      <formula>(AK47 &lt;0)</formula>
    </cfRule>
    <cfRule type="expression" dxfId="56" priority="585" stopIfTrue="1">
      <formula>(AK47&gt;0)</formula>
    </cfRule>
  </conditionalFormatting>
  <conditionalFormatting sqref="BN47">
    <cfRule type="expression" dxfId="55" priority="586">
      <formula>(AK47=0)</formula>
    </cfRule>
    <cfRule type="expression" dxfId="54" priority="587" stopIfTrue="1">
      <formula>(AK47 &lt;0)</formula>
    </cfRule>
    <cfRule type="expression" dxfId="53" priority="588" stopIfTrue="1">
      <formula>(AK47&gt;0)</formula>
    </cfRule>
  </conditionalFormatting>
  <conditionalFormatting sqref="BQ47">
    <cfRule type="expression" dxfId="52" priority="591">
      <formula>(AM47&gt;0)</formula>
    </cfRule>
    <cfRule type="expression" dxfId="51" priority="589">
      <formula>(AM47 =0)</formula>
    </cfRule>
    <cfRule type="expression" dxfId="50" priority="590">
      <formula>(AM47 &lt;0)</formula>
    </cfRule>
  </conditionalFormatting>
  <conditionalFormatting sqref="BR47">
    <cfRule type="expression" dxfId="49" priority="592" stopIfTrue="1">
      <formula>(AM47=0)</formula>
    </cfRule>
    <cfRule type="expression" dxfId="48" priority="594">
      <formula>(AM47&gt;0)</formula>
    </cfRule>
    <cfRule type="expression" dxfId="47" priority="593">
      <formula>(AM47 &lt;0)</formula>
    </cfRule>
  </conditionalFormatting>
  <conditionalFormatting sqref="BU47">
    <cfRule type="expression" dxfId="46" priority="600">
      <formula>(AN28&gt;0)</formula>
    </cfRule>
    <cfRule type="expression" dxfId="45" priority="599">
      <formula>(AN28 &lt;0)</formula>
    </cfRule>
    <cfRule type="expression" dxfId="44" priority="598">
      <formula>(AN28 =0)</formula>
    </cfRule>
  </conditionalFormatting>
  <conditionalFormatting sqref="BY47">
    <cfRule type="expression" dxfId="43" priority="606">
      <formula>(AO47&gt;0)</formula>
    </cfRule>
    <cfRule type="expression" dxfId="42" priority="605">
      <formula>(AO47 &lt;0)</formula>
    </cfRule>
    <cfRule type="expression" dxfId="41" priority="604">
      <formula>(AO47 =0)</formula>
    </cfRule>
  </conditionalFormatting>
  <conditionalFormatting sqref="BZ47">
    <cfRule type="expression" dxfId="40" priority="609">
      <formula>(AO47&gt;0)</formula>
    </cfRule>
    <cfRule type="expression" dxfId="39" priority="608">
      <formula>(AO47 &lt;0)</formula>
    </cfRule>
    <cfRule type="expression" dxfId="38" priority="607">
      <formula>(AO47=0)</formula>
    </cfRule>
  </conditionalFormatting>
  <conditionalFormatting sqref="CC47">
    <cfRule type="expression" dxfId="37" priority="612">
      <formula>(AP47&gt;0)</formula>
    </cfRule>
    <cfRule type="expression" dxfId="36" priority="611">
      <formula>(AP47 &lt;0)</formula>
    </cfRule>
    <cfRule type="expression" dxfId="35" priority="610">
      <formula>(AP47 =0)</formula>
    </cfRule>
  </conditionalFormatting>
  <conditionalFormatting sqref="CD47">
    <cfRule type="expression" dxfId="34" priority="615">
      <formula>(AP47&gt;0)</formula>
    </cfRule>
    <cfRule type="expression" dxfId="33" priority="614">
      <formula>(AP47 &lt;0)</formula>
    </cfRule>
    <cfRule type="expression" dxfId="32" priority="613">
      <formula>(AP47=0)</formula>
    </cfRule>
  </conditionalFormatting>
  <conditionalFormatting sqref="CG47">
    <cfRule type="expression" dxfId="31" priority="617">
      <formula>(AQ47 &lt;0)</formula>
    </cfRule>
    <cfRule type="expression" dxfId="30" priority="616">
      <formula>(AQ47 =0)</formula>
    </cfRule>
    <cfRule type="expression" dxfId="29" priority="618">
      <formula>(AQ47&gt;0)</formula>
    </cfRule>
  </conditionalFormatting>
  <conditionalFormatting sqref="CH47">
    <cfRule type="expression" dxfId="28" priority="621">
      <formula>(AQ47&gt;0)</formula>
    </cfRule>
    <cfRule type="expression" dxfId="27" priority="619">
      <formula>(AQ47=0)</formula>
    </cfRule>
    <cfRule type="expression" dxfId="26" priority="620">
      <formula>(AQ47 &lt;0)</formula>
    </cfRule>
  </conditionalFormatting>
  <conditionalFormatting sqref="CK47">
    <cfRule type="expression" dxfId="25" priority="623">
      <formula>(AS47 &lt;0)</formula>
    </cfRule>
    <cfRule type="expression" dxfId="24" priority="624">
      <formula>(AS47&gt;0)</formula>
    </cfRule>
    <cfRule type="expression" dxfId="23" priority="622">
      <formula>(AS47 =0)</formula>
    </cfRule>
  </conditionalFormatting>
  <conditionalFormatting sqref="CL47">
    <cfRule type="expression" dxfId="22" priority="625">
      <formula>(AS47=0)</formula>
    </cfRule>
    <cfRule type="expression" dxfId="21" priority="626">
      <formula>(AS47 &lt;0)</formula>
    </cfRule>
    <cfRule type="expression" dxfId="20" priority="627">
      <formula>(AS47&gt;0)</formula>
    </cfRule>
  </conditionalFormatting>
  <conditionalFormatting sqref="CO47">
    <cfRule type="expression" dxfId="19" priority="628">
      <formula>(AT47 =0)</formula>
    </cfRule>
    <cfRule type="expression" dxfId="18" priority="629">
      <formula>(AT47 &lt;0)</formula>
    </cfRule>
    <cfRule type="expression" dxfId="17" priority="630">
      <formula>(AT47&gt;0)</formula>
    </cfRule>
  </conditionalFormatting>
  <conditionalFormatting sqref="CP47">
    <cfRule type="expression" dxfId="16" priority="631">
      <formula>(AT47=0)</formula>
    </cfRule>
    <cfRule type="expression" dxfId="15" priority="632">
      <formula>(AT47 &lt;0)</formula>
    </cfRule>
    <cfRule type="expression" dxfId="14" priority="633">
      <formula>(AT47&gt;0)</formula>
    </cfRule>
  </conditionalFormatting>
  <conditionalFormatting sqref="CS47">
    <cfRule type="expression" dxfId="13" priority="634">
      <formula>(AU47 =0)</formula>
    </cfRule>
    <cfRule type="expression" dxfId="12" priority="635">
      <formula>(AU47 &lt;0)</formula>
    </cfRule>
    <cfRule type="expression" dxfId="11" priority="636">
      <formula>(AU47&gt;0)</formula>
    </cfRule>
  </conditionalFormatting>
  <conditionalFormatting sqref="CT47">
    <cfRule type="expression" dxfId="10" priority="637">
      <formula>(AU47=0)</formula>
    </cfRule>
    <cfRule type="expression" dxfId="9" priority="639">
      <formula>(AU47&gt;0)</formula>
    </cfRule>
    <cfRule type="expression" dxfId="8" priority="638">
      <formula>(AU47 &lt;0)</formula>
    </cfRule>
  </conditionalFormatting>
  <pageMargins left="0.7" right="0.7" top="0.75" bottom="0.75" header="0.3" footer="0.3"/>
  <pageSetup orientation="portrait" horizontalDpi="0" verticalDpi="0"/>
  <ignoredErrors>
    <ignoredError sqref="E35 K66" formula="1"/>
    <ignoredError sqref="AM47:AO4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F04E4-59EC-4303-BF97-C761D2D0AE2F}">
  <sheetPr>
    <tabColor theme="7"/>
  </sheetPr>
  <dimension ref="B1:AM122"/>
  <sheetViews>
    <sheetView zoomScale="78" zoomScaleNormal="78" workbookViewId="0">
      <selection activeCell="C32" sqref="C32"/>
    </sheetView>
  </sheetViews>
  <sheetFormatPr baseColWidth="10" defaultColWidth="8.83203125" defaultRowHeight="16"/>
  <cols>
    <col min="1" max="2" width="4.6640625" customWidth="1"/>
    <col min="3" max="3" width="14.83203125" customWidth="1"/>
    <col min="4" max="13" width="13.33203125" customWidth="1"/>
    <col min="14" max="15" width="5.6640625" customWidth="1"/>
    <col min="16" max="16" width="15.6640625" customWidth="1"/>
    <col min="17" max="18" width="10.33203125" customWidth="1"/>
    <col min="19" max="19" width="12.33203125" customWidth="1"/>
    <col min="20" max="25" width="10.33203125" customWidth="1"/>
    <col min="26" max="26" width="13.1640625" customWidth="1"/>
    <col min="27" max="27" width="10.33203125" customWidth="1"/>
    <col min="30" max="30" width="15.5" customWidth="1"/>
    <col min="31" max="31" width="10.5" customWidth="1"/>
    <col min="32" max="32" width="12" customWidth="1"/>
    <col min="33" max="34" width="10.5" customWidth="1"/>
    <col min="35" max="35" width="18" bestFit="1" customWidth="1"/>
  </cols>
  <sheetData>
    <row r="1" spans="2:35">
      <c r="C1" s="152">
        <v>2022</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row>
    <row r="2" spans="2:35">
      <c r="C2" s="1" t="s">
        <v>279</v>
      </c>
      <c r="P2" s="1" t="s">
        <v>57</v>
      </c>
    </row>
    <row r="3" spans="2:35" ht="45" customHeight="1">
      <c r="B3" s="153"/>
      <c r="C3" s="163" t="s">
        <v>3</v>
      </c>
      <c r="D3" s="164" t="s">
        <v>87</v>
      </c>
      <c r="E3" s="165" t="s">
        <v>88</v>
      </c>
      <c r="F3" s="166" t="s">
        <v>36</v>
      </c>
      <c r="G3" s="166" t="s">
        <v>37</v>
      </c>
      <c r="H3" s="166" t="s">
        <v>38</v>
      </c>
      <c r="I3" s="166" t="s">
        <v>89</v>
      </c>
      <c r="J3" s="166" t="s">
        <v>90</v>
      </c>
      <c r="K3" s="167" t="s">
        <v>41</v>
      </c>
      <c r="L3" s="167" t="s">
        <v>91</v>
      </c>
      <c r="M3" s="167" t="s">
        <v>43</v>
      </c>
      <c r="N3" s="31"/>
      <c r="O3" s="142"/>
      <c r="P3" s="144" t="s">
        <v>26</v>
      </c>
      <c r="Q3" s="143" t="s">
        <v>59</v>
      </c>
      <c r="R3" s="7" t="s">
        <v>60</v>
      </c>
      <c r="S3" s="159" t="s">
        <v>36</v>
      </c>
      <c r="T3" s="50" t="s">
        <v>62</v>
      </c>
      <c r="U3" s="50" t="s">
        <v>63</v>
      </c>
      <c r="V3" s="50" t="s">
        <v>0</v>
      </c>
      <c r="W3" s="50" t="s">
        <v>1</v>
      </c>
      <c r="X3" s="51" t="s">
        <v>2</v>
      </c>
      <c r="Y3" s="51" t="s">
        <v>42</v>
      </c>
      <c r="Z3" s="51" t="s">
        <v>64</v>
      </c>
      <c r="AA3" s="192" t="s">
        <v>348</v>
      </c>
      <c r="AB3" s="31"/>
      <c r="AC3" s="150"/>
      <c r="AD3" s="178" t="s">
        <v>3</v>
      </c>
      <c r="AE3" s="179" t="s">
        <v>85</v>
      </c>
      <c r="AF3" s="57" t="s">
        <v>30</v>
      </c>
      <c r="AG3" s="58" t="s">
        <v>92</v>
      </c>
      <c r="AH3" s="56" t="s">
        <v>93</v>
      </c>
    </row>
    <row r="4" spans="2:35">
      <c r="B4" s="59"/>
      <c r="C4" s="148" t="s">
        <v>22</v>
      </c>
      <c r="D4" s="168">
        <v>0.72925265996216804</v>
      </c>
      <c r="E4" s="169">
        <v>62.5</v>
      </c>
      <c r="F4" s="170">
        <v>151</v>
      </c>
      <c r="G4" s="170">
        <v>72</v>
      </c>
      <c r="H4" s="170">
        <v>412</v>
      </c>
      <c r="I4" s="169">
        <v>6.4374765589440148</v>
      </c>
      <c r="J4" s="169">
        <v>58.541560309512974</v>
      </c>
      <c r="K4" s="171">
        <v>0.41558441558441556</v>
      </c>
      <c r="L4" s="169">
        <v>219.502174487921</v>
      </c>
      <c r="M4" s="169">
        <v>0</v>
      </c>
      <c r="N4" s="59"/>
      <c r="O4" s="17"/>
      <c r="P4" s="149" t="s">
        <v>22</v>
      </c>
      <c r="Q4" s="183">
        <v>0.69603793974961525</v>
      </c>
      <c r="R4" s="184">
        <v>62.5</v>
      </c>
      <c r="S4" s="184">
        <v>42.553191489361701</v>
      </c>
      <c r="T4" s="184">
        <v>35.064935064935064</v>
      </c>
      <c r="U4" s="184">
        <v>70.358306188925084</v>
      </c>
      <c r="V4" s="184">
        <v>6.4374765589440148</v>
      </c>
      <c r="W4" s="184">
        <v>58.541560309512974</v>
      </c>
      <c r="X4" s="184">
        <v>38.692137664630728</v>
      </c>
      <c r="Y4" s="184">
        <v>7.0849478110148727</v>
      </c>
      <c r="Z4" s="184">
        <v>0</v>
      </c>
      <c r="AA4" s="190">
        <v>29.816047128030814</v>
      </c>
      <c r="AB4" s="80"/>
      <c r="AC4" s="17"/>
      <c r="AD4" s="148" t="s">
        <v>22</v>
      </c>
      <c r="AE4" s="183">
        <f>AVERAGE(Q4:R4)</f>
        <v>31.598018969874808</v>
      </c>
      <c r="AF4" s="184">
        <f>AVERAGE(S4:W4)</f>
        <v>42.591093922335766</v>
      </c>
      <c r="AG4" s="184">
        <f>AVERAGE(X4:Z4)</f>
        <v>15.259028491881866</v>
      </c>
      <c r="AH4" s="184">
        <f t="shared" ref="AH4:AH23" si="0">AVERAGE(AE4:AG4)</f>
        <v>29.816047128030814</v>
      </c>
      <c r="AI4" s="81"/>
    </row>
    <row r="5" spans="2:35">
      <c r="B5" s="59"/>
      <c r="C5" s="148" t="s">
        <v>14</v>
      </c>
      <c r="D5" s="168">
        <v>9.5962403886787389</v>
      </c>
      <c r="E5" s="169">
        <v>87.5</v>
      </c>
      <c r="F5" s="170">
        <v>143</v>
      </c>
      <c r="G5" s="170">
        <v>96</v>
      </c>
      <c r="H5" s="170">
        <v>447</v>
      </c>
      <c r="I5" s="169">
        <v>74.503133020279137</v>
      </c>
      <c r="J5" s="169">
        <v>49.006266040558266</v>
      </c>
      <c r="K5" s="171">
        <v>0.65772897587505275</v>
      </c>
      <c r="L5" s="169">
        <v>690.07602014207873</v>
      </c>
      <c r="M5" s="169">
        <v>4.9192245557350569</v>
      </c>
      <c r="N5" s="59"/>
      <c r="O5" s="17"/>
      <c r="P5" s="149" t="s">
        <v>14</v>
      </c>
      <c r="Q5" s="183">
        <v>9.5659924489572052</v>
      </c>
      <c r="R5" s="184">
        <v>87.5</v>
      </c>
      <c r="S5" s="184">
        <v>59.574468085106382</v>
      </c>
      <c r="T5" s="184">
        <v>50.649350649350644</v>
      </c>
      <c r="U5" s="184">
        <v>81.758957654723133</v>
      </c>
      <c r="V5" s="184">
        <v>74.503133020279137</v>
      </c>
      <c r="W5" s="184">
        <v>49.006266040558266</v>
      </c>
      <c r="X5" s="184">
        <v>61.236512068881488</v>
      </c>
      <c r="Y5" s="184">
        <v>23.224851316459823</v>
      </c>
      <c r="Z5" s="184">
        <v>26.312131344629368</v>
      </c>
      <c r="AA5" s="190">
        <v>49.518643185935225</v>
      </c>
      <c r="AB5" s="80"/>
      <c r="AC5" s="17"/>
      <c r="AD5" s="148" t="s">
        <v>14</v>
      </c>
      <c r="AE5" s="183">
        <f>AVERAGE(Q5:R5)</f>
        <v>48.532996224478602</v>
      </c>
      <c r="AF5" s="184">
        <f>AVERAGE(S5:W5)</f>
        <v>63.098435090003512</v>
      </c>
      <c r="AG5" s="184">
        <f t="shared" ref="AG5:AG23" si="1">AVERAGE(X5:Z5)</f>
        <v>36.924498243323562</v>
      </c>
      <c r="AH5" s="184">
        <f t="shared" si="0"/>
        <v>49.518643185935225</v>
      </c>
      <c r="AI5" s="81"/>
    </row>
    <row r="6" spans="2:35">
      <c r="B6" s="59"/>
      <c r="C6" s="149" t="s">
        <v>52</v>
      </c>
      <c r="D6" s="168">
        <v>7.8445327005607206</v>
      </c>
      <c r="E6" s="169">
        <v>62.5</v>
      </c>
      <c r="F6" s="170">
        <v>156</v>
      </c>
      <c r="G6" s="170">
        <v>134</v>
      </c>
      <c r="H6" s="170">
        <v>420</v>
      </c>
      <c r="I6" s="169">
        <v>11.285193685633956</v>
      </c>
      <c r="J6" s="169">
        <v>100</v>
      </c>
      <c r="K6" s="171">
        <v>0.4154641323724837</v>
      </c>
      <c r="L6" s="169">
        <v>610.23709684167261</v>
      </c>
      <c r="M6" s="169">
        <v>0</v>
      </c>
      <c r="N6" s="59"/>
      <c r="O6" s="17"/>
      <c r="P6" s="149" t="s">
        <v>52</v>
      </c>
      <c r="Q6" s="183">
        <v>7.8136986618894566</v>
      </c>
      <c r="R6" s="184">
        <v>62.5</v>
      </c>
      <c r="S6" s="184">
        <v>31.914893617021278</v>
      </c>
      <c r="T6" s="184">
        <v>75.324675324675326</v>
      </c>
      <c r="U6" s="184">
        <v>72.964169381107496</v>
      </c>
      <c r="V6" s="184">
        <v>11.285193685633956</v>
      </c>
      <c r="W6" s="184">
        <v>100</v>
      </c>
      <c r="X6" s="184">
        <v>38.680938942011963</v>
      </c>
      <c r="Y6" s="184">
        <v>20.48650848260371</v>
      </c>
      <c r="Z6" s="184">
        <v>0</v>
      </c>
      <c r="AA6" s="190">
        <v>37.725706069168076</v>
      </c>
      <c r="AB6" s="80"/>
      <c r="AC6" s="17"/>
      <c r="AD6" s="149" t="s">
        <v>52</v>
      </c>
      <c r="AE6" s="183">
        <f t="shared" ref="AE6:AE23" si="2">AVERAGE(Q6:R6)</f>
        <v>35.156849330944731</v>
      </c>
      <c r="AF6" s="184">
        <f t="shared" ref="AF6:AF23" si="3">AVERAGE(S6:W6)</f>
        <v>58.29778640168761</v>
      </c>
      <c r="AG6" s="184">
        <f t="shared" si="1"/>
        <v>19.722482474871892</v>
      </c>
      <c r="AH6" s="184">
        <f t="shared" si="0"/>
        <v>37.725706069168076</v>
      </c>
      <c r="AI6" s="81"/>
    </row>
    <row r="7" spans="2:35">
      <c r="B7" s="59"/>
      <c r="C7" s="148" t="s">
        <v>17</v>
      </c>
      <c r="D7" s="168">
        <v>8.2483647886843805</v>
      </c>
      <c r="E7" s="169">
        <v>87.5</v>
      </c>
      <c r="F7" s="170">
        <v>158</v>
      </c>
      <c r="G7" s="170">
        <v>73</v>
      </c>
      <c r="H7" s="170">
        <v>283</v>
      </c>
      <c r="I7" s="169">
        <v>0</v>
      </c>
      <c r="J7" s="169">
        <v>98.465947598226563</v>
      </c>
      <c r="K7" s="171">
        <v>0.86939872640195137</v>
      </c>
      <c r="L7" s="169">
        <v>273.31796532097042</v>
      </c>
      <c r="M7" s="169">
        <v>18.695652173913047</v>
      </c>
      <c r="N7" s="59"/>
      <c r="O7" s="17"/>
      <c r="P7" s="149" t="s">
        <v>17</v>
      </c>
      <c r="Q7" s="183">
        <v>8.2176658670559437</v>
      </c>
      <c r="R7" s="184">
        <v>87.5</v>
      </c>
      <c r="S7" s="184">
        <v>27.659574468085108</v>
      </c>
      <c r="T7" s="184">
        <v>35.714285714285715</v>
      </c>
      <c r="U7" s="184">
        <v>28.338762214983714</v>
      </c>
      <c r="V7" s="184">
        <v>0</v>
      </c>
      <c r="W7" s="184">
        <v>98.465947598226563</v>
      </c>
      <c r="X7" s="184">
        <v>80.943591592803671</v>
      </c>
      <c r="Y7" s="184">
        <v>8.9307403027484238</v>
      </c>
      <c r="Z7" s="184">
        <v>100</v>
      </c>
      <c r="AA7" s="190">
        <v>49.728663632609404</v>
      </c>
      <c r="AB7" s="80"/>
      <c r="AC7" s="17"/>
      <c r="AD7" s="148" t="s">
        <v>17</v>
      </c>
      <c r="AE7" s="183">
        <f t="shared" si="2"/>
        <v>47.858832933527971</v>
      </c>
      <c r="AF7" s="184">
        <f t="shared" si="3"/>
        <v>38.035713999116219</v>
      </c>
      <c r="AG7" s="184">
        <f t="shared" si="1"/>
        <v>63.291443965184023</v>
      </c>
      <c r="AH7" s="184">
        <f t="shared" si="0"/>
        <v>49.728663632609404</v>
      </c>
      <c r="AI7" s="81"/>
    </row>
    <row r="8" spans="2:35">
      <c r="B8" s="59"/>
      <c r="C8" s="148" t="s">
        <v>23</v>
      </c>
      <c r="D8" s="168">
        <v>0.47522246697867404</v>
      </c>
      <c r="E8" s="169">
        <v>37.5</v>
      </c>
      <c r="F8" s="170">
        <v>147</v>
      </c>
      <c r="G8" s="170">
        <v>58</v>
      </c>
      <c r="H8" s="170">
        <v>355</v>
      </c>
      <c r="I8" s="169">
        <v>0</v>
      </c>
      <c r="J8" s="169">
        <v>32.261754298721051</v>
      </c>
      <c r="K8" s="171">
        <v>0.78013347623121909</v>
      </c>
      <c r="L8" s="169">
        <v>713.66730373028815</v>
      </c>
      <c r="M8" s="169">
        <v>0</v>
      </c>
      <c r="N8" s="59"/>
      <c r="O8" s="17"/>
      <c r="P8" s="149" t="s">
        <v>23</v>
      </c>
      <c r="Q8" s="183">
        <v>0.44192275151815974</v>
      </c>
      <c r="R8" s="184">
        <v>37.5</v>
      </c>
      <c r="S8" s="184">
        <v>51.063829787234042</v>
      </c>
      <c r="T8" s="184">
        <v>25.97402597402597</v>
      </c>
      <c r="U8" s="184">
        <v>51.791530944625407</v>
      </c>
      <c r="V8" s="184">
        <v>0</v>
      </c>
      <c r="W8" s="184">
        <v>32.261754298721051</v>
      </c>
      <c r="X8" s="184">
        <v>72.632732911020142</v>
      </c>
      <c r="Y8" s="184">
        <v>24.033993269842252</v>
      </c>
      <c r="Z8" s="184">
        <v>0</v>
      </c>
      <c r="AA8" s="190">
        <v>27.803810545655949</v>
      </c>
      <c r="AB8" s="80"/>
      <c r="AC8" s="17"/>
      <c r="AD8" s="148" t="s">
        <v>23</v>
      </c>
      <c r="AE8" s="183">
        <f t="shared" si="2"/>
        <v>18.970961375759082</v>
      </c>
      <c r="AF8" s="184">
        <f t="shared" si="3"/>
        <v>32.218228200921295</v>
      </c>
      <c r="AG8" s="184">
        <f t="shared" si="1"/>
        <v>32.222242060287464</v>
      </c>
      <c r="AH8" s="184">
        <f t="shared" si="0"/>
        <v>27.803810545655949</v>
      </c>
      <c r="AI8" s="81"/>
    </row>
    <row r="9" spans="2:35">
      <c r="B9" s="59"/>
      <c r="C9" s="148" t="s">
        <v>19</v>
      </c>
      <c r="D9" s="168">
        <v>2.40097977991703</v>
      </c>
      <c r="E9" s="169">
        <v>37.5</v>
      </c>
      <c r="F9" s="170">
        <v>146</v>
      </c>
      <c r="G9" s="170">
        <v>65</v>
      </c>
      <c r="H9" s="170">
        <v>434</v>
      </c>
      <c r="I9" s="169">
        <v>0</v>
      </c>
      <c r="J9" s="169">
        <v>98.606469373147661</v>
      </c>
      <c r="K9" s="171">
        <v>1.0309278350515465</v>
      </c>
      <c r="L9" s="169">
        <v>1055.0892046841379</v>
      </c>
      <c r="M9" s="169">
        <v>10.65</v>
      </c>
      <c r="N9" s="59"/>
      <c r="O9" s="17"/>
      <c r="P9" s="149" t="s">
        <v>19</v>
      </c>
      <c r="Q9" s="183">
        <v>2.3683243981808042</v>
      </c>
      <c r="R9" s="184">
        <v>37.5</v>
      </c>
      <c r="S9" s="184">
        <v>53.191489361702125</v>
      </c>
      <c r="T9" s="184">
        <v>30.519480519480517</v>
      </c>
      <c r="U9" s="184">
        <v>77.524429967426713</v>
      </c>
      <c r="V9" s="184">
        <v>0</v>
      </c>
      <c r="W9" s="184">
        <v>98.606469373147661</v>
      </c>
      <c r="X9" s="184">
        <v>95.982429129399691</v>
      </c>
      <c r="Y9" s="184">
        <v>35.744198983422429</v>
      </c>
      <c r="Z9" s="184">
        <v>56.965116279069761</v>
      </c>
      <c r="AA9" s="190">
        <v>44.933261391357483</v>
      </c>
      <c r="AB9" s="80"/>
      <c r="AC9" s="17"/>
      <c r="AD9" s="148" t="s">
        <v>19</v>
      </c>
      <c r="AE9" s="183">
        <f t="shared" si="2"/>
        <v>19.934162199090402</v>
      </c>
      <c r="AF9" s="184">
        <f t="shared" si="3"/>
        <v>51.968373844351405</v>
      </c>
      <c r="AG9" s="184">
        <f t="shared" si="1"/>
        <v>62.897248130630622</v>
      </c>
      <c r="AH9" s="184">
        <f t="shared" si="0"/>
        <v>44.933261391357483</v>
      </c>
      <c r="AI9" s="81"/>
    </row>
    <row r="10" spans="2:35">
      <c r="B10" s="59"/>
      <c r="C10" s="148" t="s">
        <v>20</v>
      </c>
      <c r="D10" s="168">
        <v>3.7531796432976701</v>
      </c>
      <c r="E10" s="169">
        <v>25</v>
      </c>
      <c r="F10" s="170">
        <v>159</v>
      </c>
      <c r="G10" s="170">
        <v>93</v>
      </c>
      <c r="H10" s="170">
        <v>488</v>
      </c>
      <c r="I10" s="169">
        <v>13.783536088610596</v>
      </c>
      <c r="J10" s="169">
        <v>91.069073179953421</v>
      </c>
      <c r="K10" s="171">
        <v>1.0309278350515465</v>
      </c>
      <c r="L10" s="169">
        <v>1069.1647667061736</v>
      </c>
      <c r="M10" s="169">
        <v>0</v>
      </c>
      <c r="N10" s="59"/>
      <c r="O10" s="17"/>
      <c r="P10" s="149" t="s">
        <v>20</v>
      </c>
      <c r="Q10" s="183">
        <v>3.7209766903114749</v>
      </c>
      <c r="R10" s="184">
        <v>25</v>
      </c>
      <c r="S10" s="184">
        <v>25.531914893617021</v>
      </c>
      <c r="T10" s="184">
        <v>48.701298701298704</v>
      </c>
      <c r="U10" s="184">
        <v>95.114006514657973</v>
      </c>
      <c r="V10" s="184">
        <v>13.783536088610596</v>
      </c>
      <c r="W10" s="184">
        <v>91.069073179953421</v>
      </c>
      <c r="X10" s="184">
        <v>95.982429129399691</v>
      </c>
      <c r="Y10" s="184">
        <v>36.226967447752948</v>
      </c>
      <c r="Z10" s="184">
        <v>0</v>
      </c>
      <c r="AA10" s="190">
        <v>37.756751026611383</v>
      </c>
      <c r="AB10" s="80"/>
      <c r="AC10" s="17"/>
      <c r="AD10" s="148" t="s">
        <v>20</v>
      </c>
      <c r="AE10" s="183">
        <f t="shared" si="2"/>
        <v>14.360488345155737</v>
      </c>
      <c r="AF10" s="184">
        <f t="shared" si="3"/>
        <v>54.839965875627534</v>
      </c>
      <c r="AG10" s="184">
        <f t="shared" si="1"/>
        <v>44.069798859050877</v>
      </c>
      <c r="AH10" s="184">
        <f t="shared" si="0"/>
        <v>37.756751026611383</v>
      </c>
      <c r="AI10" s="81"/>
    </row>
    <row r="11" spans="2:35">
      <c r="B11" s="59"/>
      <c r="C11" s="148" t="s">
        <v>21</v>
      </c>
      <c r="D11" s="168">
        <v>3.8078058537142705</v>
      </c>
      <c r="E11" s="169">
        <v>62.5</v>
      </c>
      <c r="F11" s="170">
        <v>162</v>
      </c>
      <c r="G11" s="170">
        <v>36</v>
      </c>
      <c r="H11" s="170">
        <v>285</v>
      </c>
      <c r="I11" s="169">
        <v>0</v>
      </c>
      <c r="J11" s="169">
        <v>30.944811936486559</v>
      </c>
      <c r="K11" s="171">
        <v>0.64935064935064934</v>
      </c>
      <c r="L11" s="169">
        <v>723.81677018215385</v>
      </c>
      <c r="M11" s="169">
        <v>1.4000000000000001</v>
      </c>
      <c r="N11" s="59"/>
      <c r="O11" s="17"/>
      <c r="P11" s="149" t="s">
        <v>21</v>
      </c>
      <c r="Q11" s="183">
        <v>3.7756211779582145</v>
      </c>
      <c r="R11" s="184">
        <v>62.5</v>
      </c>
      <c r="S11" s="184">
        <v>19.148936170212767</v>
      </c>
      <c r="T11" s="184">
        <v>11.688311688311687</v>
      </c>
      <c r="U11" s="184">
        <v>28.990228013029316</v>
      </c>
      <c r="V11" s="184">
        <v>0</v>
      </c>
      <c r="W11" s="184">
        <v>30.944811936486559</v>
      </c>
      <c r="X11" s="184">
        <v>60.456465100985511</v>
      </c>
      <c r="Y11" s="184">
        <v>24.382103158816516</v>
      </c>
      <c r="Z11" s="184">
        <v>7.4883720930232558</v>
      </c>
      <c r="AA11" s="190">
        <v>27.355971644954092</v>
      </c>
      <c r="AB11" s="80"/>
      <c r="AC11" s="17"/>
      <c r="AD11" s="148" t="s">
        <v>21</v>
      </c>
      <c r="AE11" s="183">
        <f t="shared" si="2"/>
        <v>33.137810588979107</v>
      </c>
      <c r="AF11" s="184">
        <f t="shared" si="3"/>
        <v>18.154457561608066</v>
      </c>
      <c r="AG11" s="184">
        <f t="shared" si="1"/>
        <v>30.775646784275096</v>
      </c>
      <c r="AH11" s="184">
        <f t="shared" si="0"/>
        <v>27.355971644954092</v>
      </c>
      <c r="AI11" s="81"/>
    </row>
    <row r="12" spans="2:35">
      <c r="B12" s="59"/>
      <c r="C12" s="148" t="s">
        <v>25</v>
      </c>
      <c r="D12" s="168">
        <v>3.3447527695219796E-2</v>
      </c>
      <c r="E12" s="169">
        <v>0</v>
      </c>
      <c r="F12" s="170"/>
      <c r="G12" s="170"/>
      <c r="H12" s="170"/>
      <c r="I12" s="169">
        <v>0</v>
      </c>
      <c r="J12" s="169">
        <v>0</v>
      </c>
      <c r="K12" s="171">
        <v>0</v>
      </c>
      <c r="L12" s="169">
        <v>12.933954512905462</v>
      </c>
      <c r="M12" s="169">
        <v>0</v>
      </c>
      <c r="N12" s="59"/>
      <c r="O12" s="17"/>
      <c r="P12" s="149" t="s">
        <v>25</v>
      </c>
      <c r="Q12" s="183">
        <v>0</v>
      </c>
      <c r="R12" s="184">
        <v>0</v>
      </c>
      <c r="S12" s="184" t="s">
        <v>56</v>
      </c>
      <c r="T12" s="184" t="s">
        <v>56</v>
      </c>
      <c r="U12" s="184" t="s">
        <v>56</v>
      </c>
      <c r="V12" s="184">
        <v>0</v>
      </c>
      <c r="W12" s="184">
        <v>0</v>
      </c>
      <c r="X12" s="184">
        <v>0</v>
      </c>
      <c r="Y12" s="184">
        <v>0</v>
      </c>
      <c r="Z12" s="184">
        <v>0</v>
      </c>
      <c r="AA12" s="190">
        <v>0</v>
      </c>
      <c r="AB12" s="80"/>
      <c r="AC12" s="17"/>
      <c r="AD12" s="148" t="s">
        <v>25</v>
      </c>
      <c r="AE12" s="183">
        <f t="shared" si="2"/>
        <v>0</v>
      </c>
      <c r="AF12" s="184">
        <f t="shared" si="3"/>
        <v>0</v>
      </c>
      <c r="AG12" s="184">
        <f t="shared" si="1"/>
        <v>0</v>
      </c>
      <c r="AH12" s="184">
        <f t="shared" si="0"/>
        <v>0</v>
      </c>
      <c r="AI12" s="81"/>
    </row>
    <row r="13" spans="2:35">
      <c r="B13" s="59"/>
      <c r="C13" s="148" t="s">
        <v>12</v>
      </c>
      <c r="D13" s="168">
        <v>12.255733090425499</v>
      </c>
      <c r="E13" s="169">
        <v>50</v>
      </c>
      <c r="F13" s="170">
        <v>137</v>
      </c>
      <c r="G13" s="170">
        <v>98</v>
      </c>
      <c r="H13" s="170">
        <v>429</v>
      </c>
      <c r="I13" s="169">
        <v>100</v>
      </c>
      <c r="J13" s="169">
        <v>92.311063424659608</v>
      </c>
      <c r="K13" s="171">
        <v>0.76989430605639042</v>
      </c>
      <c r="L13" s="169">
        <v>593.18505644645165</v>
      </c>
      <c r="M13" s="169">
        <v>15</v>
      </c>
      <c r="N13" s="59"/>
      <c r="O13" s="17"/>
      <c r="P13" s="149" t="s">
        <v>12</v>
      </c>
      <c r="Q13" s="183">
        <v>12.226374982888801</v>
      </c>
      <c r="R13" s="184">
        <v>50</v>
      </c>
      <c r="S13" s="184">
        <v>72.340425531914903</v>
      </c>
      <c r="T13" s="184">
        <v>51.94805194805194</v>
      </c>
      <c r="U13" s="184">
        <v>75.895765472312704</v>
      </c>
      <c r="V13" s="184">
        <v>100</v>
      </c>
      <c r="W13" s="184">
        <v>92.311063424659608</v>
      </c>
      <c r="X13" s="184">
        <v>71.67943589814027</v>
      </c>
      <c r="Y13" s="184">
        <v>19.901651739944697</v>
      </c>
      <c r="Z13" s="184">
        <v>80.232558139534873</v>
      </c>
      <c r="AA13" s="191">
        <v>55.627821342012957</v>
      </c>
      <c r="AB13" s="80"/>
      <c r="AC13" s="17"/>
      <c r="AD13" s="148" t="s">
        <v>12</v>
      </c>
      <c r="AE13" s="183">
        <f t="shared" si="2"/>
        <v>31.1131874914444</v>
      </c>
      <c r="AF13" s="184">
        <f t="shared" si="3"/>
        <v>78.499061275387831</v>
      </c>
      <c r="AG13" s="184">
        <f t="shared" si="1"/>
        <v>57.27121525920662</v>
      </c>
      <c r="AH13" s="184">
        <f t="shared" si="0"/>
        <v>55.627821342012957</v>
      </c>
      <c r="AI13" s="81"/>
    </row>
    <row r="14" spans="2:35">
      <c r="B14" s="59"/>
      <c r="C14" s="148" t="s">
        <v>7</v>
      </c>
      <c r="D14" s="168">
        <v>30.7832809994038</v>
      </c>
      <c r="E14" s="169">
        <v>100</v>
      </c>
      <c r="F14" s="170">
        <v>148</v>
      </c>
      <c r="G14" s="170">
        <v>18</v>
      </c>
      <c r="H14" s="170">
        <v>196</v>
      </c>
      <c r="I14" s="169">
        <v>0</v>
      </c>
      <c r="J14" s="169">
        <v>90.425356522170759</v>
      </c>
      <c r="K14" s="171">
        <v>0.39406202142433622</v>
      </c>
      <c r="L14" s="169">
        <v>2364.1820060493787</v>
      </c>
      <c r="M14" s="169">
        <v>0</v>
      </c>
      <c r="N14" s="59"/>
      <c r="O14" s="17"/>
      <c r="P14" s="149" t="s">
        <v>7</v>
      </c>
      <c r="Q14" s="183">
        <v>30.760121972024258</v>
      </c>
      <c r="R14" s="184">
        <v>100</v>
      </c>
      <c r="S14" s="184">
        <v>48.936170212765958</v>
      </c>
      <c r="T14" s="184">
        <v>0</v>
      </c>
      <c r="U14" s="184">
        <v>0</v>
      </c>
      <c r="V14" s="184">
        <v>0</v>
      </c>
      <c r="W14" s="184">
        <v>90.425356522170759</v>
      </c>
      <c r="X14" s="184">
        <v>36.688339142630852</v>
      </c>
      <c r="Y14" s="184">
        <v>80.643913850354949</v>
      </c>
      <c r="Z14" s="184">
        <v>0</v>
      </c>
      <c r="AA14" s="191">
        <v>44.121039110220465</v>
      </c>
      <c r="AB14" s="80"/>
      <c r="AC14" s="17"/>
      <c r="AD14" s="148" t="s">
        <v>7</v>
      </c>
      <c r="AE14" s="183">
        <f t="shared" si="2"/>
        <v>65.380060986012126</v>
      </c>
      <c r="AF14" s="184">
        <f t="shared" si="3"/>
        <v>27.872305346987343</v>
      </c>
      <c r="AG14" s="184">
        <f t="shared" si="1"/>
        <v>39.110750997661931</v>
      </c>
      <c r="AH14" s="184">
        <f t="shared" si="0"/>
        <v>44.121039110220465</v>
      </c>
      <c r="AI14" s="81"/>
    </row>
    <row r="15" spans="2:35">
      <c r="B15" s="59"/>
      <c r="C15" s="148" t="s">
        <v>13</v>
      </c>
      <c r="D15" s="168">
        <v>10.375452035254201</v>
      </c>
      <c r="E15" s="169">
        <v>62.5</v>
      </c>
      <c r="F15" s="170">
        <v>145</v>
      </c>
      <c r="G15" s="170">
        <v>81</v>
      </c>
      <c r="H15" s="170">
        <v>420</v>
      </c>
      <c r="I15" s="169">
        <v>50</v>
      </c>
      <c r="J15" s="169">
        <v>43.421235256903763</v>
      </c>
      <c r="K15" s="171">
        <v>1.0309278350515465</v>
      </c>
      <c r="L15" s="169">
        <v>1012.6753535145054</v>
      </c>
      <c r="M15" s="169">
        <v>2.25</v>
      </c>
      <c r="N15" s="59"/>
      <c r="O15" s="17"/>
      <c r="P15" s="149" t="s">
        <v>13</v>
      </c>
      <c r="Q15" s="183">
        <v>10.345464809766426</v>
      </c>
      <c r="R15" s="184">
        <v>62.5</v>
      </c>
      <c r="S15" s="184">
        <v>55.319148936170215</v>
      </c>
      <c r="T15" s="184">
        <v>40.909090909090914</v>
      </c>
      <c r="U15" s="184">
        <v>72.964169381107496</v>
      </c>
      <c r="V15" s="184">
        <v>50</v>
      </c>
      <c r="W15" s="184">
        <v>43.421235256903763</v>
      </c>
      <c r="X15" s="184">
        <v>95.982429129399691</v>
      </c>
      <c r="Y15" s="184">
        <v>34.289474137377177</v>
      </c>
      <c r="Z15" s="184">
        <v>12.034883720930232</v>
      </c>
      <c r="AA15" s="191">
        <v>45.460352321368902</v>
      </c>
      <c r="AB15" s="80"/>
      <c r="AC15" s="17"/>
      <c r="AD15" s="148" t="s">
        <v>13</v>
      </c>
      <c r="AE15" s="183">
        <f t="shared" si="2"/>
        <v>36.422732404883213</v>
      </c>
      <c r="AF15" s="184">
        <f t="shared" si="3"/>
        <v>52.522728896654471</v>
      </c>
      <c r="AG15" s="184">
        <f t="shared" si="1"/>
        <v>47.435595662569028</v>
      </c>
      <c r="AH15" s="184">
        <f t="shared" si="0"/>
        <v>45.460352321368902</v>
      </c>
      <c r="AI15" s="81"/>
    </row>
    <row r="16" spans="2:35">
      <c r="B16" s="59"/>
      <c r="C16" s="148" t="s">
        <v>8</v>
      </c>
      <c r="D16" s="168">
        <v>22.693996625012698</v>
      </c>
      <c r="E16" s="169">
        <v>87.5</v>
      </c>
      <c r="F16" s="170">
        <v>150</v>
      </c>
      <c r="G16" s="170">
        <v>67</v>
      </c>
      <c r="H16" s="170">
        <v>405</v>
      </c>
      <c r="I16" s="169">
        <v>9.4114274426347215</v>
      </c>
      <c r="J16" s="169">
        <v>100</v>
      </c>
      <c r="K16" s="171">
        <v>0.76377955508482132</v>
      </c>
      <c r="L16" s="169">
        <v>1351.9258102601107</v>
      </c>
      <c r="M16" s="169">
        <v>0</v>
      </c>
      <c r="N16" s="59"/>
      <c r="O16" s="17"/>
      <c r="P16" s="149" t="s">
        <v>8</v>
      </c>
      <c r="Q16" s="183">
        <v>22.66813102672063</v>
      </c>
      <c r="R16" s="184">
        <v>87.5</v>
      </c>
      <c r="S16" s="184">
        <v>44.680851063829785</v>
      </c>
      <c r="T16" s="184">
        <v>31.818181818181817</v>
      </c>
      <c r="U16" s="184">
        <v>68.078175895765469</v>
      </c>
      <c r="V16" s="184">
        <v>9.4114274426347215</v>
      </c>
      <c r="W16" s="184">
        <v>100</v>
      </c>
      <c r="X16" s="184">
        <v>71.110134505920882</v>
      </c>
      <c r="Y16" s="184">
        <v>45.925202911126995</v>
      </c>
      <c r="Z16" s="184">
        <v>0</v>
      </c>
      <c r="AA16" s="191">
        <v>48.297857298819544</v>
      </c>
      <c r="AB16" s="80"/>
      <c r="AC16" s="17"/>
      <c r="AD16" s="148" t="s">
        <v>8</v>
      </c>
      <c r="AE16" s="183">
        <f t="shared" si="2"/>
        <v>55.084065513360315</v>
      </c>
      <c r="AF16" s="184">
        <f t="shared" si="3"/>
        <v>50.79772724408236</v>
      </c>
      <c r="AG16" s="184">
        <f t="shared" si="1"/>
        <v>39.011779139015964</v>
      </c>
      <c r="AH16" s="184">
        <f t="shared" si="0"/>
        <v>48.297857298819544</v>
      </c>
      <c r="AI16" s="81"/>
    </row>
    <row r="17" spans="2:35">
      <c r="B17" s="59"/>
      <c r="C17" s="148" t="s">
        <v>16</v>
      </c>
      <c r="D17" s="168">
        <v>11.158391128130599</v>
      </c>
      <c r="E17" s="169">
        <v>75</v>
      </c>
      <c r="F17" s="170">
        <v>148</v>
      </c>
      <c r="G17" s="170">
        <v>38</v>
      </c>
      <c r="H17" s="170">
        <v>295</v>
      </c>
      <c r="I17" s="169">
        <v>0</v>
      </c>
      <c r="J17" s="169">
        <v>89.601710199048014</v>
      </c>
      <c r="K17" s="171">
        <v>1.0740797502235442</v>
      </c>
      <c r="L17" s="169">
        <v>661.04846234915328</v>
      </c>
      <c r="M17" s="169">
        <v>6.9676066812451474</v>
      </c>
      <c r="N17" s="59"/>
      <c r="O17" s="17"/>
      <c r="P17" s="149" t="s">
        <v>16</v>
      </c>
      <c r="Q17" s="183">
        <v>11.12866586403236</v>
      </c>
      <c r="R17" s="184">
        <v>75</v>
      </c>
      <c r="S17" s="184">
        <v>48.936170212765958</v>
      </c>
      <c r="T17" s="184">
        <v>12.987012987012985</v>
      </c>
      <c r="U17" s="184">
        <v>32.247557003257327</v>
      </c>
      <c r="V17" s="184">
        <v>0</v>
      </c>
      <c r="W17" s="184">
        <v>89.601710199048014</v>
      </c>
      <c r="X17" s="184">
        <v>100</v>
      </c>
      <c r="Y17" s="184">
        <v>22.229254161829893</v>
      </c>
      <c r="Z17" s="184">
        <v>37.268593876427524</v>
      </c>
      <c r="AA17" s="191">
        <v>44.328257452839608</v>
      </c>
      <c r="AB17" s="80"/>
      <c r="AC17" s="17"/>
      <c r="AD17" s="148" t="s">
        <v>16</v>
      </c>
      <c r="AE17" s="183">
        <f t="shared" si="2"/>
        <v>43.064332932016178</v>
      </c>
      <c r="AF17" s="184">
        <f t="shared" si="3"/>
        <v>36.754490080416858</v>
      </c>
      <c r="AG17" s="184">
        <f t="shared" si="1"/>
        <v>53.165949346085803</v>
      </c>
      <c r="AH17" s="184">
        <f t="shared" si="0"/>
        <v>44.328257452839608</v>
      </c>
      <c r="AI17" s="81"/>
    </row>
    <row r="18" spans="2:35">
      <c r="B18" s="59"/>
      <c r="C18" s="149" t="s">
        <v>47</v>
      </c>
      <c r="D18" s="168">
        <v>16.291280668305998</v>
      </c>
      <c r="E18" s="169">
        <v>87.5</v>
      </c>
      <c r="F18" s="170">
        <v>150</v>
      </c>
      <c r="G18" s="170">
        <v>24</v>
      </c>
      <c r="H18" s="170">
        <v>254</v>
      </c>
      <c r="I18" s="169">
        <v>0</v>
      </c>
      <c r="J18" s="169">
        <v>0</v>
      </c>
      <c r="K18" s="171">
        <v>0.72923025004595865</v>
      </c>
      <c r="L18" s="169">
        <v>1642.43802290388</v>
      </c>
      <c r="M18" s="169">
        <v>0</v>
      </c>
      <c r="N18" s="59"/>
      <c r="O18" s="17"/>
      <c r="P18" s="149" t="s">
        <v>47</v>
      </c>
      <c r="Q18" s="183">
        <v>16.263272803285805</v>
      </c>
      <c r="R18" s="184">
        <v>87.5</v>
      </c>
      <c r="S18" s="184">
        <v>44.680851063829785</v>
      </c>
      <c r="T18" s="184">
        <v>3.8961038961038961</v>
      </c>
      <c r="U18" s="184">
        <v>18.892508143322477</v>
      </c>
      <c r="V18" s="184">
        <v>0</v>
      </c>
      <c r="W18" s="184">
        <v>0</v>
      </c>
      <c r="X18" s="184">
        <v>67.893492070229115</v>
      </c>
      <c r="Y18" s="184">
        <v>55.889290636201594</v>
      </c>
      <c r="Z18" s="184">
        <v>0</v>
      </c>
      <c r="AA18" s="191">
        <v>35.545485530368126</v>
      </c>
      <c r="AB18" s="80"/>
      <c r="AC18" s="17"/>
      <c r="AD18" s="149" t="s">
        <v>47</v>
      </c>
      <c r="AE18" s="183">
        <f t="shared" si="2"/>
        <v>51.881636401642901</v>
      </c>
      <c r="AF18" s="184">
        <f t="shared" si="3"/>
        <v>13.493892620651232</v>
      </c>
      <c r="AG18" s="184">
        <f t="shared" si="1"/>
        <v>41.260927568810239</v>
      </c>
      <c r="AH18" s="184">
        <f t="shared" si="0"/>
        <v>35.545485530368126</v>
      </c>
      <c r="AI18" s="81"/>
    </row>
    <row r="19" spans="2:35">
      <c r="B19" s="59"/>
      <c r="C19" s="148" t="s">
        <v>68</v>
      </c>
      <c r="D19" s="168">
        <v>68.630283339194904</v>
      </c>
      <c r="E19" s="169">
        <v>87.5</v>
      </c>
      <c r="F19" s="170">
        <v>136</v>
      </c>
      <c r="G19" s="170">
        <v>76</v>
      </c>
      <c r="H19" s="170">
        <v>420</v>
      </c>
      <c r="I19" s="169">
        <v>0</v>
      </c>
      <c r="J19" s="169">
        <v>99.945777064365814</v>
      </c>
      <c r="K19" s="171">
        <v>0.74714912055663041</v>
      </c>
      <c r="L19" s="169">
        <v>2304.5191531515234</v>
      </c>
      <c r="M19" s="169">
        <v>18.695652173913047</v>
      </c>
      <c r="N19" s="59"/>
      <c r="O19" s="17"/>
      <c r="P19" s="149" t="s">
        <v>68</v>
      </c>
      <c r="Q19" s="183">
        <v>68.619787433906041</v>
      </c>
      <c r="R19" s="184">
        <v>87.5</v>
      </c>
      <c r="S19" s="184">
        <v>74.468085106382972</v>
      </c>
      <c r="T19" s="184">
        <v>37.662337662337663</v>
      </c>
      <c r="U19" s="184">
        <v>72.964169381107496</v>
      </c>
      <c r="V19" s="184">
        <v>0</v>
      </c>
      <c r="W19" s="184">
        <v>99.945777064365814</v>
      </c>
      <c r="X19" s="184">
        <v>69.561791887532479</v>
      </c>
      <c r="Y19" s="184">
        <v>78.597576814151168</v>
      </c>
      <c r="Z19" s="184">
        <v>100</v>
      </c>
      <c r="AA19" s="191">
        <v>72.595919042339901</v>
      </c>
      <c r="AB19" s="80"/>
      <c r="AC19" s="17"/>
      <c r="AD19" s="148" t="s">
        <v>68</v>
      </c>
      <c r="AE19" s="183">
        <f t="shared" si="2"/>
        <v>78.059893716953013</v>
      </c>
      <c r="AF19" s="184">
        <f t="shared" si="3"/>
        <v>57.00807384283879</v>
      </c>
      <c r="AG19" s="184">
        <f t="shared" si="1"/>
        <v>82.719789567227892</v>
      </c>
      <c r="AH19" s="184">
        <f t="shared" si="0"/>
        <v>72.595919042339901</v>
      </c>
      <c r="AI19" s="81"/>
    </row>
    <row r="20" spans="2:35">
      <c r="B20" s="59"/>
      <c r="C20" s="148" t="s">
        <v>5</v>
      </c>
      <c r="D20" s="168">
        <v>100</v>
      </c>
      <c r="E20" s="169">
        <v>37.5</v>
      </c>
      <c r="F20" s="170">
        <v>124</v>
      </c>
      <c r="G20" s="170">
        <v>172</v>
      </c>
      <c r="H20" s="170">
        <v>503</v>
      </c>
      <c r="I20" s="169">
        <v>0</v>
      </c>
      <c r="J20" s="169">
        <v>100</v>
      </c>
      <c r="K20" s="171">
        <v>1.0740797502235442</v>
      </c>
      <c r="L20" s="169">
        <v>2928.526637550975</v>
      </c>
      <c r="M20" s="169">
        <v>18.695652173913047</v>
      </c>
      <c r="N20" s="59"/>
      <c r="O20" s="17"/>
      <c r="P20" s="149" t="s">
        <v>5</v>
      </c>
      <c r="Q20" s="183">
        <v>100</v>
      </c>
      <c r="R20" s="184">
        <v>37.5</v>
      </c>
      <c r="S20" s="184">
        <v>100</v>
      </c>
      <c r="T20" s="184">
        <v>100</v>
      </c>
      <c r="U20" s="184">
        <v>100</v>
      </c>
      <c r="V20" s="184">
        <v>0</v>
      </c>
      <c r="W20" s="184">
        <v>100</v>
      </c>
      <c r="X20" s="184">
        <v>100</v>
      </c>
      <c r="Y20" s="184">
        <v>100</v>
      </c>
      <c r="Z20" s="184">
        <v>100</v>
      </c>
      <c r="AA20" s="191">
        <v>82.916666666666671</v>
      </c>
      <c r="AB20" s="80"/>
      <c r="AC20" s="17"/>
      <c r="AD20" s="148" t="s">
        <v>5</v>
      </c>
      <c r="AE20" s="183">
        <f t="shared" si="2"/>
        <v>68.75</v>
      </c>
      <c r="AF20" s="184">
        <f t="shared" si="3"/>
        <v>80</v>
      </c>
      <c r="AG20" s="184">
        <f t="shared" si="1"/>
        <v>100</v>
      </c>
      <c r="AH20" s="184">
        <f t="shared" si="0"/>
        <v>82.916666666666671</v>
      </c>
      <c r="AI20" s="81"/>
    </row>
    <row r="21" spans="2:35">
      <c r="B21" s="59"/>
      <c r="C21" s="149" t="s">
        <v>15</v>
      </c>
      <c r="D21" s="168">
        <v>5.9474245795052605</v>
      </c>
      <c r="E21" s="169">
        <v>25</v>
      </c>
      <c r="F21" s="170">
        <v>130</v>
      </c>
      <c r="G21" s="170">
        <v>22</v>
      </c>
      <c r="H21" s="170">
        <v>262</v>
      </c>
      <c r="I21" s="169">
        <v>6.2908940646772091</v>
      </c>
      <c r="J21" s="169">
        <v>87.089060343668706</v>
      </c>
      <c r="K21" s="171">
        <v>0.55738801210887501</v>
      </c>
      <c r="L21" s="169">
        <v>538.42010703365008</v>
      </c>
      <c r="M21" s="169">
        <v>0</v>
      </c>
      <c r="N21" s="59"/>
      <c r="O21" s="17"/>
      <c r="P21" s="149" t="s">
        <v>15</v>
      </c>
      <c r="Q21" s="183">
        <v>5.9159557927622615</v>
      </c>
      <c r="R21" s="184">
        <v>25</v>
      </c>
      <c r="S21" s="184">
        <v>87.2340425531915</v>
      </c>
      <c r="T21" s="184">
        <v>2.5974025974025974</v>
      </c>
      <c r="U21" s="184">
        <v>21.498371335504888</v>
      </c>
      <c r="V21" s="184">
        <v>6.2908940646772091</v>
      </c>
      <c r="W21" s="184">
        <v>87.089060343668706</v>
      </c>
      <c r="X21" s="184">
        <v>51.894471708722556</v>
      </c>
      <c r="Y21" s="184">
        <v>18.023304680994883</v>
      </c>
      <c r="Z21" s="184">
        <v>0</v>
      </c>
      <c r="AA21" s="191">
        <v>26.568619179503084</v>
      </c>
      <c r="AB21" s="80"/>
      <c r="AC21" s="17"/>
      <c r="AD21" s="149" t="s">
        <v>15</v>
      </c>
      <c r="AE21" s="183">
        <f t="shared" si="2"/>
        <v>15.457977896381131</v>
      </c>
      <c r="AF21" s="184">
        <f t="shared" si="3"/>
        <v>40.941954178888977</v>
      </c>
      <c r="AG21" s="184">
        <f t="shared" si="1"/>
        <v>23.305925463239145</v>
      </c>
      <c r="AH21" s="184">
        <f t="shared" si="0"/>
        <v>26.568619179503084</v>
      </c>
      <c r="AI21" s="81"/>
    </row>
    <row r="22" spans="2:35">
      <c r="B22" s="59"/>
      <c r="C22" s="149" t="s">
        <v>11</v>
      </c>
      <c r="D22" s="168">
        <v>10.4585781971365</v>
      </c>
      <c r="E22" s="169">
        <v>75</v>
      </c>
      <c r="F22" s="170">
        <v>145</v>
      </c>
      <c r="G22" s="170">
        <v>41</v>
      </c>
      <c r="H22" s="170">
        <v>289</v>
      </c>
      <c r="I22" s="169">
        <v>0</v>
      </c>
      <c r="J22" s="169">
        <v>99.911653517422749</v>
      </c>
      <c r="K22" s="171">
        <v>0.98799060931638116</v>
      </c>
      <c r="L22" s="169">
        <v>152.1255577749333</v>
      </c>
      <c r="M22" s="169">
        <v>0</v>
      </c>
      <c r="N22" s="59"/>
      <c r="O22" s="17"/>
      <c r="P22" s="149" t="s">
        <v>11</v>
      </c>
      <c r="Q22" s="183">
        <v>10.428618784597488</v>
      </c>
      <c r="R22" s="184">
        <v>75</v>
      </c>
      <c r="S22" s="184">
        <v>55.319148936170215</v>
      </c>
      <c r="T22" s="184">
        <v>14.935064935064934</v>
      </c>
      <c r="U22" s="184">
        <v>30.293159609120522</v>
      </c>
      <c r="V22" s="184">
        <v>0</v>
      </c>
      <c r="W22" s="184">
        <v>99.911653517422749</v>
      </c>
      <c r="X22" s="184">
        <v>91.984846480045306</v>
      </c>
      <c r="Y22" s="184">
        <v>4.7740414520792775</v>
      </c>
      <c r="Z22" s="184">
        <v>0</v>
      </c>
      <c r="AA22" s="191">
        <v>38.353025811965324</v>
      </c>
      <c r="AB22" s="80"/>
      <c r="AC22" s="17"/>
      <c r="AD22" s="149" t="s">
        <v>11</v>
      </c>
      <c r="AE22" s="183">
        <f t="shared" si="2"/>
        <v>42.714309392298745</v>
      </c>
      <c r="AF22" s="184">
        <f t="shared" si="3"/>
        <v>40.091805399555689</v>
      </c>
      <c r="AG22" s="184">
        <f t="shared" si="1"/>
        <v>32.252962644041524</v>
      </c>
      <c r="AH22" s="184">
        <f t="shared" si="0"/>
        <v>38.353025811965324</v>
      </c>
      <c r="AI22" s="81"/>
    </row>
    <row r="23" spans="2:35">
      <c r="B23" s="59"/>
      <c r="C23" s="148" t="s">
        <v>24</v>
      </c>
      <c r="D23" s="168">
        <v>1.4735665156792901</v>
      </c>
      <c r="E23" s="169">
        <v>12.5</v>
      </c>
      <c r="F23" s="170">
        <v>171</v>
      </c>
      <c r="G23" s="170">
        <v>47</v>
      </c>
      <c r="H23" s="170">
        <v>205</v>
      </c>
      <c r="I23" s="169">
        <v>0</v>
      </c>
      <c r="J23" s="169">
        <v>0</v>
      </c>
      <c r="K23" s="171">
        <v>0.32467532467532467</v>
      </c>
      <c r="L23" s="169">
        <v>731.84862490574972</v>
      </c>
      <c r="M23" s="169">
        <v>0</v>
      </c>
      <c r="N23" s="59"/>
      <c r="O23" s="17"/>
      <c r="P23" s="149" t="s">
        <v>24</v>
      </c>
      <c r="Q23" s="183">
        <v>1.4406008333467815</v>
      </c>
      <c r="R23" s="184">
        <v>12.5</v>
      </c>
      <c r="S23" s="184">
        <v>0</v>
      </c>
      <c r="T23" s="184">
        <v>18.831168831168831</v>
      </c>
      <c r="U23" s="184">
        <v>2.9315960912052117</v>
      </c>
      <c r="V23" s="184">
        <v>0</v>
      </c>
      <c r="W23" s="184">
        <v>0</v>
      </c>
      <c r="X23" s="184">
        <v>30.228232550492756</v>
      </c>
      <c r="Y23" s="184">
        <v>24.657582472862082</v>
      </c>
      <c r="Z23" s="184">
        <v>0</v>
      </c>
      <c r="AA23" s="191">
        <v>9.8727083585332718</v>
      </c>
      <c r="AB23" s="80"/>
      <c r="AC23" s="17"/>
      <c r="AD23" s="148" t="s">
        <v>24</v>
      </c>
      <c r="AE23" s="183">
        <f t="shared" si="2"/>
        <v>6.9703004166733908</v>
      </c>
      <c r="AF23" s="184">
        <f t="shared" si="3"/>
        <v>4.3525529844748085</v>
      </c>
      <c r="AG23" s="184">
        <f t="shared" si="1"/>
        <v>18.295271674451612</v>
      </c>
      <c r="AH23" s="184">
        <f t="shared" si="0"/>
        <v>9.8727083585332718</v>
      </c>
      <c r="AI23" s="81"/>
    </row>
    <row r="24" spans="2:35">
      <c r="B24" s="59"/>
      <c r="C24" s="149" t="s">
        <v>49</v>
      </c>
      <c r="D24" s="172"/>
      <c r="E24" s="173"/>
      <c r="F24" s="170"/>
      <c r="G24" s="170"/>
      <c r="H24" s="170"/>
      <c r="I24" s="174"/>
      <c r="J24" s="174"/>
      <c r="K24" s="175"/>
      <c r="L24" s="174"/>
      <c r="M24" s="176"/>
      <c r="N24" s="59"/>
      <c r="O24" s="17"/>
      <c r="P24" s="149" t="s">
        <v>49</v>
      </c>
      <c r="Q24" s="183"/>
      <c r="R24" s="184"/>
      <c r="S24" s="184"/>
      <c r="T24" s="184"/>
      <c r="U24" s="184"/>
      <c r="V24" s="184"/>
      <c r="W24" s="184"/>
      <c r="X24" s="184"/>
      <c r="Y24" s="184"/>
      <c r="Z24" s="184"/>
      <c r="AA24" s="184"/>
      <c r="AB24" s="80"/>
      <c r="AC24" s="17"/>
      <c r="AD24" s="149" t="s">
        <v>49</v>
      </c>
      <c r="AE24" s="180"/>
      <c r="AF24" s="34"/>
      <c r="AG24" s="34"/>
      <c r="AH24" s="34"/>
      <c r="AI24" s="81"/>
    </row>
    <row r="25" spans="2:35">
      <c r="B25" s="130">
        <v>2022</v>
      </c>
      <c r="C25" s="97" t="s">
        <v>73</v>
      </c>
      <c r="D25" s="135">
        <f t="shared" ref="D25:M25" si="4">MAX(D4:D23)</f>
        <v>100</v>
      </c>
      <c r="E25" s="135">
        <f t="shared" si="4"/>
        <v>100</v>
      </c>
      <c r="F25" s="136">
        <f t="shared" si="4"/>
        <v>171</v>
      </c>
      <c r="G25" s="136">
        <f t="shared" si="4"/>
        <v>172</v>
      </c>
      <c r="H25" s="136">
        <f t="shared" si="4"/>
        <v>503</v>
      </c>
      <c r="I25" s="137">
        <f t="shared" si="4"/>
        <v>100</v>
      </c>
      <c r="J25" s="138">
        <f t="shared" si="4"/>
        <v>100</v>
      </c>
      <c r="K25" s="139">
        <f t="shared" si="4"/>
        <v>1.0740797502235442</v>
      </c>
      <c r="L25" s="137">
        <f t="shared" si="4"/>
        <v>2928.526637550975</v>
      </c>
      <c r="M25" s="137">
        <f t="shared" si="4"/>
        <v>18.695652173913047</v>
      </c>
    </row>
    <row r="26" spans="2:35">
      <c r="B26" s="130"/>
      <c r="C26" s="97" t="s">
        <v>74</v>
      </c>
      <c r="D26" s="140">
        <f t="shared" ref="D26:M26" si="5">MIN(D4:D23)</f>
        <v>3.3447527695219796E-2</v>
      </c>
      <c r="E26" s="140">
        <f t="shared" si="5"/>
        <v>0</v>
      </c>
      <c r="F26" s="136">
        <f t="shared" si="5"/>
        <v>124</v>
      </c>
      <c r="G26" s="136">
        <f t="shared" si="5"/>
        <v>18</v>
      </c>
      <c r="H26" s="136">
        <f t="shared" si="5"/>
        <v>196</v>
      </c>
      <c r="I26" s="137">
        <f t="shared" si="5"/>
        <v>0</v>
      </c>
      <c r="J26" s="138">
        <f t="shared" si="5"/>
        <v>0</v>
      </c>
      <c r="K26" s="139">
        <f t="shared" si="5"/>
        <v>0</v>
      </c>
      <c r="L26" s="137">
        <f t="shared" si="5"/>
        <v>12.933954512905462</v>
      </c>
      <c r="M26" s="137">
        <f t="shared" si="5"/>
        <v>0</v>
      </c>
    </row>
    <row r="27" spans="2:35">
      <c r="B27" s="130"/>
      <c r="C27" s="97"/>
      <c r="D27" s="140"/>
      <c r="E27" s="140"/>
      <c r="F27" s="136"/>
      <c r="G27" s="136"/>
      <c r="H27" s="136"/>
      <c r="I27" s="137"/>
      <c r="J27" s="138"/>
      <c r="K27" s="139"/>
      <c r="L27" s="137"/>
      <c r="M27" s="137"/>
    </row>
    <row r="28" spans="2:35">
      <c r="B28" s="130" t="s">
        <v>75</v>
      </c>
      <c r="C28" s="97" t="s">
        <v>73</v>
      </c>
      <c r="D28" s="141">
        <f>D25</f>
        <v>100</v>
      </c>
      <c r="E28" s="141">
        <f t="shared" ref="E28:M28" si="6">E25</f>
        <v>100</v>
      </c>
      <c r="F28" s="141">
        <f t="shared" si="6"/>
        <v>171</v>
      </c>
      <c r="G28" s="141">
        <f t="shared" si="6"/>
        <v>172</v>
      </c>
      <c r="H28" s="141">
        <f t="shared" si="6"/>
        <v>503</v>
      </c>
      <c r="I28" s="141">
        <f t="shared" si="6"/>
        <v>100</v>
      </c>
      <c r="J28" s="141">
        <f t="shared" si="6"/>
        <v>100</v>
      </c>
      <c r="K28" s="141">
        <f t="shared" si="6"/>
        <v>1.0740797502235442</v>
      </c>
      <c r="L28" s="141">
        <f t="shared" si="6"/>
        <v>2928.526637550975</v>
      </c>
      <c r="M28" s="141">
        <f t="shared" si="6"/>
        <v>18.695652173913047</v>
      </c>
    </row>
    <row r="29" spans="2:35">
      <c r="B29" s="130"/>
      <c r="C29" s="97" t="s">
        <v>74</v>
      </c>
      <c r="D29" s="141">
        <f t="shared" ref="D29:M29" si="7">D26</f>
        <v>3.3447527695219796E-2</v>
      </c>
      <c r="E29" s="141">
        <f t="shared" si="7"/>
        <v>0</v>
      </c>
      <c r="F29" s="141">
        <f t="shared" si="7"/>
        <v>124</v>
      </c>
      <c r="G29" s="141">
        <f t="shared" si="7"/>
        <v>18</v>
      </c>
      <c r="H29" s="141">
        <f t="shared" si="7"/>
        <v>196</v>
      </c>
      <c r="I29" s="141">
        <f t="shared" si="7"/>
        <v>0</v>
      </c>
      <c r="J29" s="141">
        <f t="shared" si="7"/>
        <v>0</v>
      </c>
      <c r="K29" s="141">
        <f t="shared" si="7"/>
        <v>0</v>
      </c>
      <c r="L29" s="141">
        <f>L26</f>
        <v>12.933954512905462</v>
      </c>
      <c r="M29" s="141">
        <f t="shared" si="7"/>
        <v>0</v>
      </c>
    </row>
    <row r="30" spans="2:35">
      <c r="D30" s="52"/>
      <c r="E30" s="52"/>
      <c r="F30" s="52"/>
      <c r="G30" s="52"/>
      <c r="H30" s="52"/>
      <c r="I30" s="52"/>
      <c r="J30" s="52"/>
      <c r="K30" s="52"/>
      <c r="L30" s="52"/>
      <c r="M30" s="52"/>
    </row>
    <row r="31" spans="2:35">
      <c r="C31" s="151">
        <v>2023</v>
      </c>
      <c r="D31" s="73"/>
      <c r="E31" s="73"/>
      <c r="F31" s="73"/>
      <c r="G31" s="73"/>
      <c r="H31" s="73"/>
      <c r="I31" s="73"/>
      <c r="J31" s="73"/>
      <c r="K31" s="73"/>
      <c r="L31" s="73"/>
      <c r="M31" s="73"/>
      <c r="N31" s="73"/>
      <c r="O31" s="73"/>
      <c r="P31" s="85"/>
      <c r="Q31" s="85"/>
      <c r="R31" s="85"/>
      <c r="S31" s="85"/>
      <c r="T31" s="85"/>
      <c r="U31" s="85"/>
      <c r="V31" s="85"/>
      <c r="W31" s="85"/>
      <c r="X31" s="73"/>
      <c r="Y31" s="73"/>
      <c r="Z31" s="73"/>
      <c r="AA31" s="73"/>
      <c r="AC31" s="85"/>
      <c r="AD31" s="73"/>
      <c r="AE31" s="73"/>
      <c r="AF31" s="73"/>
      <c r="AG31" s="73"/>
      <c r="AH31" s="73"/>
    </row>
    <row r="32" spans="2:35">
      <c r="C32" s="1" t="s">
        <v>279</v>
      </c>
      <c r="P32" s="1" t="s">
        <v>57</v>
      </c>
    </row>
    <row r="33" spans="2:39" ht="51">
      <c r="B33" s="154"/>
      <c r="C33" s="144" t="s">
        <v>3</v>
      </c>
      <c r="D33" s="157" t="s">
        <v>87</v>
      </c>
      <c r="E33" s="157" t="s">
        <v>88</v>
      </c>
      <c r="F33" s="159" t="s">
        <v>36</v>
      </c>
      <c r="G33" s="160" t="s">
        <v>37</v>
      </c>
      <c r="H33" s="160" t="s">
        <v>38</v>
      </c>
      <c r="I33" s="160" t="s">
        <v>89</v>
      </c>
      <c r="J33" s="160" t="s">
        <v>90</v>
      </c>
      <c r="K33" s="158" t="s">
        <v>41</v>
      </c>
      <c r="L33" s="158" t="s">
        <v>91</v>
      </c>
      <c r="M33" s="158" t="s">
        <v>43</v>
      </c>
      <c r="O33" s="142"/>
      <c r="P33" s="156" t="s">
        <v>26</v>
      </c>
      <c r="Q33" s="155" t="s">
        <v>59</v>
      </c>
      <c r="R33" s="87" t="s">
        <v>60</v>
      </c>
      <c r="S33" s="159" t="s">
        <v>36</v>
      </c>
      <c r="T33" s="88" t="s">
        <v>62</v>
      </c>
      <c r="U33" s="88" t="s">
        <v>63</v>
      </c>
      <c r="V33" s="88" t="s">
        <v>0</v>
      </c>
      <c r="W33" s="88" t="s">
        <v>1</v>
      </c>
      <c r="X33" s="89" t="s">
        <v>2</v>
      </c>
      <c r="Y33" s="89" t="s">
        <v>42</v>
      </c>
      <c r="Z33" s="89" t="s">
        <v>64</v>
      </c>
      <c r="AA33" s="192" t="s">
        <v>347</v>
      </c>
      <c r="AC33" s="111" t="s">
        <v>86</v>
      </c>
      <c r="AD33" s="178" t="s">
        <v>3</v>
      </c>
      <c r="AE33" s="177" t="s">
        <v>85</v>
      </c>
      <c r="AF33" s="145" t="s">
        <v>30</v>
      </c>
      <c r="AG33" s="146" t="s">
        <v>92</v>
      </c>
      <c r="AH33" s="147" t="s">
        <v>94</v>
      </c>
    </row>
    <row r="34" spans="2:39">
      <c r="B34" s="33"/>
      <c r="C34" s="149" t="s">
        <v>22</v>
      </c>
      <c r="D34" s="161">
        <v>1.74</v>
      </c>
      <c r="E34" s="161">
        <v>22.13</v>
      </c>
      <c r="F34" s="161">
        <v>130</v>
      </c>
      <c r="G34" s="161">
        <v>68</v>
      </c>
      <c r="H34" s="161">
        <v>467</v>
      </c>
      <c r="I34" s="161">
        <v>6</v>
      </c>
      <c r="J34" s="161">
        <v>59.11</v>
      </c>
      <c r="K34" s="161">
        <v>0.42</v>
      </c>
      <c r="L34" s="161">
        <v>359</v>
      </c>
      <c r="M34" s="161">
        <v>0</v>
      </c>
      <c r="O34" s="17"/>
      <c r="P34" s="148" t="s">
        <v>22</v>
      </c>
      <c r="Q34" s="187">
        <v>1.7403297324262161</v>
      </c>
      <c r="R34" s="43">
        <v>27.527216174183515</v>
      </c>
      <c r="S34" s="43">
        <v>70.780506524790226</v>
      </c>
      <c r="T34" s="43">
        <v>32.248766233766233</v>
      </c>
      <c r="U34" s="43">
        <v>81.758748336918458</v>
      </c>
      <c r="V34" s="43">
        <v>6.4846882771260095</v>
      </c>
      <c r="W34" s="43">
        <v>59.107591621867151</v>
      </c>
      <c r="X34" s="43">
        <v>48.167659388243564</v>
      </c>
      <c r="Y34" s="43">
        <v>9.3163534419465073</v>
      </c>
      <c r="Z34" s="43">
        <v>0</v>
      </c>
      <c r="AA34" s="188">
        <v>28.007611257916267</v>
      </c>
      <c r="AC34" s="128" t="e">
        <f>_xlfn.XLOOKUP(AD34,'Global sales'!#REF!,'Global sales'!#REF!,0)</f>
        <v>#REF!</v>
      </c>
      <c r="AD34" s="181" t="s">
        <v>22</v>
      </c>
      <c r="AE34" s="185">
        <v>15</v>
      </c>
      <c r="AF34" s="186">
        <v>50</v>
      </c>
      <c r="AG34" s="186">
        <v>19</v>
      </c>
      <c r="AH34" s="186">
        <v>28</v>
      </c>
      <c r="AI34" s="86"/>
      <c r="AJ34" s="86"/>
      <c r="AK34" s="86"/>
      <c r="AL34" s="86"/>
      <c r="AM34" s="10"/>
    </row>
    <row r="35" spans="2:39">
      <c r="B35" s="33"/>
      <c r="C35" s="149" t="s">
        <v>14</v>
      </c>
      <c r="D35" s="162">
        <v>10.63</v>
      </c>
      <c r="E35" s="162">
        <v>47.33</v>
      </c>
      <c r="F35" s="162">
        <v>136</v>
      </c>
      <c r="G35" s="162">
        <v>95</v>
      </c>
      <c r="H35" s="162">
        <v>483</v>
      </c>
      <c r="I35" s="162">
        <v>73</v>
      </c>
      <c r="J35" s="162">
        <v>97.24</v>
      </c>
      <c r="K35" s="162">
        <v>0.69</v>
      </c>
      <c r="L35" s="162">
        <v>842</v>
      </c>
      <c r="M35" s="162">
        <v>2.137</v>
      </c>
      <c r="O35" s="17"/>
      <c r="P35" s="148" t="s">
        <v>14</v>
      </c>
      <c r="Q35" s="187">
        <v>10.633134508901414</v>
      </c>
      <c r="R35" s="43">
        <v>58.880248833592539</v>
      </c>
      <c r="S35" s="43">
        <v>60.738293122800812</v>
      </c>
      <c r="T35" s="43">
        <v>49.845259740259742</v>
      </c>
      <c r="U35" s="43">
        <v>86.585833109577848</v>
      </c>
      <c r="V35" s="43">
        <v>73.421024428575166</v>
      </c>
      <c r="W35" s="43">
        <v>97.242998765071903</v>
      </c>
      <c r="X35" s="43">
        <v>79.452751817345131</v>
      </c>
      <c r="Y35" s="43">
        <v>22.255495297730203</v>
      </c>
      <c r="Z35" s="43">
        <v>8.0356563612903127</v>
      </c>
      <c r="AA35" s="188">
        <v>48.313129050845653</v>
      </c>
      <c r="AC35" s="128" t="e">
        <f>_xlfn.XLOOKUP(AD35,'Global sales'!#REF!,'Global sales'!#REF!,0)</f>
        <v>#REF!</v>
      </c>
      <c r="AD35" s="181" t="s">
        <v>14</v>
      </c>
      <c r="AE35" s="185">
        <v>35</v>
      </c>
      <c r="AF35" s="186">
        <v>73.599999999999994</v>
      </c>
      <c r="AG35" s="186">
        <v>36.333333333333336</v>
      </c>
      <c r="AH35" s="186">
        <v>48.31111111111111</v>
      </c>
      <c r="AI35" s="86"/>
      <c r="AJ35" s="86"/>
      <c r="AK35" s="86"/>
      <c r="AL35" s="86"/>
      <c r="AM35" s="10"/>
    </row>
    <row r="36" spans="2:39">
      <c r="B36" s="33"/>
      <c r="C36" s="149" t="s">
        <v>52</v>
      </c>
      <c r="D36" s="162">
        <v>7.17</v>
      </c>
      <c r="E36" s="162">
        <v>24.19</v>
      </c>
      <c r="F36" s="162">
        <v>155</v>
      </c>
      <c r="G36" s="162">
        <v>139</v>
      </c>
      <c r="H36" s="162">
        <v>432</v>
      </c>
      <c r="I36" s="162">
        <v>11</v>
      </c>
      <c r="J36" s="162">
        <v>100</v>
      </c>
      <c r="K36" s="162">
        <v>0.46</v>
      </c>
      <c r="L36" s="162">
        <v>810</v>
      </c>
      <c r="M36" s="162">
        <v>0</v>
      </c>
      <c r="O36" s="17"/>
      <c r="P36" s="149" t="s">
        <v>52</v>
      </c>
      <c r="Q36" s="187">
        <v>7.1708619172990389</v>
      </c>
      <c r="R36" s="43">
        <v>30.093312597200622</v>
      </c>
      <c r="S36" s="43">
        <v>26.440939973371158</v>
      </c>
      <c r="T36" s="43">
        <v>78.835064935064935</v>
      </c>
      <c r="U36" s="43">
        <v>71.199500396726037</v>
      </c>
      <c r="V36" s="43">
        <v>11.209790756576698</v>
      </c>
      <c r="W36" s="43">
        <v>100</v>
      </c>
      <c r="X36" s="43">
        <v>53.808176661977356</v>
      </c>
      <c r="Y36" s="43">
        <v>21.394327229055143</v>
      </c>
      <c r="Z36" s="43">
        <v>0</v>
      </c>
      <c r="AA36" s="188">
        <v>33.625946494452151</v>
      </c>
      <c r="AC36" s="128" t="e">
        <f>_xlfn.XLOOKUP(AD36,'Global sales'!#REF!,'Global sales'!#REF!,0)</f>
        <v>#REF!</v>
      </c>
      <c r="AD36" s="182" t="s">
        <v>18</v>
      </c>
      <c r="AE36" s="185">
        <v>18.5</v>
      </c>
      <c r="AF36" s="186">
        <v>57.4</v>
      </c>
      <c r="AG36" s="186">
        <v>25</v>
      </c>
      <c r="AH36" s="186">
        <v>33.633333333333333</v>
      </c>
      <c r="AI36" s="86"/>
      <c r="AJ36" s="86"/>
      <c r="AK36" s="86"/>
      <c r="AL36" s="86"/>
      <c r="AM36" s="10"/>
    </row>
    <row r="37" spans="2:39">
      <c r="B37" s="33"/>
      <c r="C37" s="149" t="s">
        <v>17</v>
      </c>
      <c r="D37" s="162">
        <v>8.9499999999999993</v>
      </c>
      <c r="E37" s="162">
        <v>54.34</v>
      </c>
      <c r="F37" s="162">
        <v>152</v>
      </c>
      <c r="G37" s="162">
        <v>66</v>
      </c>
      <c r="H37" s="162">
        <v>313</v>
      </c>
      <c r="I37" s="162">
        <v>0</v>
      </c>
      <c r="J37" s="162">
        <v>98.65</v>
      </c>
      <c r="K37" s="162">
        <v>0.86</v>
      </c>
      <c r="L37" s="162">
        <v>264</v>
      </c>
      <c r="M37" s="162">
        <v>26.591000000000001</v>
      </c>
      <c r="O37" s="17"/>
      <c r="P37" s="148" t="s">
        <v>17</v>
      </c>
      <c r="Q37" s="187">
        <v>8.9536621066078812</v>
      </c>
      <c r="R37" s="43">
        <v>67.604976671850693</v>
      </c>
      <c r="S37" s="43">
        <v>31.04261517700624</v>
      </c>
      <c r="T37" s="43">
        <v>30.934415584415582</v>
      </c>
      <c r="U37" s="43">
        <v>35.298057400071805</v>
      </c>
      <c r="V37" s="43">
        <v>0</v>
      </c>
      <c r="W37" s="43">
        <v>98.648523991590451</v>
      </c>
      <c r="X37" s="43">
        <v>100</v>
      </c>
      <c r="Y37" s="43">
        <v>6.7497801889013278</v>
      </c>
      <c r="Z37" s="43">
        <v>100</v>
      </c>
      <c r="AA37" s="188">
        <v>48.800267418660923</v>
      </c>
      <c r="AC37" s="128" t="e">
        <f>_xlfn.XLOOKUP(AD37,'Global sales'!#REF!,'Global sales'!#REF!,0)</f>
        <v>#REF!</v>
      </c>
      <c r="AD37" s="181" t="s">
        <v>17</v>
      </c>
      <c r="AE37" s="185">
        <v>38.5</v>
      </c>
      <c r="AF37" s="186">
        <v>39.200000000000003</v>
      </c>
      <c r="AG37" s="186">
        <v>69</v>
      </c>
      <c r="AH37" s="186">
        <v>48.9</v>
      </c>
      <c r="AI37" s="86"/>
      <c r="AJ37" s="86"/>
      <c r="AK37" s="86"/>
      <c r="AL37" s="86"/>
      <c r="AM37" s="10"/>
    </row>
    <row r="38" spans="2:39">
      <c r="B38" s="33"/>
      <c r="C38" s="149" t="s">
        <v>23</v>
      </c>
      <c r="D38" s="162">
        <v>0.67</v>
      </c>
      <c r="E38" s="162">
        <v>4.88</v>
      </c>
      <c r="F38" s="162">
        <v>150</v>
      </c>
      <c r="G38" s="162">
        <v>58</v>
      </c>
      <c r="H38" s="162">
        <v>376</v>
      </c>
      <c r="I38" s="162">
        <v>0</v>
      </c>
      <c r="J38" s="162">
        <v>42.05</v>
      </c>
      <c r="K38" s="162">
        <v>0.57999999999999996</v>
      </c>
      <c r="L38" s="162">
        <v>734</v>
      </c>
      <c r="M38" s="162">
        <v>0</v>
      </c>
      <c r="O38" s="17"/>
      <c r="P38" s="148" t="s">
        <v>23</v>
      </c>
      <c r="Q38" s="187">
        <v>0.66975761257297384</v>
      </c>
      <c r="R38" s="43">
        <v>6.0653188180404358</v>
      </c>
      <c r="S38" s="43">
        <v>34.857315818585093</v>
      </c>
      <c r="T38" s="43">
        <v>26.269220779220781</v>
      </c>
      <c r="U38" s="43">
        <v>54.304703692418165</v>
      </c>
      <c r="V38" s="43">
        <v>0</v>
      </c>
      <c r="W38" s="43">
        <v>42.046206586700379</v>
      </c>
      <c r="X38" s="43">
        <v>67.204814828850928</v>
      </c>
      <c r="Y38" s="43">
        <v>19.360525215590375</v>
      </c>
      <c r="Z38" s="43">
        <v>0</v>
      </c>
      <c r="AA38" s="188">
        <v>21.233072933493698</v>
      </c>
      <c r="AC38" s="128" t="e">
        <f>_xlfn.XLOOKUP(AD38,'Global sales'!#REF!,'Global sales'!#REF!,0)</f>
        <v>#REF!</v>
      </c>
      <c r="AD38" s="181" t="s">
        <v>23</v>
      </c>
      <c r="AE38" s="185">
        <v>3.5</v>
      </c>
      <c r="AF38" s="186">
        <v>31.4</v>
      </c>
      <c r="AG38" s="186">
        <v>28.666666666666668</v>
      </c>
      <c r="AH38" s="186">
        <v>21.188888888888886</v>
      </c>
      <c r="AI38" s="86"/>
      <c r="AJ38" s="86"/>
      <c r="AK38" s="86"/>
      <c r="AL38" s="86"/>
      <c r="AM38" s="10"/>
    </row>
    <row r="39" spans="2:39">
      <c r="B39" s="33"/>
      <c r="C39" s="149" t="s">
        <v>19</v>
      </c>
      <c r="D39" s="162">
        <v>4.01</v>
      </c>
      <c r="E39" s="162">
        <v>15.61</v>
      </c>
      <c r="F39" s="162">
        <v>136</v>
      </c>
      <c r="G39" s="162">
        <v>63</v>
      </c>
      <c r="H39" s="162">
        <v>445</v>
      </c>
      <c r="I39" s="162">
        <v>0</v>
      </c>
      <c r="J39" s="162">
        <v>73.790000000000006</v>
      </c>
      <c r="K39" s="162">
        <v>0.75</v>
      </c>
      <c r="L39" s="162">
        <v>368</v>
      </c>
      <c r="M39" s="162">
        <v>14.593</v>
      </c>
      <c r="O39" s="17"/>
      <c r="P39" s="148" t="s">
        <v>19</v>
      </c>
      <c r="Q39" s="187">
        <v>4.0114081045504602</v>
      </c>
      <c r="R39" s="43">
        <v>19.424572317262832</v>
      </c>
      <c r="S39" s="43">
        <v>59.056963769982886</v>
      </c>
      <c r="T39" s="43">
        <v>29.006753246753249</v>
      </c>
      <c r="U39" s="43">
        <v>75.121506774511786</v>
      </c>
      <c r="V39" s="43">
        <v>0</v>
      </c>
      <c r="W39" s="43">
        <v>73.78780904485788</v>
      </c>
      <c r="X39" s="43">
        <v>86.572968002796983</v>
      </c>
      <c r="Y39" s="43">
        <v>9.5595782754514005</v>
      </c>
      <c r="Z39" s="43">
        <v>54.880388424976289</v>
      </c>
      <c r="AA39" s="188">
        <v>36.618815606453957</v>
      </c>
      <c r="AC39" s="128" t="e">
        <f>_xlfn.XLOOKUP(AD39,'Global sales'!#REF!,'Global sales'!#REF!,0)</f>
        <v>#REF!</v>
      </c>
      <c r="AD39" s="181" t="s">
        <v>19</v>
      </c>
      <c r="AE39" s="185">
        <v>11.5</v>
      </c>
      <c r="AF39" s="186">
        <v>47.4</v>
      </c>
      <c r="AG39" s="186">
        <v>50.666666666666664</v>
      </c>
      <c r="AH39" s="186">
        <v>36.522222222222219</v>
      </c>
      <c r="AI39" s="86"/>
      <c r="AJ39" s="86"/>
      <c r="AK39" s="86"/>
      <c r="AL39" s="86"/>
      <c r="AM39" s="10"/>
    </row>
    <row r="40" spans="2:39">
      <c r="B40" s="33"/>
      <c r="C40" s="149" t="s">
        <v>20</v>
      </c>
      <c r="D40" s="162">
        <v>3.95</v>
      </c>
      <c r="E40" s="162">
        <v>23.93</v>
      </c>
      <c r="F40" s="162">
        <v>156</v>
      </c>
      <c r="G40" s="162">
        <v>91</v>
      </c>
      <c r="H40" s="162">
        <v>481</v>
      </c>
      <c r="I40" s="162">
        <v>14</v>
      </c>
      <c r="J40" s="162">
        <v>91.6</v>
      </c>
      <c r="K40" s="162">
        <v>0.68</v>
      </c>
      <c r="L40" s="162">
        <v>413</v>
      </c>
      <c r="M40" s="162">
        <v>2.9060000000000001</v>
      </c>
      <c r="O40" s="17"/>
      <c r="P40" s="148" t="s">
        <v>20</v>
      </c>
      <c r="Q40" s="187">
        <v>3.9453715257651414</v>
      </c>
      <c r="R40" s="43">
        <v>29.766718506998448</v>
      </c>
      <c r="S40" s="43">
        <v>23.056661087459048</v>
      </c>
      <c r="T40" s="43">
        <v>47.662012987012993</v>
      </c>
      <c r="U40" s="43">
        <v>85.982447512995435</v>
      </c>
      <c r="V40" s="43">
        <v>13.901546584128941</v>
      </c>
      <c r="W40" s="43">
        <v>91.604059779313346</v>
      </c>
      <c r="X40" s="43">
        <v>78.951181467448762</v>
      </c>
      <c r="Y40" s="43">
        <v>10.756638571557588</v>
      </c>
      <c r="Z40" s="43">
        <v>10.928492651354828</v>
      </c>
      <c r="AA40" s="188">
        <v>34.336959608706273</v>
      </c>
      <c r="AC40" s="128" t="e">
        <f>_xlfn.XLOOKUP(AD40,'Global sales'!#REF!,'Global sales'!#REF!,0)</f>
        <v>#REF!</v>
      </c>
      <c r="AD40" s="181" t="s">
        <v>20</v>
      </c>
      <c r="AE40" s="185">
        <v>17</v>
      </c>
      <c r="AF40" s="186">
        <v>52.6</v>
      </c>
      <c r="AG40" s="186">
        <v>33.666666666666664</v>
      </c>
      <c r="AH40" s="186">
        <v>34.422222222222217</v>
      </c>
      <c r="AI40" s="86"/>
      <c r="AJ40" s="86"/>
      <c r="AK40" s="86"/>
      <c r="AL40" s="86"/>
      <c r="AM40" s="10"/>
    </row>
    <row r="41" spans="2:39">
      <c r="B41" s="33"/>
      <c r="C41" s="149" t="s">
        <v>21</v>
      </c>
      <c r="D41" s="162">
        <v>4.6100000000000003</v>
      </c>
      <c r="E41" s="162">
        <v>22.85</v>
      </c>
      <c r="F41" s="162">
        <v>159</v>
      </c>
      <c r="G41" s="162">
        <v>51</v>
      </c>
      <c r="H41" s="162">
        <v>296</v>
      </c>
      <c r="I41" s="162">
        <v>0</v>
      </c>
      <c r="J41" s="162">
        <v>33.14</v>
      </c>
      <c r="K41" s="162">
        <v>0</v>
      </c>
      <c r="L41" s="162">
        <v>361</v>
      </c>
      <c r="M41" s="162">
        <v>1.4219999999999999</v>
      </c>
      <c r="O41" s="17"/>
      <c r="P41" s="148" t="s">
        <v>21</v>
      </c>
      <c r="Q41" s="187">
        <v>4.6074196851453157</v>
      </c>
      <c r="R41" s="43">
        <v>28.429237947122861</v>
      </c>
      <c r="S41" s="43">
        <v>18.048166158292169</v>
      </c>
      <c r="T41" s="43">
        <v>21.753181818181815</v>
      </c>
      <c r="U41" s="43">
        <v>30.169279829121205</v>
      </c>
      <c r="V41" s="43">
        <v>0</v>
      </c>
      <c r="W41" s="43">
        <v>33.14399324261035</v>
      </c>
      <c r="X41" s="43">
        <v>0</v>
      </c>
      <c r="Y41" s="43">
        <v>9.3720653798629208</v>
      </c>
      <c r="Z41" s="43">
        <v>5.3476636381415457</v>
      </c>
      <c r="AA41" s="188">
        <v>14.013932772017107</v>
      </c>
      <c r="AC41" s="128" t="e">
        <f>_xlfn.XLOOKUP(AD41,'Global sales'!#REF!,'Global sales'!#REF!,0)</f>
        <v>#REF!</v>
      </c>
      <c r="AD41" s="181" t="s">
        <v>21</v>
      </c>
      <c r="AE41" s="185">
        <v>16.5</v>
      </c>
      <c r="AF41" s="186">
        <v>20.6</v>
      </c>
      <c r="AG41" s="186">
        <v>4.666666666666667</v>
      </c>
      <c r="AH41" s="186">
        <v>13.922222222222222</v>
      </c>
      <c r="AI41" s="86"/>
      <c r="AJ41" s="86"/>
      <c r="AK41" s="86"/>
      <c r="AL41" s="86"/>
      <c r="AM41" s="10"/>
    </row>
    <row r="42" spans="2:39">
      <c r="B42" s="33"/>
      <c r="C42" s="149" t="s">
        <v>25</v>
      </c>
      <c r="D42" s="162">
        <v>0.03</v>
      </c>
      <c r="E42" s="162">
        <v>0</v>
      </c>
      <c r="F42" s="162" t="s">
        <v>95</v>
      </c>
      <c r="G42" s="162" t="s">
        <v>95</v>
      </c>
      <c r="H42" s="162" t="s">
        <v>95</v>
      </c>
      <c r="I42" s="162">
        <v>0</v>
      </c>
      <c r="J42" s="162">
        <v>0</v>
      </c>
      <c r="K42" s="162">
        <v>0.28000000000000003</v>
      </c>
      <c r="L42" s="162">
        <v>160</v>
      </c>
      <c r="M42" s="162">
        <v>0</v>
      </c>
      <c r="O42" s="17"/>
      <c r="P42" s="148" t="s">
        <v>25</v>
      </c>
      <c r="Q42" s="187">
        <v>3.3267511964491375E-2</v>
      </c>
      <c r="R42" s="43">
        <v>0</v>
      </c>
      <c r="S42" s="43" t="s">
        <v>269</v>
      </c>
      <c r="T42" s="43" t="s">
        <v>269</v>
      </c>
      <c r="U42" s="43" t="s">
        <v>269</v>
      </c>
      <c r="V42" s="43">
        <v>0</v>
      </c>
      <c r="W42" s="43">
        <v>0</v>
      </c>
      <c r="X42" s="43">
        <v>32.055107731927649</v>
      </c>
      <c r="Y42" s="43">
        <v>3.9726387118972335</v>
      </c>
      <c r="Z42" s="43">
        <v>0</v>
      </c>
      <c r="AA42" s="188">
        <v>4.0610036367284668</v>
      </c>
      <c r="AC42" s="128" t="e">
        <f>_xlfn.XLOOKUP(AD42,'Global sales'!#REF!,'Global sales'!#REF!,0)</f>
        <v>#REF!</v>
      </c>
      <c r="AD42" s="181" t="s">
        <v>25</v>
      </c>
      <c r="AE42" s="185">
        <v>0</v>
      </c>
      <c r="AF42" s="186">
        <v>0</v>
      </c>
      <c r="AG42" s="186">
        <v>12</v>
      </c>
      <c r="AH42" s="186">
        <v>4</v>
      </c>
      <c r="AI42" s="86"/>
      <c r="AJ42" s="86"/>
      <c r="AK42" s="86"/>
      <c r="AL42" s="86"/>
      <c r="AM42" s="10"/>
    </row>
    <row r="43" spans="2:39">
      <c r="B43" s="33"/>
      <c r="C43" s="149" t="s">
        <v>12</v>
      </c>
      <c r="D43" s="162">
        <v>17</v>
      </c>
      <c r="E43" s="162">
        <v>43.85</v>
      </c>
      <c r="F43" s="162">
        <v>129</v>
      </c>
      <c r="G43" s="162">
        <v>102</v>
      </c>
      <c r="H43" s="162">
        <v>495</v>
      </c>
      <c r="I43" s="162">
        <v>100</v>
      </c>
      <c r="J43" s="162">
        <v>93.28</v>
      </c>
      <c r="K43" s="162">
        <v>0.73</v>
      </c>
      <c r="L43" s="162">
        <v>658</v>
      </c>
      <c r="M43" s="162">
        <v>16.007999999999999</v>
      </c>
      <c r="O43" s="17"/>
      <c r="P43" s="148" t="s">
        <v>12</v>
      </c>
      <c r="Q43" s="187">
        <v>16.999722384591578</v>
      </c>
      <c r="R43" s="43">
        <v>54.556765163297051</v>
      </c>
      <c r="S43" s="43">
        <v>73.130800288989775</v>
      </c>
      <c r="T43" s="43">
        <v>54.272727272727273</v>
      </c>
      <c r="U43" s="43">
        <v>90.206146689072398</v>
      </c>
      <c r="V43" s="43">
        <v>100</v>
      </c>
      <c r="W43" s="43">
        <v>93.277640506726271</v>
      </c>
      <c r="X43" s="43">
        <v>84.093613190204309</v>
      </c>
      <c r="Y43" s="43">
        <v>17.3382513655807</v>
      </c>
      <c r="Z43" s="43">
        <v>60.199475776727361</v>
      </c>
      <c r="AA43" s="189">
        <v>57.337290137389196</v>
      </c>
      <c r="AC43" s="128" t="e">
        <f>_xlfn.XLOOKUP(AD43,'Global sales'!#REF!,'Global sales'!#REF!,0)</f>
        <v>#REF!</v>
      </c>
      <c r="AD43" s="181" t="s">
        <v>12</v>
      </c>
      <c r="AE43" s="185">
        <v>36</v>
      </c>
      <c r="AF43" s="186">
        <v>82</v>
      </c>
      <c r="AG43" s="186">
        <v>53.666666666666664</v>
      </c>
      <c r="AH43" s="186">
        <v>57.222222222222221</v>
      </c>
      <c r="AI43" s="86"/>
      <c r="AJ43" s="86"/>
      <c r="AK43" s="86"/>
      <c r="AL43" s="86"/>
      <c r="AM43" s="10"/>
    </row>
    <row r="44" spans="2:39">
      <c r="B44" s="33"/>
      <c r="C44" s="149" t="s">
        <v>7</v>
      </c>
      <c r="D44" s="162">
        <v>40.35</v>
      </c>
      <c r="E44" s="162">
        <v>80.38</v>
      </c>
      <c r="F44" s="162">
        <v>138</v>
      </c>
      <c r="G44" s="162">
        <v>38</v>
      </c>
      <c r="H44" s="162">
        <v>281</v>
      </c>
      <c r="I44" s="162">
        <v>0</v>
      </c>
      <c r="J44" s="162">
        <v>83.17</v>
      </c>
      <c r="K44" s="162">
        <v>0.63</v>
      </c>
      <c r="L44" s="162">
        <v>2427</v>
      </c>
      <c r="M44" s="162">
        <v>0</v>
      </c>
      <c r="O44" s="17"/>
      <c r="P44" s="148" t="s">
        <v>7</v>
      </c>
      <c r="Q44" s="187">
        <v>40.349968334326093</v>
      </c>
      <c r="R44" s="43">
        <v>100</v>
      </c>
      <c r="S44" s="43">
        <v>55.702592800119646</v>
      </c>
      <c r="T44" s="43">
        <v>12.791493506493506</v>
      </c>
      <c r="U44" s="43">
        <v>25.643887854753022</v>
      </c>
      <c r="V44" s="43">
        <v>0</v>
      </c>
      <c r="W44" s="43">
        <v>83.172294243102669</v>
      </c>
      <c r="X44" s="43">
        <v>72.902199478111669</v>
      </c>
      <c r="Y44" s="43">
        <v>64.785814916325208</v>
      </c>
      <c r="Z44" s="43">
        <v>0</v>
      </c>
      <c r="AA44" s="189">
        <v>50.594056697837118</v>
      </c>
      <c r="AC44" s="128" t="e">
        <f>_xlfn.XLOOKUP(AD44,'Global sales'!#REF!,'Global sales'!#REF!,0)</f>
        <v>#REF!</v>
      </c>
      <c r="AD44" s="181" t="s">
        <v>7</v>
      </c>
      <c r="AE44" s="185">
        <v>70</v>
      </c>
      <c r="AF44" s="186">
        <v>35.6</v>
      </c>
      <c r="AG44" s="186">
        <v>46</v>
      </c>
      <c r="AH44" s="186">
        <v>50.533333333333331</v>
      </c>
      <c r="AI44" s="86"/>
      <c r="AJ44" s="86"/>
      <c r="AK44" s="86"/>
      <c r="AL44" s="86"/>
      <c r="AM44" s="10"/>
    </row>
    <row r="45" spans="2:39">
      <c r="B45" s="33"/>
      <c r="C45" s="149" t="s">
        <v>13</v>
      </c>
      <c r="D45" s="162">
        <v>15.16</v>
      </c>
      <c r="E45" s="162">
        <v>39.880000000000003</v>
      </c>
      <c r="F45" s="162">
        <v>141</v>
      </c>
      <c r="G45" s="162">
        <v>84</v>
      </c>
      <c r="H45" s="162">
        <v>469</v>
      </c>
      <c r="I45" s="162">
        <v>100</v>
      </c>
      <c r="J45" s="162">
        <v>93.44</v>
      </c>
      <c r="K45" s="162">
        <v>0.78</v>
      </c>
      <c r="L45" s="162">
        <v>1567</v>
      </c>
      <c r="M45" s="162">
        <v>3.859</v>
      </c>
      <c r="O45" s="17"/>
      <c r="P45" s="148" t="s">
        <v>13</v>
      </c>
      <c r="Q45" s="187">
        <v>15.163298099879094</v>
      </c>
      <c r="R45" s="43">
        <v>49.611197511664074</v>
      </c>
      <c r="S45" s="43">
        <v>50.256649556696196</v>
      </c>
      <c r="T45" s="43">
        <v>42.855194805194806</v>
      </c>
      <c r="U45" s="43">
        <v>82.362133933500886</v>
      </c>
      <c r="V45" s="43">
        <v>100</v>
      </c>
      <c r="W45" s="43">
        <v>93.441909849273486</v>
      </c>
      <c r="X45" s="43">
        <v>90.259180675727521</v>
      </c>
      <c r="Y45" s="43">
        <v>41.720119660698316</v>
      </c>
      <c r="Z45" s="43">
        <v>14.510690072349325</v>
      </c>
      <c r="AA45" s="189">
        <v>51.7551247044413</v>
      </c>
      <c r="AC45" s="128" t="e">
        <f>_xlfn.XLOOKUP(AD45,'Global sales'!#REF!,'Global sales'!#REF!,0)</f>
        <v>#REF!</v>
      </c>
      <c r="AD45" s="181" t="s">
        <v>13</v>
      </c>
      <c r="AE45" s="185">
        <v>32.5</v>
      </c>
      <c r="AF45" s="186">
        <v>73.599999999999994</v>
      </c>
      <c r="AG45" s="186">
        <v>49</v>
      </c>
      <c r="AH45" s="186">
        <v>51.699999999999996</v>
      </c>
      <c r="AI45" s="86"/>
      <c r="AJ45" s="86"/>
      <c r="AK45" s="86"/>
      <c r="AL45" s="86"/>
      <c r="AM45" s="10"/>
    </row>
    <row r="46" spans="2:39">
      <c r="B46" s="33"/>
      <c r="C46" s="149" t="s">
        <v>8</v>
      </c>
      <c r="D46" s="162">
        <v>29.38</v>
      </c>
      <c r="E46" s="162">
        <v>63</v>
      </c>
      <c r="F46" s="162">
        <v>149</v>
      </c>
      <c r="G46" s="162">
        <v>72</v>
      </c>
      <c r="H46" s="162">
        <v>367</v>
      </c>
      <c r="I46" s="162">
        <v>7</v>
      </c>
      <c r="J46" s="162">
        <v>97.54</v>
      </c>
      <c r="K46" s="162">
        <v>0.75</v>
      </c>
      <c r="L46" s="162">
        <v>1677</v>
      </c>
      <c r="M46" s="162">
        <v>0.96499999999999997</v>
      </c>
      <c r="O46" s="17"/>
      <c r="P46" s="148" t="s">
        <v>8</v>
      </c>
      <c r="Q46" s="187">
        <v>29.384545408330066</v>
      </c>
      <c r="R46" s="43">
        <v>78.38258164852256</v>
      </c>
      <c r="S46" s="43">
        <v>36.710525604599326</v>
      </c>
      <c r="T46" s="43">
        <v>35.287077922077927</v>
      </c>
      <c r="U46" s="43">
        <v>51.480255714815826</v>
      </c>
      <c r="V46" s="43">
        <v>6.8548295604952454</v>
      </c>
      <c r="W46" s="43">
        <v>97.543905095411333</v>
      </c>
      <c r="X46" s="43">
        <v>86.676806594683526</v>
      </c>
      <c r="Y46" s="43">
        <v>44.654923041222332</v>
      </c>
      <c r="Z46" s="43">
        <v>3.6289733982731684</v>
      </c>
      <c r="AA46" s="189">
        <v>48.187818135684005</v>
      </c>
      <c r="AC46" s="128" t="e">
        <f>_xlfn.XLOOKUP(AD46,'Global sales'!#REF!,'Global sales'!#REF!,0)</f>
        <v>#REF!</v>
      </c>
      <c r="AD46" s="181" t="s">
        <v>8</v>
      </c>
      <c r="AE46" s="185">
        <v>53.5</v>
      </c>
      <c r="AF46" s="186">
        <v>45.6</v>
      </c>
      <c r="AG46" s="186">
        <v>45.333333333333336</v>
      </c>
      <c r="AH46" s="186">
        <v>48.144444444444446</v>
      </c>
      <c r="AI46" s="86"/>
      <c r="AJ46" s="86"/>
      <c r="AK46" s="86"/>
      <c r="AL46" s="86"/>
      <c r="AM46" s="10"/>
    </row>
    <row r="47" spans="2:39">
      <c r="B47" s="33"/>
      <c r="C47" s="149" t="s">
        <v>16</v>
      </c>
      <c r="D47" s="162">
        <v>9.7200000000000006</v>
      </c>
      <c r="E47" s="162">
        <v>59.39</v>
      </c>
      <c r="F47" s="162">
        <v>146</v>
      </c>
      <c r="G47" s="162">
        <v>42</v>
      </c>
      <c r="H47" s="162">
        <v>284</v>
      </c>
      <c r="I47" s="162">
        <v>0</v>
      </c>
      <c r="J47" s="162">
        <v>94.93</v>
      </c>
      <c r="K47" s="162">
        <v>0.73</v>
      </c>
      <c r="L47" s="162">
        <v>426</v>
      </c>
      <c r="M47" s="162">
        <v>6.32</v>
      </c>
      <c r="O47" s="17"/>
      <c r="P47" s="148" t="s">
        <v>16</v>
      </c>
      <c r="Q47" s="187">
        <v>9.7242959325826241</v>
      </c>
      <c r="R47" s="43">
        <v>73.888024883359265</v>
      </c>
      <c r="S47" s="43">
        <v>41.490927631851562</v>
      </c>
      <c r="T47" s="43">
        <v>15.27688311688312</v>
      </c>
      <c r="U47" s="43">
        <v>26.548966249626659</v>
      </c>
      <c r="V47" s="43">
        <v>0</v>
      </c>
      <c r="W47" s="43">
        <v>94.927315924490543</v>
      </c>
      <c r="X47" s="43">
        <v>84.251026161067131</v>
      </c>
      <c r="Y47" s="43">
        <v>11.116303009208018</v>
      </c>
      <c r="Z47" s="43">
        <v>23.766636901486354</v>
      </c>
      <c r="AA47" s="189">
        <v>39.161069401262694</v>
      </c>
      <c r="AC47" s="128" t="e">
        <f>_xlfn.XLOOKUP(AD47,'Global sales'!#REF!,'Global sales'!#REF!,0)</f>
        <v>#REF!</v>
      </c>
      <c r="AD47" s="181" t="s">
        <v>16</v>
      </c>
      <c r="AE47" s="185">
        <v>42</v>
      </c>
      <c r="AF47" s="186">
        <v>35.6</v>
      </c>
      <c r="AG47" s="186">
        <v>39.666666666666664</v>
      </c>
      <c r="AH47" s="186">
        <v>39.088888888888881</v>
      </c>
      <c r="AI47" s="86"/>
      <c r="AJ47" s="86"/>
      <c r="AK47" s="86"/>
      <c r="AL47" s="86"/>
      <c r="AM47" s="10"/>
    </row>
    <row r="48" spans="2:39">
      <c r="B48" s="33"/>
      <c r="C48" s="149" t="s">
        <v>47</v>
      </c>
      <c r="D48" s="162">
        <v>20.76</v>
      </c>
      <c r="E48" s="162">
        <v>75</v>
      </c>
      <c r="F48" s="162">
        <v>148</v>
      </c>
      <c r="G48" s="162">
        <v>26</v>
      </c>
      <c r="H48" s="162">
        <v>267</v>
      </c>
      <c r="I48" s="162">
        <v>0</v>
      </c>
      <c r="J48" s="162">
        <v>100</v>
      </c>
      <c r="K48" s="162">
        <v>0.63</v>
      </c>
      <c r="L48" s="162">
        <v>1348</v>
      </c>
      <c r="M48" s="162">
        <v>0</v>
      </c>
      <c r="O48" s="17"/>
      <c r="P48" s="149" t="s">
        <v>47</v>
      </c>
      <c r="Q48" s="187">
        <v>20.759895960059762</v>
      </c>
      <c r="R48" s="43">
        <v>93.312597200622079</v>
      </c>
      <c r="S48" s="43">
        <v>38.792729133373079</v>
      </c>
      <c r="T48" s="43">
        <v>5.349740259740261</v>
      </c>
      <c r="U48" s="43">
        <v>21.420188678676052</v>
      </c>
      <c r="V48" s="43">
        <v>0</v>
      </c>
      <c r="W48" s="43">
        <v>100</v>
      </c>
      <c r="X48" s="43">
        <v>72.907928613462857</v>
      </c>
      <c r="Y48" s="43">
        <v>35.849276024777652</v>
      </c>
      <c r="Z48" s="43">
        <v>0</v>
      </c>
      <c r="AA48" s="189">
        <v>42.116434576595367</v>
      </c>
      <c r="AC48" s="128" t="e">
        <f>_xlfn.XLOOKUP(AD48,'Global sales'!#REF!,'Global sales'!#REF!,0)</f>
        <v>#REF!</v>
      </c>
      <c r="AD48" s="182" t="s">
        <v>9</v>
      </c>
      <c r="AE48" s="185">
        <v>57</v>
      </c>
      <c r="AF48" s="186">
        <v>33</v>
      </c>
      <c r="AG48" s="186">
        <v>36.333333333333336</v>
      </c>
      <c r="AH48" s="186">
        <v>42.111111111111114</v>
      </c>
      <c r="AI48" s="86"/>
      <c r="AJ48" s="86"/>
      <c r="AK48" s="86"/>
      <c r="AL48" s="86"/>
      <c r="AM48" s="10"/>
    </row>
    <row r="49" spans="2:39">
      <c r="B49" s="33"/>
      <c r="C49" s="149" t="s">
        <v>6</v>
      </c>
      <c r="D49" s="162">
        <v>75.92</v>
      </c>
      <c r="E49" s="162">
        <v>62.18</v>
      </c>
      <c r="F49" s="162">
        <v>131</v>
      </c>
      <c r="G49" s="162">
        <v>57</v>
      </c>
      <c r="H49" s="162">
        <v>407</v>
      </c>
      <c r="I49" s="162">
        <v>0</v>
      </c>
      <c r="J49" s="162">
        <v>99.84</v>
      </c>
      <c r="K49" s="162">
        <v>0.86</v>
      </c>
      <c r="L49" s="162">
        <v>2535</v>
      </c>
      <c r="M49" s="162">
        <v>26.591000000000001</v>
      </c>
      <c r="O49" s="17"/>
      <c r="P49" s="148" t="s">
        <v>68</v>
      </c>
      <c r="Q49" s="187">
        <v>75.923244990263314</v>
      </c>
      <c r="R49" s="43">
        <v>77.356143079315714</v>
      </c>
      <c r="S49" s="43">
        <v>69.413030122316187</v>
      </c>
      <c r="T49" s="43">
        <v>25.384480519480523</v>
      </c>
      <c r="U49" s="43">
        <v>63.657180439445739</v>
      </c>
      <c r="V49" s="43">
        <v>0</v>
      </c>
      <c r="W49" s="43">
        <v>99.843887208508136</v>
      </c>
      <c r="X49" s="43">
        <v>75.929554695537163</v>
      </c>
      <c r="Y49" s="43">
        <v>67.685836123973104</v>
      </c>
      <c r="Z49" s="43">
        <v>100</v>
      </c>
      <c r="AA49" s="189">
        <v>69.788439815283027</v>
      </c>
      <c r="AC49" s="128" t="e">
        <f>_xlfn.XLOOKUP(AD49,'Global sales'!#REF!,'Global sales'!#REF!,0)</f>
        <v>#REF!</v>
      </c>
      <c r="AD49" s="181" t="s">
        <v>6</v>
      </c>
      <c r="AE49" s="185">
        <v>76.5</v>
      </c>
      <c r="AF49" s="186">
        <v>51.6</v>
      </c>
      <c r="AG49" s="186">
        <v>81.333333333333329</v>
      </c>
      <c r="AH49" s="186">
        <v>69.811111111111117</v>
      </c>
      <c r="AI49" s="86"/>
      <c r="AJ49" s="86"/>
      <c r="AK49" s="86"/>
      <c r="AL49" s="86"/>
      <c r="AM49" s="10"/>
    </row>
    <row r="50" spans="2:39">
      <c r="B50" s="33"/>
      <c r="C50" s="149" t="s">
        <v>5</v>
      </c>
      <c r="D50" s="162">
        <v>100</v>
      </c>
      <c r="E50" s="162">
        <v>37.200000000000003</v>
      </c>
      <c r="F50" s="162">
        <v>117</v>
      </c>
      <c r="G50" s="162">
        <v>172</v>
      </c>
      <c r="H50" s="162">
        <v>527</v>
      </c>
      <c r="I50" s="162">
        <v>0</v>
      </c>
      <c r="J50" s="162">
        <v>100</v>
      </c>
      <c r="K50" s="162">
        <v>0.86</v>
      </c>
      <c r="L50" s="162">
        <v>3740</v>
      </c>
      <c r="M50" s="162">
        <v>26.591000000000001</v>
      </c>
      <c r="O50" s="17"/>
      <c r="P50" s="148" t="s">
        <v>5</v>
      </c>
      <c r="Q50" s="187">
        <v>100</v>
      </c>
      <c r="R50" s="43">
        <v>46.283048211508557</v>
      </c>
      <c r="S50" s="43">
        <v>94.024362339807979</v>
      </c>
      <c r="T50" s="43">
        <v>100</v>
      </c>
      <c r="U50" s="43">
        <v>100</v>
      </c>
      <c r="V50" s="43">
        <v>0</v>
      </c>
      <c r="W50" s="43">
        <v>100</v>
      </c>
      <c r="X50" s="43">
        <v>100</v>
      </c>
      <c r="Y50" s="43">
        <v>100</v>
      </c>
      <c r="Z50" s="43">
        <v>100</v>
      </c>
      <c r="AA50" s="189">
        <v>83.977953657843685</v>
      </c>
      <c r="AC50" s="128" t="e">
        <f>_xlfn.XLOOKUP(AD50,'Global sales'!#REF!,'Global sales'!#REF!,0)</f>
        <v>#REF!</v>
      </c>
      <c r="AD50" s="181" t="s">
        <v>5</v>
      </c>
      <c r="AE50" s="185">
        <v>73</v>
      </c>
      <c r="AF50" s="186">
        <v>78.8</v>
      </c>
      <c r="AG50" s="186">
        <v>100</v>
      </c>
      <c r="AH50" s="186">
        <v>83.933333333333337</v>
      </c>
      <c r="AI50" s="86"/>
      <c r="AJ50" s="86"/>
      <c r="AK50" s="86"/>
      <c r="AL50" s="86"/>
      <c r="AM50" s="10"/>
    </row>
    <row r="51" spans="2:39">
      <c r="B51" s="33"/>
      <c r="C51" s="149" t="s">
        <v>15</v>
      </c>
      <c r="D51" s="162">
        <v>8.15</v>
      </c>
      <c r="E51" s="162">
        <v>18.59</v>
      </c>
      <c r="F51" s="162">
        <v>114</v>
      </c>
      <c r="G51" s="162">
        <v>26</v>
      </c>
      <c r="H51" s="162">
        <v>334</v>
      </c>
      <c r="I51" s="162">
        <v>7</v>
      </c>
      <c r="J51" s="162">
        <v>80.72</v>
      </c>
      <c r="K51" s="162">
        <v>0.61</v>
      </c>
      <c r="L51" s="162">
        <v>756</v>
      </c>
      <c r="M51" s="162">
        <v>1.0980000000000001</v>
      </c>
      <c r="O51" s="17"/>
      <c r="P51" s="149" t="s">
        <v>15</v>
      </c>
      <c r="Q51" s="187">
        <v>8.1490594017509572</v>
      </c>
      <c r="R51" s="43">
        <v>23.125972006220845</v>
      </c>
      <c r="S51" s="43">
        <v>100</v>
      </c>
      <c r="T51" s="43">
        <v>5.1324025974025975</v>
      </c>
      <c r="U51" s="43">
        <v>41.633606164187256</v>
      </c>
      <c r="V51" s="43">
        <v>6.7587294254509542</v>
      </c>
      <c r="W51" s="43">
        <v>80.723023389127718</v>
      </c>
      <c r="X51" s="43">
        <v>70.843402220310338</v>
      </c>
      <c r="Y51" s="43">
        <v>19.968372684724631</v>
      </c>
      <c r="Z51" s="43">
        <v>4.1295214532073992</v>
      </c>
      <c r="AA51" s="189">
        <v>31.371397365145999</v>
      </c>
      <c r="AC51" s="128" t="e">
        <f>_xlfn.XLOOKUP(AD51,'Global sales'!#REF!,'Global sales'!#REF!,0)</f>
        <v>#REF!</v>
      </c>
      <c r="AD51" s="182" t="s">
        <v>15</v>
      </c>
      <c r="AE51" s="185">
        <v>15.5</v>
      </c>
      <c r="AF51" s="186">
        <v>47</v>
      </c>
      <c r="AG51" s="186">
        <v>31.666666666666668</v>
      </c>
      <c r="AH51" s="186">
        <v>31.388888888888889</v>
      </c>
      <c r="AI51" s="86"/>
      <c r="AJ51" s="86"/>
      <c r="AK51" s="86"/>
      <c r="AL51" s="86"/>
      <c r="AM51" s="10"/>
    </row>
    <row r="52" spans="2:39">
      <c r="B52" s="33"/>
      <c r="C52" s="149" t="s">
        <v>11</v>
      </c>
      <c r="D52" s="162">
        <v>17.02</v>
      </c>
      <c r="E52" s="162">
        <v>37.33</v>
      </c>
      <c r="F52" s="162">
        <v>144</v>
      </c>
      <c r="G52" s="162">
        <v>46</v>
      </c>
      <c r="H52" s="162">
        <v>373</v>
      </c>
      <c r="I52" s="162">
        <v>0</v>
      </c>
      <c r="J52" s="162">
        <v>99.84</v>
      </c>
      <c r="K52" s="162">
        <v>0.77</v>
      </c>
      <c r="L52" s="162">
        <v>123</v>
      </c>
      <c r="M52" s="162">
        <v>0</v>
      </c>
      <c r="O52" s="17"/>
      <c r="P52" s="149" t="s">
        <v>11</v>
      </c>
      <c r="Q52" s="187">
        <v>17.018702279601154</v>
      </c>
      <c r="R52" s="43">
        <v>46.438569206842928</v>
      </c>
      <c r="S52" s="43">
        <v>45.545071769990116</v>
      </c>
      <c r="T52" s="43">
        <v>18.15285714285714</v>
      </c>
      <c r="U52" s="43">
        <v>53.399625297544532</v>
      </c>
      <c r="V52" s="43">
        <v>0</v>
      </c>
      <c r="W52" s="43">
        <v>99.843767845005289</v>
      </c>
      <c r="X52" s="43">
        <v>88.764691115528862</v>
      </c>
      <c r="Y52" s="43">
        <v>2.9732319860742837</v>
      </c>
      <c r="Z52" s="43">
        <v>0</v>
      </c>
      <c r="AA52" s="189">
        <v>35.311609736295516</v>
      </c>
      <c r="AC52" s="128" t="e">
        <f>_xlfn.XLOOKUP(AD52,'Global sales'!#REF!,'Global sales'!#REF!,0)</f>
        <v>#REF!</v>
      </c>
      <c r="AD52" s="182" t="s">
        <v>11</v>
      </c>
      <c r="AE52" s="185">
        <v>31.5</v>
      </c>
      <c r="AF52" s="186">
        <v>43.4</v>
      </c>
      <c r="AG52" s="186">
        <v>30.666666666666668</v>
      </c>
      <c r="AH52" s="186">
        <v>35.18888888888889</v>
      </c>
      <c r="AI52" s="86"/>
      <c r="AJ52" s="86"/>
      <c r="AK52" s="86"/>
      <c r="AL52" s="86"/>
      <c r="AM52" s="10"/>
    </row>
    <row r="53" spans="2:39">
      <c r="B53" s="33"/>
      <c r="C53" s="149" t="s">
        <v>24</v>
      </c>
      <c r="D53" s="162">
        <v>2.19</v>
      </c>
      <c r="E53" s="162">
        <v>2.81</v>
      </c>
      <c r="F53" s="162">
        <v>169</v>
      </c>
      <c r="G53" s="162">
        <v>47</v>
      </c>
      <c r="H53" s="162">
        <v>203</v>
      </c>
      <c r="I53" s="162">
        <v>0</v>
      </c>
      <c r="J53" s="162">
        <v>0</v>
      </c>
      <c r="K53" s="162">
        <v>0.32</v>
      </c>
      <c r="L53" s="162">
        <v>559</v>
      </c>
      <c r="M53" s="162">
        <v>0</v>
      </c>
      <c r="O53" s="17"/>
      <c r="P53" s="148" t="s">
        <v>24</v>
      </c>
      <c r="Q53" s="187">
        <v>2.189629597510669</v>
      </c>
      <c r="R53" s="43">
        <v>3.4992223950233283</v>
      </c>
      <c r="S53" s="43">
        <v>0</v>
      </c>
      <c r="T53" s="43">
        <v>18.808181818181815</v>
      </c>
      <c r="U53" s="43">
        <v>2.2258894657925579</v>
      </c>
      <c r="V53" s="43">
        <v>0</v>
      </c>
      <c r="W53" s="43">
        <v>0</v>
      </c>
      <c r="X53" s="43">
        <v>37.630983897065292</v>
      </c>
      <c r="Y53" s="43">
        <v>14.665136975081881</v>
      </c>
      <c r="Z53" s="43">
        <v>0</v>
      </c>
      <c r="AA53" s="189">
        <v>8.1302226894419913</v>
      </c>
      <c r="AC53" s="128" t="e">
        <f>_xlfn.XLOOKUP(AD53,'Global sales'!#REF!,'Global sales'!#REF!,0)</f>
        <v>#REF!</v>
      </c>
      <c r="AD53" s="181" t="s">
        <v>24</v>
      </c>
      <c r="AE53" s="185">
        <v>2.5</v>
      </c>
      <c r="AF53" s="186">
        <v>4.2</v>
      </c>
      <c r="AG53" s="186">
        <v>17.666666666666668</v>
      </c>
      <c r="AH53" s="186">
        <v>8.1222222222222218</v>
      </c>
      <c r="AI53" s="86"/>
      <c r="AJ53" s="86"/>
      <c r="AK53" s="86"/>
      <c r="AL53" s="86"/>
      <c r="AM53" s="10"/>
    </row>
    <row r="54" spans="2:39">
      <c r="B54" s="33"/>
      <c r="C54" s="149" t="s">
        <v>10</v>
      </c>
      <c r="D54" s="162">
        <v>17.43</v>
      </c>
      <c r="E54" s="162">
        <v>62.44</v>
      </c>
      <c r="F54" s="162">
        <v>144</v>
      </c>
      <c r="G54" s="162">
        <v>24</v>
      </c>
      <c r="H54" s="162">
        <v>209</v>
      </c>
      <c r="I54" s="162">
        <v>0</v>
      </c>
      <c r="J54" s="162">
        <v>100</v>
      </c>
      <c r="K54" s="162">
        <v>0.5</v>
      </c>
      <c r="L54" s="162">
        <v>657</v>
      </c>
      <c r="M54" s="162">
        <v>0</v>
      </c>
      <c r="O54" s="17"/>
      <c r="P54" s="149" t="s">
        <v>49</v>
      </c>
      <c r="Q54" s="187">
        <v>17.431421078436358</v>
      </c>
      <c r="R54" s="43">
        <v>77.682737169517893</v>
      </c>
      <c r="S54" s="43">
        <v>45.973511675798186</v>
      </c>
      <c r="T54" s="43">
        <v>3.7774025974025975</v>
      </c>
      <c r="U54" s="43">
        <v>3.9220063777857561</v>
      </c>
      <c r="V54" s="43">
        <v>0</v>
      </c>
      <c r="W54" s="43">
        <v>100</v>
      </c>
      <c r="X54" s="43">
        <v>57.649606063229378</v>
      </c>
      <c r="Y54" s="43">
        <v>17.302487219672575</v>
      </c>
      <c r="Z54" s="43">
        <v>0</v>
      </c>
      <c r="AA54" s="189">
        <v>34.443916913226126</v>
      </c>
      <c r="AC54" s="128" t="e">
        <f>_xlfn.XLOOKUP(AD54,'Global sales'!#REF!,'Global sales'!#REF!,0)</f>
        <v>#REF!</v>
      </c>
      <c r="AD54" s="182" t="s">
        <v>10</v>
      </c>
      <c r="AE54" s="185">
        <v>47.5</v>
      </c>
      <c r="AF54" s="186">
        <v>30.8</v>
      </c>
      <c r="AG54" s="186">
        <v>25</v>
      </c>
      <c r="AH54" s="186">
        <v>34.43333333333333</v>
      </c>
      <c r="AI54" s="86"/>
      <c r="AJ54" s="86"/>
      <c r="AK54" s="86"/>
      <c r="AL54" s="86"/>
      <c r="AM54" s="82"/>
    </row>
    <row r="55" spans="2:39" s="130" customFormat="1">
      <c r="B55" s="130">
        <v>2023</v>
      </c>
      <c r="C55" s="97" t="s">
        <v>73</v>
      </c>
      <c r="D55" s="131">
        <f>MAX(D34:D54)</f>
        <v>100</v>
      </c>
      <c r="E55" s="131">
        <f t="shared" ref="E55:M55" si="8">MAX(E34:E54)</f>
        <v>80.38</v>
      </c>
      <c r="F55" s="131">
        <f t="shared" si="8"/>
        <v>169</v>
      </c>
      <c r="G55" s="131">
        <f t="shared" si="8"/>
        <v>172</v>
      </c>
      <c r="H55" s="131">
        <f t="shared" si="8"/>
        <v>527</v>
      </c>
      <c r="I55" s="131">
        <f t="shared" si="8"/>
        <v>100</v>
      </c>
      <c r="J55" s="131">
        <f t="shared" si="8"/>
        <v>100</v>
      </c>
      <c r="K55" s="131">
        <f t="shared" si="8"/>
        <v>0.86</v>
      </c>
      <c r="L55" s="131">
        <f t="shared" si="8"/>
        <v>3740</v>
      </c>
      <c r="M55" s="131">
        <f t="shared" si="8"/>
        <v>26.591000000000001</v>
      </c>
      <c r="AC55" s="130" t="s">
        <v>339</v>
      </c>
    </row>
    <row r="56" spans="2:39" s="130" customFormat="1">
      <c r="C56" s="97" t="s">
        <v>74</v>
      </c>
      <c r="D56" s="132">
        <f>MIN(D34:D54)</f>
        <v>0.03</v>
      </c>
      <c r="E56" s="132">
        <f t="shared" ref="E56:M56" si="9">MIN(E34:E54)</f>
        <v>0</v>
      </c>
      <c r="F56" s="132">
        <f t="shared" si="9"/>
        <v>114</v>
      </c>
      <c r="G56" s="132">
        <f t="shared" si="9"/>
        <v>24</v>
      </c>
      <c r="H56" s="132">
        <f t="shared" si="9"/>
        <v>203</v>
      </c>
      <c r="I56" s="132">
        <f t="shared" si="9"/>
        <v>0</v>
      </c>
      <c r="J56" s="132">
        <f t="shared" si="9"/>
        <v>0</v>
      </c>
      <c r="K56" s="132">
        <f t="shared" si="9"/>
        <v>0</v>
      </c>
      <c r="L56" s="132">
        <f t="shared" si="9"/>
        <v>123</v>
      </c>
      <c r="M56" s="132">
        <f t="shared" si="9"/>
        <v>0</v>
      </c>
    </row>
    <row r="57" spans="2:39" s="130" customFormat="1">
      <c r="D57" s="133"/>
      <c r="E57" s="133"/>
    </row>
    <row r="58" spans="2:39" s="130" customFormat="1">
      <c r="B58" s="130" t="s">
        <v>96</v>
      </c>
      <c r="C58" s="97" t="s">
        <v>73</v>
      </c>
      <c r="D58" s="15">
        <v>100</v>
      </c>
      <c r="E58" s="15">
        <v>80.400000000000006</v>
      </c>
      <c r="F58" s="15">
        <v>169.2</v>
      </c>
      <c r="G58" s="15">
        <v>172</v>
      </c>
      <c r="H58" s="15">
        <v>527</v>
      </c>
      <c r="I58" s="15">
        <v>100</v>
      </c>
      <c r="J58" s="15">
        <v>100</v>
      </c>
      <c r="K58" s="134">
        <v>0.86</v>
      </c>
      <c r="L58" s="15">
        <v>3740</v>
      </c>
      <c r="M58" s="15">
        <v>26.6</v>
      </c>
    </row>
    <row r="59" spans="2:39" s="130" customFormat="1">
      <c r="B59" s="130" t="s">
        <v>78</v>
      </c>
      <c r="C59" s="97" t="s">
        <v>74</v>
      </c>
      <c r="D59" s="15">
        <v>0</v>
      </c>
      <c r="E59" s="15">
        <v>0</v>
      </c>
      <c r="F59" s="15">
        <v>113.7</v>
      </c>
      <c r="G59" s="15">
        <v>18</v>
      </c>
      <c r="H59" s="15">
        <v>196</v>
      </c>
      <c r="I59" s="15">
        <v>0</v>
      </c>
      <c r="J59" s="15">
        <v>0</v>
      </c>
      <c r="K59" s="134">
        <v>0</v>
      </c>
      <c r="L59" s="122">
        <v>12.933954512905462</v>
      </c>
      <c r="M59" s="15">
        <v>0</v>
      </c>
    </row>
    <row r="60" spans="2:39" s="130" customFormat="1"/>
    <row r="61" spans="2:39" s="130" customFormat="1"/>
    <row r="62" spans="2:39" s="130" customFormat="1"/>
    <row r="122" spans="17:26">
      <c r="Q122" s="55">
        <f t="shared" ref="Q122:Z122" si="10">Q54-Q100</f>
        <v>17.431421078436358</v>
      </c>
      <c r="R122" s="55">
        <f t="shared" si="10"/>
        <v>77.682737169517893</v>
      </c>
      <c r="S122" s="55">
        <f t="shared" si="10"/>
        <v>45.973511675798186</v>
      </c>
      <c r="T122" s="55">
        <f t="shared" si="10"/>
        <v>3.7774025974025975</v>
      </c>
      <c r="U122" s="55">
        <f t="shared" si="10"/>
        <v>3.9220063777857561</v>
      </c>
      <c r="V122" s="55">
        <f t="shared" si="10"/>
        <v>0</v>
      </c>
      <c r="W122" s="55">
        <f t="shared" si="10"/>
        <v>100</v>
      </c>
      <c r="X122" s="55">
        <f t="shared" si="10"/>
        <v>57.649606063229378</v>
      </c>
      <c r="Y122" s="55">
        <f t="shared" si="10"/>
        <v>17.302487219672575</v>
      </c>
      <c r="Z122" s="55">
        <f t="shared" si="10"/>
        <v>0</v>
      </c>
    </row>
  </sheetData>
  <sheetProtection algorithmName="SHA-512" hashValue="3OUC3bgJVIrr21G3stB+vLXVbFQpO4BgWqdjxtHpSjYxysuEYm4Wto839eTELFIv1CyowvojRfPniYyKVqgfRA==" saltValue="Q5YtgzMXLbWMDcZTXACMMg==" spinCount="100000" sheet="1" objects="1" scenarios="1"/>
  <phoneticPr fontId="3" type="noConversion"/>
  <pageMargins left="0.7" right="0.7" top="0.75" bottom="0.75" header="0.3" footer="0.3"/>
  <ignoredErrors>
    <ignoredError sqref="AE4 AE5:AE11 AE13:AE23 AF5 AF4 AF6:AF11 AG4:AG11 AG12:AG23 AF13:AF23" formulaRange="1"/>
    <ignoredError sqref="AC34:AC5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1C54-D518-D349-8B79-94827BD82E20}">
  <sheetPr>
    <tabColor theme="6" tint="0.39997558519241921"/>
  </sheetPr>
  <dimension ref="A1:AD218"/>
  <sheetViews>
    <sheetView zoomScaleNormal="100" workbookViewId="0">
      <selection activeCell="S50" sqref="S50"/>
    </sheetView>
  </sheetViews>
  <sheetFormatPr baseColWidth="10" defaultColWidth="11" defaultRowHeight="16"/>
  <cols>
    <col min="1" max="1" width="17.5" style="59" customWidth="1"/>
    <col min="2" max="2" width="16" style="59" customWidth="1"/>
    <col min="3" max="3" width="14.83203125" style="59" customWidth="1"/>
    <col min="4" max="13" width="14.1640625" style="59" customWidth="1"/>
    <col min="14" max="14" width="14.1640625" style="296" customWidth="1"/>
    <col min="15" max="20" width="14.83203125" style="296" customWidth="1"/>
    <col min="21" max="22" width="12.83203125" style="296" customWidth="1"/>
    <col min="23" max="23" width="18.6640625" style="296" customWidth="1"/>
    <col min="24" max="26" width="12.83203125" style="296" customWidth="1"/>
    <col min="27" max="27" width="15.83203125" style="296" bestFit="1" customWidth="1"/>
    <col min="28" max="28" width="15.83203125" style="59" bestFit="1" customWidth="1"/>
    <col min="29" max="29" width="13.1640625" style="59" customWidth="1"/>
    <col min="30" max="30" width="15.6640625" style="59" bestFit="1" customWidth="1"/>
    <col min="31" max="16384" width="11" style="59"/>
  </cols>
  <sheetData>
    <row r="1" spans="1:30" customFormat="1">
      <c r="A1" s="59"/>
      <c r="B1" s="530" t="s">
        <v>349</v>
      </c>
      <c r="C1" s="530"/>
      <c r="D1" s="530"/>
      <c r="E1" s="530"/>
      <c r="F1" s="530"/>
      <c r="G1" s="530"/>
      <c r="H1" s="530"/>
      <c r="I1" s="530"/>
      <c r="J1" s="59"/>
      <c r="K1" s="59"/>
      <c r="L1" s="41"/>
      <c r="M1" s="41"/>
      <c r="N1" s="296"/>
      <c r="O1" s="296"/>
      <c r="P1" s="296"/>
      <c r="Q1" s="296"/>
      <c r="R1" s="296"/>
      <c r="S1" s="296"/>
      <c r="T1" s="296"/>
      <c r="U1" s="296"/>
      <c r="V1" s="296"/>
      <c r="W1" s="472"/>
      <c r="X1" s="296"/>
      <c r="Y1" s="296"/>
      <c r="Z1" s="296"/>
      <c r="AA1" s="296"/>
    </row>
    <row r="2" spans="1:30" customFormat="1">
      <c r="A2" s="59"/>
      <c r="B2" s="199" t="s">
        <v>26</v>
      </c>
      <c r="C2" s="200" t="s">
        <v>97</v>
      </c>
      <c r="D2" s="200" t="s">
        <v>98</v>
      </c>
      <c r="E2" s="200" t="s">
        <v>99</v>
      </c>
      <c r="F2" s="200" t="s">
        <v>100</v>
      </c>
      <c r="G2" s="200" t="s">
        <v>101</v>
      </c>
      <c r="H2" s="200" t="s">
        <v>102</v>
      </c>
      <c r="I2" s="200" t="s">
        <v>121</v>
      </c>
      <c r="J2" s="59"/>
      <c r="K2" s="59"/>
      <c r="L2" s="41"/>
      <c r="M2" s="41"/>
      <c r="N2" s="296" t="s">
        <v>3</v>
      </c>
      <c r="O2" s="296" t="s">
        <v>97</v>
      </c>
      <c r="P2" s="296" t="s">
        <v>98</v>
      </c>
      <c r="Q2" s="296" t="s">
        <v>104</v>
      </c>
      <c r="R2" s="296" t="s">
        <v>100</v>
      </c>
      <c r="S2" s="296" t="s">
        <v>101</v>
      </c>
      <c r="T2" s="296" t="s">
        <v>102</v>
      </c>
      <c r="U2" s="296" t="s">
        <v>103</v>
      </c>
      <c r="V2" s="296"/>
      <c r="W2" s="296"/>
      <c r="X2" s="296"/>
      <c r="Y2" s="296"/>
      <c r="Z2" s="296"/>
      <c r="AA2" s="296"/>
    </row>
    <row r="3" spans="1:30" customFormat="1">
      <c r="A3" s="59"/>
      <c r="B3" s="197" t="s">
        <v>50</v>
      </c>
      <c r="C3" s="198">
        <v>1737995</v>
      </c>
      <c r="D3" s="198">
        <v>1104970</v>
      </c>
      <c r="E3" s="198">
        <v>2332552</v>
      </c>
      <c r="F3" s="198">
        <v>1795938</v>
      </c>
      <c r="G3" s="198">
        <v>302222</v>
      </c>
      <c r="H3" s="198">
        <v>23683</v>
      </c>
      <c r="I3" s="198">
        <v>7297360</v>
      </c>
      <c r="J3" s="59"/>
      <c r="K3" s="59"/>
      <c r="L3" s="41"/>
      <c r="M3" s="41"/>
      <c r="N3" s="296" t="s">
        <v>22</v>
      </c>
      <c r="O3" s="296">
        <v>1880600</v>
      </c>
      <c r="P3" s="296">
        <v>987044</v>
      </c>
      <c r="Q3" s="296">
        <v>2248477</v>
      </c>
      <c r="R3" s="296">
        <v>2249950</v>
      </c>
      <c r="S3" s="296">
        <v>222447</v>
      </c>
      <c r="T3" s="296">
        <v>22056</v>
      </c>
      <c r="U3" s="296">
        <v>7610574</v>
      </c>
      <c r="V3" s="296"/>
      <c r="W3" s="296"/>
      <c r="X3" s="296"/>
      <c r="Y3" s="296"/>
      <c r="Z3" s="296"/>
      <c r="AA3" s="296"/>
      <c r="AD3" s="27"/>
    </row>
    <row r="4" spans="1:30" customFormat="1">
      <c r="A4" s="59"/>
      <c r="B4" s="197" t="s">
        <v>14</v>
      </c>
      <c r="C4" s="198">
        <v>2974206</v>
      </c>
      <c r="D4" s="198">
        <v>3638180</v>
      </c>
      <c r="E4" s="198">
        <v>662757</v>
      </c>
      <c r="F4" s="198">
        <v>54881</v>
      </c>
      <c r="G4" s="198">
        <v>84266</v>
      </c>
      <c r="H4" s="198">
        <v>26748</v>
      </c>
      <c r="I4" s="198">
        <v>7441038</v>
      </c>
      <c r="J4" s="59"/>
      <c r="K4" s="59"/>
      <c r="L4" s="41"/>
      <c r="M4" s="41"/>
      <c r="N4" s="296" t="s">
        <v>14</v>
      </c>
      <c r="O4" s="296">
        <v>3155540</v>
      </c>
      <c r="P4" s="296">
        <v>3527203</v>
      </c>
      <c r="Q4" s="296">
        <v>639648</v>
      </c>
      <c r="R4" s="296">
        <v>65805</v>
      </c>
      <c r="S4" s="296">
        <v>101086</v>
      </c>
      <c r="T4" s="296">
        <v>40711</v>
      </c>
      <c r="U4" s="296">
        <v>7529993</v>
      </c>
      <c r="V4" s="296"/>
      <c r="W4" s="296"/>
      <c r="X4" s="296"/>
      <c r="Y4" s="296"/>
      <c r="Z4" s="296"/>
      <c r="AA4" s="296"/>
      <c r="AD4" s="27"/>
    </row>
    <row r="5" spans="1:30" customFormat="1">
      <c r="A5" s="59"/>
      <c r="B5" s="197" t="s">
        <v>52</v>
      </c>
      <c r="C5" s="198">
        <v>209754</v>
      </c>
      <c r="D5" s="198">
        <v>1068136</v>
      </c>
      <c r="E5" s="198">
        <v>1708212</v>
      </c>
      <c r="F5" s="198">
        <v>609</v>
      </c>
      <c r="G5" s="198">
        <v>850430</v>
      </c>
      <c r="H5" s="198">
        <v>1107089</v>
      </c>
      <c r="I5" s="198">
        <v>4944230</v>
      </c>
      <c r="J5" s="59"/>
      <c r="K5" s="59"/>
      <c r="L5" s="41"/>
      <c r="M5" s="41"/>
      <c r="N5" s="296" t="s">
        <v>44</v>
      </c>
      <c r="O5" s="296">
        <v>315594</v>
      </c>
      <c r="P5" s="296">
        <v>1096027</v>
      </c>
      <c r="Q5" s="296">
        <v>1652821</v>
      </c>
      <c r="R5" s="296">
        <v>493</v>
      </c>
      <c r="S5" s="296">
        <v>857109</v>
      </c>
      <c r="T5" s="296">
        <v>1161492</v>
      </c>
      <c r="U5" s="296">
        <v>5083536</v>
      </c>
      <c r="V5" s="296"/>
      <c r="W5" s="296"/>
      <c r="X5" s="296"/>
      <c r="Y5" s="296"/>
      <c r="Z5" s="296"/>
      <c r="AA5" s="296"/>
      <c r="AD5" s="27"/>
    </row>
    <row r="6" spans="1:30" customFormat="1">
      <c r="A6" s="59"/>
      <c r="B6" s="197" t="s">
        <v>17</v>
      </c>
      <c r="C6" s="198">
        <v>66175</v>
      </c>
      <c r="D6" s="198">
        <v>2554530</v>
      </c>
      <c r="E6" s="198">
        <v>1308273</v>
      </c>
      <c r="F6" s="198">
        <v>26475</v>
      </c>
      <c r="G6" s="198">
        <v>11805</v>
      </c>
      <c r="H6" s="198">
        <v>3826</v>
      </c>
      <c r="I6" s="198">
        <v>3971084</v>
      </c>
      <c r="J6" s="59"/>
      <c r="K6" s="59"/>
      <c r="L6" s="41"/>
      <c r="M6" s="41"/>
      <c r="N6" s="296" t="s">
        <v>17</v>
      </c>
      <c r="O6" s="296">
        <v>82351</v>
      </c>
      <c r="P6" s="296">
        <v>2681868</v>
      </c>
      <c r="Q6" s="296">
        <v>1534787</v>
      </c>
      <c r="R6" s="296">
        <v>35654</v>
      </c>
      <c r="S6" s="296">
        <v>16117</v>
      </c>
      <c r="T6" s="296">
        <v>7125</v>
      </c>
      <c r="U6" s="296">
        <v>4357902</v>
      </c>
      <c r="V6" s="296"/>
      <c r="W6" s="296"/>
      <c r="X6" s="296"/>
      <c r="Y6" s="296"/>
      <c r="Z6" s="296"/>
      <c r="AA6" s="296"/>
      <c r="AD6" s="27"/>
    </row>
    <row r="7" spans="1:30" customFormat="1">
      <c r="A7" s="59"/>
      <c r="B7" s="197" t="s">
        <v>23</v>
      </c>
      <c r="C7" s="198">
        <v>857475</v>
      </c>
      <c r="D7" s="198">
        <v>74713</v>
      </c>
      <c r="E7" s="198">
        <v>1423940</v>
      </c>
      <c r="F7" s="198">
        <v>668414</v>
      </c>
      <c r="G7" s="198">
        <v>68650</v>
      </c>
      <c r="H7" s="198">
        <v>2507</v>
      </c>
      <c r="I7" s="198">
        <v>3095699</v>
      </c>
      <c r="J7" s="59"/>
      <c r="K7" s="59"/>
      <c r="L7" s="41"/>
      <c r="M7" s="41"/>
      <c r="N7" s="296" t="s">
        <v>23</v>
      </c>
      <c r="O7" s="296">
        <v>1207184</v>
      </c>
      <c r="P7" s="296">
        <v>60960</v>
      </c>
      <c r="Q7" s="296">
        <v>1308186</v>
      </c>
      <c r="R7" s="296">
        <v>594285</v>
      </c>
      <c r="S7" s="296">
        <v>84289</v>
      </c>
      <c r="T7" s="296">
        <v>1385</v>
      </c>
      <c r="U7" s="296">
        <v>3256289</v>
      </c>
      <c r="V7" s="296"/>
      <c r="W7" s="296"/>
      <c r="X7" s="296"/>
      <c r="Y7" s="296"/>
      <c r="Z7" s="296"/>
      <c r="AA7" s="296"/>
      <c r="AD7" s="27"/>
    </row>
    <row r="8" spans="1:30" customFormat="1">
      <c r="A8" s="59"/>
      <c r="B8" s="197" t="s">
        <v>20</v>
      </c>
      <c r="C8" s="198">
        <v>227937</v>
      </c>
      <c r="D8" s="198">
        <v>823639</v>
      </c>
      <c r="E8" s="198">
        <v>2035295</v>
      </c>
      <c r="F8" s="198">
        <v>183</v>
      </c>
      <c r="G8" s="198">
        <v>0</v>
      </c>
      <c r="H8" s="198">
        <v>6042</v>
      </c>
      <c r="I8" s="198">
        <v>3093096</v>
      </c>
      <c r="J8" s="59"/>
      <c r="K8" s="59"/>
      <c r="L8" s="41"/>
      <c r="M8" s="41"/>
      <c r="N8" s="296" t="s">
        <v>20</v>
      </c>
      <c r="O8" s="296">
        <v>255328</v>
      </c>
      <c r="P8" s="296">
        <v>863422</v>
      </c>
      <c r="Q8" s="296">
        <v>1981332</v>
      </c>
      <c r="R8" s="296">
        <v>299</v>
      </c>
      <c r="S8" s="296">
        <v>0</v>
      </c>
      <c r="T8" s="296">
        <v>5108</v>
      </c>
      <c r="U8" s="296">
        <v>3105489</v>
      </c>
      <c r="V8" s="296"/>
      <c r="W8" s="296"/>
      <c r="X8" s="296"/>
      <c r="Y8" s="296"/>
      <c r="Z8" s="296"/>
      <c r="AA8" s="296"/>
      <c r="AD8" s="27"/>
    </row>
    <row r="9" spans="1:30" customFormat="1">
      <c r="A9" s="59"/>
      <c r="B9" s="197" t="s">
        <v>19</v>
      </c>
      <c r="C9" s="198">
        <v>564268</v>
      </c>
      <c r="D9" s="198">
        <v>2831</v>
      </c>
      <c r="E9" s="198">
        <v>2689399</v>
      </c>
      <c r="F9" s="198">
        <v>1038</v>
      </c>
      <c r="G9" s="198">
        <v>0</v>
      </c>
      <c r="H9" s="198">
        <v>25490</v>
      </c>
      <c r="I9" s="198">
        <v>3283026</v>
      </c>
      <c r="J9" s="59"/>
      <c r="K9" s="59"/>
      <c r="L9" s="41"/>
      <c r="M9" s="41"/>
      <c r="N9" s="296" t="s">
        <v>19</v>
      </c>
      <c r="O9" s="296">
        <v>872530</v>
      </c>
      <c r="P9" s="296">
        <v>2056</v>
      </c>
      <c r="Q9" s="296">
        <v>2577662</v>
      </c>
      <c r="R9" s="296">
        <v>1366</v>
      </c>
      <c r="S9" s="296">
        <v>0</v>
      </c>
      <c r="T9" s="296">
        <v>39730</v>
      </c>
      <c r="U9" s="296">
        <v>3493344</v>
      </c>
      <c r="V9" s="296"/>
      <c r="W9" s="296"/>
      <c r="X9" s="296"/>
      <c r="Y9" s="296"/>
      <c r="Z9" s="296"/>
      <c r="AA9" s="296"/>
      <c r="AD9" s="27"/>
    </row>
    <row r="10" spans="1:30" customFormat="1">
      <c r="A10" s="59"/>
      <c r="B10" s="197" t="s">
        <v>21</v>
      </c>
      <c r="C10" s="198">
        <v>619477</v>
      </c>
      <c r="D10" s="198">
        <v>337213</v>
      </c>
      <c r="E10" s="198">
        <v>924057</v>
      </c>
      <c r="F10" s="198">
        <v>472117</v>
      </c>
      <c r="G10" s="198">
        <v>28984</v>
      </c>
      <c r="H10" s="198">
        <v>0</v>
      </c>
      <c r="I10" s="198">
        <v>2381848</v>
      </c>
      <c r="J10" s="59"/>
      <c r="K10" s="59"/>
      <c r="L10" s="41"/>
      <c r="M10" s="41"/>
      <c r="N10" s="296" t="s">
        <v>21</v>
      </c>
      <c r="O10" s="296">
        <v>684209</v>
      </c>
      <c r="P10" s="296">
        <v>322879</v>
      </c>
      <c r="Q10" s="296">
        <v>898796</v>
      </c>
      <c r="R10" s="296">
        <v>476808</v>
      </c>
      <c r="S10" s="296">
        <v>30074</v>
      </c>
      <c r="T10" s="296">
        <v>0</v>
      </c>
      <c r="U10" s="296">
        <v>2412766</v>
      </c>
      <c r="V10" s="296"/>
      <c r="W10" s="296"/>
      <c r="X10" s="296"/>
      <c r="Y10" s="296"/>
      <c r="Z10" s="296"/>
      <c r="AA10" s="296"/>
      <c r="AD10" s="27"/>
    </row>
    <row r="11" spans="1:30" customFormat="1">
      <c r="A11" s="59"/>
      <c r="B11" s="197" t="s">
        <v>25</v>
      </c>
      <c r="C11" s="198">
        <v>0</v>
      </c>
      <c r="D11" s="198">
        <v>215858</v>
      </c>
      <c r="E11" s="198">
        <v>0</v>
      </c>
      <c r="F11" s="198">
        <v>721785</v>
      </c>
      <c r="G11" s="198">
        <v>1790877</v>
      </c>
      <c r="H11" s="198">
        <v>0</v>
      </c>
      <c r="I11" s="198">
        <v>2728520</v>
      </c>
      <c r="J11" s="59"/>
      <c r="K11" s="59"/>
      <c r="L11" s="41"/>
      <c r="M11" s="41"/>
      <c r="N11" s="296" t="s">
        <v>25</v>
      </c>
      <c r="O11" s="296">
        <v>0</v>
      </c>
      <c r="P11" s="296">
        <v>201251</v>
      </c>
      <c r="Q11" s="296">
        <v>0</v>
      </c>
      <c r="R11" s="296">
        <v>650567</v>
      </c>
      <c r="S11" s="296">
        <v>1742680</v>
      </c>
      <c r="T11" s="296">
        <v>0</v>
      </c>
      <c r="U11" s="296">
        <v>2594498</v>
      </c>
      <c r="V11" s="296"/>
      <c r="W11" s="296"/>
      <c r="X11" s="296"/>
      <c r="Y11" s="296"/>
      <c r="Z11" s="296"/>
      <c r="AA11" s="296"/>
      <c r="AD11" s="27"/>
    </row>
    <row r="12" spans="1:30" customFormat="1">
      <c r="A12" s="59"/>
      <c r="B12" s="197" t="s">
        <v>8</v>
      </c>
      <c r="C12" s="198">
        <v>2088622</v>
      </c>
      <c r="D12" s="198">
        <v>415993</v>
      </c>
      <c r="E12" s="198">
        <v>134694</v>
      </c>
      <c r="F12" s="198">
        <v>12666</v>
      </c>
      <c r="G12" s="198">
        <v>2175</v>
      </c>
      <c r="H12" s="198">
        <v>15851</v>
      </c>
      <c r="I12" s="198">
        <v>2670001</v>
      </c>
      <c r="J12" s="59"/>
      <c r="K12" s="59"/>
      <c r="L12" s="41"/>
      <c r="M12" s="41"/>
      <c r="N12" s="296" t="s">
        <v>8</v>
      </c>
      <c r="O12" s="296">
        <v>1612125</v>
      </c>
      <c r="P12" s="296">
        <v>328088</v>
      </c>
      <c r="Q12" s="296">
        <v>140941</v>
      </c>
      <c r="R12" s="296">
        <v>13376</v>
      </c>
      <c r="S12" s="296">
        <v>2270</v>
      </c>
      <c r="T12" s="296">
        <v>18672</v>
      </c>
      <c r="U12" s="296">
        <v>2115472</v>
      </c>
      <c r="V12" s="296"/>
      <c r="W12" s="296"/>
      <c r="X12" s="296"/>
      <c r="Y12" s="296"/>
      <c r="Z12" s="296"/>
      <c r="AA12" s="296"/>
      <c r="AD12" s="27"/>
    </row>
    <row r="13" spans="1:30" customFormat="1">
      <c r="A13" s="59"/>
      <c r="B13" s="197" t="s">
        <v>12</v>
      </c>
      <c r="C13" s="198">
        <v>710462</v>
      </c>
      <c r="D13" s="198">
        <v>925492</v>
      </c>
      <c r="E13" s="198">
        <v>402333</v>
      </c>
      <c r="F13" s="198">
        <v>53181</v>
      </c>
      <c r="G13" s="198">
        <v>15750</v>
      </c>
      <c r="H13" s="198">
        <v>81522</v>
      </c>
      <c r="I13" s="198">
        <v>2188740</v>
      </c>
      <c r="J13" s="59"/>
      <c r="K13" s="59"/>
      <c r="L13" s="41"/>
      <c r="M13" s="41"/>
      <c r="N13" s="296" t="s">
        <v>12</v>
      </c>
      <c r="O13" s="296">
        <v>828704</v>
      </c>
      <c r="P13" s="296">
        <v>914496</v>
      </c>
      <c r="Q13" s="296">
        <v>397270</v>
      </c>
      <c r="R13" s="296">
        <v>52855</v>
      </c>
      <c r="S13" s="296">
        <v>14199</v>
      </c>
      <c r="T13" s="296">
        <v>87206</v>
      </c>
      <c r="U13" s="296">
        <v>2294730</v>
      </c>
      <c r="V13" s="296"/>
      <c r="W13" s="296"/>
      <c r="X13" s="296"/>
      <c r="Y13" s="296"/>
      <c r="Z13" s="296"/>
      <c r="AA13" s="296"/>
      <c r="AD13" s="27"/>
    </row>
    <row r="14" spans="1:30" customFormat="1">
      <c r="A14" s="59"/>
      <c r="B14" s="197" t="s">
        <v>13</v>
      </c>
      <c r="C14" s="198">
        <v>738790</v>
      </c>
      <c r="D14" s="198">
        <v>925457</v>
      </c>
      <c r="E14" s="198">
        <v>370410</v>
      </c>
      <c r="F14" s="198">
        <v>53196</v>
      </c>
      <c r="G14" s="198">
        <v>19565</v>
      </c>
      <c r="H14" s="198">
        <v>66400</v>
      </c>
      <c r="I14" s="198">
        <v>2173818</v>
      </c>
      <c r="J14" s="59"/>
      <c r="K14" s="59"/>
      <c r="L14" s="41"/>
      <c r="M14" s="41"/>
      <c r="N14" s="296" t="s">
        <v>13</v>
      </c>
      <c r="O14" s="296">
        <v>813025</v>
      </c>
      <c r="P14" s="296">
        <v>906026</v>
      </c>
      <c r="Q14" s="296">
        <v>351746</v>
      </c>
      <c r="R14" s="296">
        <v>51231</v>
      </c>
      <c r="S14" s="296">
        <v>17408</v>
      </c>
      <c r="T14" s="296">
        <v>76697</v>
      </c>
      <c r="U14" s="296">
        <v>2216133</v>
      </c>
      <c r="V14" s="296"/>
      <c r="W14" s="296"/>
      <c r="X14" s="296"/>
      <c r="Y14" s="296"/>
      <c r="Z14" s="296"/>
      <c r="AA14" s="296"/>
      <c r="AD14" s="27"/>
    </row>
    <row r="15" spans="1:30" customFormat="1">
      <c r="A15" s="59"/>
      <c r="B15" s="197" t="s">
        <v>7</v>
      </c>
      <c r="C15" s="198">
        <v>1644759</v>
      </c>
      <c r="D15" s="198">
        <v>260222</v>
      </c>
      <c r="E15" s="198">
        <v>0</v>
      </c>
      <c r="F15" s="198">
        <v>5</v>
      </c>
      <c r="G15" s="198">
        <v>61475</v>
      </c>
      <c r="H15" s="198">
        <v>0</v>
      </c>
      <c r="I15" s="198">
        <v>1966461</v>
      </c>
      <c r="J15" s="59"/>
      <c r="K15" s="59"/>
      <c r="L15" s="41"/>
      <c r="M15" s="41"/>
      <c r="N15" s="296" t="s">
        <v>7</v>
      </c>
      <c r="O15" s="296">
        <v>1426928</v>
      </c>
      <c r="P15" s="296">
        <v>231786</v>
      </c>
      <c r="Q15" s="296">
        <v>0</v>
      </c>
      <c r="R15" s="296">
        <v>13</v>
      </c>
      <c r="S15" s="296">
        <v>56902</v>
      </c>
      <c r="T15" s="296">
        <v>0</v>
      </c>
      <c r="U15" s="296">
        <v>1715629</v>
      </c>
      <c r="V15" s="296"/>
      <c r="W15" s="296"/>
      <c r="X15" s="296"/>
      <c r="Y15" s="296"/>
      <c r="Z15" s="296"/>
      <c r="AA15" s="296"/>
      <c r="AD15" s="27"/>
    </row>
    <row r="16" spans="1:30" customFormat="1">
      <c r="A16" s="59"/>
      <c r="B16" s="197" t="s">
        <v>16</v>
      </c>
      <c r="C16" s="198">
        <v>24824</v>
      </c>
      <c r="D16" s="198">
        <v>1590747</v>
      </c>
      <c r="E16" s="198">
        <v>0</v>
      </c>
      <c r="F16" s="198">
        <v>4608</v>
      </c>
      <c r="G16" s="198">
        <v>41729</v>
      </c>
      <c r="H16" s="198">
        <v>39816</v>
      </c>
      <c r="I16" s="198">
        <v>1701724</v>
      </c>
      <c r="J16" s="59"/>
      <c r="K16" s="59"/>
      <c r="L16" s="41"/>
      <c r="M16" s="41"/>
      <c r="N16" s="296" t="s">
        <v>16</v>
      </c>
      <c r="O16" s="296">
        <v>4457</v>
      </c>
      <c r="P16" s="296">
        <v>1533079</v>
      </c>
      <c r="Q16" s="296">
        <v>0</v>
      </c>
      <c r="R16" s="296">
        <v>7098</v>
      </c>
      <c r="S16" s="296">
        <v>48321</v>
      </c>
      <c r="T16" s="296">
        <v>22048</v>
      </c>
      <c r="U16" s="296">
        <v>1615003</v>
      </c>
      <c r="V16" s="296"/>
      <c r="W16" s="296"/>
      <c r="X16" s="296"/>
      <c r="Y16" s="296"/>
      <c r="Z16" s="296"/>
      <c r="AA16" s="296"/>
      <c r="AD16" s="27"/>
    </row>
    <row r="17" spans="1:30" customFormat="1">
      <c r="A17" s="59"/>
      <c r="B17" s="197" t="s">
        <v>47</v>
      </c>
      <c r="C17" s="198">
        <v>1592102</v>
      </c>
      <c r="D17" s="198">
        <v>0</v>
      </c>
      <c r="E17" s="198">
        <v>0</v>
      </c>
      <c r="F17" s="198">
        <v>0</v>
      </c>
      <c r="G17" s="198">
        <v>0</v>
      </c>
      <c r="H17" s="198">
        <v>0</v>
      </c>
      <c r="I17" s="198">
        <v>1592102</v>
      </c>
      <c r="J17" s="59"/>
      <c r="K17" s="59"/>
      <c r="L17" s="41"/>
      <c r="M17" s="41"/>
      <c r="N17" s="296" t="s">
        <v>46</v>
      </c>
      <c r="O17" s="296">
        <v>1598210</v>
      </c>
      <c r="P17" s="296">
        <v>0</v>
      </c>
      <c r="Q17" s="296">
        <v>0</v>
      </c>
      <c r="R17" s="296">
        <v>0</v>
      </c>
      <c r="S17" s="296">
        <v>0</v>
      </c>
      <c r="T17" s="296">
        <v>0</v>
      </c>
      <c r="U17" s="296">
        <v>1598210</v>
      </c>
      <c r="V17" s="296"/>
      <c r="W17" s="296"/>
      <c r="X17" s="296"/>
      <c r="Y17" s="296"/>
      <c r="Z17" s="296"/>
      <c r="AA17" s="296"/>
      <c r="AD17" s="27"/>
    </row>
    <row r="18" spans="1:30" customFormat="1">
      <c r="A18" s="59"/>
      <c r="B18" s="197" t="s">
        <v>6</v>
      </c>
      <c r="C18" s="198">
        <v>3643111</v>
      </c>
      <c r="D18" s="198">
        <v>50369</v>
      </c>
      <c r="E18" s="198">
        <v>0</v>
      </c>
      <c r="F18" s="198">
        <v>2223</v>
      </c>
      <c r="G18" s="198">
        <v>2449</v>
      </c>
      <c r="H18" s="198">
        <v>0</v>
      </c>
      <c r="I18" s="198">
        <v>3698152</v>
      </c>
      <c r="J18" s="59"/>
      <c r="K18" s="59"/>
      <c r="L18" s="41"/>
      <c r="M18" s="41"/>
      <c r="N18" s="296" t="s">
        <v>6</v>
      </c>
      <c r="O18" s="296">
        <v>2507085</v>
      </c>
      <c r="P18" s="296">
        <v>0</v>
      </c>
      <c r="Q18" s="296">
        <v>0</v>
      </c>
      <c r="R18" s="296">
        <v>1511</v>
      </c>
      <c r="S18" s="296">
        <v>2409</v>
      </c>
      <c r="T18" s="296">
        <v>0</v>
      </c>
      <c r="U18" s="296">
        <v>2511005</v>
      </c>
      <c r="V18" s="296"/>
      <c r="W18" s="296"/>
      <c r="X18" s="296"/>
      <c r="Y18" s="296"/>
      <c r="Z18" s="296"/>
      <c r="AA18" s="296"/>
      <c r="AD18" s="27"/>
    </row>
    <row r="19" spans="1:30" customFormat="1">
      <c r="A19" s="59"/>
      <c r="B19" s="197" t="s">
        <v>5</v>
      </c>
      <c r="C19" s="198">
        <v>663590</v>
      </c>
      <c r="D19" s="198">
        <v>327670</v>
      </c>
      <c r="E19" s="198">
        <v>604000</v>
      </c>
      <c r="F19" s="198">
        <v>0</v>
      </c>
      <c r="G19" s="198">
        <v>0</v>
      </c>
      <c r="H19" s="198">
        <v>29750</v>
      </c>
      <c r="I19" s="198">
        <v>1625010</v>
      </c>
      <c r="J19" s="59"/>
      <c r="K19" s="59"/>
      <c r="L19" s="41"/>
      <c r="M19" s="41"/>
      <c r="N19" s="296" t="s">
        <v>5</v>
      </c>
      <c r="O19" s="296">
        <v>610767</v>
      </c>
      <c r="P19" s="296">
        <v>365200</v>
      </c>
      <c r="Q19" s="296">
        <v>654888</v>
      </c>
      <c r="R19" s="296">
        <v>0</v>
      </c>
      <c r="S19" s="296">
        <v>0</v>
      </c>
      <c r="T19" s="296">
        <v>0</v>
      </c>
      <c r="U19" s="296">
        <v>1630855</v>
      </c>
      <c r="V19" s="296"/>
      <c r="W19" s="296"/>
      <c r="X19" s="296"/>
      <c r="Y19" s="296"/>
      <c r="Z19" s="296"/>
      <c r="AA19" s="296"/>
      <c r="AD19" s="27"/>
    </row>
    <row r="20" spans="1:30" customFormat="1">
      <c r="A20" s="59"/>
      <c r="B20" s="197" t="s">
        <v>105</v>
      </c>
      <c r="C20" s="198">
        <v>87801</v>
      </c>
      <c r="D20" s="198">
        <v>153798</v>
      </c>
      <c r="E20" s="198">
        <v>102972</v>
      </c>
      <c r="F20" s="198">
        <v>8470</v>
      </c>
      <c r="G20" s="198">
        <v>733378</v>
      </c>
      <c r="H20" s="198">
        <v>4437</v>
      </c>
      <c r="I20" s="198">
        <v>1090856</v>
      </c>
      <c r="J20" s="59"/>
      <c r="K20" s="59"/>
      <c r="L20" s="41"/>
      <c r="M20" s="41"/>
      <c r="N20" s="296" t="s">
        <v>15</v>
      </c>
      <c r="O20" s="296">
        <v>107161</v>
      </c>
      <c r="P20" s="296">
        <v>144548</v>
      </c>
      <c r="Q20" s="296">
        <v>80101</v>
      </c>
      <c r="R20" s="296">
        <v>9838</v>
      </c>
      <c r="S20" s="296">
        <v>722622</v>
      </c>
      <c r="T20" s="296">
        <v>5073</v>
      </c>
      <c r="U20" s="296">
        <v>1069343</v>
      </c>
      <c r="V20" s="296"/>
      <c r="W20" s="296"/>
      <c r="X20" s="296"/>
      <c r="Y20" s="296"/>
      <c r="Z20" s="296"/>
      <c r="AA20" s="296"/>
      <c r="AD20" s="27"/>
    </row>
    <row r="21" spans="1:30" customFormat="1" ht="16" customHeight="1">
      <c r="A21" s="59"/>
      <c r="B21" s="197" t="s">
        <v>53</v>
      </c>
      <c r="C21" s="198">
        <v>802504</v>
      </c>
      <c r="D21" s="198">
        <v>5304</v>
      </c>
      <c r="E21" s="198">
        <v>0</v>
      </c>
      <c r="F21" s="198">
        <v>0</v>
      </c>
      <c r="G21" s="198">
        <v>0</v>
      </c>
      <c r="H21" s="198">
        <v>0</v>
      </c>
      <c r="I21" s="198">
        <v>807808</v>
      </c>
      <c r="J21" s="59"/>
      <c r="K21" s="59"/>
      <c r="L21" s="41"/>
      <c r="M21" s="41"/>
      <c r="N21" s="296" t="s">
        <v>11</v>
      </c>
      <c r="O21" s="296">
        <v>900454</v>
      </c>
      <c r="P21" s="296">
        <v>1409</v>
      </c>
      <c r="Q21" s="296">
        <v>0</v>
      </c>
      <c r="R21" s="296">
        <v>0</v>
      </c>
      <c r="S21" s="296">
        <v>0</v>
      </c>
      <c r="T21" s="296">
        <v>0</v>
      </c>
      <c r="U21" s="296">
        <v>901863</v>
      </c>
      <c r="V21" s="296"/>
      <c r="W21" s="296"/>
      <c r="X21" s="296"/>
      <c r="Y21" s="296"/>
      <c r="Z21" s="296"/>
      <c r="AA21" s="296"/>
      <c r="AD21" s="27"/>
    </row>
    <row r="22" spans="1:30" customFormat="1">
      <c r="A22" s="59"/>
      <c r="B22" s="197" t="s">
        <v>24</v>
      </c>
      <c r="C22" s="198">
        <v>79354</v>
      </c>
      <c r="D22" s="198">
        <v>172391</v>
      </c>
      <c r="E22" s="198">
        <v>424386</v>
      </c>
      <c r="F22" s="198">
        <v>141540</v>
      </c>
      <c r="G22" s="198">
        <v>0</v>
      </c>
      <c r="H22" s="198">
        <v>0</v>
      </c>
      <c r="I22" s="198">
        <v>817671</v>
      </c>
      <c r="J22" s="59"/>
      <c r="K22" s="59"/>
      <c r="L22" s="41"/>
      <c r="M22" s="41"/>
      <c r="N22" s="296" t="s">
        <v>24</v>
      </c>
      <c r="O22" s="296">
        <v>86500</v>
      </c>
      <c r="P22" s="296">
        <v>182195</v>
      </c>
      <c r="Q22" s="296">
        <v>363354</v>
      </c>
      <c r="R22" s="296">
        <v>177490</v>
      </c>
      <c r="S22" s="296">
        <v>0</v>
      </c>
      <c r="T22" s="296">
        <v>0</v>
      </c>
      <c r="U22" s="296">
        <v>809539</v>
      </c>
      <c r="V22" s="296"/>
      <c r="W22" s="296"/>
      <c r="X22" s="296"/>
      <c r="Y22" s="296"/>
      <c r="Z22" s="296"/>
      <c r="AA22" s="296"/>
      <c r="AD22" s="27"/>
    </row>
    <row r="23" spans="1:30" customFormat="1">
      <c r="A23" s="59"/>
      <c r="B23" s="197" t="s">
        <v>49</v>
      </c>
      <c r="C23" s="198">
        <v>1322069</v>
      </c>
      <c r="D23" s="198">
        <v>16907</v>
      </c>
      <c r="E23" s="198">
        <v>0</v>
      </c>
      <c r="F23" s="198">
        <v>0</v>
      </c>
      <c r="G23" s="198">
        <v>0</v>
      </c>
      <c r="H23" s="198">
        <v>0</v>
      </c>
      <c r="I23" s="198">
        <v>1338976</v>
      </c>
      <c r="J23" s="59"/>
      <c r="K23" s="59"/>
      <c r="L23" s="41"/>
      <c r="M23" s="41"/>
      <c r="N23" s="296" t="s">
        <v>10</v>
      </c>
      <c r="O23" s="296">
        <v>775250</v>
      </c>
      <c r="P23" s="296">
        <v>0</v>
      </c>
      <c r="Q23" s="296">
        <v>0</v>
      </c>
      <c r="R23" s="296">
        <v>0</v>
      </c>
      <c r="S23" s="296">
        <v>0</v>
      </c>
      <c r="T23" s="296">
        <v>0</v>
      </c>
      <c r="U23" s="296">
        <v>775250</v>
      </c>
      <c r="V23" s="296"/>
      <c r="W23" s="296"/>
      <c r="X23" s="482"/>
      <c r="Y23" s="482"/>
      <c r="Z23" s="482"/>
      <c r="AA23" s="482"/>
      <c r="AB23" s="27"/>
      <c r="AC23" s="27"/>
      <c r="AD23" s="27"/>
    </row>
    <row r="24" spans="1:30" customFormat="1">
      <c r="A24" s="59"/>
      <c r="B24" s="197" t="s">
        <v>103</v>
      </c>
      <c r="C24" s="198">
        <v>20655275</v>
      </c>
      <c r="D24" s="198">
        <v>14664420</v>
      </c>
      <c r="E24" s="198">
        <v>15123280</v>
      </c>
      <c r="F24" s="198">
        <v>4017329</v>
      </c>
      <c r="G24" s="198">
        <v>4013755</v>
      </c>
      <c r="H24" s="198">
        <v>1433161</v>
      </c>
      <c r="I24" s="198">
        <v>59907220</v>
      </c>
      <c r="J24" s="59"/>
      <c r="K24" s="59"/>
      <c r="L24" s="41"/>
      <c r="M24" s="41"/>
      <c r="N24" s="296" t="s">
        <v>103</v>
      </c>
      <c r="O24" s="483">
        <v>19724002</v>
      </c>
      <c r="P24" s="483">
        <v>14349537</v>
      </c>
      <c r="Q24" s="483">
        <v>14830009</v>
      </c>
      <c r="R24" s="484">
        <v>4388639</v>
      </c>
      <c r="S24" s="484">
        <v>3917933</v>
      </c>
      <c r="T24" s="484">
        <v>1487303</v>
      </c>
      <c r="U24" s="296">
        <v>58697423</v>
      </c>
      <c r="V24" s="296"/>
      <c r="W24" s="296"/>
      <c r="X24" s="482"/>
      <c r="Y24" s="296"/>
      <c r="Z24" s="296"/>
      <c r="AA24" s="296"/>
    </row>
    <row r="25" spans="1:30">
      <c r="I25" s="195"/>
      <c r="K25" s="193"/>
      <c r="L25" s="194"/>
    </row>
    <row r="26" spans="1:30" s="296" customFormat="1">
      <c r="B26" s="458" t="s">
        <v>352</v>
      </c>
      <c r="J26" s="425"/>
      <c r="K26" s="459"/>
    </row>
    <row r="27" spans="1:30" s="296" customFormat="1">
      <c r="A27" s="460"/>
      <c r="B27" s="461" t="s">
        <v>112</v>
      </c>
      <c r="C27" s="461"/>
      <c r="D27" s="531" t="s">
        <v>113</v>
      </c>
      <c r="E27" s="531"/>
      <c r="F27" s="531"/>
      <c r="G27" s="531"/>
      <c r="H27" s="531"/>
      <c r="I27" s="531"/>
      <c r="J27" s="531"/>
      <c r="K27" s="531"/>
    </row>
    <row r="28" spans="1:30" s="296" customFormat="1" ht="17">
      <c r="A28" s="462"/>
      <c r="B28" s="463" t="s">
        <v>114</v>
      </c>
      <c r="C28" s="462" t="s">
        <v>115</v>
      </c>
      <c r="D28" s="461" t="s">
        <v>116</v>
      </c>
      <c r="E28" s="461" t="s">
        <v>117</v>
      </c>
      <c r="F28" s="461" t="s">
        <v>99</v>
      </c>
      <c r="G28" s="461" t="s">
        <v>118</v>
      </c>
      <c r="H28" s="461" t="s">
        <v>119</v>
      </c>
      <c r="I28" s="461" t="s">
        <v>120</v>
      </c>
      <c r="J28" s="464" t="s">
        <v>121</v>
      </c>
      <c r="K28" s="464" t="s">
        <v>122</v>
      </c>
    </row>
    <row r="29" spans="1:30" s="296" customFormat="1">
      <c r="A29" s="465"/>
      <c r="B29" s="466" t="s">
        <v>22</v>
      </c>
      <c r="C29" s="466" t="s">
        <v>22</v>
      </c>
      <c r="D29" s="467">
        <f t="shared" ref="D29:D49" si="0">_xlfn.XLOOKUP(C29,$B$60:$B$205,$Q$60:$Q$205)</f>
        <v>1737995</v>
      </c>
      <c r="E29" s="467">
        <f t="shared" ref="E29:E49" si="1">_xlfn.XLOOKUP(C29,$B$60:$B$205,$R$60:$R$205)</f>
        <v>1104970</v>
      </c>
      <c r="F29" s="467">
        <f t="shared" ref="F29:F49" si="2">_xlfn.XLOOKUP(C29,$B$60:$B$205,$S$60:$S$205)</f>
        <v>2332552</v>
      </c>
      <c r="G29" s="467">
        <f t="shared" ref="G29:G49" si="3">_xlfn.XLOOKUP(C29,$B$60:$B$205,$T$60:$T$205)</f>
        <v>1795938</v>
      </c>
      <c r="H29" s="467">
        <f t="shared" ref="H29:H49" si="4">_xlfn.XLOOKUP(C29,$B$60:$B$205,$U$60:$U$205)</f>
        <v>302222</v>
      </c>
      <c r="I29" s="467">
        <f t="shared" ref="I29:I49" si="5">_xlfn.XLOOKUP(C29,$B$60:$B$205,$V$60:$V$205)</f>
        <v>23683</v>
      </c>
      <c r="J29" s="467">
        <f>SUM(D29:I29)</f>
        <v>7297360</v>
      </c>
      <c r="K29" s="425"/>
      <c r="L29" s="468"/>
    </row>
    <row r="30" spans="1:30" s="296" customFormat="1">
      <c r="A30" s="465"/>
      <c r="B30" s="466" t="s">
        <v>14</v>
      </c>
      <c r="C30" s="466" t="s">
        <v>14</v>
      </c>
      <c r="D30" s="467">
        <f t="shared" si="0"/>
        <v>2974206</v>
      </c>
      <c r="E30" s="467">
        <f t="shared" si="1"/>
        <v>3638180</v>
      </c>
      <c r="F30" s="467">
        <f t="shared" si="2"/>
        <v>662757</v>
      </c>
      <c r="G30" s="467">
        <f t="shared" si="3"/>
        <v>54881</v>
      </c>
      <c r="H30" s="467">
        <f t="shared" si="4"/>
        <v>84266</v>
      </c>
      <c r="I30" s="467">
        <f t="shared" si="5"/>
        <v>26748</v>
      </c>
      <c r="J30" s="467">
        <f t="shared" ref="J30:J55" si="6">SUM(D30:I30)</f>
        <v>7441038</v>
      </c>
      <c r="K30" s="425"/>
      <c r="L30" s="425"/>
    </row>
    <row r="31" spans="1:30" s="296" customFormat="1">
      <c r="A31" s="465"/>
      <c r="B31" s="466" t="s">
        <v>19</v>
      </c>
      <c r="C31" s="466" t="s">
        <v>19</v>
      </c>
      <c r="D31" s="467">
        <f t="shared" si="0"/>
        <v>564268</v>
      </c>
      <c r="E31" s="467">
        <f t="shared" si="1"/>
        <v>2831</v>
      </c>
      <c r="F31" s="467">
        <f t="shared" si="2"/>
        <v>2689399</v>
      </c>
      <c r="G31" s="467">
        <f t="shared" si="3"/>
        <v>1038</v>
      </c>
      <c r="H31" s="467">
        <f t="shared" si="4"/>
        <v>0</v>
      </c>
      <c r="I31" s="467">
        <f t="shared" si="5"/>
        <v>25490</v>
      </c>
      <c r="J31" s="467">
        <f t="shared" si="6"/>
        <v>3283026</v>
      </c>
      <c r="K31" s="425"/>
    </row>
    <row r="32" spans="1:30" s="296" customFormat="1">
      <c r="A32" s="465"/>
      <c r="B32" s="466" t="s">
        <v>17</v>
      </c>
      <c r="C32" s="466" t="s">
        <v>17</v>
      </c>
      <c r="D32" s="467">
        <f t="shared" si="0"/>
        <v>66175</v>
      </c>
      <c r="E32" s="467">
        <f t="shared" si="1"/>
        <v>2554530</v>
      </c>
      <c r="F32" s="467">
        <f t="shared" si="2"/>
        <v>1308273</v>
      </c>
      <c r="G32" s="467">
        <f t="shared" si="3"/>
        <v>26475</v>
      </c>
      <c r="H32" s="467">
        <f t="shared" si="4"/>
        <v>11805</v>
      </c>
      <c r="I32" s="467">
        <f t="shared" si="5"/>
        <v>3826</v>
      </c>
      <c r="J32" s="467">
        <f t="shared" si="6"/>
        <v>3971084</v>
      </c>
      <c r="K32" s="425"/>
    </row>
    <row r="33" spans="1:11" s="296" customFormat="1">
      <c r="A33" s="465"/>
      <c r="B33" s="466" t="s">
        <v>23</v>
      </c>
      <c r="C33" s="466" t="s">
        <v>23</v>
      </c>
      <c r="D33" s="467">
        <f t="shared" si="0"/>
        <v>857475</v>
      </c>
      <c r="E33" s="467">
        <f t="shared" si="1"/>
        <v>74713</v>
      </c>
      <c r="F33" s="467">
        <f t="shared" si="2"/>
        <v>1423940</v>
      </c>
      <c r="G33" s="467">
        <f t="shared" si="3"/>
        <v>668414</v>
      </c>
      <c r="H33" s="467">
        <f t="shared" si="4"/>
        <v>68650</v>
      </c>
      <c r="I33" s="467">
        <f t="shared" si="5"/>
        <v>2507</v>
      </c>
      <c r="J33" s="467">
        <f t="shared" si="6"/>
        <v>3095699</v>
      </c>
      <c r="K33" s="425"/>
    </row>
    <row r="34" spans="1:11" s="296" customFormat="1">
      <c r="A34" s="465"/>
      <c r="B34" s="466" t="s">
        <v>54</v>
      </c>
      <c r="C34" s="466" t="s">
        <v>54</v>
      </c>
      <c r="D34" s="467">
        <f t="shared" si="0"/>
        <v>227937</v>
      </c>
      <c r="E34" s="467">
        <f t="shared" si="1"/>
        <v>823639</v>
      </c>
      <c r="F34" s="467">
        <f t="shared" si="2"/>
        <v>2035295</v>
      </c>
      <c r="G34" s="467">
        <f t="shared" si="3"/>
        <v>183</v>
      </c>
      <c r="H34" s="467">
        <f t="shared" si="4"/>
        <v>0</v>
      </c>
      <c r="I34" s="467">
        <f t="shared" si="5"/>
        <v>6042</v>
      </c>
      <c r="J34" s="467">
        <f t="shared" si="6"/>
        <v>3093096</v>
      </c>
      <c r="K34" s="425"/>
    </row>
    <row r="35" spans="1:11" s="296" customFormat="1">
      <c r="A35" s="465"/>
      <c r="B35" s="466" t="s">
        <v>25</v>
      </c>
      <c r="C35" s="466" t="s">
        <v>25</v>
      </c>
      <c r="D35" s="467">
        <f t="shared" si="0"/>
        <v>0</v>
      </c>
      <c r="E35" s="467">
        <f t="shared" si="1"/>
        <v>215858</v>
      </c>
      <c r="F35" s="467">
        <f t="shared" si="2"/>
        <v>0</v>
      </c>
      <c r="G35" s="467">
        <f t="shared" si="3"/>
        <v>721785</v>
      </c>
      <c r="H35" s="467">
        <f t="shared" si="4"/>
        <v>1790877</v>
      </c>
      <c r="I35" s="467">
        <f t="shared" si="5"/>
        <v>0</v>
      </c>
      <c r="J35" s="467">
        <f t="shared" si="6"/>
        <v>2728520</v>
      </c>
      <c r="K35" s="425"/>
    </row>
    <row r="36" spans="1:11" s="296" customFormat="1">
      <c r="A36" s="465"/>
      <c r="B36" s="466" t="s">
        <v>21</v>
      </c>
      <c r="C36" s="466" t="s">
        <v>21</v>
      </c>
      <c r="D36" s="467">
        <f t="shared" si="0"/>
        <v>619477</v>
      </c>
      <c r="E36" s="467">
        <f t="shared" si="1"/>
        <v>337213</v>
      </c>
      <c r="F36" s="467">
        <f t="shared" si="2"/>
        <v>924057</v>
      </c>
      <c r="G36" s="467">
        <f t="shared" si="3"/>
        <v>472117</v>
      </c>
      <c r="H36" s="467">
        <f t="shared" si="4"/>
        <v>28984</v>
      </c>
      <c r="I36" s="467">
        <f t="shared" si="5"/>
        <v>0</v>
      </c>
      <c r="J36" s="467">
        <f t="shared" si="6"/>
        <v>2381848</v>
      </c>
      <c r="K36" s="425"/>
    </row>
    <row r="37" spans="1:11" s="296" customFormat="1">
      <c r="A37" s="465"/>
      <c r="B37" s="466" t="s">
        <v>12</v>
      </c>
      <c r="C37" s="466" t="s">
        <v>12</v>
      </c>
      <c r="D37" s="467">
        <f t="shared" si="0"/>
        <v>710462</v>
      </c>
      <c r="E37" s="467">
        <f t="shared" si="1"/>
        <v>925492</v>
      </c>
      <c r="F37" s="467">
        <f t="shared" si="2"/>
        <v>402333</v>
      </c>
      <c r="G37" s="467">
        <f t="shared" si="3"/>
        <v>53181</v>
      </c>
      <c r="H37" s="467">
        <f t="shared" si="4"/>
        <v>15750</v>
      </c>
      <c r="I37" s="467">
        <f t="shared" si="5"/>
        <v>81522</v>
      </c>
      <c r="J37" s="467">
        <f t="shared" si="6"/>
        <v>2188740</v>
      </c>
      <c r="K37" s="425"/>
    </row>
    <row r="38" spans="1:11" s="296" customFormat="1">
      <c r="A38" s="465"/>
      <c r="B38" s="466" t="s">
        <v>13</v>
      </c>
      <c r="C38" s="466" t="s">
        <v>13</v>
      </c>
      <c r="D38" s="467">
        <f t="shared" si="0"/>
        <v>924531</v>
      </c>
      <c r="E38" s="467">
        <f t="shared" si="1"/>
        <v>739716</v>
      </c>
      <c r="F38" s="467">
        <f t="shared" si="2"/>
        <v>313908</v>
      </c>
      <c r="G38" s="467">
        <f t="shared" si="3"/>
        <v>53196</v>
      </c>
      <c r="H38" s="467">
        <f t="shared" si="4"/>
        <v>19565</v>
      </c>
      <c r="I38" s="467">
        <f t="shared" si="5"/>
        <v>122902</v>
      </c>
      <c r="J38" s="467">
        <f>SUM(D38:I38)</f>
        <v>2173818</v>
      </c>
      <c r="K38" s="425"/>
    </row>
    <row r="39" spans="1:11" s="296" customFormat="1">
      <c r="A39" s="465"/>
      <c r="B39" s="466" t="s">
        <v>46</v>
      </c>
      <c r="C39" s="466" t="s">
        <v>46</v>
      </c>
      <c r="D39" s="467">
        <f t="shared" si="0"/>
        <v>1592102</v>
      </c>
      <c r="E39" s="467">
        <f t="shared" si="1"/>
        <v>0</v>
      </c>
      <c r="F39" s="467">
        <f t="shared" si="2"/>
        <v>0</v>
      </c>
      <c r="G39" s="467">
        <f t="shared" si="3"/>
        <v>0</v>
      </c>
      <c r="H39" s="467">
        <f t="shared" si="4"/>
        <v>0</v>
      </c>
      <c r="I39" s="467">
        <f t="shared" si="5"/>
        <v>0</v>
      </c>
      <c r="J39" s="467">
        <f t="shared" si="6"/>
        <v>1592102</v>
      </c>
      <c r="K39" s="425"/>
    </row>
    <row r="40" spans="1:11" s="296" customFormat="1">
      <c r="A40" s="465"/>
      <c r="B40" s="466" t="s">
        <v>6</v>
      </c>
      <c r="C40" s="466" t="s">
        <v>6</v>
      </c>
      <c r="D40" s="467">
        <f t="shared" si="0"/>
        <v>3643111</v>
      </c>
      <c r="E40" s="467">
        <f t="shared" si="1"/>
        <v>50369</v>
      </c>
      <c r="F40" s="467">
        <f t="shared" si="2"/>
        <v>0</v>
      </c>
      <c r="G40" s="467">
        <f t="shared" si="3"/>
        <v>2223</v>
      </c>
      <c r="H40" s="467">
        <f t="shared" si="4"/>
        <v>2449</v>
      </c>
      <c r="I40" s="467">
        <f t="shared" si="5"/>
        <v>0</v>
      </c>
      <c r="J40" s="467">
        <f t="shared" si="6"/>
        <v>3698152</v>
      </c>
      <c r="K40" s="425"/>
    </row>
    <row r="41" spans="1:11" s="296" customFormat="1">
      <c r="A41" s="465"/>
      <c r="B41" s="466" t="s">
        <v>16</v>
      </c>
      <c r="C41" s="466" t="s">
        <v>16</v>
      </c>
      <c r="D41" s="467">
        <f t="shared" si="0"/>
        <v>24824</v>
      </c>
      <c r="E41" s="467">
        <f t="shared" si="1"/>
        <v>1590747</v>
      </c>
      <c r="F41" s="467">
        <f t="shared" si="2"/>
        <v>0</v>
      </c>
      <c r="G41" s="467">
        <f t="shared" si="3"/>
        <v>4608</v>
      </c>
      <c r="H41" s="467">
        <f t="shared" si="4"/>
        <v>41729</v>
      </c>
      <c r="I41" s="467">
        <f t="shared" si="5"/>
        <v>39816</v>
      </c>
      <c r="J41" s="467">
        <f t="shared" si="6"/>
        <v>1701724</v>
      </c>
      <c r="K41" s="425"/>
    </row>
    <row r="42" spans="1:11" s="296" customFormat="1">
      <c r="A42" s="465"/>
      <c r="B42" s="466" t="s">
        <v>5</v>
      </c>
      <c r="C42" s="466" t="s">
        <v>5</v>
      </c>
      <c r="D42" s="467">
        <f t="shared" si="0"/>
        <v>663590</v>
      </c>
      <c r="E42" s="467">
        <f t="shared" si="1"/>
        <v>327670</v>
      </c>
      <c r="F42" s="467">
        <f t="shared" si="2"/>
        <v>604000</v>
      </c>
      <c r="G42" s="467">
        <f t="shared" si="3"/>
        <v>0</v>
      </c>
      <c r="H42" s="467">
        <f t="shared" si="4"/>
        <v>0</v>
      </c>
      <c r="I42" s="467">
        <f t="shared" si="5"/>
        <v>29750</v>
      </c>
      <c r="J42" s="467">
        <f t="shared" si="6"/>
        <v>1625010</v>
      </c>
      <c r="K42" s="425"/>
    </row>
    <row r="43" spans="1:11" s="296" customFormat="1">
      <c r="A43" s="465"/>
      <c r="B43" s="466" t="s">
        <v>7</v>
      </c>
      <c r="C43" s="466" t="s">
        <v>7</v>
      </c>
      <c r="D43" s="467">
        <f t="shared" si="0"/>
        <v>1644759</v>
      </c>
      <c r="E43" s="467">
        <f t="shared" si="1"/>
        <v>260222</v>
      </c>
      <c r="F43" s="467">
        <f t="shared" si="2"/>
        <v>0</v>
      </c>
      <c r="G43" s="467">
        <f t="shared" si="3"/>
        <v>5</v>
      </c>
      <c r="H43" s="467">
        <f t="shared" si="4"/>
        <v>61475</v>
      </c>
      <c r="I43" s="467">
        <f t="shared" si="5"/>
        <v>0</v>
      </c>
      <c r="J43" s="467">
        <f t="shared" si="6"/>
        <v>1966461</v>
      </c>
      <c r="K43" s="425"/>
    </row>
    <row r="44" spans="1:11" s="296" customFormat="1">
      <c r="A44" s="465"/>
      <c r="B44" s="466" t="s">
        <v>11</v>
      </c>
      <c r="C44" s="466" t="s">
        <v>11</v>
      </c>
      <c r="D44" s="467">
        <f t="shared" si="0"/>
        <v>802504</v>
      </c>
      <c r="E44" s="467">
        <f t="shared" si="1"/>
        <v>5304</v>
      </c>
      <c r="F44" s="467">
        <f t="shared" si="2"/>
        <v>0</v>
      </c>
      <c r="G44" s="467">
        <f t="shared" si="3"/>
        <v>0</v>
      </c>
      <c r="H44" s="467">
        <f t="shared" si="4"/>
        <v>0</v>
      </c>
      <c r="I44" s="467">
        <f t="shared" si="5"/>
        <v>0</v>
      </c>
      <c r="J44" s="467">
        <f t="shared" si="6"/>
        <v>807808</v>
      </c>
      <c r="K44" s="425"/>
    </row>
    <row r="45" spans="1:11" s="296" customFormat="1">
      <c r="A45" s="465"/>
      <c r="B45" s="466" t="s">
        <v>55</v>
      </c>
      <c r="C45" s="466" t="s">
        <v>55</v>
      </c>
      <c r="D45" s="467">
        <f t="shared" si="0"/>
        <v>209754</v>
      </c>
      <c r="E45" s="467">
        <f t="shared" si="1"/>
        <v>1068136</v>
      </c>
      <c r="F45" s="467">
        <f t="shared" si="2"/>
        <v>1708212</v>
      </c>
      <c r="G45" s="467">
        <f t="shared" si="3"/>
        <v>609</v>
      </c>
      <c r="H45" s="467">
        <f t="shared" si="4"/>
        <v>850430</v>
      </c>
      <c r="I45" s="467">
        <f t="shared" si="5"/>
        <v>1107089</v>
      </c>
      <c r="J45" s="467">
        <f t="shared" si="6"/>
        <v>4944230</v>
      </c>
      <c r="K45" s="425"/>
    </row>
    <row r="46" spans="1:11" s="296" customFormat="1">
      <c r="A46" s="465"/>
      <c r="B46" s="466" t="s">
        <v>8</v>
      </c>
      <c r="C46" s="466" t="s">
        <v>8</v>
      </c>
      <c r="D46" s="467">
        <f t="shared" si="0"/>
        <v>2088622</v>
      </c>
      <c r="E46" s="467">
        <f t="shared" si="1"/>
        <v>415993</v>
      </c>
      <c r="F46" s="467">
        <f t="shared" si="2"/>
        <v>134694</v>
      </c>
      <c r="G46" s="467">
        <f t="shared" si="3"/>
        <v>12666</v>
      </c>
      <c r="H46" s="467">
        <f t="shared" si="4"/>
        <v>2175</v>
      </c>
      <c r="I46" s="467">
        <f t="shared" si="5"/>
        <v>15851</v>
      </c>
      <c r="J46" s="467">
        <f t="shared" si="6"/>
        <v>2670001</v>
      </c>
      <c r="K46" s="425"/>
    </row>
    <row r="47" spans="1:11" s="296" customFormat="1">
      <c r="A47" s="465"/>
      <c r="B47" s="466" t="s">
        <v>105</v>
      </c>
      <c r="C47" s="466" t="s">
        <v>105</v>
      </c>
      <c r="D47" s="467">
        <f t="shared" si="0"/>
        <v>87801</v>
      </c>
      <c r="E47" s="467">
        <f t="shared" si="1"/>
        <v>153798</v>
      </c>
      <c r="F47" s="467">
        <f t="shared" si="2"/>
        <v>102972</v>
      </c>
      <c r="G47" s="467">
        <f t="shared" si="3"/>
        <v>8470</v>
      </c>
      <c r="H47" s="467">
        <f t="shared" si="4"/>
        <v>733378</v>
      </c>
      <c r="I47" s="467">
        <f t="shared" si="5"/>
        <v>4437</v>
      </c>
      <c r="J47" s="467">
        <f t="shared" si="6"/>
        <v>1090856</v>
      </c>
      <c r="K47" s="425"/>
    </row>
    <row r="48" spans="1:11" s="296" customFormat="1">
      <c r="A48" s="465"/>
      <c r="B48" s="466" t="s">
        <v>55</v>
      </c>
      <c r="C48" s="466" t="s">
        <v>106</v>
      </c>
      <c r="D48" s="467">
        <f t="shared" si="0"/>
        <v>149980</v>
      </c>
      <c r="E48" s="467">
        <f t="shared" si="1"/>
        <v>531773</v>
      </c>
      <c r="F48" s="467">
        <f t="shared" si="2"/>
        <v>836744</v>
      </c>
      <c r="G48" s="467">
        <f t="shared" si="3"/>
        <v>607</v>
      </c>
      <c r="H48" s="467">
        <f t="shared" si="4"/>
        <v>605430</v>
      </c>
      <c r="I48" s="467">
        <f t="shared" si="5"/>
        <v>478515</v>
      </c>
      <c r="J48" s="467">
        <f t="shared" si="6"/>
        <v>2603049</v>
      </c>
      <c r="K48" s="469">
        <f>J48/SUM($J$48:$J$49)</f>
        <v>0.54976249566777147</v>
      </c>
    </row>
    <row r="49" spans="1:24" s="296" customFormat="1">
      <c r="A49" s="465"/>
      <c r="B49" s="466" t="s">
        <v>55</v>
      </c>
      <c r="C49" s="466" t="s">
        <v>107</v>
      </c>
      <c r="D49" s="467">
        <f t="shared" si="0"/>
        <v>58542</v>
      </c>
      <c r="E49" s="467">
        <f t="shared" si="1"/>
        <v>533713</v>
      </c>
      <c r="F49" s="467">
        <f t="shared" si="2"/>
        <v>796490</v>
      </c>
      <c r="G49" s="467">
        <f t="shared" si="3"/>
        <v>2</v>
      </c>
      <c r="H49" s="467">
        <f t="shared" si="4"/>
        <v>245000</v>
      </c>
      <c r="I49" s="467">
        <f t="shared" si="5"/>
        <v>498065</v>
      </c>
      <c r="J49" s="467">
        <f t="shared" si="6"/>
        <v>2131812</v>
      </c>
      <c r="K49" s="469">
        <f>J49/SUM($J$48:$J$49)</f>
        <v>0.45023750433222853</v>
      </c>
    </row>
    <row r="50" spans="1:24" s="296" customFormat="1">
      <c r="A50" s="465"/>
      <c r="B50" s="466" t="s">
        <v>8</v>
      </c>
      <c r="C50" s="466" t="s">
        <v>123</v>
      </c>
      <c r="D50" s="467">
        <f>D46-D51</f>
        <v>1938192</v>
      </c>
      <c r="E50" s="467">
        <f>E46-E51</f>
        <v>44256</v>
      </c>
      <c r="F50" s="467">
        <f t="shared" ref="F50:J50" si="7">F46-F51</f>
        <v>9451</v>
      </c>
      <c r="G50" s="467">
        <f t="shared" si="7"/>
        <v>335</v>
      </c>
      <c r="H50" s="467">
        <f t="shared" si="7"/>
        <v>13</v>
      </c>
      <c r="I50" s="467">
        <f t="shared" si="7"/>
        <v>800</v>
      </c>
      <c r="J50" s="467">
        <f t="shared" si="7"/>
        <v>1993047</v>
      </c>
      <c r="K50" s="469">
        <f>J50/SUM(J$50:J$51)</f>
        <v>0.74645927098903708</v>
      </c>
    </row>
    <row r="51" spans="1:24" s="296" customFormat="1">
      <c r="A51" s="465"/>
      <c r="B51" s="466" t="s">
        <v>8</v>
      </c>
      <c r="C51" s="466" t="s">
        <v>108</v>
      </c>
      <c r="D51" s="467">
        <f>_xlfn.XLOOKUP(C51,$B$60:$B$205,$Q$60:$Q$205)</f>
        <v>150430</v>
      </c>
      <c r="E51" s="467">
        <f>_xlfn.XLOOKUP(C51,$B$60:$B$205,$R$60:$R$205)</f>
        <v>371737</v>
      </c>
      <c r="F51" s="467">
        <f>_xlfn.XLOOKUP(C51,$B$60:$B$205,$S$60:$S$205)</f>
        <v>125243</v>
      </c>
      <c r="G51" s="467">
        <f>_xlfn.XLOOKUP(C51,$B$60:$B$205,$T$60:$T$205)</f>
        <v>12331</v>
      </c>
      <c r="H51" s="467">
        <f>_xlfn.XLOOKUP(C51,$B$60:$B$205,$U$60:$U$205)</f>
        <v>2162</v>
      </c>
      <c r="I51" s="467">
        <f>_xlfn.XLOOKUP(C51,$B$60:$B$205,$V$60:$V$205)</f>
        <v>15051</v>
      </c>
      <c r="J51" s="467">
        <f t="shared" si="6"/>
        <v>676954</v>
      </c>
      <c r="K51" s="469">
        <f>J51/SUM(J$50:J$51)</f>
        <v>0.25354072901096292</v>
      </c>
    </row>
    <row r="52" spans="1:24" s="296" customFormat="1">
      <c r="A52" s="465"/>
      <c r="B52" s="466" t="s">
        <v>105</v>
      </c>
      <c r="C52" s="466" t="s">
        <v>109</v>
      </c>
      <c r="D52" s="467">
        <f>_xlfn.XLOOKUP(C52,$B$60:$B$205,$Q$60:$Q$205)</f>
        <v>0</v>
      </c>
      <c r="E52" s="467">
        <f>_xlfn.XLOOKUP(C52,$B$60:$B$205,$R$60:$R$205)</f>
        <v>0</v>
      </c>
      <c r="F52" s="467">
        <f>_xlfn.XLOOKUP(C52,$B$60:$B$205,$S$60:$S$205)</f>
        <v>0</v>
      </c>
      <c r="G52" s="467">
        <f>_xlfn.XLOOKUP(C52,$B$60:$B$205,$T$60:$T$205)</f>
        <v>0</v>
      </c>
      <c r="H52" s="467">
        <f>_xlfn.XLOOKUP(C52,$B$60:$B$205,$U$60:$U$205)</f>
        <v>728134</v>
      </c>
      <c r="I52" s="467">
        <f>_xlfn.XLOOKUP(C52,$B$60:$B$205,$V$60:$V$205)</f>
        <v>0</v>
      </c>
      <c r="J52" s="467">
        <f t="shared" si="6"/>
        <v>728134</v>
      </c>
      <c r="K52" s="469">
        <f>J52/SUM(J$52:J$53)</f>
        <v>0.66748865111435418</v>
      </c>
    </row>
    <row r="53" spans="1:24" s="296" customFormat="1">
      <c r="A53" s="465"/>
      <c r="B53" s="466" t="s">
        <v>105</v>
      </c>
      <c r="C53" s="466" t="s">
        <v>110</v>
      </c>
      <c r="D53" s="467">
        <f t="shared" ref="D53:I53" si="8">Q190+Q191</f>
        <v>87801</v>
      </c>
      <c r="E53" s="467">
        <f t="shared" si="8"/>
        <v>153798</v>
      </c>
      <c r="F53" s="467">
        <f t="shared" si="8"/>
        <v>102972</v>
      </c>
      <c r="G53" s="467">
        <f t="shared" si="8"/>
        <v>8470</v>
      </c>
      <c r="H53" s="467">
        <f t="shared" si="8"/>
        <v>5244</v>
      </c>
      <c r="I53" s="467">
        <f t="shared" si="8"/>
        <v>4437</v>
      </c>
      <c r="J53" s="467">
        <f t="shared" si="6"/>
        <v>362722</v>
      </c>
      <c r="K53" s="469">
        <f>J53/SUM(J$52:J$53)</f>
        <v>0.33251134888564576</v>
      </c>
    </row>
    <row r="54" spans="1:24" s="296" customFormat="1">
      <c r="A54" s="465"/>
      <c r="B54" s="466" t="s">
        <v>111</v>
      </c>
      <c r="C54" s="466" t="s">
        <v>111</v>
      </c>
      <c r="D54" s="467">
        <f>_xlfn.XLOOKUP(C54,$B$60:$B$205,$Q$60:$Q$205)</f>
        <v>79354</v>
      </c>
      <c r="E54" s="467">
        <f>_xlfn.XLOOKUP(C54,$B$60:$B$205,$R$60:$R$205)</f>
        <v>172391</v>
      </c>
      <c r="F54" s="467">
        <f>_xlfn.XLOOKUP(C54,$B$60:$B$205,$S$60:$S$205)</f>
        <v>424386</v>
      </c>
      <c r="G54" s="467">
        <f>_xlfn.XLOOKUP(C54,$B$60:$B$205,$T$60:$T$205)</f>
        <v>141540</v>
      </c>
      <c r="H54" s="467">
        <f>_xlfn.XLOOKUP(C54,$B$60:$B$205,$U$60:$U$205)</f>
        <v>0</v>
      </c>
      <c r="I54" s="467">
        <f>_xlfn.XLOOKUP(C54,$B$60:$B$205,$V$60:$V$205)</f>
        <v>0</v>
      </c>
      <c r="J54" s="467">
        <f t="shared" si="6"/>
        <v>817671</v>
      </c>
      <c r="K54" s="425"/>
    </row>
    <row r="55" spans="1:24" s="296" customFormat="1" ht="18" customHeight="1">
      <c r="A55" s="465"/>
      <c r="B55" s="466" t="s">
        <v>49</v>
      </c>
      <c r="C55" s="466" t="s">
        <v>49</v>
      </c>
      <c r="D55" s="467">
        <f>_xlfn.XLOOKUP(C55,$B$60:$B$205,$Q$60:$Q$205)</f>
        <v>1322069</v>
      </c>
      <c r="E55" s="467">
        <f>_xlfn.XLOOKUP(C55,$B$60:$B$205,$R$60:$R$205)</f>
        <v>16907</v>
      </c>
      <c r="F55" s="467">
        <f>_xlfn.XLOOKUP(C55,$B$60:$B$205,$S$60:$S$205)</f>
        <v>0</v>
      </c>
      <c r="G55" s="467">
        <f>_xlfn.XLOOKUP(C55,$B$60:$B$205,$T$60:$T$205)</f>
        <v>0</v>
      </c>
      <c r="H55" s="467">
        <f>_xlfn.XLOOKUP(C55,$B$60:$B$205,$U$60:$U$205)</f>
        <v>0</v>
      </c>
      <c r="I55" s="467">
        <f>_xlfn.XLOOKUP(C55,$B$60:$B$205,$V$60:$V$205)</f>
        <v>0</v>
      </c>
      <c r="J55" s="467">
        <f t="shared" si="6"/>
        <v>1338976</v>
      </c>
    </row>
    <row r="56" spans="1:24" s="296" customFormat="1">
      <c r="D56" s="470"/>
      <c r="E56" s="471"/>
      <c r="F56" s="470"/>
      <c r="G56" s="470"/>
      <c r="H56" s="471"/>
      <c r="I56" s="470"/>
      <c r="J56" s="467"/>
    </row>
    <row r="57" spans="1:24" s="296" customFormat="1">
      <c r="B57" s="472" t="s">
        <v>351</v>
      </c>
    </row>
    <row r="58" spans="1:24" s="296" customFormat="1">
      <c r="B58" s="472" t="s">
        <v>115</v>
      </c>
      <c r="C58" s="475" t="s">
        <v>124</v>
      </c>
      <c r="D58" s="475"/>
      <c r="E58" s="475"/>
      <c r="F58" s="475"/>
      <c r="G58" s="475"/>
      <c r="H58" s="475"/>
      <c r="I58" s="475"/>
      <c r="J58" s="475" t="s">
        <v>125</v>
      </c>
      <c r="K58" s="475"/>
      <c r="L58" s="475"/>
      <c r="M58" s="475"/>
      <c r="N58" s="475"/>
      <c r="O58" s="475"/>
      <c r="P58" s="475"/>
      <c r="Q58" s="475" t="s">
        <v>113</v>
      </c>
      <c r="R58" s="475"/>
      <c r="S58" s="475"/>
      <c r="T58" s="475"/>
      <c r="U58" s="475"/>
      <c r="V58" s="475"/>
      <c r="W58" s="475"/>
      <c r="X58" s="472" t="s">
        <v>126</v>
      </c>
    </row>
    <row r="59" spans="1:24" s="296" customFormat="1">
      <c r="B59" s="472"/>
      <c r="C59" s="472" t="s">
        <v>97</v>
      </c>
      <c r="D59" s="472" t="s">
        <v>98</v>
      </c>
      <c r="E59" s="472" t="s">
        <v>99</v>
      </c>
      <c r="F59" s="472" t="s">
        <v>100</v>
      </c>
      <c r="G59" s="472" t="s">
        <v>101</v>
      </c>
      <c r="H59" s="472" t="s">
        <v>102</v>
      </c>
      <c r="I59" s="472" t="s">
        <v>103</v>
      </c>
      <c r="J59" s="472" t="s">
        <v>97</v>
      </c>
      <c r="K59" s="472" t="s">
        <v>98</v>
      </c>
      <c r="L59" s="472" t="s">
        <v>99</v>
      </c>
      <c r="M59" s="472" t="s">
        <v>100</v>
      </c>
      <c r="N59" s="472" t="s">
        <v>101</v>
      </c>
      <c r="O59" s="472" t="s">
        <v>102</v>
      </c>
      <c r="P59" s="472" t="s">
        <v>103</v>
      </c>
      <c r="Q59" s="472" t="s">
        <v>97</v>
      </c>
      <c r="R59" s="472" t="s">
        <v>98</v>
      </c>
      <c r="S59" s="472" t="s">
        <v>99</v>
      </c>
      <c r="T59" s="472" t="s">
        <v>100</v>
      </c>
      <c r="U59" s="472" t="s">
        <v>101</v>
      </c>
      <c r="V59" s="472" t="s">
        <v>102</v>
      </c>
      <c r="W59" s="473" t="s">
        <v>103</v>
      </c>
      <c r="X59" s="472"/>
    </row>
    <row r="60" spans="1:24" s="472" customFormat="1">
      <c r="B60" s="474" t="s">
        <v>50</v>
      </c>
      <c r="C60" s="474">
        <v>1737995</v>
      </c>
      <c r="D60" s="474">
        <v>1004628</v>
      </c>
      <c r="E60" s="474">
        <v>1980202</v>
      </c>
      <c r="F60" s="474">
        <v>1721666</v>
      </c>
      <c r="G60" s="474">
        <v>299381</v>
      </c>
      <c r="H60" s="474">
        <v>23683</v>
      </c>
      <c r="I60" s="474">
        <v>6767555</v>
      </c>
      <c r="J60" s="475"/>
      <c r="K60" s="475">
        <v>100342</v>
      </c>
      <c r="L60" s="475">
        <v>352350</v>
      </c>
      <c r="M60" s="475">
        <v>74272</v>
      </c>
      <c r="N60" s="475">
        <v>2841</v>
      </c>
      <c r="O60" s="475"/>
      <c r="P60" s="475">
        <v>529805</v>
      </c>
      <c r="Q60" s="474">
        <f>C60+J60</f>
        <v>1737995</v>
      </c>
      <c r="R60" s="474">
        <f t="shared" ref="R60:W60" si="9">D60+K60</f>
        <v>1104970</v>
      </c>
      <c r="S60" s="474">
        <f t="shared" si="9"/>
        <v>2332552</v>
      </c>
      <c r="T60" s="474">
        <f t="shared" si="9"/>
        <v>1795938</v>
      </c>
      <c r="U60" s="474">
        <f t="shared" si="9"/>
        <v>302222</v>
      </c>
      <c r="V60" s="474">
        <f t="shared" si="9"/>
        <v>23683</v>
      </c>
      <c r="W60" s="474">
        <f t="shared" si="9"/>
        <v>7297360</v>
      </c>
      <c r="X60" s="476" t="s">
        <v>22</v>
      </c>
    </row>
    <row r="61" spans="1:24" s="296" customFormat="1">
      <c r="B61" s="296" t="s">
        <v>127</v>
      </c>
      <c r="C61" s="477"/>
      <c r="D61" s="477"/>
      <c r="E61" s="477"/>
      <c r="F61" s="477">
        <v>365915</v>
      </c>
      <c r="G61" s="477"/>
      <c r="H61" s="477"/>
      <c r="I61" s="477">
        <v>365915</v>
      </c>
      <c r="J61" s="477"/>
      <c r="K61" s="477"/>
      <c r="L61" s="477"/>
      <c r="M61" s="477">
        <v>720</v>
      </c>
      <c r="N61" s="477"/>
      <c r="O61" s="477"/>
      <c r="P61" s="477">
        <v>720</v>
      </c>
      <c r="Q61" s="466">
        <f t="shared" ref="Q61:Q124" si="10">C61+J61</f>
        <v>0</v>
      </c>
      <c r="R61" s="466">
        <f t="shared" ref="R61:R124" si="11">D61+K61</f>
        <v>0</v>
      </c>
      <c r="S61" s="466">
        <f t="shared" ref="S61:S124" si="12">E61+L61</f>
        <v>0</v>
      </c>
      <c r="T61" s="466">
        <f t="shared" ref="T61:T124" si="13">F61+M61</f>
        <v>366635</v>
      </c>
      <c r="U61" s="466">
        <f t="shared" ref="U61:U124" si="14">G61+N61</f>
        <v>0</v>
      </c>
      <c r="V61" s="466">
        <f t="shared" ref="V61:V124" si="15">H61+O61</f>
        <v>0</v>
      </c>
      <c r="W61" s="466">
        <f t="shared" ref="W61:W124" si="16">I61+P61</f>
        <v>366635</v>
      </c>
      <c r="X61" s="296" t="s">
        <v>22</v>
      </c>
    </row>
    <row r="62" spans="1:24" s="296" customFormat="1">
      <c r="B62" s="296" t="s">
        <v>128</v>
      </c>
      <c r="C62" s="477">
        <v>164818</v>
      </c>
      <c r="D62" s="477">
        <v>77335</v>
      </c>
      <c r="E62" s="477">
        <v>345646</v>
      </c>
      <c r="F62" s="477">
        <v>86071</v>
      </c>
      <c r="G62" s="477">
        <v>2124</v>
      </c>
      <c r="H62" s="477">
        <v>13969</v>
      </c>
      <c r="I62" s="477">
        <v>689963</v>
      </c>
      <c r="J62" s="477"/>
      <c r="K62" s="477">
        <v>1</v>
      </c>
      <c r="L62" s="477"/>
      <c r="M62" s="477"/>
      <c r="N62" s="477"/>
      <c r="O62" s="477"/>
      <c r="P62" s="477">
        <v>1</v>
      </c>
      <c r="Q62" s="466">
        <f t="shared" si="10"/>
        <v>164818</v>
      </c>
      <c r="R62" s="466">
        <f t="shared" si="11"/>
        <v>77336</v>
      </c>
      <c r="S62" s="466">
        <f t="shared" si="12"/>
        <v>345646</v>
      </c>
      <c r="T62" s="466">
        <f t="shared" si="13"/>
        <v>86071</v>
      </c>
      <c r="U62" s="466">
        <f t="shared" si="14"/>
        <v>2124</v>
      </c>
      <c r="V62" s="466">
        <f t="shared" si="15"/>
        <v>13969</v>
      </c>
      <c r="W62" s="466">
        <f t="shared" si="16"/>
        <v>689964</v>
      </c>
      <c r="X62" s="296" t="s">
        <v>22</v>
      </c>
    </row>
    <row r="63" spans="1:24" s="296" customFormat="1">
      <c r="B63" s="296" t="s">
        <v>129</v>
      </c>
      <c r="C63" s="477">
        <v>1573177</v>
      </c>
      <c r="D63" s="477">
        <v>927293</v>
      </c>
      <c r="E63" s="477">
        <v>1634556</v>
      </c>
      <c r="F63" s="477">
        <v>1269680</v>
      </c>
      <c r="G63" s="477">
        <v>297257</v>
      </c>
      <c r="H63" s="477">
        <v>9714</v>
      </c>
      <c r="I63" s="477">
        <v>5711677</v>
      </c>
      <c r="J63" s="477"/>
      <c r="K63" s="477">
        <v>100341</v>
      </c>
      <c r="L63" s="477">
        <v>352350</v>
      </c>
      <c r="M63" s="477">
        <v>65697</v>
      </c>
      <c r="N63" s="477">
        <v>2841</v>
      </c>
      <c r="O63" s="477"/>
      <c r="P63" s="477">
        <v>521229</v>
      </c>
      <c r="Q63" s="466">
        <f t="shared" si="10"/>
        <v>1573177</v>
      </c>
      <c r="R63" s="466">
        <f t="shared" si="11"/>
        <v>1027634</v>
      </c>
      <c r="S63" s="466">
        <f t="shared" si="12"/>
        <v>1986906</v>
      </c>
      <c r="T63" s="466">
        <f t="shared" si="13"/>
        <v>1335377</v>
      </c>
      <c r="U63" s="466">
        <f t="shared" si="14"/>
        <v>300098</v>
      </c>
      <c r="V63" s="466">
        <f t="shared" si="15"/>
        <v>9714</v>
      </c>
      <c r="W63" s="466">
        <f t="shared" si="16"/>
        <v>6232906</v>
      </c>
      <c r="X63" s="296" t="s">
        <v>22</v>
      </c>
    </row>
    <row r="64" spans="1:24" s="296" customFormat="1">
      <c r="B64" s="296" t="s">
        <v>130</v>
      </c>
      <c r="C64" s="477"/>
      <c r="D64" s="477"/>
      <c r="E64" s="477"/>
      <c r="F64" s="477"/>
      <c r="G64" s="477"/>
      <c r="H64" s="477"/>
      <c r="I64" s="477"/>
      <c r="J64" s="477"/>
      <c r="K64" s="477"/>
      <c r="L64" s="477"/>
      <c r="M64" s="477">
        <v>7855</v>
      </c>
      <c r="N64" s="477"/>
      <c r="O64" s="477"/>
      <c r="P64" s="477">
        <v>7855</v>
      </c>
      <c r="Q64" s="466">
        <f t="shared" si="10"/>
        <v>0</v>
      </c>
      <c r="R64" s="466">
        <f t="shared" si="11"/>
        <v>0</v>
      </c>
      <c r="S64" s="466">
        <f t="shared" si="12"/>
        <v>0</v>
      </c>
      <c r="T64" s="466">
        <f t="shared" si="13"/>
        <v>7855</v>
      </c>
      <c r="U64" s="466">
        <f t="shared" si="14"/>
        <v>0</v>
      </c>
      <c r="V64" s="466">
        <f t="shared" si="15"/>
        <v>0</v>
      </c>
      <c r="W64" s="466">
        <f t="shared" si="16"/>
        <v>7855</v>
      </c>
      <c r="X64" s="296" t="s">
        <v>22</v>
      </c>
    </row>
    <row r="65" spans="2:26" s="472" customFormat="1">
      <c r="B65" s="472" t="s">
        <v>131</v>
      </c>
      <c r="C65" s="475">
        <v>2974206</v>
      </c>
      <c r="D65" s="475">
        <v>3390721</v>
      </c>
      <c r="E65" s="475">
        <v>662757</v>
      </c>
      <c r="F65" s="475">
        <v>54881</v>
      </c>
      <c r="G65" s="475">
        <v>84266</v>
      </c>
      <c r="H65" s="475">
        <v>26748</v>
      </c>
      <c r="I65" s="475">
        <v>7193579</v>
      </c>
      <c r="J65" s="475"/>
      <c r="K65" s="475">
        <v>247459</v>
      </c>
      <c r="L65" s="475"/>
      <c r="M65" s="475"/>
      <c r="N65" s="475"/>
      <c r="O65" s="475"/>
      <c r="P65" s="475">
        <v>247459</v>
      </c>
      <c r="Q65" s="474">
        <f t="shared" si="10"/>
        <v>2974206</v>
      </c>
      <c r="R65" s="474">
        <f t="shared" si="11"/>
        <v>3638180</v>
      </c>
      <c r="S65" s="474">
        <f t="shared" si="12"/>
        <v>662757</v>
      </c>
      <c r="T65" s="474">
        <f t="shared" si="13"/>
        <v>54881</v>
      </c>
      <c r="U65" s="474">
        <f t="shared" si="14"/>
        <v>84266</v>
      </c>
      <c r="V65" s="474">
        <f t="shared" si="15"/>
        <v>26748</v>
      </c>
      <c r="W65" s="474">
        <f t="shared" si="16"/>
        <v>7441038</v>
      </c>
      <c r="X65" s="472" t="s">
        <v>14</v>
      </c>
    </row>
    <row r="66" spans="2:26" s="296" customFormat="1">
      <c r="B66" s="296" t="s">
        <v>132</v>
      </c>
      <c r="C66" s="477">
        <v>659210</v>
      </c>
      <c r="D66" s="477">
        <v>663187</v>
      </c>
      <c r="E66" s="477">
        <v>196576</v>
      </c>
      <c r="F66" s="477">
        <v>21415</v>
      </c>
      <c r="G66" s="477">
        <v>5816</v>
      </c>
      <c r="H66" s="477">
        <v>9304</v>
      </c>
      <c r="I66" s="477">
        <v>1555508</v>
      </c>
      <c r="J66" s="477"/>
      <c r="K66" s="477">
        <v>573</v>
      </c>
      <c r="L66" s="477"/>
      <c r="M66" s="477"/>
      <c r="N66" s="477"/>
      <c r="O66" s="477"/>
      <c r="P66" s="477">
        <v>573</v>
      </c>
      <c r="Q66" s="466">
        <f t="shared" si="10"/>
        <v>659210</v>
      </c>
      <c r="R66" s="466">
        <f t="shared" si="11"/>
        <v>663760</v>
      </c>
      <c r="S66" s="466">
        <f t="shared" si="12"/>
        <v>196576</v>
      </c>
      <c r="T66" s="466">
        <f t="shared" si="13"/>
        <v>21415</v>
      </c>
      <c r="U66" s="466">
        <f t="shared" si="14"/>
        <v>5816</v>
      </c>
      <c r="V66" s="466">
        <f t="shared" si="15"/>
        <v>9304</v>
      </c>
      <c r="W66" s="466">
        <f t="shared" si="16"/>
        <v>1556081</v>
      </c>
      <c r="X66" s="296" t="s">
        <v>14</v>
      </c>
    </row>
    <row r="67" spans="2:26" s="296" customFormat="1">
      <c r="B67" s="296" t="s">
        <v>133</v>
      </c>
      <c r="C67" s="477">
        <v>2400</v>
      </c>
      <c r="D67" s="477">
        <v>2392</v>
      </c>
      <c r="E67" s="477">
        <v>3303</v>
      </c>
      <c r="F67" s="477">
        <v>574</v>
      </c>
      <c r="G67" s="477">
        <v>114</v>
      </c>
      <c r="H67" s="477">
        <v>400</v>
      </c>
      <c r="I67" s="477">
        <v>9183</v>
      </c>
      <c r="J67" s="477"/>
      <c r="K67" s="477"/>
      <c r="L67" s="477"/>
      <c r="M67" s="477"/>
      <c r="N67" s="477"/>
      <c r="O67" s="477"/>
      <c r="P67" s="477"/>
      <c r="Q67" s="466">
        <f t="shared" si="10"/>
        <v>2400</v>
      </c>
      <c r="R67" s="466">
        <f t="shared" si="11"/>
        <v>2392</v>
      </c>
      <c r="S67" s="466">
        <f t="shared" si="12"/>
        <v>3303</v>
      </c>
      <c r="T67" s="466">
        <f t="shared" si="13"/>
        <v>574</v>
      </c>
      <c r="U67" s="466">
        <f t="shared" si="14"/>
        <v>114</v>
      </c>
      <c r="V67" s="466">
        <f t="shared" si="15"/>
        <v>400</v>
      </c>
      <c r="W67" s="466">
        <f t="shared" si="16"/>
        <v>9183</v>
      </c>
      <c r="X67" s="296" t="s">
        <v>14</v>
      </c>
    </row>
    <row r="68" spans="2:26" s="296" customFormat="1">
      <c r="B68" s="296" t="s">
        <v>134</v>
      </c>
      <c r="C68" s="477"/>
      <c r="D68" s="477">
        <v>5</v>
      </c>
      <c r="E68" s="477"/>
      <c r="F68" s="477">
        <v>1</v>
      </c>
      <c r="G68" s="477"/>
      <c r="H68" s="477"/>
      <c r="I68" s="477">
        <v>6</v>
      </c>
      <c r="J68" s="477"/>
      <c r="K68" s="477"/>
      <c r="L68" s="477"/>
      <c r="M68" s="477"/>
      <c r="N68" s="477"/>
      <c r="O68" s="477"/>
      <c r="P68" s="477"/>
      <c r="Q68" s="466">
        <f t="shared" si="10"/>
        <v>0</v>
      </c>
      <c r="R68" s="466">
        <f t="shared" si="11"/>
        <v>5</v>
      </c>
      <c r="S68" s="466">
        <f t="shared" si="12"/>
        <v>0</v>
      </c>
      <c r="T68" s="466">
        <f t="shared" si="13"/>
        <v>1</v>
      </c>
      <c r="U68" s="466">
        <f t="shared" si="14"/>
        <v>0</v>
      </c>
      <c r="V68" s="466">
        <f t="shared" si="15"/>
        <v>0</v>
      </c>
      <c r="W68" s="466">
        <f t="shared" si="16"/>
        <v>6</v>
      </c>
      <c r="X68" s="296" t="s">
        <v>14</v>
      </c>
    </row>
    <row r="69" spans="2:26" s="296" customFormat="1">
      <c r="B69" s="296" t="s">
        <v>135</v>
      </c>
      <c r="C69" s="477"/>
      <c r="D69" s="477">
        <v>222715</v>
      </c>
      <c r="E69" s="477"/>
      <c r="F69" s="477"/>
      <c r="G69" s="477"/>
      <c r="H69" s="477"/>
      <c r="I69" s="477">
        <v>222715</v>
      </c>
      <c r="J69" s="477"/>
      <c r="K69" s="477">
        <v>177</v>
      </c>
      <c r="L69" s="477"/>
      <c r="M69" s="477"/>
      <c r="N69" s="477"/>
      <c r="O69" s="477"/>
      <c r="P69" s="477">
        <v>177</v>
      </c>
      <c r="Q69" s="466">
        <f t="shared" si="10"/>
        <v>0</v>
      </c>
      <c r="R69" s="466">
        <f t="shared" si="11"/>
        <v>222892</v>
      </c>
      <c r="S69" s="466">
        <f t="shared" si="12"/>
        <v>0</v>
      </c>
      <c r="T69" s="466">
        <f t="shared" si="13"/>
        <v>0</v>
      </c>
      <c r="U69" s="466">
        <f t="shared" si="14"/>
        <v>0</v>
      </c>
      <c r="V69" s="466">
        <f t="shared" si="15"/>
        <v>0</v>
      </c>
      <c r="W69" s="466">
        <f t="shared" si="16"/>
        <v>222892</v>
      </c>
      <c r="X69" s="296" t="s">
        <v>14</v>
      </c>
    </row>
    <row r="70" spans="2:26" s="296" customFormat="1">
      <c r="B70" s="296" t="s">
        <v>136</v>
      </c>
      <c r="C70" s="477">
        <v>116729</v>
      </c>
      <c r="D70" s="477"/>
      <c r="E70" s="477"/>
      <c r="F70" s="477"/>
      <c r="G70" s="477"/>
      <c r="H70" s="477"/>
      <c r="I70" s="477">
        <v>116729</v>
      </c>
      <c r="J70" s="477"/>
      <c r="K70" s="477"/>
      <c r="L70" s="477"/>
      <c r="M70" s="477"/>
      <c r="N70" s="477"/>
      <c r="O70" s="477"/>
      <c r="P70" s="477"/>
      <c r="Q70" s="466">
        <f t="shared" si="10"/>
        <v>116729</v>
      </c>
      <c r="R70" s="466">
        <f t="shared" si="11"/>
        <v>0</v>
      </c>
      <c r="S70" s="466">
        <f t="shared" si="12"/>
        <v>0</v>
      </c>
      <c r="T70" s="466">
        <f t="shared" si="13"/>
        <v>0</v>
      </c>
      <c r="U70" s="466">
        <f t="shared" si="14"/>
        <v>0</v>
      </c>
      <c r="V70" s="466">
        <f t="shared" si="15"/>
        <v>0</v>
      </c>
      <c r="W70" s="466">
        <f t="shared" si="16"/>
        <v>116729</v>
      </c>
      <c r="X70" s="296" t="s">
        <v>14</v>
      </c>
    </row>
    <row r="71" spans="2:26" s="296" customFormat="1">
      <c r="B71" s="296" t="s">
        <v>137</v>
      </c>
      <c r="C71" s="477">
        <v>566</v>
      </c>
      <c r="D71" s="477">
        <v>3525</v>
      </c>
      <c r="E71" s="477">
        <v>3428</v>
      </c>
      <c r="F71" s="477">
        <v>821</v>
      </c>
      <c r="G71" s="477">
        <v>113</v>
      </c>
      <c r="H71" s="477">
        <v>487</v>
      </c>
      <c r="I71" s="477">
        <v>8940</v>
      </c>
      <c r="J71" s="477"/>
      <c r="K71" s="477">
        <v>2</v>
      </c>
      <c r="L71" s="477"/>
      <c r="M71" s="477"/>
      <c r="N71" s="477"/>
      <c r="O71" s="477"/>
      <c r="P71" s="477">
        <v>2</v>
      </c>
      <c r="Q71" s="466">
        <f t="shared" si="10"/>
        <v>566</v>
      </c>
      <c r="R71" s="466">
        <f t="shared" si="11"/>
        <v>3527</v>
      </c>
      <c r="S71" s="466">
        <f t="shared" si="12"/>
        <v>3428</v>
      </c>
      <c r="T71" s="466">
        <f t="shared" si="13"/>
        <v>821</v>
      </c>
      <c r="U71" s="466">
        <f t="shared" si="14"/>
        <v>113</v>
      </c>
      <c r="V71" s="466">
        <f t="shared" si="15"/>
        <v>487</v>
      </c>
      <c r="W71" s="466">
        <f t="shared" si="16"/>
        <v>8942</v>
      </c>
      <c r="X71" s="296" t="s">
        <v>14</v>
      </c>
    </row>
    <row r="72" spans="2:26" s="296" customFormat="1">
      <c r="B72" s="296" t="s">
        <v>138</v>
      </c>
      <c r="C72" s="477"/>
      <c r="D72" s="477">
        <v>2030</v>
      </c>
      <c r="E72" s="477"/>
      <c r="F72" s="477"/>
      <c r="G72" s="477"/>
      <c r="H72" s="477"/>
      <c r="I72" s="477">
        <v>2030</v>
      </c>
      <c r="J72" s="477"/>
      <c r="K72" s="477">
        <v>23876</v>
      </c>
      <c r="L72" s="477"/>
      <c r="M72" s="477"/>
      <c r="N72" s="477"/>
      <c r="O72" s="477"/>
      <c r="P72" s="477">
        <v>23876</v>
      </c>
      <c r="Q72" s="466">
        <f t="shared" si="10"/>
        <v>0</v>
      </c>
      <c r="R72" s="466">
        <f t="shared" si="11"/>
        <v>25906</v>
      </c>
      <c r="S72" s="466">
        <f t="shared" si="12"/>
        <v>0</v>
      </c>
      <c r="T72" s="466">
        <f t="shared" si="13"/>
        <v>0</v>
      </c>
      <c r="U72" s="466">
        <f t="shared" si="14"/>
        <v>0</v>
      </c>
      <c r="V72" s="466">
        <f t="shared" si="15"/>
        <v>0</v>
      </c>
      <c r="W72" s="466">
        <f t="shared" si="16"/>
        <v>25906</v>
      </c>
      <c r="X72" s="296" t="s">
        <v>139</v>
      </c>
    </row>
    <row r="73" spans="2:26" s="296" customFormat="1">
      <c r="B73" s="296" t="s">
        <v>140</v>
      </c>
      <c r="C73" s="477">
        <v>49746</v>
      </c>
      <c r="D73" s="477">
        <v>106885</v>
      </c>
      <c r="E73" s="477">
        <v>80272</v>
      </c>
      <c r="F73" s="477">
        <v>9292</v>
      </c>
      <c r="G73" s="477">
        <v>1006</v>
      </c>
      <c r="H73" s="477">
        <v>8284</v>
      </c>
      <c r="I73" s="477">
        <v>255485</v>
      </c>
      <c r="J73" s="477"/>
      <c r="K73" s="477">
        <v>12</v>
      </c>
      <c r="L73" s="477"/>
      <c r="M73" s="477"/>
      <c r="N73" s="477"/>
      <c r="O73" s="477"/>
      <c r="P73" s="477">
        <v>12</v>
      </c>
      <c r="Q73" s="466">
        <f t="shared" si="10"/>
        <v>49746</v>
      </c>
      <c r="R73" s="466">
        <f t="shared" si="11"/>
        <v>106897</v>
      </c>
      <c r="S73" s="466">
        <f t="shared" si="12"/>
        <v>80272</v>
      </c>
      <c r="T73" s="466">
        <f t="shared" si="13"/>
        <v>9292</v>
      </c>
      <c r="U73" s="466">
        <f t="shared" si="14"/>
        <v>1006</v>
      </c>
      <c r="V73" s="466">
        <f t="shared" si="15"/>
        <v>8284</v>
      </c>
      <c r="W73" s="466">
        <f t="shared" si="16"/>
        <v>255497</v>
      </c>
      <c r="X73" s="296" t="s">
        <v>14</v>
      </c>
    </row>
    <row r="74" spans="2:26" s="296" customFormat="1">
      <c r="B74" s="296" t="s">
        <v>141</v>
      </c>
      <c r="C74" s="477"/>
      <c r="D74" s="477">
        <v>259840</v>
      </c>
      <c r="E74" s="477"/>
      <c r="F74" s="477"/>
      <c r="G74" s="477"/>
      <c r="H74" s="477"/>
      <c r="I74" s="477">
        <v>259840</v>
      </c>
      <c r="J74" s="477"/>
      <c r="K74" s="477">
        <v>609</v>
      </c>
      <c r="L74" s="477"/>
      <c r="M74" s="477"/>
      <c r="N74" s="477"/>
      <c r="O74" s="477"/>
      <c r="P74" s="477">
        <v>609</v>
      </c>
      <c r="Q74" s="466">
        <f t="shared" si="10"/>
        <v>0</v>
      </c>
      <c r="R74" s="466">
        <f t="shared" si="11"/>
        <v>260449</v>
      </c>
      <c r="S74" s="466">
        <f t="shared" si="12"/>
        <v>0</v>
      </c>
      <c r="T74" s="466">
        <f t="shared" si="13"/>
        <v>0</v>
      </c>
      <c r="U74" s="466">
        <f t="shared" si="14"/>
        <v>0</v>
      </c>
      <c r="V74" s="466">
        <f t="shared" si="15"/>
        <v>0</v>
      </c>
      <c r="W74" s="466">
        <f t="shared" si="16"/>
        <v>260449</v>
      </c>
      <c r="X74" s="296" t="s">
        <v>14</v>
      </c>
    </row>
    <row r="75" spans="2:26" s="296" customFormat="1">
      <c r="B75" s="296" t="s">
        <v>142</v>
      </c>
      <c r="C75" s="477">
        <v>17647</v>
      </c>
      <c r="D75" s="477">
        <v>766607</v>
      </c>
      <c r="E75" s="477"/>
      <c r="F75" s="477"/>
      <c r="G75" s="477">
        <v>35164</v>
      </c>
      <c r="H75" s="477"/>
      <c r="I75" s="477">
        <v>819418</v>
      </c>
      <c r="J75" s="477"/>
      <c r="K75" s="477">
        <v>1765</v>
      </c>
      <c r="L75" s="477"/>
      <c r="M75" s="477"/>
      <c r="N75" s="477"/>
      <c r="O75" s="477"/>
      <c r="P75" s="477">
        <v>1765</v>
      </c>
      <c r="Q75" s="466">
        <f t="shared" si="10"/>
        <v>17647</v>
      </c>
      <c r="R75" s="466">
        <f t="shared" si="11"/>
        <v>768372</v>
      </c>
      <c r="S75" s="466">
        <f t="shared" si="12"/>
        <v>0</v>
      </c>
      <c r="T75" s="466">
        <f t="shared" si="13"/>
        <v>0</v>
      </c>
      <c r="U75" s="466">
        <f t="shared" si="14"/>
        <v>35164</v>
      </c>
      <c r="V75" s="466">
        <f t="shared" si="15"/>
        <v>0</v>
      </c>
      <c r="W75" s="466">
        <f t="shared" si="16"/>
        <v>821183</v>
      </c>
      <c r="X75" s="296" t="s">
        <v>14</v>
      </c>
    </row>
    <row r="76" spans="2:26" s="296" customFormat="1">
      <c r="B76" s="296" t="s">
        <v>143</v>
      </c>
      <c r="C76" s="477">
        <v>2127908</v>
      </c>
      <c r="D76" s="477">
        <v>1363535</v>
      </c>
      <c r="E76" s="477">
        <v>379178</v>
      </c>
      <c r="F76" s="477">
        <v>22778</v>
      </c>
      <c r="G76" s="477">
        <v>42053</v>
      </c>
      <c r="H76" s="477">
        <v>8273</v>
      </c>
      <c r="I76" s="477">
        <v>3943725</v>
      </c>
      <c r="J76" s="477"/>
      <c r="K76" s="477">
        <v>220445</v>
      </c>
      <c r="L76" s="477"/>
      <c r="M76" s="477"/>
      <c r="N76" s="477"/>
      <c r="O76" s="477"/>
      <c r="P76" s="477">
        <v>220445</v>
      </c>
      <c r="Q76" s="466">
        <f t="shared" si="10"/>
        <v>2127908</v>
      </c>
      <c r="R76" s="466">
        <f t="shared" si="11"/>
        <v>1583980</v>
      </c>
      <c r="S76" s="466">
        <f t="shared" si="12"/>
        <v>379178</v>
      </c>
      <c r="T76" s="466">
        <f t="shared" si="13"/>
        <v>22778</v>
      </c>
      <c r="U76" s="466">
        <f t="shared" si="14"/>
        <v>42053</v>
      </c>
      <c r="V76" s="466">
        <f t="shared" si="15"/>
        <v>8273</v>
      </c>
      <c r="W76" s="466">
        <f t="shared" si="16"/>
        <v>4164170</v>
      </c>
      <c r="X76" s="296" t="s">
        <v>14</v>
      </c>
    </row>
    <row r="77" spans="2:26" s="472" customFormat="1">
      <c r="B77" s="472" t="s">
        <v>144</v>
      </c>
      <c r="C77" s="475">
        <v>564268</v>
      </c>
      <c r="D77" s="475">
        <v>1865</v>
      </c>
      <c r="E77" s="475">
        <v>1609154</v>
      </c>
      <c r="F77" s="475">
        <v>1038</v>
      </c>
      <c r="G77" s="475"/>
      <c r="H77" s="475">
        <v>24794</v>
      </c>
      <c r="I77" s="475">
        <v>2201119</v>
      </c>
      <c r="J77" s="475"/>
      <c r="K77" s="475">
        <v>966</v>
      </c>
      <c r="L77" s="475">
        <v>1080245</v>
      </c>
      <c r="M77" s="475"/>
      <c r="N77" s="475"/>
      <c r="O77" s="475">
        <v>696</v>
      </c>
      <c r="P77" s="475">
        <v>1081907</v>
      </c>
      <c r="Q77" s="474">
        <f t="shared" si="10"/>
        <v>564268</v>
      </c>
      <c r="R77" s="474">
        <f t="shared" si="11"/>
        <v>2831</v>
      </c>
      <c r="S77" s="474">
        <f t="shared" si="12"/>
        <v>2689399</v>
      </c>
      <c r="T77" s="474">
        <f t="shared" si="13"/>
        <v>1038</v>
      </c>
      <c r="U77" s="474">
        <f t="shared" si="14"/>
        <v>0</v>
      </c>
      <c r="V77" s="474">
        <f t="shared" si="15"/>
        <v>25490</v>
      </c>
      <c r="W77" s="474">
        <f t="shared" si="16"/>
        <v>3283026</v>
      </c>
      <c r="X77" s="472" t="s">
        <v>144</v>
      </c>
    </row>
    <row r="78" spans="2:26" s="472" customFormat="1">
      <c r="B78" s="296" t="s">
        <v>145</v>
      </c>
      <c r="C78" s="477">
        <v>390738</v>
      </c>
      <c r="D78" s="477"/>
      <c r="E78" s="477"/>
      <c r="F78" s="477"/>
      <c r="G78" s="477"/>
      <c r="H78" s="477"/>
      <c r="I78" s="477">
        <v>390738</v>
      </c>
      <c r="J78" s="477"/>
      <c r="K78" s="477"/>
      <c r="L78" s="477"/>
      <c r="M78" s="477"/>
      <c r="N78" s="477"/>
      <c r="O78" s="477"/>
      <c r="P78" s="477"/>
      <c r="Q78" s="466">
        <f t="shared" si="10"/>
        <v>390738</v>
      </c>
      <c r="R78" s="466">
        <f t="shared" si="11"/>
        <v>0</v>
      </c>
      <c r="S78" s="466">
        <f t="shared" si="12"/>
        <v>0</v>
      </c>
      <c r="T78" s="466">
        <f t="shared" si="13"/>
        <v>0</v>
      </c>
      <c r="U78" s="466">
        <f t="shared" si="14"/>
        <v>0</v>
      </c>
      <c r="V78" s="466">
        <f t="shared" si="15"/>
        <v>0</v>
      </c>
      <c r="W78" s="466">
        <f t="shared" si="16"/>
        <v>390738</v>
      </c>
      <c r="X78" s="296" t="s">
        <v>19</v>
      </c>
    </row>
    <row r="79" spans="2:26" s="296" customFormat="1">
      <c r="B79" s="296" t="s">
        <v>146</v>
      </c>
      <c r="C79" s="477">
        <v>127815</v>
      </c>
      <c r="D79" s="477">
        <v>767</v>
      </c>
      <c r="E79" s="477">
        <v>160184</v>
      </c>
      <c r="F79" s="477">
        <v>449</v>
      </c>
      <c r="G79" s="477"/>
      <c r="H79" s="477">
        <v>666</v>
      </c>
      <c r="I79" s="477">
        <v>289881</v>
      </c>
      <c r="J79" s="477"/>
      <c r="K79" s="477">
        <v>5</v>
      </c>
      <c r="L79" s="477"/>
      <c r="M79" s="477"/>
      <c r="N79" s="477"/>
      <c r="O79" s="477"/>
      <c r="P79" s="477"/>
      <c r="Q79" s="466">
        <f t="shared" si="10"/>
        <v>127815</v>
      </c>
      <c r="R79" s="466">
        <f t="shared" si="11"/>
        <v>772</v>
      </c>
      <c r="S79" s="466">
        <f t="shared" si="12"/>
        <v>160184</v>
      </c>
      <c r="T79" s="466">
        <f t="shared" si="13"/>
        <v>449</v>
      </c>
      <c r="U79" s="466">
        <f t="shared" si="14"/>
        <v>0</v>
      </c>
      <c r="V79" s="466">
        <f t="shared" si="15"/>
        <v>666</v>
      </c>
      <c r="W79" s="466">
        <f t="shared" si="16"/>
        <v>289881</v>
      </c>
      <c r="X79" s="296" t="s">
        <v>19</v>
      </c>
    </row>
    <row r="80" spans="2:26" s="296" customFormat="1">
      <c r="B80" s="296" t="s">
        <v>147</v>
      </c>
      <c r="C80" s="477">
        <v>45689</v>
      </c>
      <c r="D80" s="477">
        <v>1098</v>
      </c>
      <c r="E80" s="477">
        <v>1037910</v>
      </c>
      <c r="F80" s="477">
        <v>565</v>
      </c>
      <c r="G80" s="477"/>
      <c r="H80" s="477">
        <v>24128</v>
      </c>
      <c r="I80" s="477">
        <v>1109390</v>
      </c>
      <c r="J80" s="477"/>
      <c r="K80" s="477">
        <v>961</v>
      </c>
      <c r="L80" s="477">
        <v>692267</v>
      </c>
      <c r="M80" s="477"/>
      <c r="N80" s="477"/>
      <c r="O80" s="477">
        <v>368</v>
      </c>
      <c r="P80" s="477">
        <v>693596</v>
      </c>
      <c r="Q80" s="466">
        <f t="shared" si="10"/>
        <v>45689</v>
      </c>
      <c r="R80" s="466">
        <f t="shared" si="11"/>
        <v>2059</v>
      </c>
      <c r="S80" s="466">
        <f t="shared" si="12"/>
        <v>1730177</v>
      </c>
      <c r="T80" s="466">
        <f t="shared" si="13"/>
        <v>565</v>
      </c>
      <c r="U80" s="466">
        <f t="shared" si="14"/>
        <v>0</v>
      </c>
      <c r="V80" s="466">
        <f t="shared" si="15"/>
        <v>24496</v>
      </c>
      <c r="W80" s="466">
        <f t="shared" si="16"/>
        <v>1802986</v>
      </c>
      <c r="X80" s="296" t="s">
        <v>19</v>
      </c>
      <c r="Z80" s="478"/>
    </row>
    <row r="81" spans="2:30" s="296" customFormat="1">
      <c r="B81" s="296" t="s">
        <v>148</v>
      </c>
      <c r="C81" s="477"/>
      <c r="D81" s="477"/>
      <c r="E81" s="477">
        <v>183435</v>
      </c>
      <c r="F81" s="477">
        <v>6</v>
      </c>
      <c r="G81" s="477"/>
      <c r="H81" s="477"/>
      <c r="I81" s="477">
        <v>183441</v>
      </c>
      <c r="J81" s="477"/>
      <c r="K81" s="477"/>
      <c r="L81" s="477"/>
      <c r="M81" s="477"/>
      <c r="N81" s="477"/>
      <c r="O81" s="477"/>
      <c r="P81" s="477"/>
      <c r="Q81" s="466">
        <f t="shared" si="10"/>
        <v>0</v>
      </c>
      <c r="R81" s="466">
        <f t="shared" si="11"/>
        <v>0</v>
      </c>
      <c r="S81" s="466">
        <f t="shared" si="12"/>
        <v>183435</v>
      </c>
      <c r="T81" s="466">
        <f t="shared" si="13"/>
        <v>6</v>
      </c>
      <c r="U81" s="466">
        <f t="shared" si="14"/>
        <v>0</v>
      </c>
      <c r="V81" s="466">
        <f t="shared" si="15"/>
        <v>0</v>
      </c>
      <c r="W81" s="466">
        <f t="shared" si="16"/>
        <v>183441</v>
      </c>
      <c r="X81" s="296" t="s">
        <v>19</v>
      </c>
    </row>
    <row r="82" spans="2:30" s="472" customFormat="1">
      <c r="B82" s="296" t="s">
        <v>149</v>
      </c>
      <c r="C82" s="477">
        <v>5</v>
      </c>
      <c r="D82" s="477"/>
      <c r="E82" s="477">
        <v>227625</v>
      </c>
      <c r="F82" s="477">
        <v>6</v>
      </c>
      <c r="G82" s="477"/>
      <c r="H82" s="477"/>
      <c r="I82" s="477">
        <v>227636</v>
      </c>
      <c r="J82" s="477"/>
      <c r="K82" s="477"/>
      <c r="L82" s="477">
        <v>386452</v>
      </c>
      <c r="M82" s="477"/>
      <c r="N82" s="477"/>
      <c r="O82" s="477">
        <v>328</v>
      </c>
      <c r="P82" s="477">
        <v>386780</v>
      </c>
      <c r="Q82" s="466">
        <f t="shared" si="10"/>
        <v>5</v>
      </c>
      <c r="R82" s="466">
        <f t="shared" si="11"/>
        <v>0</v>
      </c>
      <c r="S82" s="466">
        <f t="shared" si="12"/>
        <v>614077</v>
      </c>
      <c r="T82" s="466">
        <f t="shared" si="13"/>
        <v>6</v>
      </c>
      <c r="U82" s="466">
        <f t="shared" si="14"/>
        <v>0</v>
      </c>
      <c r="V82" s="466">
        <f t="shared" si="15"/>
        <v>328</v>
      </c>
      <c r="W82" s="466">
        <f t="shared" si="16"/>
        <v>614416</v>
      </c>
      <c r="X82" s="296" t="s">
        <v>19</v>
      </c>
    </row>
    <row r="83" spans="2:30" s="296" customFormat="1">
      <c r="B83" s="296" t="s">
        <v>150</v>
      </c>
      <c r="C83" s="477">
        <v>21</v>
      </c>
      <c r="D83" s="477"/>
      <c r="E83" s="477"/>
      <c r="F83" s="477"/>
      <c r="G83" s="477"/>
      <c r="H83" s="477"/>
      <c r="I83" s="477">
        <v>21</v>
      </c>
      <c r="J83" s="477"/>
      <c r="K83" s="477"/>
      <c r="L83" s="477"/>
      <c r="M83" s="477"/>
      <c r="N83" s="477"/>
      <c r="O83" s="477"/>
      <c r="P83" s="477"/>
      <c r="Q83" s="466">
        <f t="shared" si="10"/>
        <v>21</v>
      </c>
      <c r="R83" s="466">
        <f t="shared" si="11"/>
        <v>0</v>
      </c>
      <c r="S83" s="466">
        <f t="shared" si="12"/>
        <v>0</v>
      </c>
      <c r="T83" s="466">
        <f t="shared" si="13"/>
        <v>0</v>
      </c>
      <c r="U83" s="466">
        <f t="shared" si="14"/>
        <v>0</v>
      </c>
      <c r="V83" s="466">
        <f t="shared" si="15"/>
        <v>0</v>
      </c>
      <c r="W83" s="466">
        <f t="shared" si="16"/>
        <v>21</v>
      </c>
      <c r="X83" s="296" t="s">
        <v>19</v>
      </c>
    </row>
    <row r="84" spans="2:30" s="296" customFormat="1">
      <c r="B84" s="296" t="s">
        <v>151</v>
      </c>
      <c r="C84" s="477"/>
      <c r="D84" s="477"/>
      <c r="E84" s="477"/>
      <c r="F84" s="477">
        <v>12</v>
      </c>
      <c r="G84" s="477"/>
      <c r="H84" s="477"/>
      <c r="I84" s="477">
        <v>12</v>
      </c>
      <c r="J84" s="477"/>
      <c r="K84" s="477"/>
      <c r="L84" s="477"/>
      <c r="M84" s="477"/>
      <c r="N84" s="477"/>
      <c r="O84" s="477"/>
      <c r="P84" s="477"/>
      <c r="Q84" s="466">
        <f t="shared" si="10"/>
        <v>0</v>
      </c>
      <c r="R84" s="466">
        <f t="shared" si="11"/>
        <v>0</v>
      </c>
      <c r="S84" s="466">
        <f t="shared" si="12"/>
        <v>0</v>
      </c>
      <c r="T84" s="466">
        <f t="shared" si="13"/>
        <v>12</v>
      </c>
      <c r="U84" s="466">
        <f t="shared" si="14"/>
        <v>0</v>
      </c>
      <c r="V84" s="466">
        <f t="shared" si="15"/>
        <v>0</v>
      </c>
      <c r="W84" s="466">
        <f t="shared" si="16"/>
        <v>12</v>
      </c>
      <c r="X84" s="296" t="s">
        <v>19</v>
      </c>
    </row>
    <row r="85" spans="2:30" s="296" customFormat="1">
      <c r="B85" s="296" t="s">
        <v>152</v>
      </c>
      <c r="C85" s="477"/>
      <c r="D85" s="477"/>
      <c r="E85" s="477"/>
      <c r="F85" s="477"/>
      <c r="G85" s="477"/>
      <c r="H85" s="477"/>
      <c r="I85" s="477"/>
      <c r="J85" s="477"/>
      <c r="K85" s="477"/>
      <c r="L85" s="477">
        <v>1526</v>
      </c>
      <c r="M85" s="477"/>
      <c r="N85" s="477"/>
      <c r="O85" s="477"/>
      <c r="P85" s="477">
        <v>1526</v>
      </c>
      <c r="Q85" s="466">
        <f t="shared" si="10"/>
        <v>0</v>
      </c>
      <c r="R85" s="466">
        <f t="shared" si="11"/>
        <v>0</v>
      </c>
      <c r="S85" s="466">
        <f t="shared" si="12"/>
        <v>1526</v>
      </c>
      <c r="T85" s="466">
        <f t="shared" si="13"/>
        <v>0</v>
      </c>
      <c r="U85" s="466">
        <f t="shared" si="14"/>
        <v>0</v>
      </c>
      <c r="V85" s="466">
        <f t="shared" si="15"/>
        <v>0</v>
      </c>
      <c r="W85" s="466">
        <f t="shared" si="16"/>
        <v>1526</v>
      </c>
      <c r="X85" s="296" t="s">
        <v>19</v>
      </c>
    </row>
    <row r="86" spans="2:30" s="472" customFormat="1">
      <c r="B86" s="472" t="s">
        <v>55</v>
      </c>
      <c r="C86" s="475">
        <v>209754</v>
      </c>
      <c r="D86" s="475">
        <v>1066393</v>
      </c>
      <c r="E86" s="475">
        <v>1676176</v>
      </c>
      <c r="F86" s="475">
        <v>609</v>
      </c>
      <c r="G86" s="475">
        <v>850430</v>
      </c>
      <c r="H86" s="475">
        <v>1107089</v>
      </c>
      <c r="I86" s="475">
        <v>4910451</v>
      </c>
      <c r="J86" s="475"/>
      <c r="K86" s="475">
        <v>1743</v>
      </c>
      <c r="L86" s="475">
        <v>32036</v>
      </c>
      <c r="M86" s="475"/>
      <c r="N86" s="475"/>
      <c r="O86" s="475"/>
      <c r="P86" s="475">
        <v>33779</v>
      </c>
      <c r="Q86" s="474">
        <f t="shared" si="10"/>
        <v>209754</v>
      </c>
      <c r="R86" s="474">
        <f t="shared" si="11"/>
        <v>1068136</v>
      </c>
      <c r="S86" s="474">
        <f t="shared" si="12"/>
        <v>1708212</v>
      </c>
      <c r="T86" s="474">
        <f t="shared" si="13"/>
        <v>609</v>
      </c>
      <c r="U86" s="474">
        <f t="shared" si="14"/>
        <v>850430</v>
      </c>
      <c r="V86" s="474">
        <f t="shared" si="15"/>
        <v>1107089</v>
      </c>
      <c r="W86" s="474">
        <f t="shared" si="16"/>
        <v>4944230</v>
      </c>
      <c r="X86" s="472" t="s">
        <v>18</v>
      </c>
    </row>
    <row r="87" spans="2:30" s="296" customFormat="1">
      <c r="B87" s="296" t="s">
        <v>153</v>
      </c>
      <c r="C87" s="477">
        <v>149980</v>
      </c>
      <c r="D87" s="477">
        <v>530816</v>
      </c>
      <c r="E87" s="477">
        <v>804708</v>
      </c>
      <c r="F87" s="477">
        <v>607</v>
      </c>
      <c r="G87" s="477">
        <v>605430</v>
      </c>
      <c r="H87" s="477">
        <v>478515</v>
      </c>
      <c r="I87" s="477">
        <v>2570056</v>
      </c>
      <c r="J87" s="477"/>
      <c r="K87" s="477">
        <v>957</v>
      </c>
      <c r="L87" s="477">
        <v>32036</v>
      </c>
      <c r="M87" s="477"/>
      <c r="N87" s="477"/>
      <c r="O87" s="477"/>
      <c r="P87" s="477">
        <v>32993</v>
      </c>
      <c r="Q87" s="466">
        <f t="shared" si="10"/>
        <v>149980</v>
      </c>
      <c r="R87" s="466">
        <f t="shared" si="11"/>
        <v>531773</v>
      </c>
      <c r="S87" s="466">
        <f t="shared" si="12"/>
        <v>836744</v>
      </c>
      <c r="T87" s="466">
        <f t="shared" si="13"/>
        <v>607</v>
      </c>
      <c r="U87" s="466">
        <f t="shared" si="14"/>
        <v>605430</v>
      </c>
      <c r="V87" s="466">
        <f t="shared" si="15"/>
        <v>478515</v>
      </c>
      <c r="W87" s="466">
        <f t="shared" si="16"/>
        <v>2603049</v>
      </c>
      <c r="X87" s="296" t="s">
        <v>18</v>
      </c>
      <c r="Z87" s="478"/>
    </row>
    <row r="88" spans="2:30" s="296" customFormat="1">
      <c r="B88" s="296" t="s">
        <v>154</v>
      </c>
      <c r="C88" s="477">
        <v>58542</v>
      </c>
      <c r="D88" s="477">
        <v>532927</v>
      </c>
      <c r="E88" s="477">
        <v>796490</v>
      </c>
      <c r="F88" s="477">
        <v>2</v>
      </c>
      <c r="G88" s="477">
        <v>245000</v>
      </c>
      <c r="H88" s="477">
        <v>498065</v>
      </c>
      <c r="I88" s="477">
        <v>2131026</v>
      </c>
      <c r="J88" s="477"/>
      <c r="K88" s="477">
        <v>786</v>
      </c>
      <c r="L88" s="477"/>
      <c r="M88" s="477"/>
      <c r="N88" s="477"/>
      <c r="O88" s="477"/>
      <c r="P88" s="477">
        <v>786</v>
      </c>
      <c r="Q88" s="466">
        <f t="shared" si="10"/>
        <v>58542</v>
      </c>
      <c r="R88" s="466">
        <f t="shared" si="11"/>
        <v>533713</v>
      </c>
      <c r="S88" s="466">
        <f t="shared" si="12"/>
        <v>796490</v>
      </c>
      <c r="T88" s="466">
        <f t="shared" si="13"/>
        <v>2</v>
      </c>
      <c r="U88" s="466">
        <f t="shared" si="14"/>
        <v>245000</v>
      </c>
      <c r="V88" s="466">
        <f t="shared" si="15"/>
        <v>498065</v>
      </c>
      <c r="W88" s="466">
        <f t="shared" si="16"/>
        <v>2131812</v>
      </c>
      <c r="X88" s="296" t="s">
        <v>18</v>
      </c>
    </row>
    <row r="89" spans="2:30" s="296" customFormat="1">
      <c r="B89" s="296" t="s">
        <v>155</v>
      </c>
      <c r="C89" s="477">
        <v>1232</v>
      </c>
      <c r="D89" s="477">
        <v>2650</v>
      </c>
      <c r="E89" s="477">
        <v>74978</v>
      </c>
      <c r="F89" s="477"/>
      <c r="G89" s="477"/>
      <c r="H89" s="477">
        <v>130509</v>
      </c>
      <c r="I89" s="477">
        <v>209369</v>
      </c>
      <c r="J89" s="477"/>
      <c r="K89" s="477"/>
      <c r="L89" s="477"/>
      <c r="M89" s="477"/>
      <c r="N89" s="477"/>
      <c r="O89" s="477"/>
      <c r="P89" s="477"/>
      <c r="Q89" s="466">
        <f t="shared" si="10"/>
        <v>1232</v>
      </c>
      <c r="R89" s="466">
        <f t="shared" si="11"/>
        <v>2650</v>
      </c>
      <c r="S89" s="466">
        <f t="shared" si="12"/>
        <v>74978</v>
      </c>
      <c r="T89" s="466">
        <f t="shared" si="13"/>
        <v>0</v>
      </c>
      <c r="U89" s="466">
        <f t="shared" si="14"/>
        <v>0</v>
      </c>
      <c r="V89" s="466">
        <f t="shared" si="15"/>
        <v>130509</v>
      </c>
      <c r="W89" s="466">
        <f t="shared" si="16"/>
        <v>209369</v>
      </c>
      <c r="X89" s="296" t="s">
        <v>18</v>
      </c>
    </row>
    <row r="90" spans="2:30" s="296" customFormat="1">
      <c r="B90" s="472" t="s">
        <v>79</v>
      </c>
      <c r="C90" s="477">
        <v>66175</v>
      </c>
      <c r="D90" s="477">
        <v>1990249</v>
      </c>
      <c r="E90" s="477">
        <v>825845</v>
      </c>
      <c r="F90" s="477">
        <v>26475</v>
      </c>
      <c r="G90" s="477">
        <v>11805</v>
      </c>
      <c r="H90" s="477">
        <v>3554</v>
      </c>
      <c r="I90" s="477">
        <v>2924103</v>
      </c>
      <c r="J90" s="477"/>
      <c r="K90" s="475">
        <v>564281</v>
      </c>
      <c r="L90" s="475">
        <v>482428</v>
      </c>
      <c r="M90" s="475"/>
      <c r="N90" s="475"/>
      <c r="O90" s="475">
        <v>272</v>
      </c>
      <c r="P90" s="475">
        <v>1046981</v>
      </c>
      <c r="Q90" s="466">
        <f t="shared" si="10"/>
        <v>66175</v>
      </c>
      <c r="R90" s="466">
        <f t="shared" si="11"/>
        <v>2554530</v>
      </c>
      <c r="S90" s="466">
        <f t="shared" si="12"/>
        <v>1308273</v>
      </c>
      <c r="T90" s="466">
        <f t="shared" si="13"/>
        <v>26475</v>
      </c>
      <c r="U90" s="466">
        <f t="shared" si="14"/>
        <v>11805</v>
      </c>
      <c r="V90" s="466">
        <f t="shared" si="15"/>
        <v>3826</v>
      </c>
      <c r="W90" s="466">
        <f t="shared" si="16"/>
        <v>3971084</v>
      </c>
      <c r="X90" s="472" t="s">
        <v>17</v>
      </c>
    </row>
    <row r="91" spans="2:30" s="296" customFormat="1">
      <c r="B91" s="296" t="s">
        <v>156</v>
      </c>
      <c r="C91" s="477"/>
      <c r="D91" s="477">
        <v>7352</v>
      </c>
      <c r="E91" s="477"/>
      <c r="F91" s="477">
        <v>1823</v>
      </c>
      <c r="G91" s="477"/>
      <c r="H91" s="477"/>
      <c r="I91" s="477">
        <v>9175</v>
      </c>
      <c r="J91" s="477"/>
      <c r="K91" s="477"/>
      <c r="L91" s="477"/>
      <c r="M91" s="477"/>
      <c r="N91" s="477"/>
      <c r="O91" s="477"/>
      <c r="P91" s="477"/>
      <c r="Q91" s="466">
        <f t="shared" si="10"/>
        <v>0</v>
      </c>
      <c r="R91" s="466">
        <f t="shared" si="11"/>
        <v>7352</v>
      </c>
      <c r="S91" s="466">
        <f t="shared" si="12"/>
        <v>0</v>
      </c>
      <c r="T91" s="466">
        <f t="shared" si="13"/>
        <v>1823</v>
      </c>
      <c r="U91" s="466">
        <f t="shared" si="14"/>
        <v>0</v>
      </c>
      <c r="V91" s="466">
        <f t="shared" si="15"/>
        <v>0</v>
      </c>
      <c r="W91" s="466">
        <f t="shared" si="16"/>
        <v>9175</v>
      </c>
      <c r="X91" s="296" t="s">
        <v>17</v>
      </c>
    </row>
    <row r="92" spans="2:30" s="296" customFormat="1">
      <c r="B92" s="296" t="s">
        <v>157</v>
      </c>
      <c r="C92" s="477">
        <v>236</v>
      </c>
      <c r="D92" s="477">
        <v>45035</v>
      </c>
      <c r="E92" s="477">
        <v>8865</v>
      </c>
      <c r="F92" s="477">
        <v>969</v>
      </c>
      <c r="G92" s="477"/>
      <c r="H92" s="477"/>
      <c r="I92" s="477">
        <v>55105</v>
      </c>
      <c r="J92" s="477"/>
      <c r="K92" s="477">
        <v>1176</v>
      </c>
      <c r="L92" s="477"/>
      <c r="M92" s="477"/>
      <c r="N92" s="477"/>
      <c r="O92" s="477"/>
      <c r="P92" s="477">
        <v>1176</v>
      </c>
      <c r="Q92" s="466">
        <f t="shared" si="10"/>
        <v>236</v>
      </c>
      <c r="R92" s="466">
        <f t="shared" si="11"/>
        <v>46211</v>
      </c>
      <c r="S92" s="466">
        <f t="shared" si="12"/>
        <v>8865</v>
      </c>
      <c r="T92" s="466">
        <f t="shared" si="13"/>
        <v>969</v>
      </c>
      <c r="U92" s="466">
        <f t="shared" si="14"/>
        <v>0</v>
      </c>
      <c r="V92" s="466">
        <f t="shared" si="15"/>
        <v>0</v>
      </c>
      <c r="W92" s="466">
        <f t="shared" si="16"/>
        <v>56281</v>
      </c>
      <c r="X92" s="296" t="s">
        <v>17</v>
      </c>
    </row>
    <row r="93" spans="2:30" s="296" customFormat="1">
      <c r="B93" s="296" t="s">
        <v>158</v>
      </c>
      <c r="C93" s="477"/>
      <c r="D93" s="477">
        <v>100</v>
      </c>
      <c r="E93" s="477">
        <v>123418</v>
      </c>
      <c r="F93" s="477">
        <v>6</v>
      </c>
      <c r="G93" s="477"/>
      <c r="H93" s="477"/>
      <c r="I93" s="477">
        <v>123524</v>
      </c>
      <c r="J93" s="477"/>
      <c r="K93" s="477">
        <v>3</v>
      </c>
      <c r="L93" s="477">
        <v>1266</v>
      </c>
      <c r="M93" s="477"/>
      <c r="N93" s="477"/>
      <c r="O93" s="477"/>
      <c r="P93" s="477">
        <v>1269</v>
      </c>
      <c r="Q93" s="466">
        <f t="shared" si="10"/>
        <v>0</v>
      </c>
      <c r="R93" s="466">
        <f t="shared" si="11"/>
        <v>103</v>
      </c>
      <c r="S93" s="466">
        <f t="shared" si="12"/>
        <v>124684</v>
      </c>
      <c r="T93" s="466">
        <f t="shared" si="13"/>
        <v>6</v>
      </c>
      <c r="U93" s="466">
        <f t="shared" si="14"/>
        <v>0</v>
      </c>
      <c r="V93" s="466">
        <f t="shared" si="15"/>
        <v>0</v>
      </c>
      <c r="W93" s="466">
        <f t="shared" si="16"/>
        <v>124793</v>
      </c>
      <c r="X93" s="296" t="s">
        <v>17</v>
      </c>
    </row>
    <row r="94" spans="2:30" s="296" customFormat="1">
      <c r="B94" s="296" t="s">
        <v>159</v>
      </c>
      <c r="C94" s="477">
        <v>26875</v>
      </c>
      <c r="D94" s="477">
        <v>364446</v>
      </c>
      <c r="E94" s="477"/>
      <c r="F94" s="477">
        <v>2919</v>
      </c>
      <c r="G94" s="477">
        <v>7448</v>
      </c>
      <c r="H94" s="477"/>
      <c r="I94" s="477">
        <v>401688</v>
      </c>
      <c r="J94" s="477"/>
      <c r="K94" s="477">
        <v>142852</v>
      </c>
      <c r="L94" s="477"/>
      <c r="M94" s="477"/>
      <c r="N94" s="477"/>
      <c r="O94" s="477"/>
      <c r="P94" s="477">
        <v>142852</v>
      </c>
      <c r="Q94" s="466">
        <f t="shared" si="10"/>
        <v>26875</v>
      </c>
      <c r="R94" s="466">
        <f t="shared" si="11"/>
        <v>507298</v>
      </c>
      <c r="S94" s="466">
        <f t="shared" si="12"/>
        <v>0</v>
      </c>
      <c r="T94" s="466">
        <f t="shared" si="13"/>
        <v>2919</v>
      </c>
      <c r="U94" s="466">
        <f t="shared" si="14"/>
        <v>7448</v>
      </c>
      <c r="V94" s="466">
        <f t="shared" si="15"/>
        <v>0</v>
      </c>
      <c r="W94" s="466">
        <f t="shared" si="16"/>
        <v>544540</v>
      </c>
      <c r="X94" s="296" t="s">
        <v>17</v>
      </c>
      <c r="AD94" s="479"/>
    </row>
    <row r="95" spans="2:30" s="296" customFormat="1">
      <c r="B95" s="296" t="s">
        <v>160</v>
      </c>
      <c r="C95" s="477">
        <v>180</v>
      </c>
      <c r="D95" s="477">
        <v>1227</v>
      </c>
      <c r="E95" s="477">
        <v>141730</v>
      </c>
      <c r="F95" s="477">
        <v>117</v>
      </c>
      <c r="G95" s="477"/>
      <c r="H95" s="477"/>
      <c r="I95" s="477">
        <v>143254</v>
      </c>
      <c r="J95" s="477"/>
      <c r="K95" s="477">
        <v>26</v>
      </c>
      <c r="L95" s="477"/>
      <c r="M95" s="477"/>
      <c r="N95" s="477"/>
      <c r="O95" s="477"/>
      <c r="P95" s="477">
        <v>26</v>
      </c>
      <c r="Q95" s="466">
        <f t="shared" si="10"/>
        <v>180</v>
      </c>
      <c r="R95" s="466">
        <f t="shared" si="11"/>
        <v>1253</v>
      </c>
      <c r="S95" s="466">
        <f t="shared" si="12"/>
        <v>141730</v>
      </c>
      <c r="T95" s="466">
        <f t="shared" si="13"/>
        <v>117</v>
      </c>
      <c r="U95" s="466">
        <f t="shared" si="14"/>
        <v>0</v>
      </c>
      <c r="V95" s="466">
        <f t="shared" si="15"/>
        <v>0</v>
      </c>
      <c r="W95" s="466">
        <f t="shared" si="16"/>
        <v>143280</v>
      </c>
      <c r="X95" s="296" t="s">
        <v>17</v>
      </c>
    </row>
    <row r="96" spans="2:30" s="296" customFormat="1">
      <c r="B96" s="296" t="s">
        <v>161</v>
      </c>
      <c r="C96" s="477">
        <v>129</v>
      </c>
      <c r="D96" s="477">
        <v>37501</v>
      </c>
      <c r="E96" s="477"/>
      <c r="F96" s="477">
        <v>452</v>
      </c>
      <c r="G96" s="477"/>
      <c r="H96" s="477"/>
      <c r="I96" s="477">
        <v>38082</v>
      </c>
      <c r="J96" s="477"/>
      <c r="K96" s="477">
        <v>424</v>
      </c>
      <c r="L96" s="477"/>
      <c r="M96" s="477"/>
      <c r="N96" s="477"/>
      <c r="O96" s="477"/>
      <c r="P96" s="477">
        <v>424</v>
      </c>
      <c r="Q96" s="466">
        <f t="shared" si="10"/>
        <v>129</v>
      </c>
      <c r="R96" s="466">
        <f t="shared" si="11"/>
        <v>37925</v>
      </c>
      <c r="S96" s="466">
        <f t="shared" si="12"/>
        <v>0</v>
      </c>
      <c r="T96" s="466">
        <f t="shared" si="13"/>
        <v>452</v>
      </c>
      <c r="U96" s="466">
        <f t="shared" si="14"/>
        <v>0</v>
      </c>
      <c r="V96" s="466">
        <f t="shared" si="15"/>
        <v>0</v>
      </c>
      <c r="W96" s="466">
        <f t="shared" si="16"/>
        <v>38506</v>
      </c>
      <c r="X96" s="296" t="s">
        <v>17</v>
      </c>
    </row>
    <row r="97" spans="2:24" s="472" customFormat="1">
      <c r="B97" s="296" t="s">
        <v>162</v>
      </c>
      <c r="C97" s="477">
        <v>76</v>
      </c>
      <c r="D97" s="477">
        <v>305575</v>
      </c>
      <c r="E97" s="477">
        <v>1528</v>
      </c>
      <c r="F97" s="477">
        <v>4257</v>
      </c>
      <c r="G97" s="477"/>
      <c r="H97" s="477"/>
      <c r="I97" s="477">
        <v>311436</v>
      </c>
      <c r="J97" s="477"/>
      <c r="K97" s="477">
        <v>122078</v>
      </c>
      <c r="L97" s="477"/>
      <c r="M97" s="477"/>
      <c r="N97" s="477"/>
      <c r="O97" s="477"/>
      <c r="P97" s="477">
        <v>122078</v>
      </c>
      <c r="Q97" s="466">
        <f t="shared" si="10"/>
        <v>76</v>
      </c>
      <c r="R97" s="466">
        <f t="shared" si="11"/>
        <v>427653</v>
      </c>
      <c r="S97" s="466">
        <f t="shared" si="12"/>
        <v>1528</v>
      </c>
      <c r="T97" s="466">
        <f t="shared" si="13"/>
        <v>4257</v>
      </c>
      <c r="U97" s="466">
        <f t="shared" si="14"/>
        <v>0</v>
      </c>
      <c r="V97" s="466">
        <f t="shared" si="15"/>
        <v>0</v>
      </c>
      <c r="W97" s="466">
        <f t="shared" si="16"/>
        <v>433514</v>
      </c>
      <c r="X97" s="296" t="s">
        <v>17</v>
      </c>
    </row>
    <row r="98" spans="2:24" s="296" customFormat="1">
      <c r="B98" s="296" t="s">
        <v>163</v>
      </c>
      <c r="C98" s="477">
        <v>1705</v>
      </c>
      <c r="D98" s="477"/>
      <c r="E98" s="477"/>
      <c r="F98" s="477"/>
      <c r="G98" s="477"/>
      <c r="H98" s="477"/>
      <c r="I98" s="477">
        <v>1705</v>
      </c>
      <c r="J98" s="477"/>
      <c r="K98" s="477"/>
      <c r="L98" s="477"/>
      <c r="M98" s="477"/>
      <c r="N98" s="477"/>
      <c r="O98" s="477"/>
      <c r="P98" s="477"/>
      <c r="Q98" s="466">
        <f t="shared" si="10"/>
        <v>1705</v>
      </c>
      <c r="R98" s="466">
        <f t="shared" si="11"/>
        <v>0</v>
      </c>
      <c r="S98" s="466">
        <f t="shared" si="12"/>
        <v>0</v>
      </c>
      <c r="T98" s="466">
        <f t="shared" si="13"/>
        <v>0</v>
      </c>
      <c r="U98" s="466">
        <f t="shared" si="14"/>
        <v>0</v>
      </c>
      <c r="V98" s="466">
        <f t="shared" si="15"/>
        <v>0</v>
      </c>
      <c r="W98" s="466">
        <f t="shared" si="16"/>
        <v>1705</v>
      </c>
      <c r="X98" s="296" t="s">
        <v>17</v>
      </c>
    </row>
    <row r="99" spans="2:24" s="296" customFormat="1">
      <c r="B99" s="296" t="s">
        <v>164</v>
      </c>
      <c r="C99" s="477">
        <v>2465</v>
      </c>
      <c r="D99" s="477">
        <v>131252</v>
      </c>
      <c r="E99" s="477">
        <v>545602</v>
      </c>
      <c r="F99" s="477">
        <v>9512</v>
      </c>
      <c r="G99" s="477">
        <v>4302</v>
      </c>
      <c r="H99" s="477">
        <v>2356</v>
      </c>
      <c r="I99" s="477">
        <v>695489</v>
      </c>
      <c r="J99" s="477"/>
      <c r="K99" s="477">
        <v>1910</v>
      </c>
      <c r="L99" s="477">
        <v>42123</v>
      </c>
      <c r="M99" s="477"/>
      <c r="N99" s="477"/>
      <c r="O99" s="477">
        <v>272</v>
      </c>
      <c r="P99" s="477">
        <v>44305</v>
      </c>
      <c r="Q99" s="466">
        <f t="shared" si="10"/>
        <v>2465</v>
      </c>
      <c r="R99" s="466">
        <f t="shared" si="11"/>
        <v>133162</v>
      </c>
      <c r="S99" s="466">
        <f t="shared" si="12"/>
        <v>587725</v>
      </c>
      <c r="T99" s="466">
        <f t="shared" si="13"/>
        <v>9512</v>
      </c>
      <c r="U99" s="466">
        <f t="shared" si="14"/>
        <v>4302</v>
      </c>
      <c r="V99" s="466">
        <f t="shared" si="15"/>
        <v>2628</v>
      </c>
      <c r="W99" s="466">
        <f t="shared" si="16"/>
        <v>739794</v>
      </c>
      <c r="X99" s="296" t="s">
        <v>17</v>
      </c>
    </row>
    <row r="100" spans="2:24" s="296" customFormat="1">
      <c r="B100" s="296" t="s">
        <v>165</v>
      </c>
      <c r="C100" s="477"/>
      <c r="D100" s="477">
        <v>32564</v>
      </c>
      <c r="E100" s="477"/>
      <c r="F100" s="477">
        <v>11</v>
      </c>
      <c r="G100" s="477"/>
      <c r="H100" s="477"/>
      <c r="I100" s="477">
        <v>32575</v>
      </c>
      <c r="J100" s="477"/>
      <c r="K100" s="477"/>
      <c r="L100" s="477"/>
      <c r="M100" s="477"/>
      <c r="N100" s="477"/>
      <c r="O100" s="477"/>
      <c r="P100" s="477"/>
      <c r="Q100" s="466">
        <f t="shared" si="10"/>
        <v>0</v>
      </c>
      <c r="R100" s="466">
        <f t="shared" si="11"/>
        <v>32564</v>
      </c>
      <c r="S100" s="466">
        <f t="shared" si="12"/>
        <v>0</v>
      </c>
      <c r="T100" s="466">
        <f t="shared" si="13"/>
        <v>11</v>
      </c>
      <c r="U100" s="466">
        <f t="shared" si="14"/>
        <v>0</v>
      </c>
      <c r="V100" s="466">
        <f t="shared" si="15"/>
        <v>0</v>
      </c>
      <c r="W100" s="466">
        <f t="shared" si="16"/>
        <v>32575</v>
      </c>
      <c r="X100" s="296" t="s">
        <v>17</v>
      </c>
    </row>
    <row r="101" spans="2:24" s="296" customFormat="1">
      <c r="B101" s="296" t="s">
        <v>166</v>
      </c>
      <c r="C101" s="477">
        <v>1097</v>
      </c>
      <c r="D101" s="477">
        <v>4681</v>
      </c>
      <c r="E101" s="477">
        <v>4702</v>
      </c>
      <c r="F101" s="477">
        <v>1103</v>
      </c>
      <c r="G101" s="477">
        <v>55</v>
      </c>
      <c r="H101" s="477">
        <v>251</v>
      </c>
      <c r="I101" s="477">
        <v>11889</v>
      </c>
      <c r="J101" s="477"/>
      <c r="K101" s="477">
        <v>6</v>
      </c>
      <c r="L101" s="477"/>
      <c r="M101" s="477"/>
      <c r="N101" s="477"/>
      <c r="O101" s="477"/>
      <c r="P101" s="477">
        <v>6</v>
      </c>
      <c r="Q101" s="466">
        <f t="shared" si="10"/>
        <v>1097</v>
      </c>
      <c r="R101" s="466">
        <f t="shared" si="11"/>
        <v>4687</v>
      </c>
      <c r="S101" s="466">
        <f t="shared" si="12"/>
        <v>4702</v>
      </c>
      <c r="T101" s="466">
        <f t="shared" si="13"/>
        <v>1103</v>
      </c>
      <c r="U101" s="466">
        <f t="shared" si="14"/>
        <v>55</v>
      </c>
      <c r="V101" s="466">
        <f t="shared" si="15"/>
        <v>251</v>
      </c>
      <c r="W101" s="466">
        <f t="shared" si="16"/>
        <v>11895</v>
      </c>
      <c r="X101" s="296" t="s">
        <v>17</v>
      </c>
    </row>
    <row r="102" spans="2:24" s="296" customFormat="1">
      <c r="B102" s="296" t="s">
        <v>167</v>
      </c>
      <c r="C102" s="477"/>
      <c r="D102" s="477">
        <v>415627</v>
      </c>
      <c r="E102" s="477"/>
      <c r="F102" s="477"/>
      <c r="G102" s="477"/>
      <c r="H102" s="477"/>
      <c r="I102" s="477">
        <v>415627</v>
      </c>
      <c r="J102" s="477"/>
      <c r="K102" s="477">
        <v>115309</v>
      </c>
      <c r="L102" s="477"/>
      <c r="M102" s="477"/>
      <c r="N102" s="477"/>
      <c r="O102" s="477"/>
      <c r="P102" s="477">
        <v>115309</v>
      </c>
      <c r="Q102" s="466">
        <f t="shared" si="10"/>
        <v>0</v>
      </c>
      <c r="R102" s="466">
        <f t="shared" si="11"/>
        <v>530936</v>
      </c>
      <c r="S102" s="466">
        <f t="shared" si="12"/>
        <v>0</v>
      </c>
      <c r="T102" s="466">
        <f t="shared" si="13"/>
        <v>0</v>
      </c>
      <c r="U102" s="466">
        <f t="shared" si="14"/>
        <v>0</v>
      </c>
      <c r="V102" s="466">
        <f t="shared" si="15"/>
        <v>0</v>
      </c>
      <c r="W102" s="466">
        <f t="shared" si="16"/>
        <v>530936</v>
      </c>
      <c r="X102" s="296" t="s">
        <v>17</v>
      </c>
    </row>
    <row r="103" spans="2:24" s="296" customFormat="1">
      <c r="B103" s="296" t="s">
        <v>168</v>
      </c>
      <c r="C103" s="477">
        <v>33412</v>
      </c>
      <c r="D103" s="477">
        <v>644880</v>
      </c>
      <c r="E103" s="477"/>
      <c r="F103" s="477">
        <v>5306</v>
      </c>
      <c r="G103" s="477"/>
      <c r="H103" s="477">
        <v>947</v>
      </c>
      <c r="I103" s="477">
        <v>684545</v>
      </c>
      <c r="J103" s="477"/>
      <c r="K103" s="477">
        <v>174056</v>
      </c>
      <c r="L103" s="477"/>
      <c r="M103" s="477"/>
      <c r="N103" s="477"/>
      <c r="O103" s="477"/>
      <c r="P103" s="477">
        <v>174056</v>
      </c>
      <c r="Q103" s="466">
        <f t="shared" si="10"/>
        <v>33412</v>
      </c>
      <c r="R103" s="466">
        <f t="shared" si="11"/>
        <v>818936</v>
      </c>
      <c r="S103" s="466">
        <f t="shared" si="12"/>
        <v>0</v>
      </c>
      <c r="T103" s="466">
        <f t="shared" si="13"/>
        <v>5306</v>
      </c>
      <c r="U103" s="466">
        <f t="shared" si="14"/>
        <v>0</v>
      </c>
      <c r="V103" s="466">
        <f t="shared" si="15"/>
        <v>947</v>
      </c>
      <c r="W103" s="466">
        <f t="shared" si="16"/>
        <v>858601</v>
      </c>
      <c r="X103" s="296" t="s">
        <v>17</v>
      </c>
    </row>
    <row r="104" spans="2:24" s="296" customFormat="1">
      <c r="B104" s="296" t="s">
        <v>169</v>
      </c>
      <c r="C104" s="477"/>
      <c r="D104" s="477">
        <v>9</v>
      </c>
      <c r="E104" s="477"/>
      <c r="F104" s="477"/>
      <c r="G104" s="477"/>
      <c r="H104" s="477"/>
      <c r="I104" s="477">
        <v>9</v>
      </c>
      <c r="J104" s="477"/>
      <c r="K104" s="477">
        <v>6441</v>
      </c>
      <c r="L104" s="477">
        <v>439039</v>
      </c>
      <c r="M104" s="477"/>
      <c r="N104" s="477"/>
      <c r="O104" s="477"/>
      <c r="P104" s="477">
        <v>445480</v>
      </c>
      <c r="Q104" s="466">
        <f t="shared" si="10"/>
        <v>0</v>
      </c>
      <c r="R104" s="466">
        <f t="shared" si="11"/>
        <v>6450</v>
      </c>
      <c r="S104" s="466">
        <f t="shared" si="12"/>
        <v>439039</v>
      </c>
      <c r="T104" s="466">
        <f t="shared" si="13"/>
        <v>0</v>
      </c>
      <c r="U104" s="466">
        <f t="shared" si="14"/>
        <v>0</v>
      </c>
      <c r="V104" s="466">
        <f t="shared" si="15"/>
        <v>0</v>
      </c>
      <c r="W104" s="466">
        <f t="shared" si="16"/>
        <v>445489</v>
      </c>
      <c r="X104" s="296" t="s">
        <v>17</v>
      </c>
    </row>
    <row r="105" spans="2:24" s="472" customFormat="1">
      <c r="B105" s="472" t="s">
        <v>170</v>
      </c>
      <c r="C105" s="475">
        <v>857475</v>
      </c>
      <c r="D105" s="475">
        <v>74699</v>
      </c>
      <c r="E105" s="475">
        <v>1378512</v>
      </c>
      <c r="F105" s="475">
        <v>668414</v>
      </c>
      <c r="G105" s="475">
        <v>68650</v>
      </c>
      <c r="H105" s="475">
        <v>2507</v>
      </c>
      <c r="I105" s="475">
        <v>3050257</v>
      </c>
      <c r="J105" s="475"/>
      <c r="K105" s="475">
        <v>14</v>
      </c>
      <c r="L105" s="475">
        <v>45428</v>
      </c>
      <c r="M105" s="475"/>
      <c r="N105" s="475"/>
      <c r="O105" s="475"/>
      <c r="P105" s="475">
        <v>45442</v>
      </c>
      <c r="Q105" s="466">
        <f t="shared" si="10"/>
        <v>857475</v>
      </c>
      <c r="R105" s="466">
        <f t="shared" si="11"/>
        <v>74713</v>
      </c>
      <c r="S105" s="466">
        <f t="shared" si="12"/>
        <v>1423940</v>
      </c>
      <c r="T105" s="466">
        <f t="shared" si="13"/>
        <v>668414</v>
      </c>
      <c r="U105" s="466">
        <f t="shared" si="14"/>
        <v>68650</v>
      </c>
      <c r="V105" s="466">
        <f t="shared" si="15"/>
        <v>2507</v>
      </c>
      <c r="W105" s="466">
        <f t="shared" si="16"/>
        <v>3095699</v>
      </c>
      <c r="X105" s="472" t="s">
        <v>170</v>
      </c>
    </row>
    <row r="106" spans="2:24" s="296" customFormat="1">
      <c r="B106" s="296" t="s">
        <v>171</v>
      </c>
      <c r="C106" s="477"/>
      <c r="D106" s="477"/>
      <c r="E106" s="477">
        <v>132366</v>
      </c>
      <c r="F106" s="477"/>
      <c r="G106" s="477"/>
      <c r="H106" s="477"/>
      <c r="I106" s="477">
        <v>132366</v>
      </c>
      <c r="J106" s="477"/>
      <c r="K106" s="477"/>
      <c r="L106" s="477"/>
      <c r="M106" s="477"/>
      <c r="N106" s="477"/>
      <c r="O106" s="477"/>
      <c r="P106" s="477"/>
      <c r="Q106" s="466">
        <f t="shared" si="10"/>
        <v>0</v>
      </c>
      <c r="R106" s="466">
        <f t="shared" si="11"/>
        <v>0</v>
      </c>
      <c r="S106" s="466">
        <f t="shared" si="12"/>
        <v>132366</v>
      </c>
      <c r="T106" s="466">
        <f t="shared" si="13"/>
        <v>0</v>
      </c>
      <c r="U106" s="466">
        <f t="shared" si="14"/>
        <v>0</v>
      </c>
      <c r="V106" s="466">
        <f t="shared" si="15"/>
        <v>0</v>
      </c>
      <c r="W106" s="466">
        <f t="shared" si="16"/>
        <v>132366</v>
      </c>
      <c r="X106" s="296" t="s">
        <v>23</v>
      </c>
    </row>
    <row r="107" spans="2:24" s="296" customFormat="1">
      <c r="B107" s="296" t="s">
        <v>172</v>
      </c>
      <c r="C107" s="477">
        <v>857475</v>
      </c>
      <c r="D107" s="477">
        <v>74699</v>
      </c>
      <c r="E107" s="477">
        <v>1246146</v>
      </c>
      <c r="F107" s="477">
        <v>668414</v>
      </c>
      <c r="G107" s="477">
        <v>68650</v>
      </c>
      <c r="H107" s="477">
        <v>2507</v>
      </c>
      <c r="I107" s="477">
        <v>2917891</v>
      </c>
      <c r="J107" s="477"/>
      <c r="K107" s="477">
        <v>14</v>
      </c>
      <c r="L107" s="477">
        <v>45428</v>
      </c>
      <c r="M107" s="477"/>
      <c r="N107" s="477"/>
      <c r="O107" s="477"/>
      <c r="P107" s="477">
        <v>45442</v>
      </c>
      <c r="Q107" s="466">
        <f t="shared" si="10"/>
        <v>857475</v>
      </c>
      <c r="R107" s="466">
        <f t="shared" si="11"/>
        <v>74713</v>
      </c>
      <c r="S107" s="466">
        <f t="shared" si="12"/>
        <v>1291574</v>
      </c>
      <c r="T107" s="466">
        <f t="shared" si="13"/>
        <v>668414</v>
      </c>
      <c r="U107" s="466">
        <f t="shared" si="14"/>
        <v>68650</v>
      </c>
      <c r="V107" s="466">
        <f t="shared" si="15"/>
        <v>2507</v>
      </c>
      <c r="W107" s="466">
        <f t="shared" si="16"/>
        <v>2963333</v>
      </c>
      <c r="X107" s="296" t="s">
        <v>23</v>
      </c>
    </row>
    <row r="108" spans="2:24" s="472" customFormat="1">
      <c r="B108" s="472" t="s">
        <v>54</v>
      </c>
      <c r="C108" s="475">
        <v>216252</v>
      </c>
      <c r="D108" s="475">
        <v>467144</v>
      </c>
      <c r="E108" s="475">
        <v>919823</v>
      </c>
      <c r="F108" s="475">
        <v>183</v>
      </c>
      <c r="G108" s="475"/>
      <c r="H108" s="475">
        <v>5368</v>
      </c>
      <c r="I108" s="475">
        <v>1608770</v>
      </c>
      <c r="J108" s="475">
        <v>11685</v>
      </c>
      <c r="K108" s="475">
        <v>356495</v>
      </c>
      <c r="L108" s="475">
        <v>1115472</v>
      </c>
      <c r="M108" s="475"/>
      <c r="N108" s="475"/>
      <c r="O108" s="475">
        <v>674</v>
      </c>
      <c r="P108" s="475">
        <v>1484326</v>
      </c>
      <c r="Q108" s="466">
        <f t="shared" si="10"/>
        <v>227937</v>
      </c>
      <c r="R108" s="466">
        <f t="shared" si="11"/>
        <v>823639</v>
      </c>
      <c r="S108" s="466">
        <f t="shared" si="12"/>
        <v>2035295</v>
      </c>
      <c r="T108" s="466">
        <f t="shared" si="13"/>
        <v>183</v>
      </c>
      <c r="U108" s="466">
        <f t="shared" si="14"/>
        <v>0</v>
      </c>
      <c r="V108" s="466">
        <f t="shared" si="15"/>
        <v>6042</v>
      </c>
      <c r="W108" s="466">
        <f t="shared" si="16"/>
        <v>3093096</v>
      </c>
      <c r="X108" s="472" t="s">
        <v>20</v>
      </c>
    </row>
    <row r="109" spans="2:24" s="296" customFormat="1">
      <c r="B109" s="296" t="s">
        <v>173</v>
      </c>
      <c r="C109" s="477">
        <v>158604</v>
      </c>
      <c r="D109" s="477">
        <v>467144</v>
      </c>
      <c r="E109" s="477">
        <v>814994</v>
      </c>
      <c r="F109" s="477">
        <v>183</v>
      </c>
      <c r="G109" s="477"/>
      <c r="H109" s="477">
        <v>3179</v>
      </c>
      <c r="I109" s="477">
        <v>1444104</v>
      </c>
      <c r="J109" s="480">
        <v>11542</v>
      </c>
      <c r="K109" s="480">
        <v>356495</v>
      </c>
      <c r="L109" s="480">
        <v>1115472</v>
      </c>
      <c r="M109" s="480"/>
      <c r="N109" s="480"/>
      <c r="O109" s="480">
        <v>674</v>
      </c>
      <c r="P109" s="480">
        <v>1484183</v>
      </c>
      <c r="Q109" s="466">
        <f t="shared" si="10"/>
        <v>170146</v>
      </c>
      <c r="R109" s="466">
        <f t="shared" si="11"/>
        <v>823639</v>
      </c>
      <c r="S109" s="466">
        <f t="shared" si="12"/>
        <v>1930466</v>
      </c>
      <c r="T109" s="466">
        <f t="shared" si="13"/>
        <v>183</v>
      </c>
      <c r="U109" s="466">
        <f t="shared" si="14"/>
        <v>0</v>
      </c>
      <c r="V109" s="466">
        <f t="shared" si="15"/>
        <v>3853</v>
      </c>
      <c r="W109" s="466">
        <f t="shared" si="16"/>
        <v>2928287</v>
      </c>
      <c r="X109" s="296" t="s">
        <v>20</v>
      </c>
    </row>
    <row r="110" spans="2:24" s="296" customFormat="1">
      <c r="B110" s="296" t="s">
        <v>174</v>
      </c>
      <c r="C110" s="477">
        <v>56461</v>
      </c>
      <c r="D110" s="477"/>
      <c r="E110" s="477">
        <v>104829</v>
      </c>
      <c r="F110" s="477"/>
      <c r="G110" s="477"/>
      <c r="H110" s="477">
        <v>2189</v>
      </c>
      <c r="I110" s="477">
        <v>163479</v>
      </c>
      <c r="J110" s="477"/>
      <c r="K110" s="477"/>
      <c r="L110" s="477"/>
      <c r="M110" s="477"/>
      <c r="N110" s="477"/>
      <c r="O110" s="477"/>
      <c r="P110" s="477"/>
      <c r="Q110" s="466">
        <f t="shared" si="10"/>
        <v>56461</v>
      </c>
      <c r="R110" s="466">
        <f t="shared" si="11"/>
        <v>0</v>
      </c>
      <c r="S110" s="466">
        <f t="shared" si="12"/>
        <v>104829</v>
      </c>
      <c r="T110" s="466">
        <f t="shared" si="13"/>
        <v>0</v>
      </c>
      <c r="U110" s="466">
        <f t="shared" si="14"/>
        <v>0</v>
      </c>
      <c r="V110" s="466">
        <f t="shared" si="15"/>
        <v>2189</v>
      </c>
      <c r="W110" s="466">
        <f t="shared" si="16"/>
        <v>163479</v>
      </c>
      <c r="X110" s="296" t="s">
        <v>20</v>
      </c>
    </row>
    <row r="111" spans="2:24" s="472" customFormat="1">
      <c r="B111" s="481" t="s">
        <v>175</v>
      </c>
      <c r="C111" s="477">
        <v>1187</v>
      </c>
      <c r="D111" s="477"/>
      <c r="E111" s="477"/>
      <c r="F111" s="477"/>
      <c r="G111" s="477"/>
      <c r="H111" s="477"/>
      <c r="I111" s="477">
        <v>1187</v>
      </c>
      <c r="J111" s="477"/>
      <c r="K111" s="477"/>
      <c r="L111" s="477"/>
      <c r="M111" s="477"/>
      <c r="N111" s="477"/>
      <c r="O111" s="477"/>
      <c r="P111" s="477"/>
      <c r="Q111" s="466">
        <f t="shared" si="10"/>
        <v>1187</v>
      </c>
      <c r="R111" s="466">
        <f t="shared" si="11"/>
        <v>0</v>
      </c>
      <c r="S111" s="466">
        <f t="shared" si="12"/>
        <v>0</v>
      </c>
      <c r="T111" s="466">
        <f t="shared" si="13"/>
        <v>0</v>
      </c>
      <c r="U111" s="466">
        <f t="shared" si="14"/>
        <v>0</v>
      </c>
      <c r="V111" s="466">
        <f t="shared" si="15"/>
        <v>0</v>
      </c>
      <c r="W111" s="466">
        <f t="shared" si="16"/>
        <v>1187</v>
      </c>
      <c r="X111" s="296" t="s">
        <v>20</v>
      </c>
    </row>
    <row r="112" spans="2:24" s="296" customFormat="1">
      <c r="B112" s="481" t="s">
        <v>176</v>
      </c>
      <c r="C112" s="477"/>
      <c r="D112" s="477"/>
      <c r="E112" s="477"/>
      <c r="F112" s="477"/>
      <c r="G112" s="477"/>
      <c r="H112" s="477"/>
      <c r="I112" s="477"/>
      <c r="J112" s="477">
        <v>139</v>
      </c>
      <c r="K112" s="477"/>
      <c r="L112" s="477"/>
      <c r="M112" s="477"/>
      <c r="N112" s="477"/>
      <c r="O112" s="477"/>
      <c r="P112" s="477"/>
      <c r="Q112" s="466">
        <f t="shared" si="10"/>
        <v>139</v>
      </c>
      <c r="R112" s="466">
        <f t="shared" si="11"/>
        <v>0</v>
      </c>
      <c r="S112" s="466">
        <f t="shared" si="12"/>
        <v>0</v>
      </c>
      <c r="T112" s="466">
        <f t="shared" si="13"/>
        <v>0</v>
      </c>
      <c r="U112" s="466">
        <f t="shared" si="14"/>
        <v>0</v>
      </c>
      <c r="V112" s="466">
        <f t="shared" si="15"/>
        <v>0</v>
      </c>
      <c r="W112" s="466">
        <f t="shared" si="16"/>
        <v>0</v>
      </c>
    </row>
    <row r="113" spans="2:24" s="296" customFormat="1">
      <c r="B113" s="472" t="s">
        <v>177</v>
      </c>
      <c r="C113" s="475"/>
      <c r="D113" s="475">
        <v>204030</v>
      </c>
      <c r="E113" s="475"/>
      <c r="F113" s="475">
        <v>668434</v>
      </c>
      <c r="G113" s="475">
        <v>1616720</v>
      </c>
      <c r="H113" s="475"/>
      <c r="I113" s="475">
        <v>2489184</v>
      </c>
      <c r="J113" s="475"/>
      <c r="K113" s="475">
        <v>11828</v>
      </c>
      <c r="L113" s="475"/>
      <c r="M113" s="475">
        <v>53351</v>
      </c>
      <c r="N113" s="475">
        <v>174157</v>
      </c>
      <c r="O113" s="475"/>
      <c r="P113" s="475">
        <v>239336</v>
      </c>
      <c r="Q113" s="466">
        <f t="shared" si="10"/>
        <v>0</v>
      </c>
      <c r="R113" s="466">
        <f t="shared" si="11"/>
        <v>215858</v>
      </c>
      <c r="S113" s="466">
        <f t="shared" si="12"/>
        <v>0</v>
      </c>
      <c r="T113" s="466">
        <f t="shared" si="13"/>
        <v>721785</v>
      </c>
      <c r="U113" s="466">
        <f t="shared" si="14"/>
        <v>1790877</v>
      </c>
      <c r="V113" s="466">
        <f t="shared" si="15"/>
        <v>0</v>
      </c>
      <c r="W113" s="466">
        <f t="shared" si="16"/>
        <v>2728520</v>
      </c>
      <c r="X113" s="472" t="s">
        <v>177</v>
      </c>
    </row>
    <row r="114" spans="2:24" s="472" customFormat="1">
      <c r="B114" s="296" t="s">
        <v>178</v>
      </c>
      <c r="C114" s="477"/>
      <c r="D114" s="477"/>
      <c r="E114" s="477"/>
      <c r="F114" s="477"/>
      <c r="G114" s="477">
        <v>1078053</v>
      </c>
      <c r="H114" s="477"/>
      <c r="I114" s="477">
        <v>1078053</v>
      </c>
      <c r="J114" s="477"/>
      <c r="K114" s="477"/>
      <c r="L114" s="477"/>
      <c r="M114" s="477"/>
      <c r="N114" s="477">
        <v>174157</v>
      </c>
      <c r="O114" s="477"/>
      <c r="P114" s="477">
        <v>174157</v>
      </c>
      <c r="Q114" s="466">
        <f t="shared" si="10"/>
        <v>0</v>
      </c>
      <c r="R114" s="466">
        <f t="shared" si="11"/>
        <v>0</v>
      </c>
      <c r="S114" s="466">
        <f t="shared" si="12"/>
        <v>0</v>
      </c>
      <c r="T114" s="466">
        <f t="shared" si="13"/>
        <v>0</v>
      </c>
      <c r="U114" s="466">
        <f t="shared" si="14"/>
        <v>1252210</v>
      </c>
      <c r="V114" s="466">
        <f t="shared" si="15"/>
        <v>0</v>
      </c>
      <c r="W114" s="466">
        <f t="shared" si="16"/>
        <v>1252210</v>
      </c>
      <c r="X114" s="296" t="s">
        <v>25</v>
      </c>
    </row>
    <row r="115" spans="2:24" s="296" customFormat="1">
      <c r="B115" s="296" t="s">
        <v>179</v>
      </c>
      <c r="C115" s="477"/>
      <c r="D115" s="477">
        <v>204030</v>
      </c>
      <c r="E115" s="477"/>
      <c r="F115" s="477">
        <v>668434</v>
      </c>
      <c r="G115" s="477">
        <v>538667</v>
      </c>
      <c r="H115" s="477"/>
      <c r="I115" s="477">
        <v>1411131</v>
      </c>
      <c r="J115" s="477"/>
      <c r="K115" s="477">
        <v>11828</v>
      </c>
      <c r="L115" s="477"/>
      <c r="M115" s="477">
        <v>53351</v>
      </c>
      <c r="N115" s="477"/>
      <c r="O115" s="477"/>
      <c r="P115" s="477">
        <v>65179</v>
      </c>
      <c r="Q115" s="466">
        <f t="shared" si="10"/>
        <v>0</v>
      </c>
      <c r="R115" s="466">
        <f t="shared" si="11"/>
        <v>215858</v>
      </c>
      <c r="S115" s="466">
        <f t="shared" si="12"/>
        <v>0</v>
      </c>
      <c r="T115" s="466">
        <f t="shared" si="13"/>
        <v>721785</v>
      </c>
      <c r="U115" s="466">
        <f t="shared" si="14"/>
        <v>538667</v>
      </c>
      <c r="V115" s="466">
        <f t="shared" si="15"/>
        <v>0</v>
      </c>
      <c r="W115" s="466">
        <f t="shared" si="16"/>
        <v>1476310</v>
      </c>
      <c r="X115" s="296" t="s">
        <v>25</v>
      </c>
    </row>
    <row r="116" spans="2:24" s="296" customFormat="1">
      <c r="B116" s="472" t="s">
        <v>180</v>
      </c>
      <c r="C116" s="475">
        <v>615871</v>
      </c>
      <c r="D116" s="475">
        <v>305373</v>
      </c>
      <c r="E116" s="475">
        <v>841213</v>
      </c>
      <c r="F116" s="475">
        <v>434825</v>
      </c>
      <c r="G116" s="475">
        <v>28984</v>
      </c>
      <c r="H116" s="475"/>
      <c r="I116" s="475">
        <v>2226266</v>
      </c>
      <c r="J116" s="475">
        <v>3606</v>
      </c>
      <c r="K116" s="475">
        <v>31840</v>
      </c>
      <c r="L116" s="475">
        <v>82844</v>
      </c>
      <c r="M116" s="475">
        <v>37292</v>
      </c>
      <c r="N116" s="475"/>
      <c r="O116" s="475"/>
      <c r="P116" s="475">
        <v>155582</v>
      </c>
      <c r="Q116" s="466">
        <f t="shared" si="10"/>
        <v>619477</v>
      </c>
      <c r="R116" s="466">
        <f t="shared" si="11"/>
        <v>337213</v>
      </c>
      <c r="S116" s="466">
        <f t="shared" si="12"/>
        <v>924057</v>
      </c>
      <c r="T116" s="466">
        <f t="shared" si="13"/>
        <v>472117</v>
      </c>
      <c r="U116" s="466">
        <f t="shared" si="14"/>
        <v>28984</v>
      </c>
      <c r="V116" s="466">
        <f t="shared" si="15"/>
        <v>0</v>
      </c>
      <c r="W116" s="466">
        <f t="shared" si="16"/>
        <v>2381848</v>
      </c>
      <c r="X116" s="472" t="s">
        <v>180</v>
      </c>
    </row>
    <row r="117" spans="2:24" s="296" customFormat="1">
      <c r="B117" s="296" t="s">
        <v>181</v>
      </c>
      <c r="C117" s="477">
        <v>1108</v>
      </c>
      <c r="D117" s="477"/>
      <c r="E117" s="477"/>
      <c r="F117" s="477"/>
      <c r="G117" s="477"/>
      <c r="H117" s="477"/>
      <c r="I117" s="477">
        <v>1108</v>
      </c>
      <c r="J117" s="477"/>
      <c r="K117" s="477"/>
      <c r="L117" s="477"/>
      <c r="M117" s="477"/>
      <c r="N117" s="477"/>
      <c r="O117" s="477"/>
      <c r="P117" s="477"/>
      <c r="Q117" s="466">
        <f t="shared" si="10"/>
        <v>1108</v>
      </c>
      <c r="R117" s="466">
        <f t="shared" si="11"/>
        <v>0</v>
      </c>
      <c r="S117" s="466">
        <f t="shared" si="12"/>
        <v>0</v>
      </c>
      <c r="T117" s="466">
        <f t="shared" si="13"/>
        <v>0</v>
      </c>
      <c r="U117" s="466">
        <f t="shared" si="14"/>
        <v>0</v>
      </c>
      <c r="V117" s="466">
        <f t="shared" si="15"/>
        <v>0</v>
      </c>
      <c r="W117" s="466">
        <f t="shared" si="16"/>
        <v>1108</v>
      </c>
      <c r="X117" s="296" t="s">
        <v>21</v>
      </c>
    </row>
    <row r="118" spans="2:24" s="472" customFormat="1">
      <c r="B118" s="296" t="s">
        <v>182</v>
      </c>
      <c r="C118" s="477">
        <v>2733</v>
      </c>
      <c r="D118" s="477"/>
      <c r="E118" s="477">
        <v>58076</v>
      </c>
      <c r="F118" s="477"/>
      <c r="G118" s="477"/>
      <c r="H118" s="477"/>
      <c r="I118" s="477">
        <v>60809</v>
      </c>
      <c r="J118" s="477"/>
      <c r="K118" s="477"/>
      <c r="L118" s="477"/>
      <c r="M118" s="477"/>
      <c r="N118" s="477"/>
      <c r="O118" s="477"/>
      <c r="P118" s="477"/>
      <c r="Q118" s="466">
        <f t="shared" si="10"/>
        <v>2733</v>
      </c>
      <c r="R118" s="466">
        <f t="shared" si="11"/>
        <v>0</v>
      </c>
      <c r="S118" s="466">
        <f t="shared" si="12"/>
        <v>58076</v>
      </c>
      <c r="T118" s="466">
        <f t="shared" si="13"/>
        <v>0</v>
      </c>
      <c r="U118" s="466">
        <f t="shared" si="14"/>
        <v>0</v>
      </c>
      <c r="V118" s="466">
        <f t="shared" si="15"/>
        <v>0</v>
      </c>
      <c r="W118" s="466">
        <f t="shared" si="16"/>
        <v>60809</v>
      </c>
      <c r="X118" s="296" t="s">
        <v>21</v>
      </c>
    </row>
    <row r="119" spans="2:24" s="296" customFormat="1">
      <c r="B119" s="296" t="s">
        <v>183</v>
      </c>
      <c r="C119" s="477">
        <v>612030</v>
      </c>
      <c r="D119" s="477">
        <v>305373</v>
      </c>
      <c r="E119" s="477">
        <v>783137</v>
      </c>
      <c r="F119" s="477">
        <v>434825</v>
      </c>
      <c r="G119" s="477">
        <v>28984</v>
      </c>
      <c r="H119" s="477"/>
      <c r="I119" s="477">
        <v>2164349</v>
      </c>
      <c r="J119" s="477">
        <v>3606</v>
      </c>
      <c r="K119" s="477">
        <v>31840</v>
      </c>
      <c r="L119" s="477">
        <v>82844</v>
      </c>
      <c r="M119" s="477">
        <v>37292</v>
      </c>
      <c r="N119" s="477"/>
      <c r="O119" s="477"/>
      <c r="P119" s="477">
        <v>155582</v>
      </c>
      <c r="Q119" s="466">
        <f t="shared" si="10"/>
        <v>615636</v>
      </c>
      <c r="R119" s="466">
        <f t="shared" si="11"/>
        <v>337213</v>
      </c>
      <c r="S119" s="466">
        <f t="shared" si="12"/>
        <v>865981</v>
      </c>
      <c r="T119" s="466">
        <f t="shared" si="13"/>
        <v>472117</v>
      </c>
      <c r="U119" s="466">
        <f t="shared" si="14"/>
        <v>28984</v>
      </c>
      <c r="V119" s="466">
        <f t="shared" si="15"/>
        <v>0</v>
      </c>
      <c r="W119" s="466">
        <f t="shared" si="16"/>
        <v>2319931</v>
      </c>
      <c r="X119" s="296" t="s">
        <v>21</v>
      </c>
    </row>
    <row r="120" spans="2:24" s="296" customFormat="1">
      <c r="B120" s="472" t="s">
        <v>184</v>
      </c>
      <c r="C120" s="475">
        <v>710462</v>
      </c>
      <c r="D120" s="475">
        <v>924299</v>
      </c>
      <c r="E120" s="475">
        <v>402333</v>
      </c>
      <c r="F120" s="475">
        <v>53181</v>
      </c>
      <c r="G120" s="475">
        <v>15750</v>
      </c>
      <c r="H120" s="475">
        <v>81522</v>
      </c>
      <c r="I120" s="475">
        <v>2187547</v>
      </c>
      <c r="J120" s="475"/>
      <c r="K120" s="475">
        <v>1193</v>
      </c>
      <c r="L120" s="475"/>
      <c r="M120" s="475"/>
      <c r="N120" s="475"/>
      <c r="O120" s="475"/>
      <c r="P120" s="475"/>
      <c r="Q120" s="466">
        <f t="shared" si="10"/>
        <v>710462</v>
      </c>
      <c r="R120" s="466">
        <f t="shared" si="11"/>
        <v>925492</v>
      </c>
      <c r="S120" s="466">
        <f t="shared" si="12"/>
        <v>402333</v>
      </c>
      <c r="T120" s="466">
        <f t="shared" si="13"/>
        <v>53181</v>
      </c>
      <c r="U120" s="466">
        <f t="shared" si="14"/>
        <v>15750</v>
      </c>
      <c r="V120" s="466">
        <f t="shared" si="15"/>
        <v>81522</v>
      </c>
      <c r="W120" s="466">
        <f t="shared" si="16"/>
        <v>2187547</v>
      </c>
      <c r="X120" s="472" t="s">
        <v>184</v>
      </c>
    </row>
    <row r="121" spans="2:24" s="296" customFormat="1">
      <c r="B121" s="296" t="s">
        <v>185</v>
      </c>
      <c r="C121" s="477"/>
      <c r="D121" s="477">
        <v>996</v>
      </c>
      <c r="E121" s="477"/>
      <c r="F121" s="477"/>
      <c r="G121" s="477"/>
      <c r="H121" s="477"/>
      <c r="I121" s="477">
        <v>996</v>
      </c>
      <c r="J121" s="477"/>
      <c r="K121" s="477">
        <v>4</v>
      </c>
      <c r="L121" s="477"/>
      <c r="M121" s="477"/>
      <c r="N121" s="477"/>
      <c r="O121" s="477"/>
      <c r="P121" s="477"/>
      <c r="Q121" s="466">
        <f t="shared" si="10"/>
        <v>0</v>
      </c>
      <c r="R121" s="466">
        <f t="shared" si="11"/>
        <v>1000</v>
      </c>
      <c r="S121" s="466">
        <f t="shared" si="12"/>
        <v>0</v>
      </c>
      <c r="T121" s="466">
        <f t="shared" si="13"/>
        <v>0</v>
      </c>
      <c r="U121" s="466">
        <f t="shared" si="14"/>
        <v>0</v>
      </c>
      <c r="V121" s="466">
        <f t="shared" si="15"/>
        <v>0</v>
      </c>
      <c r="W121" s="466">
        <f t="shared" si="16"/>
        <v>996</v>
      </c>
      <c r="X121" s="296" t="s">
        <v>12</v>
      </c>
    </row>
    <row r="122" spans="2:24" s="472" customFormat="1">
      <c r="B122" s="296" t="s">
        <v>186</v>
      </c>
      <c r="C122" s="477">
        <v>691241</v>
      </c>
      <c r="D122" s="477">
        <v>773926</v>
      </c>
      <c r="E122" s="477">
        <v>373788</v>
      </c>
      <c r="F122" s="477">
        <v>35637</v>
      </c>
      <c r="G122" s="477">
        <v>15012</v>
      </c>
      <c r="H122" s="477">
        <v>73754</v>
      </c>
      <c r="I122" s="477">
        <v>1963358</v>
      </c>
      <c r="J122" s="477"/>
      <c r="K122" s="477">
        <v>1131</v>
      </c>
      <c r="L122" s="477"/>
      <c r="M122" s="477"/>
      <c r="N122" s="477"/>
      <c r="O122" s="477"/>
      <c r="P122" s="477"/>
      <c r="Q122" s="466">
        <f t="shared" si="10"/>
        <v>691241</v>
      </c>
      <c r="R122" s="466">
        <f t="shared" si="11"/>
        <v>775057</v>
      </c>
      <c r="S122" s="466">
        <f t="shared" si="12"/>
        <v>373788</v>
      </c>
      <c r="T122" s="466">
        <f t="shared" si="13"/>
        <v>35637</v>
      </c>
      <c r="U122" s="466">
        <f t="shared" si="14"/>
        <v>15012</v>
      </c>
      <c r="V122" s="466">
        <f t="shared" si="15"/>
        <v>73754</v>
      </c>
      <c r="W122" s="466">
        <f t="shared" si="16"/>
        <v>1963358</v>
      </c>
      <c r="X122" s="296" t="s">
        <v>12</v>
      </c>
    </row>
    <row r="123" spans="2:24" s="296" customFormat="1">
      <c r="B123" s="296" t="s">
        <v>187</v>
      </c>
      <c r="C123" s="477">
        <v>18480</v>
      </c>
      <c r="D123" s="477">
        <v>148352</v>
      </c>
      <c r="E123" s="477">
        <v>26954</v>
      </c>
      <c r="F123" s="477">
        <v>17166</v>
      </c>
      <c r="G123" s="477">
        <v>709</v>
      </c>
      <c r="H123" s="477">
        <v>7648</v>
      </c>
      <c r="I123" s="477">
        <v>219309</v>
      </c>
      <c r="J123" s="477"/>
      <c r="K123" s="477">
        <v>57</v>
      </c>
      <c r="L123" s="477"/>
      <c r="M123" s="477"/>
      <c r="N123" s="477"/>
      <c r="O123" s="477"/>
      <c r="P123" s="477"/>
      <c r="Q123" s="466">
        <f t="shared" si="10"/>
        <v>18480</v>
      </c>
      <c r="R123" s="466">
        <f t="shared" si="11"/>
        <v>148409</v>
      </c>
      <c r="S123" s="466">
        <f t="shared" si="12"/>
        <v>26954</v>
      </c>
      <c r="T123" s="466">
        <f t="shared" si="13"/>
        <v>17166</v>
      </c>
      <c r="U123" s="466">
        <f t="shared" si="14"/>
        <v>709</v>
      </c>
      <c r="V123" s="466">
        <f t="shared" si="15"/>
        <v>7648</v>
      </c>
      <c r="W123" s="466">
        <f t="shared" si="16"/>
        <v>219309</v>
      </c>
      <c r="X123" s="296" t="s">
        <v>12</v>
      </c>
    </row>
    <row r="124" spans="2:24" s="296" customFormat="1">
      <c r="B124" s="296" t="s">
        <v>188</v>
      </c>
      <c r="C124" s="477">
        <v>741</v>
      </c>
      <c r="D124" s="477">
        <v>1025</v>
      </c>
      <c r="E124" s="477">
        <v>1591</v>
      </c>
      <c r="F124" s="477">
        <v>378</v>
      </c>
      <c r="G124" s="477">
        <v>29</v>
      </c>
      <c r="H124" s="477">
        <v>120</v>
      </c>
      <c r="I124" s="477">
        <v>3884</v>
      </c>
      <c r="J124" s="477"/>
      <c r="K124" s="477">
        <v>1</v>
      </c>
      <c r="L124" s="477"/>
      <c r="M124" s="477"/>
      <c r="N124" s="477"/>
      <c r="O124" s="477"/>
      <c r="P124" s="477"/>
      <c r="Q124" s="466">
        <f t="shared" si="10"/>
        <v>741</v>
      </c>
      <c r="R124" s="466">
        <f t="shared" si="11"/>
        <v>1026</v>
      </c>
      <c r="S124" s="466">
        <f t="shared" si="12"/>
        <v>1591</v>
      </c>
      <c r="T124" s="466">
        <f t="shared" si="13"/>
        <v>378</v>
      </c>
      <c r="U124" s="466">
        <f t="shared" si="14"/>
        <v>29</v>
      </c>
      <c r="V124" s="466">
        <f t="shared" si="15"/>
        <v>120</v>
      </c>
      <c r="W124" s="466">
        <f t="shared" si="16"/>
        <v>3884</v>
      </c>
      <c r="X124" s="296" t="s">
        <v>12</v>
      </c>
    </row>
    <row r="125" spans="2:24" s="472" customFormat="1">
      <c r="B125" s="472" t="s">
        <v>189</v>
      </c>
      <c r="C125" s="475">
        <v>738790</v>
      </c>
      <c r="D125" s="475">
        <v>739716</v>
      </c>
      <c r="E125" s="475">
        <v>313908</v>
      </c>
      <c r="F125" s="475">
        <v>53196</v>
      </c>
      <c r="G125" s="475">
        <v>19565</v>
      </c>
      <c r="H125" s="475">
        <v>66400</v>
      </c>
      <c r="I125" s="475">
        <v>1931575</v>
      </c>
      <c r="J125" s="475">
        <v>185741</v>
      </c>
      <c r="K125" s="475"/>
      <c r="M125" s="475"/>
      <c r="N125" s="475"/>
      <c r="O125" s="475">
        <v>56502</v>
      </c>
      <c r="P125" s="475">
        <v>242243</v>
      </c>
      <c r="Q125" s="474">
        <f t="shared" ref="Q125:W125" si="17">C125+J125</f>
        <v>924531</v>
      </c>
      <c r="R125" s="474">
        <f t="shared" si="17"/>
        <v>739716</v>
      </c>
      <c r="S125" s="474">
        <f t="shared" si="17"/>
        <v>313908</v>
      </c>
      <c r="T125" s="474">
        <f t="shared" si="17"/>
        <v>53196</v>
      </c>
      <c r="U125" s="474">
        <f t="shared" si="17"/>
        <v>19565</v>
      </c>
      <c r="V125" s="474">
        <f t="shared" si="17"/>
        <v>122902</v>
      </c>
      <c r="W125" s="474">
        <f t="shared" si="17"/>
        <v>2173818</v>
      </c>
      <c r="X125" s="472" t="s">
        <v>13</v>
      </c>
    </row>
    <row r="126" spans="2:24" s="472" customFormat="1">
      <c r="B126" s="296" t="s">
        <v>190</v>
      </c>
      <c r="C126" s="477">
        <v>704123</v>
      </c>
      <c r="D126" s="477">
        <v>714599</v>
      </c>
      <c r="E126" s="477">
        <v>313908</v>
      </c>
      <c r="F126" s="477">
        <v>53194</v>
      </c>
      <c r="G126" s="477">
        <v>18985</v>
      </c>
      <c r="H126" s="477">
        <v>66400</v>
      </c>
      <c r="I126" s="477">
        <v>1871209</v>
      </c>
      <c r="J126" s="477">
        <v>185740</v>
      </c>
      <c r="K126" s="477"/>
      <c r="M126" s="477"/>
      <c r="N126" s="477"/>
      <c r="O126" s="477">
        <v>56502</v>
      </c>
      <c r="P126" s="477">
        <v>242242</v>
      </c>
      <c r="Q126" s="466">
        <f t="shared" ref="Q126:Q188" si="18">C126+J126</f>
        <v>889863</v>
      </c>
      <c r="R126" s="466">
        <f t="shared" ref="R126:R188" si="19">D126+K126</f>
        <v>714599</v>
      </c>
      <c r="S126" s="466">
        <f>E126+L126</f>
        <v>313908</v>
      </c>
      <c r="T126" s="466">
        <f t="shared" ref="T126:T188" si="20">F126+M126</f>
        <v>53194</v>
      </c>
      <c r="U126" s="466">
        <f t="shared" ref="U126:U188" si="21">G126+N126</f>
        <v>18985</v>
      </c>
      <c r="V126" s="466">
        <f t="shared" ref="V126:V188" si="22">H126+O126</f>
        <v>122902</v>
      </c>
      <c r="W126" s="474">
        <f>I126+P126</f>
        <v>2113451</v>
      </c>
      <c r="X126" s="296" t="s">
        <v>13</v>
      </c>
    </row>
    <row r="127" spans="2:24" s="296" customFormat="1">
      <c r="B127" s="296" t="s">
        <v>191</v>
      </c>
      <c r="C127" s="477">
        <v>1232</v>
      </c>
      <c r="D127" s="477"/>
      <c r="E127" s="477"/>
      <c r="F127" s="477"/>
      <c r="G127" s="477">
        <v>580</v>
      </c>
      <c r="H127" s="477"/>
      <c r="I127" s="477">
        <v>1812</v>
      </c>
      <c r="J127" s="477"/>
      <c r="K127" s="477"/>
      <c r="L127" s="477"/>
      <c r="M127" s="477"/>
      <c r="N127" s="477"/>
      <c r="O127" s="477"/>
      <c r="P127" s="477"/>
      <c r="Q127" s="466">
        <f t="shared" si="18"/>
        <v>1232</v>
      </c>
      <c r="R127" s="466">
        <f t="shared" si="19"/>
        <v>0</v>
      </c>
      <c r="S127" s="466">
        <f t="shared" ref="S127:S188" si="23">E127+L127</f>
        <v>0</v>
      </c>
      <c r="T127" s="466">
        <f t="shared" si="20"/>
        <v>0</v>
      </c>
      <c r="U127" s="466">
        <f t="shared" si="21"/>
        <v>580</v>
      </c>
      <c r="V127" s="466">
        <f t="shared" si="22"/>
        <v>0</v>
      </c>
      <c r="W127" s="466">
        <f t="shared" ref="W127:W188" si="24">I127+P127</f>
        <v>1812</v>
      </c>
      <c r="X127" s="296" t="s">
        <v>13</v>
      </c>
    </row>
    <row r="128" spans="2:24" s="296" customFormat="1">
      <c r="B128" s="296" t="s">
        <v>192</v>
      </c>
      <c r="C128" s="477">
        <v>33435</v>
      </c>
      <c r="D128" s="477">
        <v>25117</v>
      </c>
      <c r="E128" s="477"/>
      <c r="F128" s="477">
        <v>2</v>
      </c>
      <c r="G128" s="477"/>
      <c r="H128" s="477"/>
      <c r="I128" s="477">
        <v>58554</v>
      </c>
      <c r="J128" s="477">
        <v>1</v>
      </c>
      <c r="K128" s="477"/>
      <c r="L128" s="477">
        <v>1</v>
      </c>
      <c r="M128" s="477"/>
      <c r="N128" s="477"/>
      <c r="O128" s="477"/>
      <c r="P128" s="477">
        <v>1</v>
      </c>
      <c r="Q128" s="466">
        <f t="shared" si="18"/>
        <v>33436</v>
      </c>
      <c r="R128" s="466">
        <f t="shared" si="19"/>
        <v>25117</v>
      </c>
      <c r="S128" s="466">
        <f t="shared" si="23"/>
        <v>1</v>
      </c>
      <c r="T128" s="466">
        <f t="shared" si="20"/>
        <v>2</v>
      </c>
      <c r="U128" s="466">
        <f t="shared" si="21"/>
        <v>0</v>
      </c>
      <c r="V128" s="466">
        <f t="shared" si="22"/>
        <v>0</v>
      </c>
      <c r="W128" s="466">
        <f>I128+P128</f>
        <v>58555</v>
      </c>
      <c r="X128" s="296" t="s">
        <v>13</v>
      </c>
    </row>
    <row r="129" spans="2:24" s="296" customFormat="1">
      <c r="B129" s="472" t="s">
        <v>48</v>
      </c>
      <c r="C129" s="475">
        <v>1365833</v>
      </c>
      <c r="D129" s="475"/>
      <c r="E129" s="475"/>
      <c r="F129" s="475"/>
      <c r="G129" s="475"/>
      <c r="H129" s="475"/>
      <c r="I129" s="475">
        <v>1365833</v>
      </c>
      <c r="J129" s="475">
        <v>226269</v>
      </c>
      <c r="K129" s="475"/>
      <c r="L129" s="475"/>
      <c r="M129" s="475"/>
      <c r="N129" s="475"/>
      <c r="O129" s="475"/>
      <c r="P129" s="475"/>
      <c r="Q129" s="466">
        <f t="shared" si="18"/>
        <v>1592102</v>
      </c>
      <c r="R129" s="466">
        <f t="shared" si="19"/>
        <v>0</v>
      </c>
      <c r="S129" s="466">
        <f t="shared" si="23"/>
        <v>0</v>
      </c>
      <c r="T129" s="466">
        <f t="shared" si="20"/>
        <v>0</v>
      </c>
      <c r="U129" s="466">
        <f t="shared" si="21"/>
        <v>0</v>
      </c>
      <c r="V129" s="466">
        <f t="shared" si="22"/>
        <v>0</v>
      </c>
      <c r="W129" s="466">
        <f t="shared" si="24"/>
        <v>1365833</v>
      </c>
      <c r="X129" s="472" t="s">
        <v>47</v>
      </c>
    </row>
    <row r="130" spans="2:24" s="472" customFormat="1">
      <c r="B130" s="477" t="s">
        <v>193</v>
      </c>
      <c r="C130" s="477">
        <v>56569</v>
      </c>
      <c r="D130" s="477"/>
      <c r="E130" s="477"/>
      <c r="F130" s="477"/>
      <c r="G130" s="477"/>
      <c r="H130" s="477"/>
      <c r="I130" s="477">
        <v>56569</v>
      </c>
      <c r="J130" s="477"/>
      <c r="K130" s="477"/>
      <c r="L130" s="477"/>
      <c r="M130" s="477"/>
      <c r="N130" s="477"/>
      <c r="O130" s="477"/>
      <c r="P130" s="477"/>
      <c r="Q130" s="466">
        <f t="shared" si="18"/>
        <v>56569</v>
      </c>
      <c r="R130" s="466">
        <f t="shared" si="19"/>
        <v>0</v>
      </c>
      <c r="S130" s="466">
        <f t="shared" si="23"/>
        <v>0</v>
      </c>
      <c r="T130" s="466">
        <f t="shared" si="20"/>
        <v>0</v>
      </c>
      <c r="U130" s="466">
        <f t="shared" si="21"/>
        <v>0</v>
      </c>
      <c r="V130" s="466">
        <f t="shared" si="22"/>
        <v>0</v>
      </c>
      <c r="W130" s="466">
        <f t="shared" si="24"/>
        <v>56569</v>
      </c>
      <c r="X130" s="481" t="s">
        <v>47</v>
      </c>
    </row>
    <row r="131" spans="2:24" s="296" customFormat="1">
      <c r="B131" s="296" t="s">
        <v>194</v>
      </c>
      <c r="C131" s="477">
        <v>884922</v>
      </c>
      <c r="D131" s="477"/>
      <c r="E131" s="477"/>
      <c r="F131" s="477"/>
      <c r="G131" s="477"/>
      <c r="H131" s="477"/>
      <c r="I131" s="477">
        <v>884922</v>
      </c>
      <c r="J131" s="477">
        <v>226269</v>
      </c>
      <c r="K131" s="477"/>
      <c r="L131" s="477"/>
      <c r="M131" s="477"/>
      <c r="N131" s="477"/>
      <c r="O131" s="477"/>
      <c r="P131" s="477"/>
      <c r="Q131" s="466">
        <f t="shared" si="18"/>
        <v>1111191</v>
      </c>
      <c r="R131" s="466">
        <f t="shared" si="19"/>
        <v>0</v>
      </c>
      <c r="S131" s="466">
        <f t="shared" si="23"/>
        <v>0</v>
      </c>
      <c r="T131" s="466">
        <f t="shared" si="20"/>
        <v>0</v>
      </c>
      <c r="U131" s="466">
        <f t="shared" si="21"/>
        <v>0</v>
      </c>
      <c r="V131" s="466">
        <f t="shared" si="22"/>
        <v>0</v>
      </c>
      <c r="W131" s="466">
        <f t="shared" si="24"/>
        <v>884922</v>
      </c>
      <c r="X131" s="481" t="s">
        <v>47</v>
      </c>
    </row>
    <row r="132" spans="2:24" s="296" customFormat="1" ht="17" customHeight="1">
      <c r="B132" s="296" t="s">
        <v>195</v>
      </c>
      <c r="C132" s="477">
        <v>187629</v>
      </c>
      <c r="D132" s="477"/>
      <c r="E132" s="477"/>
      <c r="F132" s="477"/>
      <c r="G132" s="477"/>
      <c r="H132" s="477"/>
      <c r="I132" s="477">
        <v>187629</v>
      </c>
      <c r="J132" s="477"/>
      <c r="K132" s="477"/>
      <c r="L132" s="477"/>
      <c r="M132" s="477"/>
      <c r="N132" s="477"/>
      <c r="O132" s="477"/>
      <c r="P132" s="477"/>
      <c r="Q132" s="466">
        <f t="shared" si="18"/>
        <v>187629</v>
      </c>
      <c r="R132" s="466">
        <f t="shared" si="19"/>
        <v>0</v>
      </c>
      <c r="S132" s="466">
        <f t="shared" si="23"/>
        <v>0</v>
      </c>
      <c r="T132" s="466">
        <f t="shared" si="20"/>
        <v>0</v>
      </c>
      <c r="U132" s="466">
        <f t="shared" si="21"/>
        <v>0</v>
      </c>
      <c r="V132" s="466">
        <f t="shared" si="22"/>
        <v>0</v>
      </c>
      <c r="W132" s="466">
        <f t="shared" si="24"/>
        <v>187629</v>
      </c>
      <c r="X132" s="481" t="s">
        <v>47</v>
      </c>
    </row>
    <row r="133" spans="2:24" s="296" customFormat="1">
      <c r="B133" s="296" t="s">
        <v>196</v>
      </c>
      <c r="C133" s="477"/>
      <c r="D133" s="477"/>
      <c r="E133" s="477"/>
      <c r="F133" s="477"/>
      <c r="G133" s="477"/>
      <c r="H133" s="477"/>
      <c r="I133" s="477"/>
      <c r="J133" s="477"/>
      <c r="K133" s="477"/>
      <c r="L133" s="477"/>
      <c r="M133" s="477"/>
      <c r="N133" s="477"/>
      <c r="O133" s="477"/>
      <c r="P133" s="477"/>
      <c r="Q133" s="466">
        <f t="shared" si="18"/>
        <v>0</v>
      </c>
      <c r="R133" s="466">
        <f t="shared" si="19"/>
        <v>0</v>
      </c>
      <c r="S133" s="466">
        <f t="shared" si="23"/>
        <v>0</v>
      </c>
      <c r="T133" s="466">
        <f t="shared" si="20"/>
        <v>0</v>
      </c>
      <c r="U133" s="466">
        <f t="shared" si="21"/>
        <v>0</v>
      </c>
      <c r="V133" s="466">
        <f t="shared" si="22"/>
        <v>0</v>
      </c>
      <c r="W133" s="466">
        <f t="shared" si="24"/>
        <v>0</v>
      </c>
      <c r="X133" s="481" t="s">
        <v>47</v>
      </c>
    </row>
    <row r="134" spans="2:24" s="296" customFormat="1">
      <c r="B134" s="296" t="s">
        <v>197</v>
      </c>
      <c r="C134" s="477"/>
      <c r="D134" s="477"/>
      <c r="E134" s="477"/>
      <c r="F134" s="477"/>
      <c r="G134" s="477"/>
      <c r="H134" s="477"/>
      <c r="I134" s="477"/>
      <c r="J134" s="477"/>
      <c r="K134" s="477"/>
      <c r="L134" s="477"/>
      <c r="M134" s="477"/>
      <c r="N134" s="477"/>
      <c r="O134" s="477"/>
      <c r="P134" s="477"/>
      <c r="Q134" s="466">
        <f t="shared" si="18"/>
        <v>0</v>
      </c>
      <c r="R134" s="466">
        <f t="shared" si="19"/>
        <v>0</v>
      </c>
      <c r="S134" s="466">
        <f t="shared" si="23"/>
        <v>0</v>
      </c>
      <c r="T134" s="466">
        <f t="shared" si="20"/>
        <v>0</v>
      </c>
      <c r="U134" s="466">
        <f t="shared" si="21"/>
        <v>0</v>
      </c>
      <c r="V134" s="466">
        <f t="shared" si="22"/>
        <v>0</v>
      </c>
      <c r="W134" s="466">
        <f t="shared" si="24"/>
        <v>0</v>
      </c>
      <c r="X134" s="481" t="s">
        <v>47</v>
      </c>
    </row>
    <row r="135" spans="2:24" s="296" customFormat="1">
      <c r="B135" s="296" t="s">
        <v>198</v>
      </c>
      <c r="C135" s="477">
        <v>115840</v>
      </c>
      <c r="D135" s="477"/>
      <c r="E135" s="477"/>
      <c r="F135" s="477"/>
      <c r="G135" s="477"/>
      <c r="H135" s="477"/>
      <c r="I135" s="477">
        <v>115840</v>
      </c>
      <c r="J135" s="477"/>
      <c r="K135" s="477"/>
      <c r="L135" s="477"/>
      <c r="M135" s="477"/>
      <c r="N135" s="477"/>
      <c r="O135" s="477"/>
      <c r="P135" s="477"/>
      <c r="Q135" s="466">
        <f t="shared" si="18"/>
        <v>115840</v>
      </c>
      <c r="R135" s="466">
        <f t="shared" si="19"/>
        <v>0</v>
      </c>
      <c r="S135" s="466">
        <f t="shared" si="23"/>
        <v>0</v>
      </c>
      <c r="T135" s="466">
        <f t="shared" si="20"/>
        <v>0</v>
      </c>
      <c r="U135" s="466">
        <f t="shared" si="21"/>
        <v>0</v>
      </c>
      <c r="V135" s="466">
        <f t="shared" si="22"/>
        <v>0</v>
      </c>
      <c r="W135" s="466">
        <f t="shared" si="24"/>
        <v>115840</v>
      </c>
      <c r="X135" s="481" t="s">
        <v>47</v>
      </c>
    </row>
    <row r="136" spans="2:24" s="296" customFormat="1">
      <c r="B136" s="477" t="s">
        <v>199</v>
      </c>
      <c r="C136" s="477">
        <v>120873</v>
      </c>
      <c r="D136" s="477"/>
      <c r="E136" s="477"/>
      <c r="F136" s="477"/>
      <c r="G136" s="477"/>
      <c r="H136" s="477"/>
      <c r="I136" s="477">
        <v>120873</v>
      </c>
      <c r="J136" s="477"/>
      <c r="K136" s="477"/>
      <c r="L136" s="477"/>
      <c r="M136" s="477"/>
      <c r="N136" s="477"/>
      <c r="O136" s="477"/>
      <c r="P136" s="477"/>
      <c r="Q136" s="466">
        <f t="shared" si="18"/>
        <v>120873</v>
      </c>
      <c r="R136" s="466">
        <f t="shared" si="19"/>
        <v>0</v>
      </c>
      <c r="S136" s="466">
        <f t="shared" si="23"/>
        <v>0</v>
      </c>
      <c r="T136" s="466">
        <f t="shared" si="20"/>
        <v>0</v>
      </c>
      <c r="U136" s="466">
        <f t="shared" si="21"/>
        <v>0</v>
      </c>
      <c r="V136" s="466">
        <f t="shared" si="22"/>
        <v>0</v>
      </c>
      <c r="W136" s="466">
        <f t="shared" si="24"/>
        <v>120873</v>
      </c>
      <c r="X136" s="481" t="s">
        <v>47</v>
      </c>
    </row>
    <row r="137" spans="2:24" s="296" customFormat="1">
      <c r="B137" s="472" t="s">
        <v>68</v>
      </c>
      <c r="C137" s="475">
        <v>3642953</v>
      </c>
      <c r="D137" s="475">
        <v>49027</v>
      </c>
      <c r="E137" s="475"/>
      <c r="F137" s="475">
        <v>2223</v>
      </c>
      <c r="G137" s="475">
        <v>2449</v>
      </c>
      <c r="H137" s="475"/>
      <c r="I137" s="475">
        <v>3696652</v>
      </c>
      <c r="J137" s="475">
        <v>158</v>
      </c>
      <c r="K137" s="475">
        <v>1342</v>
      </c>
      <c r="L137" s="475"/>
      <c r="M137" s="475"/>
      <c r="N137" s="475"/>
      <c r="O137" s="475"/>
      <c r="P137" s="475"/>
      <c r="Q137" s="466">
        <f t="shared" si="18"/>
        <v>3643111</v>
      </c>
      <c r="R137" s="466">
        <f t="shared" si="19"/>
        <v>50369</v>
      </c>
      <c r="S137" s="466">
        <f t="shared" si="23"/>
        <v>0</v>
      </c>
      <c r="T137" s="466">
        <f t="shared" si="20"/>
        <v>2223</v>
      </c>
      <c r="U137" s="466">
        <f t="shared" si="21"/>
        <v>2449</v>
      </c>
      <c r="V137" s="466">
        <f t="shared" si="22"/>
        <v>0</v>
      </c>
      <c r="W137" s="466">
        <f t="shared" si="24"/>
        <v>3696652</v>
      </c>
      <c r="X137" s="472" t="s">
        <v>68</v>
      </c>
    </row>
    <row r="138" spans="2:24" s="296" customFormat="1">
      <c r="B138" s="296" t="s">
        <v>200</v>
      </c>
      <c r="C138" s="477">
        <v>3490434</v>
      </c>
      <c r="D138" s="477"/>
      <c r="E138" s="477"/>
      <c r="F138" s="477">
        <v>2449</v>
      </c>
      <c r="G138" s="477">
        <v>49027</v>
      </c>
      <c r="H138" s="477">
        <v>2223</v>
      </c>
      <c r="I138" s="477">
        <v>3544133</v>
      </c>
      <c r="J138" s="477">
        <v>158</v>
      </c>
      <c r="K138" s="477">
        <v>1342</v>
      </c>
      <c r="L138" s="477"/>
      <c r="M138" s="477"/>
      <c r="N138" s="477"/>
      <c r="O138" s="477"/>
      <c r="P138" s="477"/>
      <c r="Q138" s="466">
        <f t="shared" si="18"/>
        <v>3490592</v>
      </c>
      <c r="R138" s="466">
        <f t="shared" si="19"/>
        <v>1342</v>
      </c>
      <c r="S138" s="466">
        <f t="shared" si="23"/>
        <v>0</v>
      </c>
      <c r="T138" s="466">
        <f t="shared" si="20"/>
        <v>2449</v>
      </c>
      <c r="U138" s="466">
        <f t="shared" si="21"/>
        <v>49027</v>
      </c>
      <c r="V138" s="466">
        <f t="shared" si="22"/>
        <v>2223</v>
      </c>
      <c r="W138" s="466">
        <f t="shared" si="24"/>
        <v>3544133</v>
      </c>
      <c r="X138" s="296" t="s">
        <v>6</v>
      </c>
    </row>
    <row r="139" spans="2:24" s="296" customFormat="1">
      <c r="B139" s="296" t="s">
        <v>201</v>
      </c>
      <c r="C139" s="477"/>
      <c r="D139" s="477"/>
      <c r="E139" s="477"/>
      <c r="F139" s="477"/>
      <c r="G139" s="477"/>
      <c r="H139" s="477"/>
      <c r="I139" s="477"/>
      <c r="J139" s="477"/>
      <c r="K139" s="477"/>
      <c r="L139" s="477"/>
      <c r="M139" s="477"/>
      <c r="N139" s="477"/>
      <c r="O139" s="477"/>
      <c r="P139" s="477"/>
      <c r="Q139" s="466">
        <f t="shared" si="18"/>
        <v>0</v>
      </c>
      <c r="R139" s="466">
        <f t="shared" si="19"/>
        <v>0</v>
      </c>
      <c r="S139" s="466">
        <f t="shared" si="23"/>
        <v>0</v>
      </c>
      <c r="T139" s="466">
        <f t="shared" si="20"/>
        <v>0</v>
      </c>
      <c r="U139" s="466">
        <f t="shared" si="21"/>
        <v>0</v>
      </c>
      <c r="V139" s="466">
        <f t="shared" si="22"/>
        <v>0</v>
      </c>
      <c r="W139" s="466">
        <f t="shared" si="24"/>
        <v>0</v>
      </c>
      <c r="X139" s="296" t="s">
        <v>6</v>
      </c>
    </row>
    <row r="140" spans="2:24" s="296" customFormat="1">
      <c r="B140" s="296" t="s">
        <v>202</v>
      </c>
      <c r="C140" s="477">
        <v>106512</v>
      </c>
      <c r="D140" s="477"/>
      <c r="E140" s="477"/>
      <c r="F140" s="477"/>
      <c r="G140" s="477"/>
      <c r="H140" s="477"/>
      <c r="I140" s="477">
        <v>106512</v>
      </c>
      <c r="J140" s="477"/>
      <c r="K140" s="477"/>
      <c r="L140" s="477"/>
      <c r="M140" s="477"/>
      <c r="N140" s="477"/>
      <c r="O140" s="477"/>
      <c r="P140" s="477"/>
      <c r="Q140" s="466">
        <f t="shared" si="18"/>
        <v>106512</v>
      </c>
      <c r="R140" s="466">
        <f t="shared" si="19"/>
        <v>0</v>
      </c>
      <c r="S140" s="466">
        <f t="shared" si="23"/>
        <v>0</v>
      </c>
      <c r="T140" s="466">
        <f t="shared" si="20"/>
        <v>0</v>
      </c>
      <c r="U140" s="466">
        <f t="shared" si="21"/>
        <v>0</v>
      </c>
      <c r="V140" s="466">
        <f t="shared" si="22"/>
        <v>0</v>
      </c>
      <c r="W140" s="466">
        <f t="shared" si="24"/>
        <v>106512</v>
      </c>
      <c r="X140" s="296" t="s">
        <v>6</v>
      </c>
    </row>
    <row r="141" spans="2:24" s="296" customFormat="1">
      <c r="B141" s="477" t="s">
        <v>203</v>
      </c>
      <c r="C141" s="477">
        <v>45920</v>
      </c>
      <c r="D141" s="477"/>
      <c r="E141" s="477"/>
      <c r="F141" s="477"/>
      <c r="G141" s="477"/>
      <c r="H141" s="477"/>
      <c r="I141" s="477">
        <v>45920</v>
      </c>
      <c r="J141" s="477"/>
      <c r="K141" s="477"/>
      <c r="L141" s="477"/>
      <c r="M141" s="477"/>
      <c r="N141" s="477"/>
      <c r="O141" s="477"/>
      <c r="P141" s="477"/>
      <c r="Q141" s="466">
        <f t="shared" si="18"/>
        <v>45920</v>
      </c>
      <c r="R141" s="466">
        <f t="shared" si="19"/>
        <v>0</v>
      </c>
      <c r="S141" s="466">
        <f t="shared" si="23"/>
        <v>0</v>
      </c>
      <c r="T141" s="466">
        <f t="shared" si="20"/>
        <v>0</v>
      </c>
      <c r="U141" s="466">
        <f t="shared" si="21"/>
        <v>0</v>
      </c>
      <c r="V141" s="466">
        <f t="shared" si="22"/>
        <v>0</v>
      </c>
      <c r="W141" s="466">
        <f t="shared" si="24"/>
        <v>45920</v>
      </c>
      <c r="X141" s="466" t="s">
        <v>68</v>
      </c>
    </row>
    <row r="142" spans="2:24" s="296" customFormat="1">
      <c r="B142" s="477" t="s">
        <v>204</v>
      </c>
      <c r="C142" s="477">
        <v>87</v>
      </c>
      <c r="D142" s="477"/>
      <c r="E142" s="477"/>
      <c r="F142" s="477"/>
      <c r="G142" s="477"/>
      <c r="H142" s="477"/>
      <c r="I142" s="477">
        <v>87</v>
      </c>
      <c r="J142" s="477"/>
      <c r="K142" s="477"/>
      <c r="L142" s="477"/>
      <c r="M142" s="477"/>
      <c r="N142" s="477"/>
      <c r="O142" s="477"/>
      <c r="P142" s="477"/>
      <c r="Q142" s="466">
        <f t="shared" si="18"/>
        <v>87</v>
      </c>
      <c r="R142" s="466">
        <f t="shared" si="19"/>
        <v>0</v>
      </c>
      <c r="S142" s="466">
        <f t="shared" si="23"/>
        <v>0</v>
      </c>
      <c r="T142" s="466">
        <f t="shared" si="20"/>
        <v>0</v>
      </c>
      <c r="U142" s="466">
        <f t="shared" si="21"/>
        <v>0</v>
      </c>
      <c r="V142" s="466">
        <f t="shared" si="22"/>
        <v>0</v>
      </c>
      <c r="W142" s="466">
        <f t="shared" si="24"/>
        <v>87</v>
      </c>
      <c r="X142" s="466" t="s">
        <v>68</v>
      </c>
    </row>
    <row r="143" spans="2:24" s="296" customFormat="1">
      <c r="B143" s="472" t="s">
        <v>205</v>
      </c>
      <c r="C143" s="475">
        <v>24824</v>
      </c>
      <c r="D143" s="475">
        <v>1280649</v>
      </c>
      <c r="E143" s="475"/>
      <c r="F143" s="475">
        <v>4608</v>
      </c>
      <c r="G143" s="475">
        <v>41729</v>
      </c>
      <c r="H143" s="475">
        <v>39816</v>
      </c>
      <c r="I143" s="475">
        <v>1391626</v>
      </c>
      <c r="J143" s="475"/>
      <c r="K143" s="475">
        <v>310098</v>
      </c>
      <c r="L143" s="475"/>
      <c r="M143" s="475"/>
      <c r="N143" s="475"/>
      <c r="O143" s="475"/>
      <c r="P143" s="475">
        <v>310098</v>
      </c>
      <c r="Q143" s="466">
        <f t="shared" si="18"/>
        <v>24824</v>
      </c>
      <c r="R143" s="466">
        <f t="shared" si="19"/>
        <v>1590747</v>
      </c>
      <c r="S143" s="466">
        <f t="shared" si="23"/>
        <v>0</v>
      </c>
      <c r="T143" s="466">
        <f t="shared" si="20"/>
        <v>4608</v>
      </c>
      <c r="U143" s="466">
        <f t="shared" si="21"/>
        <v>41729</v>
      </c>
      <c r="V143" s="466">
        <f t="shared" si="22"/>
        <v>39816</v>
      </c>
      <c r="W143" s="466">
        <f t="shared" si="24"/>
        <v>1701724</v>
      </c>
      <c r="X143" s="472" t="s">
        <v>205</v>
      </c>
    </row>
    <row r="144" spans="2:24" s="296" customFormat="1">
      <c r="B144" s="296" t="s">
        <v>206</v>
      </c>
      <c r="C144" s="477"/>
      <c r="D144" s="477">
        <v>4290</v>
      </c>
      <c r="E144" s="477"/>
      <c r="F144" s="477"/>
      <c r="G144" s="477"/>
      <c r="H144" s="477"/>
      <c r="I144" s="477">
        <v>4290</v>
      </c>
      <c r="J144" s="477"/>
      <c r="K144" s="477"/>
      <c r="L144" s="477"/>
      <c r="M144" s="477"/>
      <c r="N144" s="477"/>
      <c r="O144" s="477"/>
      <c r="P144" s="477"/>
      <c r="Q144" s="466">
        <f t="shared" si="18"/>
        <v>0</v>
      </c>
      <c r="R144" s="466">
        <f t="shared" si="19"/>
        <v>4290</v>
      </c>
      <c r="S144" s="466">
        <f t="shared" si="23"/>
        <v>0</v>
      </c>
      <c r="T144" s="466">
        <f t="shared" si="20"/>
        <v>0</v>
      </c>
      <c r="U144" s="466">
        <f t="shared" si="21"/>
        <v>0</v>
      </c>
      <c r="V144" s="466">
        <f t="shared" si="22"/>
        <v>0</v>
      </c>
      <c r="W144" s="466">
        <f t="shared" si="24"/>
        <v>4290</v>
      </c>
      <c r="X144" s="296" t="s">
        <v>16</v>
      </c>
    </row>
    <row r="145" spans="2:24" s="472" customFormat="1">
      <c r="B145" s="296" t="s">
        <v>207</v>
      </c>
      <c r="C145" s="477"/>
      <c r="D145" s="477">
        <v>574531</v>
      </c>
      <c r="E145" s="477"/>
      <c r="F145" s="477"/>
      <c r="G145" s="477"/>
      <c r="H145" s="477"/>
      <c r="I145" s="477">
        <v>574531</v>
      </c>
      <c r="J145" s="477"/>
      <c r="K145" s="477">
        <v>6474</v>
      </c>
      <c r="L145" s="477"/>
      <c r="M145" s="477"/>
      <c r="N145" s="477"/>
      <c r="O145" s="477"/>
      <c r="P145" s="477">
        <v>6474</v>
      </c>
      <c r="Q145" s="466">
        <f t="shared" si="18"/>
        <v>0</v>
      </c>
      <c r="R145" s="466">
        <f t="shared" si="19"/>
        <v>581005</v>
      </c>
      <c r="S145" s="466">
        <f t="shared" si="23"/>
        <v>0</v>
      </c>
      <c r="T145" s="466">
        <f t="shared" si="20"/>
        <v>0</v>
      </c>
      <c r="U145" s="466">
        <f t="shared" si="21"/>
        <v>0</v>
      </c>
      <c r="V145" s="466">
        <f t="shared" si="22"/>
        <v>0</v>
      </c>
      <c r="W145" s="466">
        <f t="shared" si="24"/>
        <v>581005</v>
      </c>
      <c r="X145" s="296" t="s">
        <v>16</v>
      </c>
    </row>
    <row r="146" spans="2:24" s="296" customFormat="1">
      <c r="B146" s="296" t="s">
        <v>208</v>
      </c>
      <c r="C146" s="477"/>
      <c r="D146" s="477"/>
      <c r="E146" s="477"/>
      <c r="F146" s="477"/>
      <c r="G146" s="477"/>
      <c r="H146" s="477"/>
      <c r="I146" s="477"/>
      <c r="J146" s="477"/>
      <c r="K146" s="477"/>
      <c r="L146" s="477"/>
      <c r="M146" s="477"/>
      <c r="N146" s="477"/>
      <c r="O146" s="477"/>
      <c r="P146" s="477"/>
      <c r="Q146" s="466">
        <f t="shared" si="18"/>
        <v>0</v>
      </c>
      <c r="R146" s="466">
        <f t="shared" si="19"/>
        <v>0</v>
      </c>
      <c r="S146" s="466">
        <f t="shared" si="23"/>
        <v>0</v>
      </c>
      <c r="T146" s="466">
        <f t="shared" si="20"/>
        <v>0</v>
      </c>
      <c r="U146" s="466">
        <f t="shared" si="21"/>
        <v>0</v>
      </c>
      <c r="V146" s="466">
        <f t="shared" si="22"/>
        <v>0</v>
      </c>
      <c r="W146" s="466">
        <f t="shared" si="24"/>
        <v>0</v>
      </c>
      <c r="X146" s="296" t="s">
        <v>16</v>
      </c>
    </row>
    <row r="147" spans="2:24" s="296" customFormat="1">
      <c r="B147" s="296" t="s">
        <v>209</v>
      </c>
      <c r="C147" s="477"/>
      <c r="D147" s="477"/>
      <c r="E147" s="477"/>
      <c r="F147" s="477"/>
      <c r="G147" s="477"/>
      <c r="H147" s="477"/>
      <c r="I147" s="477"/>
      <c r="J147" s="477"/>
      <c r="K147" s="477"/>
      <c r="L147" s="477"/>
      <c r="M147" s="477"/>
      <c r="N147" s="477"/>
      <c r="O147" s="477"/>
      <c r="P147" s="477"/>
      <c r="Q147" s="466">
        <f t="shared" si="18"/>
        <v>0</v>
      </c>
      <c r="R147" s="466">
        <f t="shared" si="19"/>
        <v>0</v>
      </c>
      <c r="S147" s="466">
        <f t="shared" si="23"/>
        <v>0</v>
      </c>
      <c r="T147" s="466">
        <f t="shared" si="20"/>
        <v>0</v>
      </c>
      <c r="U147" s="466">
        <f t="shared" si="21"/>
        <v>0</v>
      </c>
      <c r="V147" s="466">
        <f t="shared" si="22"/>
        <v>0</v>
      </c>
      <c r="W147" s="466">
        <f t="shared" si="24"/>
        <v>0</v>
      </c>
      <c r="X147" s="296" t="s">
        <v>16</v>
      </c>
    </row>
    <row r="148" spans="2:24" s="296" customFormat="1">
      <c r="B148" s="296" t="s">
        <v>210</v>
      </c>
      <c r="C148" s="477"/>
      <c r="D148" s="477">
        <v>701828</v>
      </c>
      <c r="E148" s="477"/>
      <c r="F148" s="477">
        <v>4608</v>
      </c>
      <c r="G148" s="477">
        <v>41729</v>
      </c>
      <c r="H148" s="477"/>
      <c r="I148" s="477">
        <v>748165</v>
      </c>
      <c r="J148" s="477"/>
      <c r="K148" s="477">
        <v>303624</v>
      </c>
      <c r="L148" s="477"/>
      <c r="M148" s="477"/>
      <c r="N148" s="477"/>
      <c r="O148" s="477"/>
      <c r="P148" s="477">
        <v>303624</v>
      </c>
      <c r="Q148" s="466">
        <f t="shared" si="18"/>
        <v>0</v>
      </c>
      <c r="R148" s="466">
        <f t="shared" si="19"/>
        <v>1005452</v>
      </c>
      <c r="S148" s="466">
        <f t="shared" si="23"/>
        <v>0</v>
      </c>
      <c r="T148" s="466">
        <f t="shared" si="20"/>
        <v>4608</v>
      </c>
      <c r="U148" s="466">
        <f t="shared" si="21"/>
        <v>41729</v>
      </c>
      <c r="V148" s="466">
        <f t="shared" si="22"/>
        <v>0</v>
      </c>
      <c r="W148" s="466">
        <f t="shared" si="24"/>
        <v>1051789</v>
      </c>
      <c r="X148" s="296" t="s">
        <v>16</v>
      </c>
    </row>
    <row r="149" spans="2:24" s="296" customFormat="1">
      <c r="B149" s="296" t="s">
        <v>211</v>
      </c>
      <c r="C149" s="477"/>
      <c r="D149" s="477"/>
      <c r="E149" s="477"/>
      <c r="F149" s="477"/>
      <c r="G149" s="477"/>
      <c r="H149" s="477"/>
      <c r="I149" s="477"/>
      <c r="J149" s="477"/>
      <c r="K149" s="477"/>
      <c r="L149" s="477"/>
      <c r="M149" s="477"/>
      <c r="N149" s="477"/>
      <c r="O149" s="477"/>
      <c r="P149" s="477"/>
      <c r="Q149" s="466">
        <f t="shared" si="18"/>
        <v>0</v>
      </c>
      <c r="R149" s="466">
        <f t="shared" si="19"/>
        <v>0</v>
      </c>
      <c r="S149" s="466">
        <f t="shared" si="23"/>
        <v>0</v>
      </c>
      <c r="T149" s="466">
        <f t="shared" si="20"/>
        <v>0</v>
      </c>
      <c r="U149" s="466">
        <f t="shared" si="21"/>
        <v>0</v>
      </c>
      <c r="V149" s="466">
        <f t="shared" si="22"/>
        <v>0</v>
      </c>
      <c r="W149" s="466">
        <f t="shared" si="24"/>
        <v>0</v>
      </c>
      <c r="X149" s="296" t="s">
        <v>16</v>
      </c>
    </row>
    <row r="150" spans="2:24" s="296" customFormat="1">
      <c r="B150" s="477" t="s">
        <v>212</v>
      </c>
      <c r="C150" s="477">
        <v>17739</v>
      </c>
      <c r="D150" s="477"/>
      <c r="E150" s="477">
        <v>39816</v>
      </c>
      <c r="F150" s="477">
        <v>39816</v>
      </c>
      <c r="G150" s="477"/>
      <c r="H150" s="477"/>
      <c r="I150" s="477">
        <v>17739</v>
      </c>
      <c r="J150" s="477"/>
      <c r="K150" s="477"/>
      <c r="L150" s="477"/>
      <c r="M150" s="477"/>
      <c r="N150" s="477"/>
      <c r="O150" s="477"/>
      <c r="P150" s="477"/>
      <c r="Q150" s="466">
        <f t="shared" si="18"/>
        <v>17739</v>
      </c>
      <c r="R150" s="466">
        <f t="shared" si="19"/>
        <v>0</v>
      </c>
      <c r="S150" s="466">
        <f t="shared" si="23"/>
        <v>39816</v>
      </c>
      <c r="T150" s="466">
        <f t="shared" si="20"/>
        <v>39816</v>
      </c>
      <c r="U150" s="466">
        <f t="shared" si="21"/>
        <v>0</v>
      </c>
      <c r="V150" s="466">
        <f t="shared" si="22"/>
        <v>0</v>
      </c>
      <c r="W150" s="466">
        <f t="shared" si="24"/>
        <v>17739</v>
      </c>
    </row>
    <row r="151" spans="2:24" s="296" customFormat="1">
      <c r="B151" s="477" t="s">
        <v>213</v>
      </c>
      <c r="C151" s="477">
        <v>7084</v>
      </c>
      <c r="D151" s="477"/>
      <c r="E151" s="477"/>
      <c r="F151" s="477"/>
      <c r="G151" s="477"/>
      <c r="H151" s="477"/>
      <c r="I151" s="477">
        <v>7084</v>
      </c>
      <c r="J151" s="477"/>
      <c r="K151" s="477"/>
      <c r="L151" s="477"/>
      <c r="M151" s="477"/>
      <c r="N151" s="477"/>
      <c r="O151" s="477"/>
      <c r="P151" s="477"/>
      <c r="Q151" s="466">
        <f t="shared" si="18"/>
        <v>7084</v>
      </c>
      <c r="R151" s="466">
        <f t="shared" si="19"/>
        <v>0</v>
      </c>
      <c r="S151" s="466">
        <f t="shared" si="23"/>
        <v>0</v>
      </c>
      <c r="T151" s="466">
        <f t="shared" si="20"/>
        <v>0</v>
      </c>
      <c r="U151" s="466">
        <f t="shared" si="21"/>
        <v>0</v>
      </c>
      <c r="V151" s="466">
        <f t="shared" si="22"/>
        <v>0</v>
      </c>
      <c r="W151" s="466">
        <f t="shared" si="24"/>
        <v>7084</v>
      </c>
    </row>
    <row r="152" spans="2:24" s="472" customFormat="1">
      <c r="B152" s="472" t="s">
        <v>5</v>
      </c>
      <c r="C152" s="475">
        <v>663590</v>
      </c>
      <c r="D152" s="475">
        <v>327646</v>
      </c>
      <c r="E152" s="475">
        <v>568800</v>
      </c>
      <c r="F152" s="475"/>
      <c r="G152" s="475"/>
      <c r="H152" s="475">
        <v>29750</v>
      </c>
      <c r="I152" s="475">
        <v>1589786</v>
      </c>
      <c r="J152" s="475"/>
      <c r="K152" s="475">
        <v>24</v>
      </c>
      <c r="L152" s="475">
        <v>35200</v>
      </c>
      <c r="M152" s="475"/>
      <c r="N152" s="475"/>
      <c r="O152" s="475"/>
      <c r="P152" s="475">
        <v>35224</v>
      </c>
      <c r="Q152" s="466">
        <f t="shared" si="18"/>
        <v>663590</v>
      </c>
      <c r="R152" s="466">
        <f t="shared" si="19"/>
        <v>327670</v>
      </c>
      <c r="S152" s="466">
        <f t="shared" si="23"/>
        <v>604000</v>
      </c>
      <c r="T152" s="466">
        <f t="shared" si="20"/>
        <v>0</v>
      </c>
      <c r="U152" s="466">
        <f t="shared" si="21"/>
        <v>0</v>
      </c>
      <c r="V152" s="466">
        <f t="shared" si="22"/>
        <v>29750</v>
      </c>
      <c r="W152" s="466">
        <f t="shared" si="24"/>
        <v>1625010</v>
      </c>
      <c r="X152" s="472" t="s">
        <v>5</v>
      </c>
    </row>
    <row r="153" spans="2:24" s="472" customFormat="1">
      <c r="B153" s="472" t="s">
        <v>214</v>
      </c>
      <c r="C153" s="475">
        <v>1294760</v>
      </c>
      <c r="D153" s="475">
        <v>244049</v>
      </c>
      <c r="E153" s="475"/>
      <c r="F153" s="475">
        <v>5</v>
      </c>
      <c r="G153" s="475">
        <v>61475</v>
      </c>
      <c r="H153" s="475"/>
      <c r="I153" s="475">
        <v>1600289</v>
      </c>
      <c r="J153" s="475">
        <v>349999</v>
      </c>
      <c r="K153" s="475">
        <v>16173</v>
      </c>
      <c r="L153" s="475"/>
      <c r="M153" s="475"/>
      <c r="N153" s="475"/>
      <c r="O153" s="475"/>
      <c r="P153" s="475">
        <v>366172</v>
      </c>
      <c r="Q153" s="466">
        <f t="shared" si="18"/>
        <v>1644759</v>
      </c>
      <c r="R153" s="466">
        <f t="shared" si="19"/>
        <v>260222</v>
      </c>
      <c r="S153" s="466">
        <f t="shared" si="23"/>
        <v>0</v>
      </c>
      <c r="T153" s="466">
        <f t="shared" si="20"/>
        <v>5</v>
      </c>
      <c r="U153" s="466">
        <f t="shared" si="21"/>
        <v>61475</v>
      </c>
      <c r="V153" s="466">
        <f t="shared" si="22"/>
        <v>0</v>
      </c>
      <c r="W153" s="466">
        <f t="shared" si="24"/>
        <v>1966461</v>
      </c>
      <c r="X153" s="472" t="s">
        <v>214</v>
      </c>
    </row>
    <row r="154" spans="2:24" s="296" customFormat="1">
      <c r="B154" s="296" t="s">
        <v>215</v>
      </c>
      <c r="C154" s="477">
        <v>44537</v>
      </c>
      <c r="D154" s="477"/>
      <c r="E154" s="477"/>
      <c r="F154" s="477"/>
      <c r="G154" s="477"/>
      <c r="H154" s="477"/>
      <c r="I154" s="477">
        <v>44537</v>
      </c>
      <c r="J154" s="477"/>
      <c r="K154" s="477"/>
      <c r="L154" s="477"/>
      <c r="M154" s="477"/>
      <c r="N154" s="477"/>
      <c r="O154" s="477"/>
      <c r="P154" s="477"/>
      <c r="Q154" s="466">
        <f t="shared" si="18"/>
        <v>44537</v>
      </c>
      <c r="R154" s="466">
        <f t="shared" si="19"/>
        <v>0</v>
      </c>
      <c r="S154" s="466">
        <f t="shared" si="23"/>
        <v>0</v>
      </c>
      <c r="T154" s="466">
        <f t="shared" si="20"/>
        <v>0</v>
      </c>
      <c r="U154" s="466">
        <f t="shared" si="21"/>
        <v>0</v>
      </c>
      <c r="V154" s="466">
        <f t="shared" si="22"/>
        <v>0</v>
      </c>
      <c r="W154" s="466">
        <f t="shared" si="24"/>
        <v>44537</v>
      </c>
      <c r="X154" s="296" t="s">
        <v>7</v>
      </c>
    </row>
    <row r="155" spans="2:24" s="296" customFormat="1">
      <c r="B155" s="296" t="s">
        <v>216</v>
      </c>
      <c r="C155" s="477"/>
      <c r="D155" s="477"/>
      <c r="E155" s="477"/>
      <c r="F155" s="477"/>
      <c r="G155" s="477"/>
      <c r="H155" s="477"/>
      <c r="I155" s="477"/>
      <c r="J155" s="477"/>
      <c r="K155" s="477"/>
      <c r="L155" s="477"/>
      <c r="M155" s="477"/>
      <c r="N155" s="477"/>
      <c r="O155" s="477"/>
      <c r="P155" s="477"/>
      <c r="Q155" s="466">
        <f t="shared" si="18"/>
        <v>0</v>
      </c>
      <c r="R155" s="466">
        <f t="shared" si="19"/>
        <v>0</v>
      </c>
      <c r="S155" s="466">
        <f t="shared" si="23"/>
        <v>0</v>
      </c>
      <c r="T155" s="466">
        <f t="shared" si="20"/>
        <v>0</v>
      </c>
      <c r="U155" s="466">
        <f t="shared" si="21"/>
        <v>0</v>
      </c>
      <c r="V155" s="466">
        <f t="shared" si="22"/>
        <v>0</v>
      </c>
      <c r="W155" s="466">
        <f t="shared" si="24"/>
        <v>0</v>
      </c>
      <c r="X155" s="296" t="s">
        <v>7</v>
      </c>
    </row>
    <row r="156" spans="2:24" s="296" customFormat="1">
      <c r="B156" s="296" t="s">
        <v>217</v>
      </c>
      <c r="C156" s="477">
        <v>57526</v>
      </c>
      <c r="D156" s="477"/>
      <c r="E156" s="477"/>
      <c r="F156" s="477"/>
      <c r="G156" s="477"/>
      <c r="H156" s="477"/>
      <c r="I156" s="477">
        <v>57526</v>
      </c>
      <c r="J156" s="477"/>
      <c r="K156" s="477"/>
      <c r="L156" s="477"/>
      <c r="M156" s="477"/>
      <c r="N156" s="477"/>
      <c r="O156" s="477"/>
      <c r="P156" s="477"/>
      <c r="Q156" s="466">
        <f t="shared" si="18"/>
        <v>57526</v>
      </c>
      <c r="R156" s="466">
        <f t="shared" si="19"/>
        <v>0</v>
      </c>
      <c r="S156" s="466">
        <f t="shared" si="23"/>
        <v>0</v>
      </c>
      <c r="T156" s="466">
        <f t="shared" si="20"/>
        <v>0</v>
      </c>
      <c r="U156" s="466">
        <f t="shared" si="21"/>
        <v>0</v>
      </c>
      <c r="V156" s="466">
        <f t="shared" si="22"/>
        <v>0</v>
      </c>
      <c r="W156" s="466">
        <f t="shared" si="24"/>
        <v>57526</v>
      </c>
      <c r="X156" s="296" t="s">
        <v>7</v>
      </c>
    </row>
    <row r="157" spans="2:24" s="296" customFormat="1">
      <c r="B157" s="296" t="s">
        <v>218</v>
      </c>
      <c r="C157" s="477">
        <v>20073</v>
      </c>
      <c r="D157" s="477">
        <v>962</v>
      </c>
      <c r="E157" s="477"/>
      <c r="F157" s="477"/>
      <c r="G157" s="477"/>
      <c r="H157" s="477"/>
      <c r="I157" s="477">
        <v>21035</v>
      </c>
      <c r="J157" s="477">
        <v>18690</v>
      </c>
      <c r="K157" s="477">
        <v>15829</v>
      </c>
      <c r="L157" s="477"/>
      <c r="M157" s="477"/>
      <c r="N157" s="477"/>
      <c r="O157" s="477"/>
      <c r="P157" s="477">
        <v>34519</v>
      </c>
      <c r="Q157" s="466">
        <f t="shared" si="18"/>
        <v>38763</v>
      </c>
      <c r="R157" s="466">
        <f t="shared" si="19"/>
        <v>16791</v>
      </c>
      <c r="S157" s="466">
        <f t="shared" si="23"/>
        <v>0</v>
      </c>
      <c r="T157" s="466">
        <f t="shared" si="20"/>
        <v>0</v>
      </c>
      <c r="U157" s="466">
        <f t="shared" si="21"/>
        <v>0</v>
      </c>
      <c r="V157" s="466">
        <f t="shared" si="22"/>
        <v>0</v>
      </c>
      <c r="W157" s="466">
        <f t="shared" si="24"/>
        <v>55554</v>
      </c>
      <c r="X157" s="296" t="s">
        <v>7</v>
      </c>
    </row>
    <row r="158" spans="2:24" s="296" customFormat="1">
      <c r="B158" s="296" t="s">
        <v>219</v>
      </c>
      <c r="C158" s="477">
        <v>85561</v>
      </c>
      <c r="D158" s="477">
        <v>243087</v>
      </c>
      <c r="E158" s="477"/>
      <c r="F158" s="477">
        <v>5</v>
      </c>
      <c r="G158" s="477">
        <v>61475</v>
      </c>
      <c r="H158" s="477"/>
      <c r="I158" s="477">
        <v>390128</v>
      </c>
      <c r="J158" s="477"/>
      <c r="K158" s="477">
        <v>344</v>
      </c>
      <c r="L158" s="477"/>
      <c r="M158" s="477"/>
      <c r="N158" s="477"/>
      <c r="O158" s="477"/>
      <c r="P158" s="477">
        <v>344</v>
      </c>
      <c r="Q158" s="466">
        <f t="shared" si="18"/>
        <v>85561</v>
      </c>
      <c r="R158" s="466">
        <f t="shared" si="19"/>
        <v>243431</v>
      </c>
      <c r="S158" s="466">
        <f t="shared" si="23"/>
        <v>0</v>
      </c>
      <c r="T158" s="466">
        <f t="shared" si="20"/>
        <v>5</v>
      </c>
      <c r="U158" s="466">
        <f t="shared" si="21"/>
        <v>61475</v>
      </c>
      <c r="V158" s="466">
        <f t="shared" si="22"/>
        <v>0</v>
      </c>
      <c r="W158" s="466">
        <f t="shared" si="24"/>
        <v>390472</v>
      </c>
      <c r="X158" s="296" t="s">
        <v>7</v>
      </c>
    </row>
    <row r="159" spans="2:24" s="296" customFormat="1">
      <c r="B159" s="477" t="s">
        <v>220</v>
      </c>
      <c r="C159" s="477">
        <v>4464</v>
      </c>
      <c r="D159" s="477"/>
      <c r="E159" s="477"/>
      <c r="F159" s="477"/>
      <c r="G159" s="477"/>
      <c r="H159" s="477"/>
      <c r="I159" s="477">
        <v>4464</v>
      </c>
      <c r="J159" s="477"/>
      <c r="K159" s="477"/>
      <c r="L159" s="477"/>
      <c r="M159" s="477"/>
      <c r="N159" s="477"/>
      <c r="O159" s="477"/>
      <c r="P159" s="477"/>
      <c r="Q159" s="466">
        <f t="shared" si="18"/>
        <v>4464</v>
      </c>
      <c r="R159" s="466">
        <f t="shared" si="19"/>
        <v>0</v>
      </c>
      <c r="S159" s="466">
        <f t="shared" si="23"/>
        <v>0</v>
      </c>
      <c r="T159" s="466">
        <f t="shared" si="20"/>
        <v>0</v>
      </c>
      <c r="U159" s="466">
        <f t="shared" si="21"/>
        <v>0</v>
      </c>
      <c r="V159" s="466">
        <f t="shared" si="22"/>
        <v>0</v>
      </c>
      <c r="W159" s="466">
        <f t="shared" si="24"/>
        <v>4464</v>
      </c>
      <c r="X159" s="296" t="s">
        <v>7</v>
      </c>
    </row>
    <row r="160" spans="2:24" s="296" customFormat="1">
      <c r="B160" s="296" t="s">
        <v>221</v>
      </c>
      <c r="C160" s="477">
        <v>9676</v>
      </c>
      <c r="D160" s="477"/>
      <c r="E160" s="477"/>
      <c r="F160" s="477"/>
      <c r="G160" s="477"/>
      <c r="H160" s="477"/>
      <c r="I160" s="477">
        <v>9676</v>
      </c>
      <c r="J160" s="477"/>
      <c r="K160" s="477"/>
      <c r="L160" s="477"/>
      <c r="M160" s="477"/>
      <c r="N160" s="477"/>
      <c r="O160" s="477"/>
      <c r="P160" s="477"/>
      <c r="Q160" s="466">
        <f t="shared" si="18"/>
        <v>9676</v>
      </c>
      <c r="R160" s="466">
        <f t="shared" si="19"/>
        <v>0</v>
      </c>
      <c r="S160" s="466">
        <f t="shared" si="23"/>
        <v>0</v>
      </c>
      <c r="T160" s="466">
        <f t="shared" si="20"/>
        <v>0</v>
      </c>
      <c r="U160" s="466">
        <f t="shared" si="21"/>
        <v>0</v>
      </c>
      <c r="V160" s="466">
        <f t="shared" si="22"/>
        <v>0</v>
      </c>
      <c r="W160" s="466">
        <f t="shared" si="24"/>
        <v>9676</v>
      </c>
      <c r="X160" s="296" t="s">
        <v>7</v>
      </c>
    </row>
    <row r="161" spans="2:24" s="296" customFormat="1">
      <c r="B161" s="296" t="s">
        <v>222</v>
      </c>
      <c r="C161" s="477">
        <v>137951</v>
      </c>
      <c r="D161" s="477"/>
      <c r="E161" s="477"/>
      <c r="F161" s="477"/>
      <c r="G161" s="477"/>
      <c r="H161" s="477"/>
      <c r="I161" s="477">
        <v>137951</v>
      </c>
      <c r="J161" s="477"/>
      <c r="K161" s="477"/>
      <c r="L161" s="477"/>
      <c r="M161" s="477"/>
      <c r="N161" s="477"/>
      <c r="O161" s="477"/>
      <c r="P161" s="477"/>
      <c r="Q161" s="466">
        <f t="shared" si="18"/>
        <v>137951</v>
      </c>
      <c r="R161" s="466">
        <f t="shared" si="19"/>
        <v>0</v>
      </c>
      <c r="S161" s="466">
        <f t="shared" si="23"/>
        <v>0</v>
      </c>
      <c r="T161" s="466">
        <f t="shared" si="20"/>
        <v>0</v>
      </c>
      <c r="U161" s="466">
        <f t="shared" si="21"/>
        <v>0</v>
      </c>
      <c r="V161" s="466">
        <f t="shared" si="22"/>
        <v>0</v>
      </c>
      <c r="W161" s="466">
        <f t="shared" si="24"/>
        <v>137951</v>
      </c>
      <c r="X161" s="296" t="s">
        <v>7</v>
      </c>
    </row>
    <row r="162" spans="2:24" s="296" customFormat="1">
      <c r="B162" s="296" t="s">
        <v>223</v>
      </c>
      <c r="C162" s="477">
        <v>934972</v>
      </c>
      <c r="D162" s="477"/>
      <c r="E162" s="477"/>
      <c r="F162" s="477"/>
      <c r="G162" s="477"/>
      <c r="H162" s="477"/>
      <c r="I162" s="477">
        <v>934972</v>
      </c>
      <c r="J162" s="477">
        <v>326292</v>
      </c>
      <c r="K162" s="477"/>
      <c r="L162" s="477"/>
      <c r="M162" s="477"/>
      <c r="N162" s="477"/>
      <c r="O162" s="477"/>
      <c r="P162" s="477">
        <v>326292</v>
      </c>
      <c r="Q162" s="466">
        <f t="shared" si="18"/>
        <v>1261264</v>
      </c>
      <c r="R162" s="466">
        <f t="shared" si="19"/>
        <v>0</v>
      </c>
      <c r="S162" s="466">
        <f t="shared" si="23"/>
        <v>0</v>
      </c>
      <c r="T162" s="466">
        <f t="shared" si="20"/>
        <v>0</v>
      </c>
      <c r="U162" s="466">
        <f t="shared" si="21"/>
        <v>0</v>
      </c>
      <c r="V162" s="466">
        <f t="shared" si="22"/>
        <v>0</v>
      </c>
      <c r="W162" s="466">
        <f t="shared" si="24"/>
        <v>1261264</v>
      </c>
      <c r="X162" s="296" t="s">
        <v>7</v>
      </c>
    </row>
    <row r="163" spans="2:24" s="472" customFormat="1">
      <c r="B163" s="296" t="s">
        <v>224</v>
      </c>
      <c r="C163" s="477"/>
      <c r="D163" s="477"/>
      <c r="E163" s="477"/>
      <c r="F163" s="477"/>
      <c r="G163" s="477"/>
      <c r="H163" s="477"/>
      <c r="I163" s="477"/>
      <c r="J163" s="477">
        <v>5017</v>
      </c>
      <c r="K163" s="477"/>
      <c r="L163" s="477"/>
      <c r="M163" s="477"/>
      <c r="N163" s="477"/>
      <c r="O163" s="477"/>
      <c r="P163" s="477">
        <v>5017</v>
      </c>
      <c r="Q163" s="466">
        <f t="shared" si="18"/>
        <v>5017</v>
      </c>
      <c r="R163" s="466">
        <f t="shared" si="19"/>
        <v>0</v>
      </c>
      <c r="S163" s="466">
        <f t="shared" si="23"/>
        <v>0</v>
      </c>
      <c r="T163" s="466">
        <f t="shared" si="20"/>
        <v>0</v>
      </c>
      <c r="U163" s="466">
        <f t="shared" si="21"/>
        <v>0</v>
      </c>
      <c r="V163" s="466">
        <f t="shared" si="22"/>
        <v>0</v>
      </c>
      <c r="W163" s="466">
        <f t="shared" si="24"/>
        <v>5017</v>
      </c>
      <c r="X163" s="296" t="s">
        <v>7</v>
      </c>
    </row>
    <row r="164" spans="2:24" s="296" customFormat="1">
      <c r="B164" s="472" t="s">
        <v>53</v>
      </c>
      <c r="C164" s="477">
        <v>671063</v>
      </c>
      <c r="D164" s="477">
        <v>4975</v>
      </c>
      <c r="E164" s="477"/>
      <c r="F164" s="477"/>
      <c r="G164" s="477"/>
      <c r="H164" s="477"/>
      <c r="I164" s="477">
        <v>676038</v>
      </c>
      <c r="J164" s="477">
        <v>131441</v>
      </c>
      <c r="K164" s="477">
        <v>329</v>
      </c>
      <c r="L164" s="477"/>
      <c r="M164" s="477"/>
      <c r="N164" s="477"/>
      <c r="O164" s="477"/>
      <c r="P164" s="477">
        <v>131770</v>
      </c>
      <c r="Q164" s="466">
        <f t="shared" si="18"/>
        <v>802504</v>
      </c>
      <c r="R164" s="466">
        <f t="shared" si="19"/>
        <v>5304</v>
      </c>
      <c r="S164" s="466">
        <f t="shared" si="23"/>
        <v>0</v>
      </c>
      <c r="T164" s="466">
        <f t="shared" si="20"/>
        <v>0</v>
      </c>
      <c r="U164" s="466">
        <f t="shared" si="21"/>
        <v>0</v>
      </c>
      <c r="V164" s="466">
        <f t="shared" si="22"/>
        <v>0</v>
      </c>
      <c r="W164" s="466">
        <f t="shared" si="24"/>
        <v>807808</v>
      </c>
      <c r="X164" s="472" t="s">
        <v>11</v>
      </c>
    </row>
    <row r="165" spans="2:24" s="296" customFormat="1">
      <c r="B165" s="296" t="s">
        <v>225</v>
      </c>
      <c r="C165" s="477"/>
      <c r="D165" s="477">
        <v>4975</v>
      </c>
      <c r="E165" s="477"/>
      <c r="F165" s="477"/>
      <c r="G165" s="477"/>
      <c r="H165" s="477"/>
      <c r="I165" s="477">
        <v>4975</v>
      </c>
      <c r="J165" s="477"/>
      <c r="K165" s="477"/>
      <c r="L165" s="477"/>
      <c r="M165" s="477"/>
      <c r="N165" s="477"/>
      <c r="O165" s="477"/>
      <c r="P165" s="477"/>
      <c r="Q165" s="466">
        <f t="shared" si="18"/>
        <v>0</v>
      </c>
      <c r="R165" s="466">
        <f t="shared" si="19"/>
        <v>4975</v>
      </c>
      <c r="S165" s="466">
        <f t="shared" si="23"/>
        <v>0</v>
      </c>
      <c r="T165" s="466">
        <f t="shared" si="20"/>
        <v>0</v>
      </c>
      <c r="U165" s="466">
        <f t="shared" si="21"/>
        <v>0</v>
      </c>
      <c r="V165" s="466">
        <f t="shared" si="22"/>
        <v>0</v>
      </c>
      <c r="W165" s="466">
        <f t="shared" si="24"/>
        <v>4975</v>
      </c>
      <c r="X165" s="296" t="s">
        <v>11</v>
      </c>
    </row>
    <row r="166" spans="2:24" s="296" customFormat="1">
      <c r="B166" s="296" t="s">
        <v>226</v>
      </c>
      <c r="C166" s="477">
        <v>398654</v>
      </c>
      <c r="D166" s="477"/>
      <c r="E166" s="477"/>
      <c r="F166" s="477"/>
      <c r="G166" s="477"/>
      <c r="H166" s="477"/>
      <c r="I166" s="477">
        <v>398654</v>
      </c>
      <c r="J166" s="477"/>
      <c r="K166" s="477"/>
      <c r="L166" s="477"/>
      <c r="M166" s="477"/>
      <c r="N166" s="477"/>
      <c r="O166" s="477"/>
      <c r="P166" s="477"/>
      <c r="Q166" s="466">
        <f t="shared" si="18"/>
        <v>398654</v>
      </c>
      <c r="R166" s="466">
        <f t="shared" si="19"/>
        <v>0</v>
      </c>
      <c r="S166" s="466">
        <f t="shared" si="23"/>
        <v>0</v>
      </c>
      <c r="T166" s="466">
        <f t="shared" si="20"/>
        <v>0</v>
      </c>
      <c r="U166" s="466">
        <f t="shared" si="21"/>
        <v>0</v>
      </c>
      <c r="V166" s="466">
        <f t="shared" si="22"/>
        <v>0</v>
      </c>
      <c r="W166" s="466">
        <f t="shared" si="24"/>
        <v>398654</v>
      </c>
      <c r="X166" s="296" t="s">
        <v>11</v>
      </c>
    </row>
    <row r="167" spans="2:24" s="296" customFormat="1">
      <c r="B167" s="296" t="s">
        <v>227</v>
      </c>
      <c r="C167" s="477">
        <v>52848</v>
      </c>
      <c r="D167" s="477"/>
      <c r="E167" s="477"/>
      <c r="F167" s="477"/>
      <c r="G167" s="477"/>
      <c r="H167" s="477"/>
      <c r="I167" s="477">
        <v>52848</v>
      </c>
      <c r="J167" s="477"/>
      <c r="K167" s="477"/>
      <c r="L167" s="477"/>
      <c r="M167" s="477"/>
      <c r="N167" s="477"/>
      <c r="O167" s="477"/>
      <c r="P167" s="477"/>
      <c r="Q167" s="466">
        <f t="shared" si="18"/>
        <v>52848</v>
      </c>
      <c r="R167" s="466">
        <f t="shared" si="19"/>
        <v>0</v>
      </c>
      <c r="S167" s="466">
        <f t="shared" si="23"/>
        <v>0</v>
      </c>
      <c r="T167" s="466">
        <f t="shared" si="20"/>
        <v>0</v>
      </c>
      <c r="U167" s="466">
        <f t="shared" si="21"/>
        <v>0</v>
      </c>
      <c r="V167" s="466">
        <f t="shared" si="22"/>
        <v>0</v>
      </c>
      <c r="W167" s="466">
        <f t="shared" si="24"/>
        <v>52848</v>
      </c>
      <c r="X167" s="296" t="s">
        <v>11</v>
      </c>
    </row>
    <row r="168" spans="2:24" s="296" customFormat="1">
      <c r="B168" s="296" t="s">
        <v>228</v>
      </c>
      <c r="C168" s="477">
        <v>167557</v>
      </c>
      <c r="D168" s="477"/>
      <c r="E168" s="477"/>
      <c r="F168" s="477"/>
      <c r="G168" s="477"/>
      <c r="H168" s="477"/>
      <c r="I168" s="477">
        <v>167557</v>
      </c>
      <c r="J168" s="477"/>
      <c r="K168" s="477"/>
      <c r="L168" s="477"/>
      <c r="M168" s="477"/>
      <c r="N168" s="477"/>
      <c r="O168" s="477"/>
      <c r="P168" s="477"/>
      <c r="Q168" s="466">
        <f t="shared" si="18"/>
        <v>167557</v>
      </c>
      <c r="R168" s="466">
        <f t="shared" si="19"/>
        <v>0</v>
      </c>
      <c r="S168" s="466">
        <f t="shared" si="23"/>
        <v>0</v>
      </c>
      <c r="T168" s="466">
        <f t="shared" si="20"/>
        <v>0</v>
      </c>
      <c r="U168" s="466">
        <f t="shared" si="21"/>
        <v>0</v>
      </c>
      <c r="V168" s="466">
        <f t="shared" si="22"/>
        <v>0</v>
      </c>
      <c r="W168" s="466">
        <f t="shared" si="24"/>
        <v>167557</v>
      </c>
      <c r="X168" s="296" t="s">
        <v>11</v>
      </c>
    </row>
    <row r="169" spans="2:24" s="296" customFormat="1">
      <c r="B169" s="296" t="s">
        <v>229</v>
      </c>
      <c r="C169" s="477">
        <v>52004</v>
      </c>
      <c r="D169" s="477"/>
      <c r="E169" s="477"/>
      <c r="F169" s="477"/>
      <c r="G169" s="477"/>
      <c r="H169" s="477"/>
      <c r="I169" s="477">
        <v>52004</v>
      </c>
      <c r="J169" s="477"/>
      <c r="K169" s="477"/>
      <c r="L169" s="477"/>
      <c r="M169" s="477"/>
      <c r="N169" s="477"/>
      <c r="O169" s="477"/>
      <c r="P169" s="477"/>
      <c r="Q169" s="466">
        <f t="shared" si="18"/>
        <v>52004</v>
      </c>
      <c r="R169" s="466">
        <f t="shared" si="19"/>
        <v>0</v>
      </c>
      <c r="S169" s="466">
        <f t="shared" si="23"/>
        <v>0</v>
      </c>
      <c r="T169" s="466">
        <f t="shared" si="20"/>
        <v>0</v>
      </c>
      <c r="U169" s="466">
        <f t="shared" si="21"/>
        <v>0</v>
      </c>
      <c r="V169" s="466">
        <f t="shared" si="22"/>
        <v>0</v>
      </c>
      <c r="W169" s="466">
        <f t="shared" si="24"/>
        <v>52004</v>
      </c>
      <c r="X169" s="296" t="s">
        <v>11</v>
      </c>
    </row>
    <row r="170" spans="2:24" s="472" customFormat="1">
      <c r="B170" s="472" t="s">
        <v>123</v>
      </c>
      <c r="C170" s="475">
        <v>2021120</v>
      </c>
      <c r="D170" s="475">
        <v>412413</v>
      </c>
      <c r="E170" s="475">
        <v>134694</v>
      </c>
      <c r="F170" s="475">
        <v>12666</v>
      </c>
      <c r="G170" s="475">
        <v>2175</v>
      </c>
      <c r="H170" s="475">
        <v>15851</v>
      </c>
      <c r="I170" s="475">
        <v>2598919</v>
      </c>
      <c r="J170" s="475">
        <v>67502</v>
      </c>
      <c r="K170" s="475">
        <v>3580</v>
      </c>
      <c r="L170" s="475"/>
      <c r="M170" s="475"/>
      <c r="N170" s="475"/>
      <c r="O170" s="475"/>
      <c r="P170" s="475">
        <v>71082</v>
      </c>
      <c r="Q170" s="474">
        <f t="shared" si="18"/>
        <v>2088622</v>
      </c>
      <c r="R170" s="474">
        <f t="shared" si="19"/>
        <v>415993</v>
      </c>
      <c r="S170" s="474">
        <f t="shared" si="23"/>
        <v>134694</v>
      </c>
      <c r="T170" s="474">
        <f t="shared" si="20"/>
        <v>12666</v>
      </c>
      <c r="U170" s="474">
        <f t="shared" si="21"/>
        <v>2175</v>
      </c>
      <c r="V170" s="474">
        <f t="shared" si="22"/>
        <v>15851</v>
      </c>
      <c r="W170" s="474">
        <f t="shared" si="24"/>
        <v>2670001</v>
      </c>
      <c r="X170" s="472" t="s">
        <v>8</v>
      </c>
    </row>
    <row r="171" spans="2:24" s="296" customFormat="1">
      <c r="B171" s="296" t="s">
        <v>230</v>
      </c>
      <c r="C171" s="477">
        <v>1163</v>
      </c>
      <c r="D171" s="477"/>
      <c r="E171" s="477"/>
      <c r="F171" s="477"/>
      <c r="G171" s="477"/>
      <c r="H171" s="477"/>
      <c r="I171" s="477">
        <v>1163</v>
      </c>
      <c r="J171" s="477"/>
      <c r="K171" s="477"/>
      <c r="L171" s="477"/>
      <c r="M171" s="477"/>
      <c r="N171" s="477"/>
      <c r="O171" s="477"/>
      <c r="P171" s="477"/>
      <c r="Q171" s="466">
        <f t="shared" si="18"/>
        <v>1163</v>
      </c>
      <c r="R171" s="466">
        <f t="shared" si="19"/>
        <v>0</v>
      </c>
      <c r="S171" s="466">
        <f t="shared" si="23"/>
        <v>0</v>
      </c>
      <c r="T171" s="466">
        <f t="shared" si="20"/>
        <v>0</v>
      </c>
      <c r="U171" s="466">
        <f t="shared" si="21"/>
        <v>0</v>
      </c>
      <c r="V171" s="466">
        <f t="shared" si="22"/>
        <v>0</v>
      </c>
      <c r="W171" s="466">
        <f t="shared" si="24"/>
        <v>1163</v>
      </c>
      <c r="X171" s="296" t="s">
        <v>8</v>
      </c>
    </row>
    <row r="172" spans="2:24" s="296" customFormat="1">
      <c r="B172" s="477" t="s">
        <v>231</v>
      </c>
      <c r="C172" s="477">
        <v>304552</v>
      </c>
      <c r="D172" s="477"/>
      <c r="E172" s="477"/>
      <c r="F172" s="477"/>
      <c r="G172" s="477"/>
      <c r="H172" s="477"/>
      <c r="I172" s="477">
        <v>304552</v>
      </c>
      <c r="J172" s="477"/>
      <c r="K172" s="477"/>
      <c r="L172" s="477"/>
      <c r="M172" s="477"/>
      <c r="N172" s="477"/>
      <c r="O172" s="477"/>
      <c r="P172" s="477"/>
      <c r="Q172" s="466">
        <f t="shared" si="18"/>
        <v>304552</v>
      </c>
      <c r="R172" s="466">
        <f t="shared" si="19"/>
        <v>0</v>
      </c>
      <c r="S172" s="466">
        <f t="shared" si="23"/>
        <v>0</v>
      </c>
      <c r="T172" s="466">
        <f t="shared" si="20"/>
        <v>0</v>
      </c>
      <c r="U172" s="466">
        <f t="shared" si="21"/>
        <v>0</v>
      </c>
      <c r="V172" s="466">
        <f t="shared" si="22"/>
        <v>0</v>
      </c>
      <c r="W172" s="466">
        <f t="shared" si="24"/>
        <v>304552</v>
      </c>
    </row>
    <row r="173" spans="2:24" s="296" customFormat="1">
      <c r="B173" s="296" t="s">
        <v>232</v>
      </c>
      <c r="C173" s="477">
        <v>1000443</v>
      </c>
      <c r="D173" s="477">
        <v>1061</v>
      </c>
      <c r="E173" s="477"/>
      <c r="F173" s="477"/>
      <c r="G173" s="477"/>
      <c r="H173" s="477"/>
      <c r="I173" s="477">
        <v>1001504</v>
      </c>
      <c r="J173" s="477"/>
      <c r="K173" s="477">
        <v>2</v>
      </c>
      <c r="L173" s="477"/>
      <c r="M173" s="477"/>
      <c r="N173" s="477"/>
      <c r="O173" s="477"/>
      <c r="P173" s="477">
        <v>2</v>
      </c>
      <c r="Q173" s="466">
        <f t="shared" si="18"/>
        <v>1000443</v>
      </c>
      <c r="R173" s="466">
        <f t="shared" si="19"/>
        <v>1063</v>
      </c>
      <c r="S173" s="466">
        <f t="shared" si="23"/>
        <v>0</v>
      </c>
      <c r="T173" s="466">
        <f t="shared" si="20"/>
        <v>0</v>
      </c>
      <c r="U173" s="466">
        <f t="shared" si="21"/>
        <v>0</v>
      </c>
      <c r="V173" s="466">
        <f t="shared" si="22"/>
        <v>0</v>
      </c>
      <c r="W173" s="466">
        <f t="shared" si="24"/>
        <v>1001506</v>
      </c>
      <c r="X173" s="296" t="s">
        <v>8</v>
      </c>
    </row>
    <row r="174" spans="2:24" s="472" customFormat="1">
      <c r="B174" s="296" t="s">
        <v>233</v>
      </c>
      <c r="C174" s="477"/>
      <c r="D174" s="477">
        <v>5</v>
      </c>
      <c r="E174" s="477"/>
      <c r="F174" s="477"/>
      <c r="G174" s="477"/>
      <c r="H174" s="477"/>
      <c r="I174" s="477">
        <v>5</v>
      </c>
      <c r="J174" s="477"/>
      <c r="K174" s="477">
        <v>1092</v>
      </c>
      <c r="L174" s="477"/>
      <c r="M174" s="477"/>
      <c r="N174" s="477"/>
      <c r="O174" s="477"/>
      <c r="P174" s="477">
        <v>1092</v>
      </c>
      <c r="Q174" s="466">
        <f t="shared" si="18"/>
        <v>0</v>
      </c>
      <c r="R174" s="466">
        <f t="shared" si="19"/>
        <v>1097</v>
      </c>
      <c r="S174" s="466">
        <f t="shared" si="23"/>
        <v>0</v>
      </c>
      <c r="T174" s="466">
        <f t="shared" si="20"/>
        <v>0</v>
      </c>
      <c r="U174" s="466">
        <f t="shared" si="21"/>
        <v>0</v>
      </c>
      <c r="V174" s="466">
        <f t="shared" si="22"/>
        <v>0</v>
      </c>
      <c r="W174" s="466">
        <f t="shared" si="24"/>
        <v>1097</v>
      </c>
      <c r="X174" s="296" t="s">
        <v>8</v>
      </c>
    </row>
    <row r="175" spans="2:24" s="472" customFormat="1">
      <c r="B175" s="296" t="s">
        <v>234</v>
      </c>
      <c r="C175" s="477">
        <v>6054</v>
      </c>
      <c r="D175" s="477"/>
      <c r="E175" s="477"/>
      <c r="F175" s="477"/>
      <c r="G175" s="477"/>
      <c r="H175" s="477"/>
      <c r="I175" s="477">
        <v>6054</v>
      </c>
      <c r="J175" s="477"/>
      <c r="K175" s="477"/>
      <c r="L175" s="477"/>
      <c r="M175" s="477"/>
      <c r="N175" s="477"/>
      <c r="O175" s="477"/>
      <c r="P175" s="477"/>
      <c r="Q175" s="466">
        <f t="shared" si="18"/>
        <v>6054</v>
      </c>
      <c r="R175" s="466">
        <f t="shared" si="19"/>
        <v>0</v>
      </c>
      <c r="S175" s="466">
        <f t="shared" si="23"/>
        <v>0</v>
      </c>
      <c r="T175" s="466">
        <f t="shared" si="20"/>
        <v>0</v>
      </c>
      <c r="U175" s="466">
        <f t="shared" si="21"/>
        <v>0</v>
      </c>
      <c r="V175" s="466">
        <f t="shared" si="22"/>
        <v>0</v>
      </c>
      <c r="W175" s="466">
        <f t="shared" si="24"/>
        <v>6054</v>
      </c>
      <c r="X175" s="296" t="s">
        <v>8</v>
      </c>
    </row>
    <row r="176" spans="2:24" s="296" customFormat="1">
      <c r="B176" s="296" t="s">
        <v>235</v>
      </c>
      <c r="C176" s="477">
        <v>268464</v>
      </c>
      <c r="D176" s="477">
        <v>5990</v>
      </c>
      <c r="E176" s="477"/>
      <c r="F176" s="477"/>
      <c r="G176" s="477"/>
      <c r="H176" s="477"/>
      <c r="I176" s="477">
        <v>274454</v>
      </c>
      <c r="J176" s="477"/>
      <c r="K176" s="477"/>
      <c r="L176" s="477"/>
      <c r="M176" s="477"/>
      <c r="N176" s="477"/>
      <c r="O176" s="477"/>
      <c r="P176" s="477"/>
      <c r="Q176" s="466">
        <f t="shared" si="18"/>
        <v>268464</v>
      </c>
      <c r="R176" s="466">
        <f t="shared" si="19"/>
        <v>5990</v>
      </c>
      <c r="S176" s="466">
        <f t="shared" si="23"/>
        <v>0</v>
      </c>
      <c r="T176" s="466">
        <f t="shared" si="20"/>
        <v>0</v>
      </c>
      <c r="U176" s="466">
        <f t="shared" si="21"/>
        <v>0</v>
      </c>
      <c r="V176" s="466">
        <f t="shared" si="22"/>
        <v>0</v>
      </c>
      <c r="W176" s="466">
        <f t="shared" si="24"/>
        <v>274454</v>
      </c>
      <c r="X176" s="296" t="s">
        <v>8</v>
      </c>
    </row>
    <row r="177" spans="2:28" s="296" customFormat="1">
      <c r="B177" s="296" t="s">
        <v>236</v>
      </c>
      <c r="C177" s="477"/>
      <c r="D177" s="477"/>
      <c r="E177" s="477"/>
      <c r="F177" s="477"/>
      <c r="G177" s="477"/>
      <c r="H177" s="477"/>
      <c r="I177" s="477"/>
      <c r="J177" s="477">
        <v>757</v>
      </c>
      <c r="K177" s="477"/>
      <c r="L177" s="477"/>
      <c r="M177" s="477"/>
      <c r="N177" s="477"/>
      <c r="O177" s="477"/>
      <c r="P177" s="477">
        <v>757</v>
      </c>
      <c r="Q177" s="466">
        <f t="shared" si="18"/>
        <v>757</v>
      </c>
      <c r="R177" s="466">
        <f t="shared" si="19"/>
        <v>0</v>
      </c>
      <c r="S177" s="466">
        <f t="shared" si="23"/>
        <v>0</v>
      </c>
      <c r="T177" s="466">
        <f t="shared" si="20"/>
        <v>0</v>
      </c>
      <c r="U177" s="466">
        <f t="shared" si="21"/>
        <v>0</v>
      </c>
      <c r="V177" s="466">
        <f t="shared" si="22"/>
        <v>0</v>
      </c>
      <c r="W177" s="466">
        <f t="shared" si="24"/>
        <v>757</v>
      </c>
      <c r="X177" s="296" t="s">
        <v>8</v>
      </c>
    </row>
    <row r="178" spans="2:28" s="296" customFormat="1">
      <c r="B178" s="296" t="s">
        <v>237</v>
      </c>
      <c r="C178" s="477">
        <v>3120</v>
      </c>
      <c r="D178" s="477">
        <v>30572</v>
      </c>
      <c r="E178" s="477">
        <v>7633</v>
      </c>
      <c r="F178" s="477"/>
      <c r="G178" s="477"/>
      <c r="H178" s="477">
        <v>800</v>
      </c>
      <c r="I178" s="477">
        <v>42125</v>
      </c>
      <c r="J178" s="477"/>
      <c r="K178" s="477"/>
      <c r="L178" s="477"/>
      <c r="M178" s="477"/>
      <c r="N178" s="477"/>
      <c r="O178" s="477"/>
      <c r="P178" s="477"/>
      <c r="Q178" s="466">
        <f t="shared" si="18"/>
        <v>3120</v>
      </c>
      <c r="R178" s="466">
        <f t="shared" si="19"/>
        <v>30572</v>
      </c>
      <c r="S178" s="466">
        <f t="shared" si="23"/>
        <v>7633</v>
      </c>
      <c r="T178" s="466">
        <f t="shared" si="20"/>
        <v>0</v>
      </c>
      <c r="U178" s="466">
        <f t="shared" si="21"/>
        <v>0</v>
      </c>
      <c r="V178" s="466">
        <f t="shared" si="22"/>
        <v>800</v>
      </c>
      <c r="W178" s="466">
        <f t="shared" si="24"/>
        <v>42125</v>
      </c>
      <c r="X178" s="296" t="s">
        <v>8</v>
      </c>
    </row>
    <row r="179" spans="2:28" s="296" customFormat="1">
      <c r="B179" s="296" t="s">
        <v>238</v>
      </c>
      <c r="C179" s="477"/>
      <c r="D179" s="477"/>
      <c r="E179" s="477"/>
      <c r="F179" s="477"/>
      <c r="G179" s="477"/>
      <c r="H179" s="477"/>
      <c r="I179" s="477"/>
      <c r="J179" s="477">
        <v>5355</v>
      </c>
      <c r="K179" s="477"/>
      <c r="L179" s="477"/>
      <c r="M179" s="477"/>
      <c r="N179" s="477"/>
      <c r="O179" s="477"/>
      <c r="P179" s="477">
        <v>5355</v>
      </c>
      <c r="Q179" s="466">
        <f t="shared" si="18"/>
        <v>5355</v>
      </c>
      <c r="R179" s="466">
        <f t="shared" si="19"/>
        <v>0</v>
      </c>
      <c r="S179" s="466">
        <f t="shared" si="23"/>
        <v>0</v>
      </c>
      <c r="T179" s="466">
        <f t="shared" si="20"/>
        <v>0</v>
      </c>
      <c r="U179" s="466">
        <f t="shared" si="21"/>
        <v>0</v>
      </c>
      <c r="V179" s="466">
        <f t="shared" si="22"/>
        <v>0</v>
      </c>
      <c r="W179" s="466">
        <f t="shared" si="24"/>
        <v>5355</v>
      </c>
      <c r="X179" s="296" t="s">
        <v>8</v>
      </c>
      <c r="AB179" s="478"/>
    </row>
    <row r="180" spans="2:28" s="296" customFormat="1">
      <c r="B180" s="296" t="s">
        <v>239</v>
      </c>
      <c r="C180" s="477">
        <v>150430</v>
      </c>
      <c r="D180" s="477">
        <v>369251</v>
      </c>
      <c r="E180" s="477">
        <v>125243</v>
      </c>
      <c r="F180" s="477">
        <v>12331</v>
      </c>
      <c r="G180" s="477">
        <v>2162</v>
      </c>
      <c r="H180" s="477">
        <v>15051</v>
      </c>
      <c r="I180" s="477">
        <v>674468</v>
      </c>
      <c r="J180" s="477"/>
      <c r="K180" s="477">
        <v>2486</v>
      </c>
      <c r="L180" s="477"/>
      <c r="M180" s="477"/>
      <c r="N180" s="477"/>
      <c r="O180" s="477"/>
      <c r="P180" s="477">
        <v>2486</v>
      </c>
      <c r="Q180" s="466">
        <f t="shared" si="18"/>
        <v>150430</v>
      </c>
      <c r="R180" s="466">
        <f t="shared" si="19"/>
        <v>371737</v>
      </c>
      <c r="S180" s="466">
        <f t="shared" si="23"/>
        <v>125243</v>
      </c>
      <c r="T180" s="466">
        <f t="shared" si="20"/>
        <v>12331</v>
      </c>
      <c r="U180" s="466">
        <f t="shared" si="21"/>
        <v>2162</v>
      </c>
      <c r="V180" s="466">
        <f t="shared" si="22"/>
        <v>15051</v>
      </c>
      <c r="W180" s="466">
        <f t="shared" si="24"/>
        <v>676954</v>
      </c>
      <c r="X180" s="296" t="s">
        <v>8</v>
      </c>
    </row>
    <row r="181" spans="2:28" s="472" customFormat="1">
      <c r="B181" s="296" t="s">
        <v>240</v>
      </c>
      <c r="C181" s="477"/>
      <c r="D181" s="477"/>
      <c r="E181" s="477"/>
      <c r="F181" s="477"/>
      <c r="G181" s="477"/>
      <c r="H181" s="477"/>
      <c r="I181" s="477"/>
      <c r="J181" s="477">
        <v>59084</v>
      </c>
      <c r="K181" s="477"/>
      <c r="L181" s="477"/>
      <c r="M181" s="477"/>
      <c r="N181" s="477"/>
      <c r="O181" s="477"/>
      <c r="P181" s="477">
        <v>59084</v>
      </c>
      <c r="Q181" s="466">
        <f t="shared" si="18"/>
        <v>59084</v>
      </c>
      <c r="R181" s="466">
        <f t="shared" si="19"/>
        <v>0</v>
      </c>
      <c r="S181" s="466">
        <f t="shared" si="23"/>
        <v>0</v>
      </c>
      <c r="T181" s="466">
        <f t="shared" si="20"/>
        <v>0</v>
      </c>
      <c r="U181" s="466">
        <f t="shared" si="21"/>
        <v>0</v>
      </c>
      <c r="V181" s="466">
        <f t="shared" si="22"/>
        <v>0</v>
      </c>
      <c r="W181" s="466">
        <f t="shared" si="24"/>
        <v>59084</v>
      </c>
      <c r="X181" s="296" t="s">
        <v>8</v>
      </c>
    </row>
    <row r="182" spans="2:28" s="296" customFormat="1">
      <c r="B182" s="296" t="s">
        <v>241</v>
      </c>
      <c r="C182" s="477">
        <v>9245</v>
      </c>
      <c r="D182" s="477"/>
      <c r="E182" s="477"/>
      <c r="F182" s="477"/>
      <c r="G182" s="477"/>
      <c r="H182" s="477"/>
      <c r="I182" s="477">
        <v>9245</v>
      </c>
      <c r="J182" s="477"/>
      <c r="K182" s="477"/>
      <c r="L182" s="477"/>
      <c r="M182" s="477"/>
      <c r="N182" s="477"/>
      <c r="O182" s="477"/>
      <c r="P182" s="477"/>
      <c r="Q182" s="466">
        <f t="shared" si="18"/>
        <v>9245</v>
      </c>
      <c r="R182" s="466">
        <f t="shared" si="19"/>
        <v>0</v>
      </c>
      <c r="S182" s="466">
        <f t="shared" si="23"/>
        <v>0</v>
      </c>
      <c r="T182" s="466">
        <f t="shared" si="20"/>
        <v>0</v>
      </c>
      <c r="U182" s="466">
        <f t="shared" si="21"/>
        <v>0</v>
      </c>
      <c r="V182" s="466">
        <f t="shared" si="22"/>
        <v>0</v>
      </c>
      <c r="W182" s="466">
        <f t="shared" si="24"/>
        <v>9245</v>
      </c>
      <c r="X182" s="296" t="s">
        <v>8</v>
      </c>
    </row>
    <row r="183" spans="2:28" s="296" customFormat="1">
      <c r="B183" s="296" t="s">
        <v>242</v>
      </c>
      <c r="C183" s="477">
        <v>211914</v>
      </c>
      <c r="D183" s="477">
        <v>2232</v>
      </c>
      <c r="E183" s="477"/>
      <c r="F183" s="477"/>
      <c r="G183" s="477"/>
      <c r="H183" s="477"/>
      <c r="I183" s="477">
        <v>214146</v>
      </c>
      <c r="J183" s="477"/>
      <c r="K183" s="477"/>
      <c r="L183" s="477"/>
      <c r="M183" s="477"/>
      <c r="N183" s="477"/>
      <c r="O183" s="477"/>
      <c r="P183" s="477"/>
      <c r="Q183" s="466">
        <f t="shared" si="18"/>
        <v>211914</v>
      </c>
      <c r="R183" s="466">
        <f t="shared" si="19"/>
        <v>2232</v>
      </c>
      <c r="S183" s="466">
        <f t="shared" si="23"/>
        <v>0</v>
      </c>
      <c r="T183" s="466">
        <f t="shared" si="20"/>
        <v>0</v>
      </c>
      <c r="U183" s="466">
        <f t="shared" si="21"/>
        <v>0</v>
      </c>
      <c r="V183" s="466">
        <f t="shared" si="22"/>
        <v>0</v>
      </c>
      <c r="W183" s="466">
        <f t="shared" si="24"/>
        <v>214146</v>
      </c>
      <c r="X183" s="296" t="s">
        <v>8</v>
      </c>
    </row>
    <row r="184" spans="2:28" s="296" customFormat="1">
      <c r="B184" s="477" t="s">
        <v>243</v>
      </c>
      <c r="C184" s="477">
        <v>13744</v>
      </c>
      <c r="D184" s="477"/>
      <c r="E184" s="477"/>
      <c r="F184" s="477"/>
      <c r="G184" s="477"/>
      <c r="H184" s="477"/>
      <c r="I184" s="477">
        <v>13744</v>
      </c>
      <c r="J184" s="477"/>
      <c r="K184" s="477"/>
      <c r="L184" s="477"/>
      <c r="M184" s="477"/>
      <c r="N184" s="477"/>
      <c r="O184" s="477"/>
      <c r="P184" s="477"/>
      <c r="Q184" s="466">
        <f t="shared" si="18"/>
        <v>13744</v>
      </c>
      <c r="R184" s="466">
        <f t="shared" si="19"/>
        <v>0</v>
      </c>
      <c r="S184" s="466">
        <f t="shared" si="23"/>
        <v>0</v>
      </c>
      <c r="T184" s="466">
        <f t="shared" si="20"/>
        <v>0</v>
      </c>
      <c r="U184" s="466">
        <f t="shared" si="21"/>
        <v>0</v>
      </c>
      <c r="V184" s="466">
        <f t="shared" si="22"/>
        <v>0</v>
      </c>
      <c r="W184" s="466">
        <f t="shared" si="24"/>
        <v>13744</v>
      </c>
      <c r="X184" s="466" t="s">
        <v>123</v>
      </c>
    </row>
    <row r="185" spans="2:28" s="296" customFormat="1">
      <c r="B185" s="477" t="s">
        <v>244</v>
      </c>
      <c r="C185" s="477">
        <v>31285</v>
      </c>
      <c r="D185" s="477"/>
      <c r="E185" s="477"/>
      <c r="F185" s="477"/>
      <c r="G185" s="477"/>
      <c r="H185" s="477"/>
      <c r="I185" s="477">
        <v>31285</v>
      </c>
      <c r="J185" s="477"/>
      <c r="K185" s="477"/>
      <c r="L185" s="477"/>
      <c r="M185" s="477"/>
      <c r="N185" s="477"/>
      <c r="O185" s="477"/>
      <c r="P185" s="477"/>
      <c r="Q185" s="466">
        <f t="shared" si="18"/>
        <v>31285</v>
      </c>
      <c r="R185" s="466">
        <f t="shared" si="19"/>
        <v>0</v>
      </c>
      <c r="S185" s="466">
        <f t="shared" si="23"/>
        <v>0</v>
      </c>
      <c r="T185" s="466">
        <f t="shared" si="20"/>
        <v>0</v>
      </c>
      <c r="U185" s="466">
        <f t="shared" si="21"/>
        <v>0</v>
      </c>
      <c r="V185" s="466">
        <f t="shared" si="22"/>
        <v>0</v>
      </c>
      <c r="W185" s="466">
        <f t="shared" si="24"/>
        <v>31285</v>
      </c>
      <c r="X185" s="466" t="s">
        <v>123</v>
      </c>
    </row>
    <row r="186" spans="2:28" s="296" customFormat="1">
      <c r="B186" s="477" t="s">
        <v>245</v>
      </c>
      <c r="C186" s="477">
        <v>2770</v>
      </c>
      <c r="D186" s="477">
        <v>3302</v>
      </c>
      <c r="E186" s="477">
        <v>1818</v>
      </c>
      <c r="F186" s="477">
        <v>335</v>
      </c>
      <c r="G186" s="477">
        <v>13</v>
      </c>
      <c r="H186" s="477"/>
      <c r="I186" s="477">
        <v>8238</v>
      </c>
      <c r="J186" s="477"/>
      <c r="K186" s="477"/>
      <c r="L186" s="477"/>
      <c r="M186" s="477"/>
      <c r="N186" s="477"/>
      <c r="O186" s="477"/>
      <c r="P186" s="477"/>
      <c r="Q186" s="466">
        <f t="shared" si="18"/>
        <v>2770</v>
      </c>
      <c r="R186" s="466">
        <f t="shared" si="19"/>
        <v>3302</v>
      </c>
      <c r="S186" s="466">
        <f t="shared" si="23"/>
        <v>1818</v>
      </c>
      <c r="T186" s="466">
        <f t="shared" si="20"/>
        <v>335</v>
      </c>
      <c r="U186" s="466">
        <f t="shared" si="21"/>
        <v>13</v>
      </c>
      <c r="V186" s="466">
        <f t="shared" si="22"/>
        <v>0</v>
      </c>
      <c r="W186" s="466">
        <f t="shared" si="24"/>
        <v>8238</v>
      </c>
      <c r="X186" s="466" t="s">
        <v>123</v>
      </c>
    </row>
    <row r="187" spans="2:28" s="296" customFormat="1">
      <c r="B187" s="477" t="s">
        <v>246</v>
      </c>
      <c r="C187" s="477">
        <v>17936</v>
      </c>
      <c r="D187" s="477"/>
      <c r="E187" s="477"/>
      <c r="F187" s="477"/>
      <c r="G187" s="477"/>
      <c r="H187" s="477"/>
      <c r="I187" s="477">
        <v>17936</v>
      </c>
      <c r="J187" s="477"/>
      <c r="K187" s="477"/>
      <c r="L187" s="477"/>
      <c r="M187" s="477"/>
      <c r="N187" s="477"/>
      <c r="O187" s="477"/>
      <c r="P187" s="477"/>
      <c r="Q187" s="466">
        <f t="shared" si="18"/>
        <v>17936</v>
      </c>
      <c r="R187" s="466">
        <f t="shared" si="19"/>
        <v>0</v>
      </c>
      <c r="S187" s="466">
        <f t="shared" si="23"/>
        <v>0</v>
      </c>
      <c r="T187" s="466">
        <f t="shared" si="20"/>
        <v>0</v>
      </c>
      <c r="U187" s="466">
        <f t="shared" si="21"/>
        <v>0</v>
      </c>
      <c r="V187" s="466">
        <f t="shared" si="22"/>
        <v>0</v>
      </c>
      <c r="W187" s="466">
        <f t="shared" si="24"/>
        <v>17936</v>
      </c>
      <c r="X187" s="466" t="s">
        <v>123</v>
      </c>
    </row>
    <row r="188" spans="2:28" s="296" customFormat="1">
      <c r="B188" s="477" t="s">
        <v>247</v>
      </c>
      <c r="C188" s="477"/>
      <c r="D188" s="477"/>
      <c r="E188" s="477"/>
      <c r="F188" s="477"/>
      <c r="G188" s="477"/>
      <c r="H188" s="477"/>
      <c r="I188" s="477"/>
      <c r="J188" s="477">
        <v>2306</v>
      </c>
      <c r="K188" s="477"/>
      <c r="L188" s="477"/>
      <c r="M188" s="477"/>
      <c r="N188" s="477"/>
      <c r="O188" s="477"/>
      <c r="P188" s="477">
        <v>2306</v>
      </c>
      <c r="Q188" s="466">
        <f t="shared" si="18"/>
        <v>2306</v>
      </c>
      <c r="R188" s="466">
        <f t="shared" si="19"/>
        <v>0</v>
      </c>
      <c r="S188" s="466">
        <f t="shared" si="23"/>
        <v>0</v>
      </c>
      <c r="T188" s="466">
        <f t="shared" si="20"/>
        <v>0</v>
      </c>
      <c r="U188" s="466">
        <f t="shared" si="21"/>
        <v>0</v>
      </c>
      <c r="V188" s="466">
        <f t="shared" si="22"/>
        <v>0</v>
      </c>
      <c r="W188" s="466">
        <f t="shared" si="24"/>
        <v>2306</v>
      </c>
      <c r="X188" s="466" t="s">
        <v>123</v>
      </c>
    </row>
    <row r="189" spans="2:28" s="472" customFormat="1">
      <c r="B189" s="472" t="s">
        <v>105</v>
      </c>
      <c r="C189" s="475">
        <v>87801</v>
      </c>
      <c r="D189" s="475">
        <v>142213</v>
      </c>
      <c r="E189" s="475">
        <v>102972</v>
      </c>
      <c r="F189" s="475">
        <v>8470</v>
      </c>
      <c r="G189" s="475">
        <v>567717</v>
      </c>
      <c r="H189" s="475">
        <v>4437</v>
      </c>
      <c r="I189" s="475">
        <v>913610</v>
      </c>
      <c r="J189" s="475"/>
      <c r="K189" s="475">
        <v>11585</v>
      </c>
      <c r="L189" s="475"/>
      <c r="M189" s="475"/>
      <c r="N189" s="475">
        <v>165661</v>
      </c>
      <c r="O189" s="475"/>
      <c r="P189" s="475">
        <v>177246</v>
      </c>
      <c r="Q189" s="474">
        <f t="shared" ref="Q189:Q191" si="25">C189+J189</f>
        <v>87801</v>
      </c>
      <c r="R189" s="474">
        <f t="shared" ref="R189:R205" si="26">D189+K189</f>
        <v>153798</v>
      </c>
      <c r="S189" s="474">
        <f t="shared" ref="S189:S205" si="27">E189+L189</f>
        <v>102972</v>
      </c>
      <c r="T189" s="474">
        <f t="shared" ref="T189:T205" si="28">F189+M189</f>
        <v>8470</v>
      </c>
      <c r="U189" s="474">
        <f t="shared" ref="U189:U205" si="29">G189+N189</f>
        <v>733378</v>
      </c>
      <c r="V189" s="474">
        <f t="shared" ref="V189:V205" si="30">H189+O189</f>
        <v>4437</v>
      </c>
      <c r="W189" s="474">
        <f t="shared" ref="W189:W205" si="31">I189+P189</f>
        <v>1090856</v>
      </c>
      <c r="X189" s="472" t="s">
        <v>15</v>
      </c>
    </row>
    <row r="190" spans="2:28" s="296" customFormat="1">
      <c r="B190" s="296" t="s">
        <v>248</v>
      </c>
      <c r="C190" s="477">
        <v>20738</v>
      </c>
      <c r="D190" s="477">
        <v>22557</v>
      </c>
      <c r="E190" s="477">
        <v>8997</v>
      </c>
      <c r="F190" s="477">
        <v>578</v>
      </c>
      <c r="G190" s="477">
        <v>201</v>
      </c>
      <c r="H190" s="477"/>
      <c r="I190" s="477">
        <v>53071</v>
      </c>
      <c r="J190" s="477"/>
      <c r="K190" s="477">
        <v>298</v>
      </c>
      <c r="L190" s="477"/>
      <c r="M190" s="477"/>
      <c r="N190" s="477"/>
      <c r="O190" s="477"/>
      <c r="P190" s="477">
        <v>298</v>
      </c>
      <c r="Q190" s="466">
        <f t="shared" si="25"/>
        <v>20738</v>
      </c>
      <c r="R190" s="466">
        <f t="shared" si="26"/>
        <v>22855</v>
      </c>
      <c r="S190" s="466">
        <f t="shared" si="27"/>
        <v>8997</v>
      </c>
      <c r="T190" s="466">
        <f t="shared" si="28"/>
        <v>578</v>
      </c>
      <c r="U190" s="466">
        <f t="shared" si="29"/>
        <v>201</v>
      </c>
      <c r="V190" s="466">
        <f t="shared" si="30"/>
        <v>0</v>
      </c>
      <c r="W190" s="466">
        <f t="shared" si="31"/>
        <v>53369</v>
      </c>
      <c r="X190" s="296" t="s">
        <v>15</v>
      </c>
    </row>
    <row r="191" spans="2:28" s="296" customFormat="1">
      <c r="B191" s="296" t="s">
        <v>249</v>
      </c>
      <c r="C191" s="477">
        <v>67063</v>
      </c>
      <c r="D191" s="477">
        <v>119656</v>
      </c>
      <c r="E191" s="477">
        <v>93975</v>
      </c>
      <c r="F191" s="477">
        <v>7892</v>
      </c>
      <c r="G191" s="477">
        <v>5043</v>
      </c>
      <c r="H191" s="477">
        <v>4437</v>
      </c>
      <c r="I191" s="477">
        <v>298066</v>
      </c>
      <c r="J191" s="477"/>
      <c r="K191" s="477">
        <v>11287</v>
      </c>
      <c r="L191" s="477"/>
      <c r="M191" s="477"/>
      <c r="N191" s="477"/>
      <c r="O191" s="477"/>
      <c r="P191" s="477">
        <v>11287</v>
      </c>
      <c r="Q191" s="466">
        <f t="shared" si="25"/>
        <v>67063</v>
      </c>
      <c r="R191" s="466">
        <f t="shared" si="26"/>
        <v>130943</v>
      </c>
      <c r="S191" s="466">
        <f t="shared" si="27"/>
        <v>93975</v>
      </c>
      <c r="T191" s="466">
        <f t="shared" si="28"/>
        <v>7892</v>
      </c>
      <c r="U191" s="466">
        <f t="shared" si="29"/>
        <v>5043</v>
      </c>
      <c r="V191" s="466">
        <f t="shared" si="30"/>
        <v>4437</v>
      </c>
      <c r="W191" s="466">
        <f t="shared" si="31"/>
        <v>309353</v>
      </c>
      <c r="X191" s="296" t="s">
        <v>15</v>
      </c>
    </row>
    <row r="192" spans="2:28" s="296" customFormat="1">
      <c r="B192" s="296" t="s">
        <v>250</v>
      </c>
      <c r="C192" s="477"/>
      <c r="D192" s="477"/>
      <c r="E192" s="477"/>
      <c r="F192" s="477"/>
      <c r="G192" s="477">
        <v>562473</v>
      </c>
      <c r="H192" s="477"/>
      <c r="I192" s="477">
        <v>562473</v>
      </c>
      <c r="J192" s="477"/>
      <c r="K192" s="477"/>
      <c r="L192" s="477"/>
      <c r="M192" s="477"/>
      <c r="N192" s="477">
        <v>165661</v>
      </c>
      <c r="O192" s="477"/>
      <c r="P192" s="477">
        <v>165661</v>
      </c>
      <c r="Q192" s="466">
        <f>C192+J192</f>
        <v>0</v>
      </c>
      <c r="R192" s="466">
        <f t="shared" si="26"/>
        <v>0</v>
      </c>
      <c r="S192" s="466">
        <f t="shared" si="27"/>
        <v>0</v>
      </c>
      <c r="T192" s="466">
        <f t="shared" si="28"/>
        <v>0</v>
      </c>
      <c r="U192" s="466">
        <f>G192+N192</f>
        <v>728134</v>
      </c>
      <c r="V192" s="466">
        <f t="shared" si="30"/>
        <v>0</v>
      </c>
      <c r="W192" s="466">
        <f t="shared" si="31"/>
        <v>728134</v>
      </c>
      <c r="X192" s="296" t="s">
        <v>15</v>
      </c>
    </row>
    <row r="193" spans="2:24" s="472" customFormat="1">
      <c r="B193" s="472" t="s">
        <v>24</v>
      </c>
      <c r="C193" s="475">
        <v>79354</v>
      </c>
      <c r="D193" s="475">
        <v>172147</v>
      </c>
      <c r="E193" s="475">
        <v>424386</v>
      </c>
      <c r="F193" s="475">
        <v>139986</v>
      </c>
      <c r="G193" s="475"/>
      <c r="H193" s="475"/>
      <c r="I193" s="475">
        <v>815873</v>
      </c>
      <c r="J193" s="475"/>
      <c r="K193" s="475">
        <v>244</v>
      </c>
      <c r="L193" s="475"/>
      <c r="M193" s="475">
        <v>1554</v>
      </c>
      <c r="N193" s="475"/>
      <c r="O193" s="475"/>
      <c r="P193" s="475">
        <v>1798</v>
      </c>
      <c r="Q193" s="474">
        <f t="shared" ref="Q193:Q205" si="32">C193+J193</f>
        <v>79354</v>
      </c>
      <c r="R193" s="474">
        <f t="shared" si="26"/>
        <v>172391</v>
      </c>
      <c r="S193" s="474">
        <f t="shared" si="27"/>
        <v>424386</v>
      </c>
      <c r="T193" s="474">
        <f t="shared" si="28"/>
        <v>141540</v>
      </c>
      <c r="U193" s="474">
        <f t="shared" si="29"/>
        <v>0</v>
      </c>
      <c r="V193" s="474">
        <f t="shared" si="30"/>
        <v>0</v>
      </c>
      <c r="W193" s="474">
        <f t="shared" si="31"/>
        <v>817671</v>
      </c>
      <c r="X193" s="472" t="s">
        <v>24</v>
      </c>
    </row>
    <row r="194" spans="2:24" s="472" customFormat="1">
      <c r="B194" s="472" t="s">
        <v>49</v>
      </c>
      <c r="C194" s="475">
        <v>1289697</v>
      </c>
      <c r="D194" s="475">
        <v>16907</v>
      </c>
      <c r="E194" s="475"/>
      <c r="F194" s="475"/>
      <c r="G194" s="475"/>
      <c r="H194" s="475"/>
      <c r="I194" s="475">
        <v>1306604</v>
      </c>
      <c r="J194" s="475">
        <v>32372</v>
      </c>
      <c r="K194" s="475"/>
      <c r="L194" s="475"/>
      <c r="M194" s="475"/>
      <c r="N194" s="475"/>
      <c r="O194" s="475"/>
      <c r="P194" s="475"/>
      <c r="Q194" s="474">
        <f t="shared" si="32"/>
        <v>1322069</v>
      </c>
      <c r="R194" s="474">
        <f t="shared" si="26"/>
        <v>16907</v>
      </c>
      <c r="S194" s="474">
        <f t="shared" si="27"/>
        <v>0</v>
      </c>
      <c r="T194" s="474">
        <f t="shared" si="28"/>
        <v>0</v>
      </c>
      <c r="U194" s="474">
        <f t="shared" si="29"/>
        <v>0</v>
      </c>
      <c r="V194" s="474">
        <f t="shared" si="30"/>
        <v>0</v>
      </c>
      <c r="W194" s="474">
        <f t="shared" si="31"/>
        <v>1306604</v>
      </c>
      <c r="X194" s="472" t="s">
        <v>10</v>
      </c>
    </row>
    <row r="195" spans="2:24" s="296" customFormat="1">
      <c r="B195" s="296" t="s">
        <v>251</v>
      </c>
      <c r="C195" s="477">
        <v>757735</v>
      </c>
      <c r="D195" s="477">
        <v>5</v>
      </c>
      <c r="E195" s="477"/>
      <c r="F195" s="477"/>
      <c r="G195" s="477"/>
      <c r="H195" s="477"/>
      <c r="I195" s="477">
        <v>757740</v>
      </c>
      <c r="J195" s="477">
        <v>32305</v>
      </c>
      <c r="K195" s="477"/>
      <c r="L195" s="477"/>
      <c r="M195" s="477"/>
      <c r="N195" s="477"/>
      <c r="O195" s="477"/>
      <c r="P195" s="477"/>
      <c r="Q195" s="466">
        <f t="shared" si="32"/>
        <v>790040</v>
      </c>
      <c r="R195" s="466">
        <f t="shared" si="26"/>
        <v>5</v>
      </c>
      <c r="S195" s="466">
        <f t="shared" si="27"/>
        <v>0</v>
      </c>
      <c r="T195" s="466">
        <f t="shared" si="28"/>
        <v>0</v>
      </c>
      <c r="U195" s="466">
        <f t="shared" si="29"/>
        <v>0</v>
      </c>
      <c r="V195" s="466">
        <f t="shared" si="30"/>
        <v>0</v>
      </c>
      <c r="W195" s="466">
        <f t="shared" si="31"/>
        <v>757740</v>
      </c>
      <c r="X195" s="296" t="s">
        <v>10</v>
      </c>
    </row>
    <row r="196" spans="2:24" s="296" customFormat="1">
      <c r="B196" s="296" t="s">
        <v>252</v>
      </c>
      <c r="C196" s="477">
        <v>84954</v>
      </c>
      <c r="D196" s="477"/>
      <c r="E196" s="477"/>
      <c r="F196" s="477"/>
      <c r="G196" s="477"/>
      <c r="H196" s="477"/>
      <c r="I196" s="477">
        <v>84954</v>
      </c>
      <c r="J196" s="477"/>
      <c r="K196" s="477"/>
      <c r="L196" s="477"/>
      <c r="M196" s="477"/>
      <c r="N196" s="477"/>
      <c r="O196" s="477"/>
      <c r="P196" s="477"/>
      <c r="Q196" s="466">
        <f t="shared" si="32"/>
        <v>84954</v>
      </c>
      <c r="R196" s="466">
        <f t="shared" si="26"/>
        <v>0</v>
      </c>
      <c r="S196" s="466">
        <f t="shared" si="27"/>
        <v>0</v>
      </c>
      <c r="T196" s="466">
        <f t="shared" si="28"/>
        <v>0</v>
      </c>
      <c r="U196" s="466">
        <f t="shared" si="29"/>
        <v>0</v>
      </c>
      <c r="V196" s="466">
        <f t="shared" si="30"/>
        <v>0</v>
      </c>
      <c r="W196" s="466">
        <f t="shared" si="31"/>
        <v>84954</v>
      </c>
      <c r="X196" s="296" t="s">
        <v>10</v>
      </c>
    </row>
    <row r="197" spans="2:24" s="296" customFormat="1">
      <c r="B197" s="296" t="s">
        <v>253</v>
      </c>
      <c r="C197" s="477"/>
      <c r="D197" s="477"/>
      <c r="E197" s="477"/>
      <c r="F197" s="477"/>
      <c r="G197" s="477"/>
      <c r="H197" s="477"/>
      <c r="I197" s="477"/>
      <c r="J197" s="477"/>
      <c r="K197" s="477"/>
      <c r="L197" s="477"/>
      <c r="M197" s="477"/>
      <c r="N197" s="477"/>
      <c r="O197" s="477"/>
      <c r="P197" s="477"/>
      <c r="Q197" s="466">
        <f t="shared" si="32"/>
        <v>0</v>
      </c>
      <c r="R197" s="466">
        <f t="shared" si="26"/>
        <v>0</v>
      </c>
      <c r="S197" s="466">
        <f t="shared" si="27"/>
        <v>0</v>
      </c>
      <c r="T197" s="466">
        <f t="shared" si="28"/>
        <v>0</v>
      </c>
      <c r="U197" s="466">
        <f t="shared" si="29"/>
        <v>0</v>
      </c>
      <c r="V197" s="466">
        <f t="shared" si="30"/>
        <v>0</v>
      </c>
      <c r="W197" s="466">
        <f t="shared" si="31"/>
        <v>0</v>
      </c>
      <c r="X197" s="296" t="s">
        <v>10</v>
      </c>
    </row>
    <row r="198" spans="2:24" s="296" customFormat="1">
      <c r="B198" s="296" t="s">
        <v>254</v>
      </c>
      <c r="C198" s="477">
        <v>366889</v>
      </c>
      <c r="D198" s="477"/>
      <c r="E198" s="477"/>
      <c r="F198" s="477"/>
      <c r="G198" s="477"/>
      <c r="H198" s="477"/>
      <c r="I198" s="477">
        <v>366889</v>
      </c>
      <c r="J198" s="477"/>
      <c r="K198" s="477"/>
      <c r="L198" s="477"/>
      <c r="M198" s="477"/>
      <c r="N198" s="477"/>
      <c r="O198" s="477"/>
      <c r="P198" s="477"/>
      <c r="Q198" s="466">
        <f t="shared" si="32"/>
        <v>366889</v>
      </c>
      <c r="R198" s="466">
        <f t="shared" si="26"/>
        <v>0</v>
      </c>
      <c r="S198" s="466">
        <f t="shared" si="27"/>
        <v>0</v>
      </c>
      <c r="T198" s="466">
        <f t="shared" si="28"/>
        <v>0</v>
      </c>
      <c r="U198" s="466">
        <f t="shared" si="29"/>
        <v>0</v>
      </c>
      <c r="V198" s="466">
        <f t="shared" si="30"/>
        <v>0</v>
      </c>
      <c r="W198" s="466">
        <f t="shared" si="31"/>
        <v>366889</v>
      </c>
      <c r="X198" s="296" t="s">
        <v>10</v>
      </c>
    </row>
    <row r="199" spans="2:24" s="296" customFormat="1">
      <c r="B199" s="296" t="s">
        <v>255</v>
      </c>
      <c r="C199" s="477">
        <v>28558</v>
      </c>
      <c r="D199" s="477"/>
      <c r="E199" s="477"/>
      <c r="F199" s="477"/>
      <c r="G199" s="477"/>
      <c r="H199" s="477"/>
      <c r="I199" s="477">
        <v>28558</v>
      </c>
      <c r="J199" s="477"/>
      <c r="K199" s="477"/>
      <c r="L199" s="477"/>
      <c r="M199" s="477"/>
      <c r="N199" s="477"/>
      <c r="O199" s="477"/>
      <c r="P199" s="477"/>
      <c r="Q199" s="466">
        <f t="shared" si="32"/>
        <v>28558</v>
      </c>
      <c r="R199" s="466">
        <f t="shared" si="26"/>
        <v>0</v>
      </c>
      <c r="S199" s="466">
        <f t="shared" si="27"/>
        <v>0</v>
      </c>
      <c r="T199" s="466">
        <f t="shared" si="28"/>
        <v>0</v>
      </c>
      <c r="U199" s="466">
        <f t="shared" si="29"/>
        <v>0</v>
      </c>
      <c r="V199" s="466">
        <f t="shared" si="30"/>
        <v>0</v>
      </c>
      <c r="W199" s="466">
        <f t="shared" si="31"/>
        <v>28558</v>
      </c>
      <c r="X199" s="296" t="s">
        <v>10</v>
      </c>
    </row>
    <row r="200" spans="2:24" s="296" customFormat="1">
      <c r="B200" s="296" t="s">
        <v>256</v>
      </c>
      <c r="C200" s="477">
        <v>746</v>
      </c>
      <c r="D200" s="477"/>
      <c r="E200" s="477"/>
      <c r="F200" s="477"/>
      <c r="G200" s="477"/>
      <c r="H200" s="477"/>
      <c r="I200" s="477">
        <v>746</v>
      </c>
      <c r="J200" s="477"/>
      <c r="K200" s="477"/>
      <c r="L200" s="477"/>
      <c r="M200" s="477"/>
      <c r="N200" s="477"/>
      <c r="O200" s="477"/>
      <c r="P200" s="477"/>
      <c r="Q200" s="466">
        <f t="shared" si="32"/>
        <v>746</v>
      </c>
      <c r="R200" s="466">
        <f t="shared" si="26"/>
        <v>0</v>
      </c>
      <c r="S200" s="466">
        <f t="shared" si="27"/>
        <v>0</v>
      </c>
      <c r="T200" s="466">
        <f t="shared" si="28"/>
        <v>0</v>
      </c>
      <c r="U200" s="466">
        <f t="shared" si="29"/>
        <v>0</v>
      </c>
      <c r="V200" s="466">
        <f t="shared" si="30"/>
        <v>0</v>
      </c>
      <c r="W200" s="466">
        <f t="shared" si="31"/>
        <v>746</v>
      </c>
      <c r="X200" s="296" t="s">
        <v>10</v>
      </c>
    </row>
    <row r="201" spans="2:24" s="296" customFormat="1">
      <c r="B201" s="296" t="s">
        <v>257</v>
      </c>
      <c r="C201" s="477">
        <v>50788</v>
      </c>
      <c r="D201" s="477"/>
      <c r="E201" s="477"/>
      <c r="F201" s="477"/>
      <c r="G201" s="477"/>
      <c r="H201" s="477"/>
      <c r="I201" s="477">
        <v>50788</v>
      </c>
      <c r="J201" s="477"/>
      <c r="K201" s="477"/>
      <c r="L201" s="477"/>
      <c r="M201" s="477"/>
      <c r="N201" s="477"/>
      <c r="O201" s="477"/>
      <c r="P201" s="477"/>
      <c r="Q201" s="466">
        <f t="shared" si="32"/>
        <v>50788</v>
      </c>
      <c r="R201" s="466">
        <f t="shared" si="26"/>
        <v>0</v>
      </c>
      <c r="S201" s="466">
        <f t="shared" si="27"/>
        <v>0</v>
      </c>
      <c r="T201" s="466">
        <f t="shared" si="28"/>
        <v>0</v>
      </c>
      <c r="U201" s="466">
        <f t="shared" si="29"/>
        <v>0</v>
      </c>
      <c r="V201" s="466">
        <f t="shared" si="30"/>
        <v>0</v>
      </c>
      <c r="W201" s="466">
        <f t="shared" si="31"/>
        <v>50788</v>
      </c>
      <c r="X201" s="296" t="s">
        <v>10</v>
      </c>
    </row>
    <row r="202" spans="2:24" s="296" customFormat="1">
      <c r="B202" s="296" t="s">
        <v>258</v>
      </c>
      <c r="C202" s="477"/>
      <c r="D202" s="477"/>
      <c r="E202" s="477"/>
      <c r="F202" s="477"/>
      <c r="G202" s="477"/>
      <c r="H202" s="477"/>
      <c r="I202" s="477"/>
      <c r="J202" s="477">
        <v>37</v>
      </c>
      <c r="K202" s="477"/>
      <c r="L202" s="477"/>
      <c r="M202" s="477"/>
      <c r="N202" s="477"/>
      <c r="O202" s="477"/>
      <c r="P202" s="477"/>
      <c r="Q202" s="466">
        <f t="shared" si="32"/>
        <v>37</v>
      </c>
      <c r="R202" s="466">
        <f t="shared" si="26"/>
        <v>0</v>
      </c>
      <c r="S202" s="466">
        <f t="shared" si="27"/>
        <v>0</v>
      </c>
      <c r="T202" s="466">
        <f t="shared" si="28"/>
        <v>0</v>
      </c>
      <c r="U202" s="466">
        <f t="shared" si="29"/>
        <v>0</v>
      </c>
      <c r="V202" s="466">
        <f t="shared" si="30"/>
        <v>0</v>
      </c>
      <c r="W202" s="466">
        <f t="shared" si="31"/>
        <v>0</v>
      </c>
      <c r="X202" s="296" t="s">
        <v>10</v>
      </c>
    </row>
    <row r="203" spans="2:24" s="296" customFormat="1">
      <c r="B203" s="481" t="s">
        <v>259</v>
      </c>
      <c r="C203" s="477">
        <v>27</v>
      </c>
      <c r="D203" s="477"/>
      <c r="E203" s="477"/>
      <c r="F203" s="477"/>
      <c r="G203" s="477"/>
      <c r="H203" s="477"/>
      <c r="I203" s="477">
        <v>27</v>
      </c>
      <c r="J203" s="477"/>
      <c r="K203" s="477"/>
      <c r="L203" s="477"/>
      <c r="M203" s="477"/>
      <c r="N203" s="477"/>
      <c r="O203" s="477"/>
      <c r="P203" s="477"/>
      <c r="Q203" s="466">
        <f t="shared" si="32"/>
        <v>27</v>
      </c>
      <c r="R203" s="466">
        <f t="shared" si="26"/>
        <v>0</v>
      </c>
      <c r="S203" s="466">
        <f t="shared" si="27"/>
        <v>0</v>
      </c>
      <c r="T203" s="466">
        <f t="shared" si="28"/>
        <v>0</v>
      </c>
      <c r="U203" s="466">
        <f t="shared" si="29"/>
        <v>0</v>
      </c>
      <c r="V203" s="466">
        <f t="shared" si="30"/>
        <v>0</v>
      </c>
      <c r="W203" s="466">
        <f t="shared" si="31"/>
        <v>27</v>
      </c>
      <c r="X203" s="296" t="s">
        <v>10</v>
      </c>
    </row>
    <row r="204" spans="2:24" s="296" customFormat="1">
      <c r="B204" s="480" t="s">
        <v>260</v>
      </c>
      <c r="C204" s="477"/>
      <c r="D204" s="477">
        <v>14412</v>
      </c>
      <c r="E204" s="477"/>
      <c r="F204" s="477"/>
      <c r="G204" s="477"/>
      <c r="H204" s="477"/>
      <c r="I204" s="477">
        <v>14412</v>
      </c>
      <c r="J204" s="477"/>
      <c r="K204" s="477"/>
      <c r="L204" s="477"/>
      <c r="M204" s="477"/>
      <c r="N204" s="477"/>
      <c r="O204" s="477"/>
      <c r="P204" s="477"/>
      <c r="Q204" s="466">
        <f t="shared" si="32"/>
        <v>0</v>
      </c>
      <c r="R204" s="466">
        <f t="shared" si="26"/>
        <v>14412</v>
      </c>
      <c r="S204" s="466">
        <f t="shared" si="27"/>
        <v>0</v>
      </c>
      <c r="T204" s="466">
        <f t="shared" si="28"/>
        <v>0</v>
      </c>
      <c r="U204" s="466">
        <f t="shared" si="29"/>
        <v>0</v>
      </c>
      <c r="V204" s="466">
        <f t="shared" si="30"/>
        <v>0</v>
      </c>
      <c r="W204" s="466">
        <f t="shared" si="31"/>
        <v>14412</v>
      </c>
      <c r="X204" s="296" t="s">
        <v>10</v>
      </c>
    </row>
    <row r="205" spans="2:24" s="296" customFormat="1">
      <c r="B205" s="480" t="s">
        <v>261</v>
      </c>
      <c r="C205" s="477"/>
      <c r="D205" s="477">
        <v>2490</v>
      </c>
      <c r="E205" s="477"/>
      <c r="F205" s="477"/>
      <c r="G205" s="477"/>
      <c r="H205" s="477"/>
      <c r="I205" s="477">
        <v>2490</v>
      </c>
      <c r="J205" s="477"/>
      <c r="K205" s="477"/>
      <c r="L205" s="477"/>
      <c r="M205" s="477"/>
      <c r="N205" s="477"/>
      <c r="O205" s="477"/>
      <c r="P205" s="477"/>
      <c r="Q205" s="466">
        <f t="shared" si="32"/>
        <v>0</v>
      </c>
      <c r="R205" s="466">
        <f t="shared" si="26"/>
        <v>2490</v>
      </c>
      <c r="S205" s="466">
        <f t="shared" si="27"/>
        <v>0</v>
      </c>
      <c r="T205" s="466">
        <f t="shared" si="28"/>
        <v>0</v>
      </c>
      <c r="U205" s="466">
        <f t="shared" si="29"/>
        <v>0</v>
      </c>
      <c r="V205" s="466">
        <f t="shared" si="30"/>
        <v>0</v>
      </c>
      <c r="W205" s="466">
        <f t="shared" si="31"/>
        <v>2490</v>
      </c>
      <c r="X205" s="296" t="s">
        <v>10</v>
      </c>
    </row>
    <row r="206" spans="2:24" s="472" customFormat="1"/>
    <row r="207" spans="2:24" s="472" customFormat="1"/>
    <row r="208" spans="2:24" s="296" customFormat="1"/>
    <row r="209" spans="4:10" s="296" customFormat="1">
      <c r="D209" s="477"/>
      <c r="E209" s="477"/>
      <c r="F209" s="477"/>
      <c r="G209" s="477"/>
      <c r="H209" s="477"/>
      <c r="I209" s="477"/>
      <c r="J209" s="477"/>
    </row>
    <row r="210" spans="4:10" s="296" customFormat="1">
      <c r="D210" s="477"/>
      <c r="E210" s="477"/>
      <c r="F210" s="477"/>
      <c r="G210" s="477"/>
      <c r="H210" s="477"/>
      <c r="I210" s="477"/>
      <c r="J210" s="477"/>
    </row>
    <row r="211" spans="4:10" s="472" customFormat="1">
      <c r="J211" s="477"/>
    </row>
    <row r="212" spans="4:10" s="472" customFormat="1">
      <c r="J212" s="477"/>
    </row>
    <row r="213" spans="4:10" s="296" customFormat="1">
      <c r="D213" s="477"/>
      <c r="E213" s="477"/>
      <c r="F213" s="477"/>
      <c r="G213" s="477"/>
      <c r="H213" s="477"/>
      <c r="I213" s="477"/>
      <c r="J213" s="477"/>
    </row>
    <row r="214" spans="4:10" s="296" customFormat="1">
      <c r="J214" s="477"/>
    </row>
    <row r="215" spans="4:10">
      <c r="J215" s="196"/>
    </row>
    <row r="216" spans="4:10">
      <c r="D216" s="196"/>
      <c r="E216" s="196"/>
      <c r="F216" s="196"/>
      <c r="G216" s="196"/>
      <c r="H216" s="196"/>
      <c r="I216" s="196"/>
      <c r="J216" s="196"/>
    </row>
    <row r="217" spans="4:10">
      <c r="D217" s="196"/>
      <c r="E217" s="196"/>
      <c r="F217" s="196"/>
      <c r="G217" s="196"/>
      <c r="H217" s="196"/>
      <c r="I217" s="196"/>
      <c r="J217" s="196"/>
    </row>
    <row r="218" spans="4:10">
      <c r="J218" s="196"/>
    </row>
  </sheetData>
  <sheetProtection algorithmName="SHA-512" hashValue="bxyxR/w9axJWvFonrq3LM/uWvXiWo6aT+0ijSmbhS1RGp+tJhsT68GRfWCKtVOar4TQchi8KbbPct+v1eq3Xog==" saltValue="n7uOcMXRzsMXbfj8WRKS2w==" spinCount="100000" sheet="1" objects="1" scenarios="1"/>
  <mergeCells count="2">
    <mergeCell ref="B1:I1"/>
    <mergeCell ref="D27:K27"/>
  </mergeCells>
  <phoneticPr fontId="3" type="noConversion"/>
  <pageMargins left="0.7" right="0.7" top="0.75" bottom="0.75" header="0.3" footer="0.3"/>
  <ignoredErrors>
    <ignoredError sqref="D50 E50:J50 D53:I5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D19A-F95B-7E4F-98DA-097C20FA270E}">
  <sheetPr>
    <tabColor theme="6"/>
  </sheetPr>
  <dimension ref="B1:O24"/>
  <sheetViews>
    <sheetView zoomScale="90" zoomScaleNormal="90" workbookViewId="0">
      <selection activeCell="E16" sqref="E16"/>
    </sheetView>
  </sheetViews>
  <sheetFormatPr baseColWidth="10" defaultColWidth="11" defaultRowHeight="15.75" customHeight="1"/>
  <cols>
    <col min="1" max="1" width="4.83203125" customWidth="1"/>
    <col min="2" max="2" width="13.33203125" bestFit="1" customWidth="1"/>
    <col min="4" max="4" width="14.5" customWidth="1"/>
  </cols>
  <sheetData>
    <row r="1" spans="2:15" ht="18" customHeight="1"/>
    <row r="2" spans="2:15" ht="32.25" customHeight="1">
      <c r="B2" s="532" t="s">
        <v>3</v>
      </c>
      <c r="C2" s="532" t="s">
        <v>328</v>
      </c>
      <c r="D2" s="532"/>
      <c r="E2" s="532"/>
      <c r="F2" s="532"/>
      <c r="G2" s="532"/>
      <c r="H2" s="532"/>
      <c r="I2" s="532" t="s">
        <v>265</v>
      </c>
      <c r="J2" s="532"/>
      <c r="K2" s="532"/>
      <c r="L2" s="532" t="s">
        <v>4</v>
      </c>
    </row>
    <row r="3" spans="2:15" ht="16" customHeight="1">
      <c r="B3" s="533"/>
      <c r="C3" s="355" t="s">
        <v>97</v>
      </c>
      <c r="D3" s="316" t="s">
        <v>297</v>
      </c>
      <c r="E3" s="316" t="s">
        <v>98</v>
      </c>
      <c r="F3" s="316" t="s">
        <v>100</v>
      </c>
      <c r="G3" s="316" t="s">
        <v>101</v>
      </c>
      <c r="H3" s="316" t="s">
        <v>102</v>
      </c>
      <c r="I3" s="316" t="s">
        <v>298</v>
      </c>
      <c r="J3" s="316" t="s">
        <v>299</v>
      </c>
      <c r="K3" s="316" t="s">
        <v>300</v>
      </c>
      <c r="L3" s="533" t="s">
        <v>4</v>
      </c>
    </row>
    <row r="4" spans="2:15" ht="16">
      <c r="B4" s="294" t="s">
        <v>5</v>
      </c>
      <c r="C4" s="202">
        <v>1</v>
      </c>
      <c r="D4" s="202">
        <v>1</v>
      </c>
      <c r="E4" s="202">
        <v>1</v>
      </c>
      <c r="F4" s="203" t="s">
        <v>95</v>
      </c>
      <c r="G4" s="203" t="s">
        <v>95</v>
      </c>
      <c r="H4" s="202">
        <v>1</v>
      </c>
      <c r="I4" s="204">
        <v>1</v>
      </c>
      <c r="J4" s="205">
        <v>0</v>
      </c>
      <c r="K4" s="204">
        <v>1</v>
      </c>
      <c r="L4" s="206">
        <v>100</v>
      </c>
      <c r="O4" s="76"/>
    </row>
    <row r="5" spans="2:15" ht="16">
      <c r="B5" s="294" t="s">
        <v>6</v>
      </c>
      <c r="C5" s="207">
        <v>0.75</v>
      </c>
      <c r="D5" s="203" t="s">
        <v>95</v>
      </c>
      <c r="E5" s="208">
        <v>0.92</v>
      </c>
      <c r="F5" s="202">
        <v>1</v>
      </c>
      <c r="G5" s="202">
        <v>1</v>
      </c>
      <c r="H5" s="203" t="s">
        <v>95</v>
      </c>
      <c r="I5" s="209">
        <v>0.45</v>
      </c>
      <c r="J5" s="210">
        <v>0.55000000000000004</v>
      </c>
      <c r="K5" s="211">
        <v>0.75</v>
      </c>
      <c r="L5" s="212">
        <v>75</v>
      </c>
      <c r="M5" s="77"/>
      <c r="O5" s="76"/>
    </row>
    <row r="6" spans="2:15" ht="16">
      <c r="B6" s="294" t="s">
        <v>7</v>
      </c>
      <c r="C6" s="213">
        <v>0.49</v>
      </c>
      <c r="D6" s="203" t="s">
        <v>95</v>
      </c>
      <c r="E6" s="214">
        <v>0.31</v>
      </c>
      <c r="F6" s="215">
        <v>0.47</v>
      </c>
      <c r="G6" s="216" t="s">
        <v>329</v>
      </c>
      <c r="H6" s="203" t="s">
        <v>95</v>
      </c>
      <c r="I6" s="217">
        <v>0.44</v>
      </c>
      <c r="J6" s="218">
        <v>0.06</v>
      </c>
      <c r="K6" s="219">
        <v>0.47</v>
      </c>
      <c r="L6" s="220">
        <v>47</v>
      </c>
      <c r="M6" s="77"/>
      <c r="O6" s="76"/>
    </row>
    <row r="7" spans="2:15" ht="16">
      <c r="B7" s="294" t="s">
        <v>8</v>
      </c>
      <c r="C7" s="221">
        <v>0.42</v>
      </c>
      <c r="D7" s="222">
        <v>0.23</v>
      </c>
      <c r="E7" s="213">
        <v>0.49</v>
      </c>
      <c r="F7" s="223">
        <v>0.28000000000000003</v>
      </c>
      <c r="G7" s="224">
        <v>0.21</v>
      </c>
      <c r="H7" s="222">
        <v>0.23</v>
      </c>
      <c r="I7" s="225">
        <v>0.33</v>
      </c>
      <c r="J7" s="226">
        <v>0.17</v>
      </c>
      <c r="K7" s="227">
        <v>0.42</v>
      </c>
      <c r="L7" s="228">
        <v>42</v>
      </c>
      <c r="M7" s="77"/>
      <c r="O7" s="76"/>
    </row>
    <row r="8" spans="2:15" ht="16">
      <c r="B8" s="294" t="s">
        <v>9</v>
      </c>
      <c r="C8" s="229">
        <v>0.34</v>
      </c>
      <c r="D8" s="203" t="s">
        <v>95</v>
      </c>
      <c r="E8" s="203" t="s">
        <v>95</v>
      </c>
      <c r="F8" s="203" t="s">
        <v>95</v>
      </c>
      <c r="G8" s="203" t="s">
        <v>95</v>
      </c>
      <c r="H8" s="203" t="s">
        <v>95</v>
      </c>
      <c r="I8" s="230">
        <v>0.2</v>
      </c>
      <c r="J8" s="231">
        <v>0.21</v>
      </c>
      <c r="K8" s="232">
        <v>0.34</v>
      </c>
      <c r="L8" s="233">
        <v>34</v>
      </c>
      <c r="M8" s="61"/>
      <c r="O8" s="76"/>
    </row>
    <row r="9" spans="2:15" ht="16">
      <c r="B9" s="294" t="s">
        <v>10</v>
      </c>
      <c r="C9" s="234">
        <v>0.27</v>
      </c>
      <c r="D9" s="203" t="s">
        <v>95</v>
      </c>
      <c r="E9" s="235">
        <v>0.08</v>
      </c>
      <c r="F9" s="203" t="s">
        <v>95</v>
      </c>
      <c r="G9" s="203" t="s">
        <v>95</v>
      </c>
      <c r="H9" s="203" t="s">
        <v>95</v>
      </c>
      <c r="I9" s="226">
        <v>0.17</v>
      </c>
      <c r="J9" s="236">
        <v>0.15</v>
      </c>
      <c r="K9" s="237">
        <v>0.27</v>
      </c>
      <c r="L9" s="238">
        <v>27</v>
      </c>
      <c r="O9" s="76"/>
    </row>
    <row r="10" spans="2:15" ht="16">
      <c r="B10" s="294" t="s">
        <v>11</v>
      </c>
      <c r="C10" s="239">
        <v>0.25</v>
      </c>
      <c r="D10" s="203" t="s">
        <v>95</v>
      </c>
      <c r="E10" s="240">
        <v>0.84</v>
      </c>
      <c r="F10" s="203" t="s">
        <v>95</v>
      </c>
      <c r="G10" s="203" t="s">
        <v>95</v>
      </c>
      <c r="H10" s="203" t="s">
        <v>95</v>
      </c>
      <c r="I10" s="241">
        <v>7.0000000000000007E-2</v>
      </c>
      <c r="J10" s="242">
        <v>0.28000000000000003</v>
      </c>
      <c r="K10" s="243">
        <v>0.26</v>
      </c>
      <c r="L10" s="244">
        <v>26</v>
      </c>
      <c r="O10" s="76"/>
    </row>
    <row r="11" spans="2:15" ht="16">
      <c r="B11" s="294" t="s">
        <v>12</v>
      </c>
      <c r="C11" s="245">
        <v>0.15</v>
      </c>
      <c r="D11" s="246">
        <v>0.14000000000000001</v>
      </c>
      <c r="E11" s="234">
        <v>0.27</v>
      </c>
      <c r="F11" s="235">
        <v>0.08</v>
      </c>
      <c r="G11" s="247">
        <v>0.06</v>
      </c>
      <c r="H11" s="248">
        <v>0.1</v>
      </c>
      <c r="I11" s="249">
        <v>0.17</v>
      </c>
      <c r="J11" s="241">
        <v>7.0000000000000007E-2</v>
      </c>
      <c r="K11" s="250">
        <v>0.19</v>
      </c>
      <c r="L11" s="251">
        <v>19</v>
      </c>
      <c r="O11" s="76"/>
    </row>
    <row r="12" spans="2:15" ht="16">
      <c r="B12" s="294" t="s">
        <v>13</v>
      </c>
      <c r="C12" s="252">
        <v>0.08</v>
      </c>
      <c r="D12" s="252">
        <v>0.08</v>
      </c>
      <c r="E12" s="224">
        <v>0.22</v>
      </c>
      <c r="F12" s="247">
        <v>0.06</v>
      </c>
      <c r="G12" s="235">
        <v>0.08</v>
      </c>
      <c r="H12" s="253">
        <v>7.0000000000000007E-2</v>
      </c>
      <c r="I12" s="254">
        <v>0.11</v>
      </c>
      <c r="J12" s="255">
        <v>0.08</v>
      </c>
      <c r="K12" s="256">
        <v>0.14000000000000001</v>
      </c>
      <c r="L12" s="257">
        <v>14</v>
      </c>
      <c r="O12" s="76"/>
    </row>
    <row r="13" spans="2:15" ht="16">
      <c r="B13" s="294" t="s">
        <v>14</v>
      </c>
      <c r="C13" s="253">
        <v>7.0000000000000007E-2</v>
      </c>
      <c r="D13" s="235">
        <v>0.08</v>
      </c>
      <c r="E13" s="258">
        <v>0.14000000000000001</v>
      </c>
      <c r="F13" s="259">
        <v>4.0000000000000001E-3</v>
      </c>
      <c r="G13" s="253">
        <v>7.0000000000000007E-2</v>
      </c>
      <c r="H13" s="223">
        <v>0.28999999999999998</v>
      </c>
      <c r="I13" s="260">
        <v>0.1</v>
      </c>
      <c r="J13" s="261">
        <v>0.03</v>
      </c>
      <c r="K13" s="262">
        <v>0.1</v>
      </c>
      <c r="L13" s="263">
        <v>10</v>
      </c>
      <c r="O13" s="76"/>
    </row>
    <row r="14" spans="2:15" ht="16">
      <c r="B14" s="294" t="s">
        <v>15</v>
      </c>
      <c r="C14" s="259">
        <v>1E-3</v>
      </c>
      <c r="D14" s="264">
        <v>0.02</v>
      </c>
      <c r="E14" s="265">
        <v>0.11</v>
      </c>
      <c r="F14" s="248">
        <v>0.11</v>
      </c>
      <c r="G14" s="266">
        <v>0.04</v>
      </c>
      <c r="H14" s="205">
        <v>0.01</v>
      </c>
      <c r="I14" s="255">
        <v>0.08</v>
      </c>
      <c r="J14" s="267">
        <v>0.05</v>
      </c>
      <c r="K14" s="268">
        <v>0.09</v>
      </c>
      <c r="L14" s="269">
        <v>9</v>
      </c>
      <c r="O14" s="76"/>
    </row>
    <row r="15" spans="2:15" ht="16">
      <c r="B15" s="294" t="s">
        <v>16</v>
      </c>
      <c r="C15" s="202">
        <v>1</v>
      </c>
      <c r="D15" s="203" t="s">
        <v>95</v>
      </c>
      <c r="E15" s="235">
        <v>0.08</v>
      </c>
      <c r="F15" s="216" t="s">
        <v>329</v>
      </c>
      <c r="G15" s="216" t="s">
        <v>329</v>
      </c>
      <c r="H15" s="216" t="s">
        <v>329</v>
      </c>
      <c r="I15" s="270">
        <v>0.09</v>
      </c>
      <c r="J15" s="295">
        <v>2E-3</v>
      </c>
      <c r="K15" s="268">
        <v>0.09</v>
      </c>
      <c r="L15" s="271">
        <v>9</v>
      </c>
      <c r="O15" s="76"/>
    </row>
    <row r="16" spans="2:15" ht="16">
      <c r="B16" s="294" t="s">
        <v>17</v>
      </c>
      <c r="C16" s="247">
        <v>0.06</v>
      </c>
      <c r="D16" s="272">
        <v>3.4000000000000002E-2</v>
      </c>
      <c r="E16" s="248">
        <v>0.11</v>
      </c>
      <c r="F16" s="224">
        <v>0.22</v>
      </c>
      <c r="G16" s="247">
        <v>0.06</v>
      </c>
      <c r="H16" s="253">
        <v>0.08</v>
      </c>
      <c r="I16" s="273">
        <v>7.0000000000000007E-2</v>
      </c>
      <c r="J16" s="267">
        <v>0.05</v>
      </c>
      <c r="K16" s="274">
        <v>0.08</v>
      </c>
      <c r="L16" s="275">
        <v>8</v>
      </c>
      <c r="O16" s="76"/>
    </row>
    <row r="17" spans="2:15" ht="16">
      <c r="B17" s="294" t="s">
        <v>18</v>
      </c>
      <c r="C17" s="276">
        <v>2.4E-2</v>
      </c>
      <c r="D17" s="235">
        <v>0.08</v>
      </c>
      <c r="E17" s="246">
        <v>0.15</v>
      </c>
      <c r="F17" s="259">
        <v>1E-3</v>
      </c>
      <c r="G17" s="277">
        <v>0.99</v>
      </c>
      <c r="H17" s="247">
        <v>0.06</v>
      </c>
      <c r="I17" s="241">
        <v>7.0000000000000007E-2</v>
      </c>
      <c r="J17" s="278">
        <v>0.02</v>
      </c>
      <c r="K17" s="279">
        <v>7.0000000000000007E-2</v>
      </c>
      <c r="L17" s="280">
        <v>7</v>
      </c>
      <c r="O17" s="76"/>
    </row>
    <row r="18" spans="2:15" ht="16">
      <c r="B18" s="294" t="s">
        <v>19</v>
      </c>
      <c r="C18" s="281">
        <v>0.17</v>
      </c>
      <c r="D18" s="282">
        <v>0.04</v>
      </c>
      <c r="E18" s="246">
        <v>0.14000000000000001</v>
      </c>
      <c r="F18" s="203" t="s">
        <v>95</v>
      </c>
      <c r="G18" s="216" t="s">
        <v>329</v>
      </c>
      <c r="H18" s="205">
        <v>0.01</v>
      </c>
      <c r="I18" s="218">
        <v>0.06</v>
      </c>
      <c r="J18" s="283">
        <v>0.01</v>
      </c>
      <c r="K18" s="273">
        <v>0.06</v>
      </c>
      <c r="L18" s="284">
        <v>6</v>
      </c>
      <c r="O18" s="76"/>
    </row>
    <row r="19" spans="2:15" ht="16">
      <c r="B19" s="294" t="s">
        <v>20</v>
      </c>
      <c r="C19" s="205">
        <v>0.01</v>
      </c>
      <c r="D19" s="282">
        <v>0.05</v>
      </c>
      <c r="E19" s="253">
        <v>7.0000000000000007E-2</v>
      </c>
      <c r="F19" s="203" t="s">
        <v>95</v>
      </c>
      <c r="G19" s="216" t="s">
        <v>329</v>
      </c>
      <c r="H19" s="216" t="s">
        <v>329</v>
      </c>
      <c r="I19" s="285">
        <v>0.05</v>
      </c>
      <c r="J19" s="278">
        <v>0.02</v>
      </c>
      <c r="K19" s="267">
        <v>0.05</v>
      </c>
      <c r="L19" s="286">
        <v>5</v>
      </c>
      <c r="O19" s="76"/>
    </row>
    <row r="20" spans="2:15" ht="16">
      <c r="B20" s="294" t="s">
        <v>21</v>
      </c>
      <c r="C20" s="259">
        <v>4.0000000000000001E-3</v>
      </c>
      <c r="D20" s="266">
        <v>0.03</v>
      </c>
      <c r="E20" s="248">
        <v>0.1</v>
      </c>
      <c r="F20" s="216" t="s">
        <v>329</v>
      </c>
      <c r="G20" s="247">
        <v>7.0000000000000007E-2</v>
      </c>
      <c r="H20" s="203" t="s">
        <v>95</v>
      </c>
      <c r="I20" s="287">
        <v>0.04</v>
      </c>
      <c r="J20" s="205">
        <v>0</v>
      </c>
      <c r="K20" s="287">
        <v>0.04</v>
      </c>
      <c r="L20" s="288">
        <v>4</v>
      </c>
      <c r="O20" s="76"/>
    </row>
    <row r="21" spans="2:15" ht="16">
      <c r="B21" s="294" t="s">
        <v>22</v>
      </c>
      <c r="C21" s="272">
        <v>3.1E-2</v>
      </c>
      <c r="D21" s="276">
        <v>2.1499999999999998E-2</v>
      </c>
      <c r="E21" s="282">
        <v>0.05</v>
      </c>
      <c r="F21" s="216" t="s">
        <v>329</v>
      </c>
      <c r="G21" s="259">
        <v>7.0000000000000001E-3</v>
      </c>
      <c r="H21" s="272">
        <v>3.6999999999999998E-2</v>
      </c>
      <c r="I21" s="289">
        <v>0.02</v>
      </c>
      <c r="J21" s="289">
        <v>0.02</v>
      </c>
      <c r="K21" s="290">
        <v>0.02</v>
      </c>
      <c r="L21" s="291">
        <v>2</v>
      </c>
      <c r="O21" s="76"/>
    </row>
    <row r="22" spans="2:15" ht="16">
      <c r="B22" s="294" t="s">
        <v>23</v>
      </c>
      <c r="C22" s="264">
        <v>0.02</v>
      </c>
      <c r="D22" s="266">
        <v>0.03</v>
      </c>
      <c r="E22" s="258">
        <v>0.13</v>
      </c>
      <c r="F22" s="216" t="s">
        <v>329</v>
      </c>
      <c r="G22" s="259">
        <v>0</v>
      </c>
      <c r="H22" s="216" t="s">
        <v>329</v>
      </c>
      <c r="I22" s="289">
        <v>0.02</v>
      </c>
      <c r="J22" s="283">
        <v>0.01</v>
      </c>
      <c r="K22" s="278">
        <v>0.02</v>
      </c>
      <c r="L22" s="292">
        <v>2</v>
      </c>
      <c r="O22" s="76"/>
    </row>
    <row r="23" spans="2:15" ht="16">
      <c r="B23" s="294" t="s">
        <v>24</v>
      </c>
      <c r="C23" s="266">
        <v>0.03</v>
      </c>
      <c r="D23" s="205">
        <v>0.01</v>
      </c>
      <c r="E23" s="282">
        <v>0.05</v>
      </c>
      <c r="F23" s="203" t="s">
        <v>95</v>
      </c>
      <c r="G23" s="259">
        <v>2.5000000000000001E-3</v>
      </c>
      <c r="H23" s="203" t="s">
        <v>95</v>
      </c>
      <c r="I23" s="283">
        <v>0.01</v>
      </c>
      <c r="J23" s="293">
        <v>0.04</v>
      </c>
      <c r="K23" s="289">
        <v>0.02</v>
      </c>
      <c r="L23" s="292">
        <v>2</v>
      </c>
      <c r="O23" s="76"/>
    </row>
    <row r="24" spans="2:15" ht="16">
      <c r="B24" s="294" t="s">
        <v>25</v>
      </c>
      <c r="C24" s="203" t="s">
        <v>95</v>
      </c>
      <c r="D24" s="203" t="s">
        <v>95</v>
      </c>
      <c r="E24" s="295">
        <v>2E-3</v>
      </c>
      <c r="F24" s="216" t="s">
        <v>329</v>
      </c>
      <c r="G24" s="216" t="s">
        <v>329</v>
      </c>
      <c r="H24" s="203" t="s">
        <v>95</v>
      </c>
      <c r="I24" s="205">
        <v>0</v>
      </c>
      <c r="J24" s="295">
        <v>1E-3</v>
      </c>
      <c r="K24" s="259">
        <v>2.0000000000000001E-4</v>
      </c>
      <c r="L24" s="201">
        <v>0</v>
      </c>
      <c r="O24" s="76"/>
    </row>
  </sheetData>
  <sheetProtection algorithmName="SHA-512" hashValue="sC3qPFRKD5ClE5hER/H9VWODKN/SeSuVkCBJI+11rpHNJJltiZWbKFS0UR1yoWexUtP96HVNF/WZ32fXpNdazg==" saltValue="urUdUYEv/Tn3piTjSQCxRQ==" spinCount="100000" sheet="1" objects="1" scenarios="1"/>
  <mergeCells count="4">
    <mergeCell ref="B2:B3"/>
    <mergeCell ref="C2:H2"/>
    <mergeCell ref="I2:K2"/>
    <mergeCell ref="L2:L3"/>
  </mergeCells>
  <phoneticPr fontId="3"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F509-5B1E-7248-BB12-0C5A61A35E32}">
  <sheetPr>
    <tabColor theme="6"/>
  </sheetPr>
  <dimension ref="B2:N26"/>
  <sheetViews>
    <sheetView zoomScale="90" zoomScaleNormal="90" workbookViewId="0">
      <selection activeCell="D13" sqref="D13"/>
    </sheetView>
  </sheetViews>
  <sheetFormatPr baseColWidth="10" defaultColWidth="11" defaultRowHeight="16"/>
  <cols>
    <col min="1" max="1" width="3.83203125" customWidth="1"/>
    <col min="2" max="2" width="14.33203125" style="2" customWidth="1"/>
    <col min="3" max="3" width="10.5" customWidth="1"/>
    <col min="4" max="4" width="13.5" customWidth="1"/>
    <col min="5" max="11" width="10.5" customWidth="1"/>
  </cols>
  <sheetData>
    <row r="2" spans="2:14" ht="27" customHeight="1">
      <c r="B2" s="534" t="s">
        <v>3</v>
      </c>
      <c r="C2" s="538" t="s">
        <v>378</v>
      </c>
      <c r="D2" s="539"/>
      <c r="E2" s="539"/>
      <c r="F2" s="539"/>
      <c r="G2" s="539"/>
      <c r="H2" s="540"/>
      <c r="I2" s="537" t="s">
        <v>379</v>
      </c>
      <c r="J2" s="537" t="s">
        <v>72</v>
      </c>
      <c r="K2" s="537" t="s">
        <v>71</v>
      </c>
      <c r="M2" s="536" t="s">
        <v>3</v>
      </c>
      <c r="N2" s="536" t="s">
        <v>88</v>
      </c>
    </row>
    <row r="3" spans="2:14" ht="33" customHeight="1">
      <c r="B3" s="535"/>
      <c r="C3" s="39" t="s">
        <v>97</v>
      </c>
      <c r="D3" s="39" t="s">
        <v>297</v>
      </c>
      <c r="E3" s="39" t="s">
        <v>98</v>
      </c>
      <c r="F3" s="39" t="s">
        <v>101</v>
      </c>
      <c r="G3" s="39" t="s">
        <v>100</v>
      </c>
      <c r="H3" s="39" t="s">
        <v>102</v>
      </c>
      <c r="I3" s="537"/>
      <c r="J3" s="537"/>
      <c r="K3" s="537"/>
      <c r="M3" s="536"/>
      <c r="N3" s="536"/>
    </row>
    <row r="4" spans="2:14" ht="15" customHeight="1">
      <c r="B4" s="318" t="s">
        <v>7</v>
      </c>
      <c r="C4" s="315">
        <v>0.88</v>
      </c>
      <c r="D4" s="315">
        <v>0</v>
      </c>
      <c r="E4" s="315">
        <v>0.5</v>
      </c>
      <c r="F4" s="315">
        <v>0.25</v>
      </c>
      <c r="G4" s="315">
        <v>0</v>
      </c>
      <c r="H4" s="315">
        <v>0</v>
      </c>
      <c r="I4" s="315">
        <v>0.81001742216092765</v>
      </c>
      <c r="J4" s="319">
        <v>100</v>
      </c>
      <c r="K4" s="320">
        <v>100</v>
      </c>
      <c r="M4" s="15" t="s">
        <v>7</v>
      </c>
      <c r="N4" s="326">
        <v>0.81001742216092765</v>
      </c>
    </row>
    <row r="5" spans="2:14" ht="15" customHeight="1">
      <c r="B5" s="318" t="s">
        <v>8</v>
      </c>
      <c r="C5" s="315">
        <v>0.88</v>
      </c>
      <c r="D5" s="315">
        <v>0.25</v>
      </c>
      <c r="E5" s="315">
        <v>0.38</v>
      </c>
      <c r="F5" s="315">
        <v>0</v>
      </c>
      <c r="G5" s="315">
        <v>0</v>
      </c>
      <c r="H5" s="315">
        <v>0</v>
      </c>
      <c r="I5" s="321">
        <v>0.76020128831412426</v>
      </c>
      <c r="J5" s="322">
        <v>93.849992298448811</v>
      </c>
      <c r="K5" s="320">
        <v>78.393838350557147</v>
      </c>
      <c r="M5" s="15" t="s">
        <v>8</v>
      </c>
      <c r="N5" s="326">
        <v>0.76020128831412426</v>
      </c>
    </row>
    <row r="6" spans="2:14" ht="15" customHeight="1">
      <c r="B6" s="318" t="s">
        <v>10</v>
      </c>
      <c r="C6" s="315">
        <v>0.75</v>
      </c>
      <c r="D6" s="315">
        <v>0</v>
      </c>
      <c r="E6" s="315">
        <v>0.12</v>
      </c>
      <c r="F6" s="315">
        <v>0</v>
      </c>
      <c r="G6" s="315">
        <v>0</v>
      </c>
      <c r="H6" s="315">
        <v>0</v>
      </c>
      <c r="I6" s="321">
        <v>0.74204510760461728</v>
      </c>
      <c r="J6" s="321">
        <v>91.60853671826257</v>
      </c>
      <c r="K6" s="320">
        <v>77.718914199736318</v>
      </c>
      <c r="M6" s="15" t="s">
        <v>10</v>
      </c>
      <c r="N6" s="327">
        <v>0.74204510760461728</v>
      </c>
    </row>
    <row r="7" spans="2:14" ht="15" customHeight="1">
      <c r="B7" s="318" t="s">
        <v>9</v>
      </c>
      <c r="C7" s="315">
        <v>0.62</v>
      </c>
      <c r="D7" s="315">
        <v>0</v>
      </c>
      <c r="E7" s="315">
        <v>0</v>
      </c>
      <c r="F7" s="315">
        <v>0</v>
      </c>
      <c r="G7" s="315">
        <v>0</v>
      </c>
      <c r="H7" s="315">
        <v>0</v>
      </c>
      <c r="I7" s="321">
        <v>0.62</v>
      </c>
      <c r="J7" s="322">
        <v>76.541563556249471</v>
      </c>
      <c r="K7" s="320">
        <v>93.32994482768126</v>
      </c>
      <c r="M7" s="15" t="s">
        <v>9</v>
      </c>
      <c r="N7" s="327">
        <v>0.62</v>
      </c>
    </row>
    <row r="8" spans="2:14" ht="15" customHeight="1">
      <c r="B8" s="318" t="s">
        <v>6</v>
      </c>
      <c r="C8" s="315">
        <v>0.62</v>
      </c>
      <c r="D8" s="315">
        <v>0</v>
      </c>
      <c r="E8" s="315">
        <v>0.38</v>
      </c>
      <c r="F8" s="315">
        <v>0.12</v>
      </c>
      <c r="G8" s="315">
        <v>0.12</v>
      </c>
      <c r="H8" s="315">
        <v>0</v>
      </c>
      <c r="I8" s="321">
        <v>0.61609952213970653</v>
      </c>
      <c r="J8" s="322">
        <v>76.060033436824639</v>
      </c>
      <c r="K8" s="320">
        <v>77.381671419980506</v>
      </c>
      <c r="M8" s="15" t="s">
        <v>6</v>
      </c>
      <c r="N8" s="327">
        <v>0.61609952213970653</v>
      </c>
    </row>
    <row r="9" spans="2:14" ht="15" customHeight="1">
      <c r="B9" s="318" t="s">
        <v>16</v>
      </c>
      <c r="C9" s="315">
        <v>0.25</v>
      </c>
      <c r="D9" s="315">
        <v>0</v>
      </c>
      <c r="E9" s="315">
        <v>0.62</v>
      </c>
      <c r="F9" s="315">
        <v>0</v>
      </c>
      <c r="G9" s="315">
        <v>0</v>
      </c>
      <c r="H9" s="315">
        <v>0</v>
      </c>
      <c r="I9" s="321">
        <v>0.58321392893324653</v>
      </c>
      <c r="J9" s="322">
        <v>72.000170981183956</v>
      </c>
      <c r="K9" s="320">
        <v>73.915555897261001</v>
      </c>
      <c r="M9" s="15" t="s">
        <v>16</v>
      </c>
      <c r="N9" s="327">
        <v>0.58321392893324653</v>
      </c>
    </row>
    <row r="10" spans="2:14" ht="15" customHeight="1">
      <c r="B10" s="318" t="s">
        <v>17</v>
      </c>
      <c r="C10" s="315">
        <v>0.25</v>
      </c>
      <c r="D10" s="315">
        <v>0</v>
      </c>
      <c r="E10" s="315">
        <v>0.88</v>
      </c>
      <c r="F10" s="315">
        <v>0.12</v>
      </c>
      <c r="G10" s="315">
        <v>0</v>
      </c>
      <c r="H10" s="315">
        <v>0</v>
      </c>
      <c r="I10" s="321">
        <v>0.57061163903861012</v>
      </c>
      <c r="J10" s="322">
        <v>70.444366186144279</v>
      </c>
      <c r="K10" s="320">
        <v>67.655129492314785</v>
      </c>
      <c r="M10" s="15" t="s">
        <v>17</v>
      </c>
      <c r="N10" s="327">
        <v>0.57061163903861012</v>
      </c>
    </row>
    <row r="11" spans="2:14" ht="15" customHeight="1">
      <c r="B11" s="318" t="s">
        <v>14</v>
      </c>
      <c r="C11" s="315">
        <v>0.38</v>
      </c>
      <c r="D11" s="315">
        <v>0.25</v>
      </c>
      <c r="E11" s="315">
        <v>0.62</v>
      </c>
      <c r="F11" s="315">
        <v>0</v>
      </c>
      <c r="G11" s="315">
        <v>0.12</v>
      </c>
      <c r="H11" s="315">
        <v>0.25</v>
      </c>
      <c r="I11" s="321">
        <v>0.47907722686001603</v>
      </c>
      <c r="J11" s="323">
        <v>59.144064529125259</v>
      </c>
      <c r="K11" s="320">
        <v>58.933936335083281</v>
      </c>
      <c r="M11" s="15" t="s">
        <v>14</v>
      </c>
      <c r="N11" s="327">
        <v>0.47907722686001603</v>
      </c>
    </row>
    <row r="12" spans="2:14" ht="15" customHeight="1">
      <c r="B12" s="318" t="s">
        <v>12</v>
      </c>
      <c r="C12" s="315">
        <v>0.38</v>
      </c>
      <c r="D12" s="315">
        <v>0.5</v>
      </c>
      <c r="E12" s="315">
        <v>0.5</v>
      </c>
      <c r="F12" s="315">
        <v>0</v>
      </c>
      <c r="G12" s="315">
        <v>0</v>
      </c>
      <c r="H12" s="315">
        <v>0.38</v>
      </c>
      <c r="I12" s="321">
        <v>0.44083190328682254</v>
      </c>
      <c r="J12" s="322">
        <v>54.422521198468942</v>
      </c>
      <c r="K12" s="320">
        <v>54.55156882532853</v>
      </c>
      <c r="M12" s="15" t="s">
        <v>12</v>
      </c>
      <c r="N12" s="327">
        <v>0.44083190328682254</v>
      </c>
    </row>
    <row r="13" spans="2:14" ht="15" customHeight="1">
      <c r="B13" s="318" t="s">
        <v>13</v>
      </c>
      <c r="C13" s="315">
        <v>0.25</v>
      </c>
      <c r="D13" s="315">
        <v>0.38</v>
      </c>
      <c r="E13" s="315">
        <v>0.62</v>
      </c>
      <c r="F13" s="315">
        <v>0</v>
      </c>
      <c r="G13" s="315">
        <v>0.12</v>
      </c>
      <c r="H13" s="315">
        <v>0.25</v>
      </c>
      <c r="I13" s="321">
        <v>0.42423982136499006</v>
      </c>
      <c r="J13" s="322">
        <v>52.374160080806945</v>
      </c>
      <c r="K13" s="320">
        <v>49.584495162721851</v>
      </c>
      <c r="M13" s="15" t="s">
        <v>13</v>
      </c>
      <c r="N13" s="327">
        <v>0.42423982136499006</v>
      </c>
    </row>
    <row r="14" spans="2:14" ht="15" customHeight="1">
      <c r="B14" s="318" t="s">
        <v>11</v>
      </c>
      <c r="C14" s="315">
        <v>0.38</v>
      </c>
      <c r="D14" s="315">
        <v>0</v>
      </c>
      <c r="E14" s="315">
        <v>0.12</v>
      </c>
      <c r="F14" s="315">
        <v>0</v>
      </c>
      <c r="G14" s="315">
        <v>0</v>
      </c>
      <c r="H14" s="315">
        <v>0</v>
      </c>
      <c r="I14" s="321">
        <v>0.37829286167009984</v>
      </c>
      <c r="J14" s="323">
        <v>46.701817926447475</v>
      </c>
      <c r="K14" s="320">
        <v>46.450426022335442</v>
      </c>
      <c r="M14" s="15" t="s">
        <v>11</v>
      </c>
      <c r="N14" s="327">
        <v>0.37829286167009984</v>
      </c>
    </row>
    <row r="15" spans="2:14" ht="15" customHeight="1">
      <c r="B15" s="318" t="s">
        <v>5</v>
      </c>
      <c r="C15" s="315">
        <v>0.25</v>
      </c>
      <c r="D15" s="315">
        <v>0.5</v>
      </c>
      <c r="E15" s="315">
        <v>0.38</v>
      </c>
      <c r="F15" s="315">
        <v>0</v>
      </c>
      <c r="G15" s="315">
        <v>0.25</v>
      </c>
      <c r="H15" s="315">
        <v>0.25</v>
      </c>
      <c r="I15" s="321">
        <v>0.36913594377880748</v>
      </c>
      <c r="J15" s="323">
        <v>45.57135855103504</v>
      </c>
      <c r="K15" s="320">
        <v>46.299054038800691</v>
      </c>
      <c r="M15" s="15" t="s">
        <v>5</v>
      </c>
      <c r="N15" s="327">
        <v>0.36913594377880748</v>
      </c>
    </row>
    <row r="16" spans="2:14" ht="15" customHeight="1">
      <c r="B16" s="318" t="s">
        <v>15</v>
      </c>
      <c r="C16" s="315">
        <v>0</v>
      </c>
      <c r="D16" s="315">
        <v>0.12</v>
      </c>
      <c r="E16" s="315">
        <v>0.12</v>
      </c>
      <c r="F16" s="315">
        <v>0.38</v>
      </c>
      <c r="G16" s="315">
        <v>0</v>
      </c>
      <c r="H16" s="315">
        <v>0</v>
      </c>
      <c r="I16" s="321">
        <v>0.28371851096753381</v>
      </c>
      <c r="J16" s="322">
        <v>35.026223289203145</v>
      </c>
      <c r="K16" s="320">
        <v>23.125601365743425</v>
      </c>
      <c r="M16" s="15" t="s">
        <v>15</v>
      </c>
      <c r="N16" s="327">
        <v>0.28371851096753381</v>
      </c>
    </row>
    <row r="17" spans="2:14" ht="15" customHeight="1">
      <c r="B17" s="318" t="s">
        <v>20</v>
      </c>
      <c r="C17" s="315">
        <v>0.12</v>
      </c>
      <c r="D17" s="315">
        <v>0.25</v>
      </c>
      <c r="E17" s="315">
        <v>0.25</v>
      </c>
      <c r="F17" s="315">
        <v>0</v>
      </c>
      <c r="G17" s="315">
        <v>0</v>
      </c>
      <c r="H17" s="315">
        <v>0</v>
      </c>
      <c r="I17" s="321">
        <v>0.23991687939850556</v>
      </c>
      <c r="J17" s="323">
        <v>29.61873076241573</v>
      </c>
      <c r="K17" s="320">
        <v>29.77691864632877</v>
      </c>
      <c r="M17" s="15" t="s">
        <v>20</v>
      </c>
      <c r="N17" s="327">
        <v>0.23991687939850556</v>
      </c>
    </row>
    <row r="18" spans="2:14" ht="15" customHeight="1">
      <c r="B18" s="318" t="s">
        <v>21</v>
      </c>
      <c r="C18" s="315">
        <v>0.12</v>
      </c>
      <c r="D18" s="315">
        <v>0.25</v>
      </c>
      <c r="E18" s="315">
        <v>0.38</v>
      </c>
      <c r="F18" s="315">
        <v>0</v>
      </c>
      <c r="G18" s="315">
        <v>0.25</v>
      </c>
      <c r="H18" s="315">
        <v>0</v>
      </c>
      <c r="I18" s="321">
        <v>0.23155200499780001</v>
      </c>
      <c r="J18" s="322">
        <v>28.586052430832424</v>
      </c>
      <c r="K18" s="320">
        <v>28.392740010947552</v>
      </c>
      <c r="M18" s="15" t="s">
        <v>21</v>
      </c>
      <c r="N18" s="327">
        <v>0.23155200499780001</v>
      </c>
    </row>
    <row r="19" spans="2:14" ht="15" customHeight="1">
      <c r="B19" s="318" t="s">
        <v>18</v>
      </c>
      <c r="C19" s="315">
        <v>0.12</v>
      </c>
      <c r="D19" s="315">
        <v>0.25</v>
      </c>
      <c r="E19" s="315">
        <v>0.25</v>
      </c>
      <c r="F19" s="315">
        <v>0</v>
      </c>
      <c r="G19" s="315">
        <v>0</v>
      </c>
      <c r="H19" s="315">
        <v>0.38</v>
      </c>
      <c r="I19" s="321">
        <v>0.23056194796763096</v>
      </c>
      <c r="J19" s="322">
        <v>28.463825796801789</v>
      </c>
      <c r="K19" s="320">
        <v>30.106964357909572</v>
      </c>
      <c r="M19" s="15" t="s">
        <v>18</v>
      </c>
      <c r="N19" s="327">
        <v>0.23056194796763096</v>
      </c>
    </row>
    <row r="20" spans="2:14" ht="15" customHeight="1">
      <c r="B20" s="318" t="s">
        <v>22</v>
      </c>
      <c r="C20" s="315">
        <v>0.25</v>
      </c>
      <c r="D20" s="315">
        <v>0.12</v>
      </c>
      <c r="E20" s="315">
        <v>0.38</v>
      </c>
      <c r="F20" s="315">
        <v>0</v>
      </c>
      <c r="G20" s="315">
        <v>0.12</v>
      </c>
      <c r="H20" s="315">
        <v>0</v>
      </c>
      <c r="I20" s="321">
        <v>0.18497184598265676</v>
      </c>
      <c r="J20" s="322">
        <v>22.83553920225534</v>
      </c>
      <c r="K20" s="320">
        <v>27.529328958672149</v>
      </c>
      <c r="M20" s="15" t="s">
        <v>22</v>
      </c>
      <c r="N20" s="327">
        <v>0.18497184598265676</v>
      </c>
    </row>
    <row r="21" spans="2:14" ht="15" customHeight="1">
      <c r="B21" s="318" t="s">
        <v>19</v>
      </c>
      <c r="C21" s="315">
        <v>0.25</v>
      </c>
      <c r="D21" s="315">
        <v>0.12</v>
      </c>
      <c r="E21" s="315">
        <v>0</v>
      </c>
      <c r="F21" s="315">
        <v>0</v>
      </c>
      <c r="G21" s="315">
        <v>0</v>
      </c>
      <c r="H21" s="315">
        <v>0</v>
      </c>
      <c r="I21" s="321">
        <v>0.14127054735478795</v>
      </c>
      <c r="J21" s="323">
        <v>17.440433191907502</v>
      </c>
      <c r="K21" s="320">
        <v>19.424912274762505</v>
      </c>
      <c r="M21" s="15" t="s">
        <v>19</v>
      </c>
      <c r="N21" s="327">
        <v>0.14127054735478795</v>
      </c>
    </row>
    <row r="22" spans="2:14" ht="15" customHeight="1">
      <c r="B22" s="318" t="s">
        <v>23</v>
      </c>
      <c r="C22" s="315">
        <v>0.12</v>
      </c>
      <c r="D22" s="315">
        <v>0.12</v>
      </c>
      <c r="E22" s="315">
        <v>0.12</v>
      </c>
      <c r="F22" s="315">
        <v>0</v>
      </c>
      <c r="G22" s="315">
        <v>0</v>
      </c>
      <c r="H22" s="315">
        <v>0</v>
      </c>
      <c r="I22" s="321">
        <v>9.1331670165607171E-2</v>
      </c>
      <c r="J22" s="323">
        <v>11.275272317224571</v>
      </c>
      <c r="K22" s="320">
        <v>6.0578063737358185</v>
      </c>
      <c r="M22" s="15" t="s">
        <v>23</v>
      </c>
      <c r="N22" s="327">
        <v>9.1331670165607171E-2</v>
      </c>
    </row>
    <row r="23" spans="2:14" ht="15" customHeight="1">
      <c r="B23" s="318" t="s">
        <v>24</v>
      </c>
      <c r="C23" s="315">
        <v>0</v>
      </c>
      <c r="D23" s="315">
        <v>0</v>
      </c>
      <c r="E23" s="315">
        <v>0.12</v>
      </c>
      <c r="F23" s="315">
        <v>0</v>
      </c>
      <c r="G23" s="315">
        <v>0</v>
      </c>
      <c r="H23" s="315">
        <v>0</v>
      </c>
      <c r="I23" s="321">
        <v>2.529980884732368E-2</v>
      </c>
      <c r="J23" s="323">
        <v>3.1233660110457873</v>
      </c>
      <c r="K23" s="320">
        <v>3</v>
      </c>
      <c r="M23" s="15" t="s">
        <v>24</v>
      </c>
      <c r="N23" s="327">
        <v>2.529980884732368E-2</v>
      </c>
    </row>
    <row r="24" spans="2:14" ht="15" customHeight="1">
      <c r="B24" s="318" t="s">
        <v>25</v>
      </c>
      <c r="C24" s="315">
        <v>0</v>
      </c>
      <c r="D24" s="315">
        <v>0</v>
      </c>
      <c r="E24" s="315">
        <v>0</v>
      </c>
      <c r="F24" s="315">
        <v>0</v>
      </c>
      <c r="G24" s="315">
        <v>0</v>
      </c>
      <c r="H24" s="315">
        <v>0</v>
      </c>
      <c r="I24" s="321">
        <v>0</v>
      </c>
      <c r="J24" s="324">
        <v>0</v>
      </c>
      <c r="K24" s="320">
        <v>0</v>
      </c>
      <c r="M24" s="15" t="s">
        <v>25</v>
      </c>
      <c r="N24" s="327">
        <v>0</v>
      </c>
    </row>
    <row r="26" spans="2:14">
      <c r="I26" s="61"/>
    </row>
  </sheetData>
  <sheetProtection algorithmName="SHA-512" hashValue="HbMzTHqXrom9O4wLQhlNNb1VHt3qTMParLbQ3/kCVj2ykvr17I+xW/+6HTG01pOzJI/5/8jxUDaYctAtUhQuFA==" saltValue="RwemtjPtCW5DH6ddUar7iw==" spinCount="100000" sheet="1" objects="1" scenarios="1"/>
  <mergeCells count="7">
    <mergeCell ref="B2:B3"/>
    <mergeCell ref="M2:M3"/>
    <mergeCell ref="N2:N3"/>
    <mergeCell ref="I2:I3"/>
    <mergeCell ref="J2:J3"/>
    <mergeCell ref="K2:K3"/>
    <mergeCell ref="C2:H2"/>
  </mergeCells>
  <phoneticPr fontId="3" type="noConversion"/>
  <conditionalFormatting sqref="C4:H24">
    <cfRule type="colorScale" priority="5">
      <colorScale>
        <cfvo type="min"/>
        <cfvo type="max"/>
        <color theme="0"/>
        <color theme="5" tint="0.79998168889431442"/>
      </colorScale>
    </cfRule>
    <cfRule type="containsBlanks" dxfId="7" priority="6">
      <formula>LEN(TRIM(C4))=0</formula>
    </cfRule>
    <cfRule type="expression" dxfId="6" priority="7">
      <formula>#REF!="*"</formula>
    </cfRule>
  </conditionalFormatting>
  <conditionalFormatting sqref="I4:I24">
    <cfRule type="colorScale" priority="1">
      <colorScale>
        <cfvo type="min"/>
        <cfvo type="max"/>
        <color theme="0"/>
        <color theme="9"/>
      </colorScale>
    </cfRule>
  </conditionalFormatting>
  <conditionalFormatting sqref="J4:J23">
    <cfRule type="cellIs" dxfId="5" priority="2" operator="greaterThan">
      <formula>50</formula>
    </cfRule>
    <cfRule type="colorScale" priority="3">
      <colorScale>
        <cfvo type="min"/>
        <cfvo type="max"/>
        <color theme="0"/>
        <color theme="5"/>
      </colorScale>
    </cfRule>
    <cfRule type="containsBlanks" dxfId="4" priority="4">
      <formula>LEN(TRIM(J4))=0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5A5FA-3FDE-BC4D-B3AF-E8309B6D8967}">
  <sheetPr>
    <tabColor theme="6"/>
  </sheetPr>
  <dimension ref="B2:N29"/>
  <sheetViews>
    <sheetView zoomScale="90" zoomScaleNormal="90" workbookViewId="0">
      <selection activeCell="R39" sqref="R39"/>
    </sheetView>
  </sheetViews>
  <sheetFormatPr baseColWidth="10" defaultColWidth="11" defaultRowHeight="15.75" customHeight="1"/>
  <cols>
    <col min="1" max="1" width="6.83203125" customWidth="1"/>
    <col min="2" max="2" width="14.33203125" customWidth="1"/>
    <col min="3" max="3" width="10" customWidth="1"/>
    <col min="4" max="4" width="10.33203125" customWidth="1"/>
    <col min="6" max="6" width="10" customWidth="1"/>
    <col min="7" max="8" width="15.33203125" customWidth="1"/>
    <col min="11" max="11" width="15" customWidth="1"/>
    <col min="12" max="12" width="12" customWidth="1"/>
    <col min="13" max="13" width="11.5" customWidth="1"/>
  </cols>
  <sheetData>
    <row r="2" spans="2:14" ht="37" customHeight="1">
      <c r="B2" s="533" t="s">
        <v>3</v>
      </c>
      <c r="C2" s="544" t="s">
        <v>380</v>
      </c>
      <c r="D2" s="543"/>
      <c r="E2" s="533" t="s">
        <v>72</v>
      </c>
      <c r="F2" s="542" t="s">
        <v>380</v>
      </c>
      <c r="G2" s="542"/>
      <c r="H2" s="543"/>
      <c r="I2" s="533" t="s">
        <v>71</v>
      </c>
      <c r="K2" s="536" t="s">
        <v>3</v>
      </c>
      <c r="L2" s="536" t="s">
        <v>386</v>
      </c>
      <c r="M2" s="536" t="s">
        <v>385</v>
      </c>
      <c r="N2" s="536" t="s">
        <v>330</v>
      </c>
    </row>
    <row r="3" spans="2:14" ht="54" customHeight="1">
      <c r="B3" s="541"/>
      <c r="C3" s="356" t="s">
        <v>384</v>
      </c>
      <c r="D3" s="356" t="s">
        <v>383</v>
      </c>
      <c r="E3" s="541"/>
      <c r="F3" s="356" t="s">
        <v>387</v>
      </c>
      <c r="G3" s="356" t="s">
        <v>382</v>
      </c>
      <c r="H3" s="356" t="s">
        <v>381</v>
      </c>
      <c r="I3" s="541"/>
      <c r="K3" s="536"/>
      <c r="L3" s="536"/>
      <c r="M3" s="536"/>
      <c r="N3" s="536"/>
    </row>
    <row r="4" spans="2:14" ht="17" customHeight="1">
      <c r="B4" s="44" t="s">
        <v>15</v>
      </c>
      <c r="C4" s="328">
        <v>91</v>
      </c>
      <c r="D4" s="328">
        <v>110</v>
      </c>
      <c r="E4" s="329">
        <v>99.866888519134761</v>
      </c>
      <c r="F4" s="330">
        <v>84.337299999999999</v>
      </c>
      <c r="G4" s="330">
        <v>113.74460000000001</v>
      </c>
      <c r="H4" s="330">
        <v>114.1</v>
      </c>
      <c r="I4" s="331">
        <v>100.00111259159294</v>
      </c>
      <c r="K4" s="352" t="s">
        <v>15</v>
      </c>
      <c r="L4" s="353">
        <v>90.8</v>
      </c>
      <c r="M4" s="353">
        <v>109.7</v>
      </c>
      <c r="N4" s="354">
        <v>1</v>
      </c>
    </row>
    <row r="5" spans="2:14" ht="17" customHeight="1">
      <c r="B5" s="44" t="s">
        <v>5</v>
      </c>
      <c r="C5" s="328">
        <v>133</v>
      </c>
      <c r="D5" s="328">
        <v>120</v>
      </c>
      <c r="E5" s="332">
        <v>82.31281198003326</v>
      </c>
      <c r="F5" s="330">
        <v>128.125</v>
      </c>
      <c r="G5" s="330">
        <v>117.0613</v>
      </c>
      <c r="H5" s="330">
        <v>117.6</v>
      </c>
      <c r="I5" s="331">
        <v>94.025474931400936</v>
      </c>
      <c r="K5" s="352" t="s">
        <v>5</v>
      </c>
      <c r="L5" s="353">
        <v>132.69999999999999</v>
      </c>
      <c r="M5" s="353">
        <v>120.2</v>
      </c>
      <c r="N5" s="354">
        <v>2</v>
      </c>
    </row>
    <row r="6" spans="2:14" ht="17" customHeight="1">
      <c r="B6" s="44" t="s">
        <v>22</v>
      </c>
      <c r="C6" s="328">
        <v>132</v>
      </c>
      <c r="D6" s="328">
        <v>125</v>
      </c>
      <c r="E6" s="333">
        <v>75.124792013311136</v>
      </c>
      <c r="F6" s="330">
        <v>138.93899999999999</v>
      </c>
      <c r="G6" s="330">
        <v>129.96250000000001</v>
      </c>
      <c r="H6" s="330">
        <v>130.5</v>
      </c>
      <c r="I6" s="331">
        <v>70.781619116383183</v>
      </c>
      <c r="K6" s="352" t="s">
        <v>22</v>
      </c>
      <c r="L6" s="353">
        <v>131.9</v>
      </c>
      <c r="M6" s="353">
        <v>124.6</v>
      </c>
      <c r="N6" s="354">
        <v>3</v>
      </c>
    </row>
    <row r="7" spans="2:14" ht="17" customHeight="1">
      <c r="B7" s="44" t="s">
        <v>19</v>
      </c>
      <c r="C7" s="328">
        <v>140</v>
      </c>
      <c r="D7" s="328">
        <v>125</v>
      </c>
      <c r="E7" s="333">
        <v>75.008319467554045</v>
      </c>
      <c r="F7" s="330">
        <v>139.268</v>
      </c>
      <c r="G7" s="330">
        <v>136.46950000000001</v>
      </c>
      <c r="H7" s="330">
        <v>136.9</v>
      </c>
      <c r="I7" s="331">
        <v>59.058076361575843</v>
      </c>
      <c r="K7" s="352" t="s">
        <v>19</v>
      </c>
      <c r="L7" s="353">
        <v>140.19999999999999</v>
      </c>
      <c r="M7" s="353">
        <v>124.6</v>
      </c>
      <c r="N7" s="354">
        <v>4</v>
      </c>
    </row>
    <row r="8" spans="2:14" ht="17" customHeight="1">
      <c r="B8" s="44" t="s">
        <v>12</v>
      </c>
      <c r="C8" s="328">
        <v>147</v>
      </c>
      <c r="D8" s="328">
        <v>127</v>
      </c>
      <c r="E8" s="334">
        <v>70.299500831946744</v>
      </c>
      <c r="F8" s="330">
        <v>148.059</v>
      </c>
      <c r="G8" s="330">
        <v>128.65799999999999</v>
      </c>
      <c r="H8" s="330">
        <v>129.19999999999999</v>
      </c>
      <c r="I8" s="331">
        <v>73.131912880582732</v>
      </c>
      <c r="K8" s="352" t="s">
        <v>12</v>
      </c>
      <c r="L8" s="353">
        <v>146.9</v>
      </c>
      <c r="M8" s="353">
        <v>127.5</v>
      </c>
      <c r="N8" s="354">
        <v>5</v>
      </c>
    </row>
    <row r="9" spans="2:14" ht="17" customHeight="1">
      <c r="B9" s="44" t="s">
        <v>23</v>
      </c>
      <c r="C9" s="328">
        <v>152</v>
      </c>
      <c r="D9" s="328">
        <v>128</v>
      </c>
      <c r="E9" s="335">
        <v>68.918469217970042</v>
      </c>
      <c r="F9" s="330">
        <v>145.898</v>
      </c>
      <c r="G9" s="330">
        <v>149.90119999999999</v>
      </c>
      <c r="H9" s="330">
        <v>150.30000000000001</v>
      </c>
      <c r="I9" s="331">
        <v>34.858428410178043</v>
      </c>
      <c r="K9" s="352" t="s">
        <v>23</v>
      </c>
      <c r="L9" s="353">
        <v>151.5</v>
      </c>
      <c r="M9" s="353">
        <v>128.30000000000001</v>
      </c>
      <c r="N9" s="354">
        <v>6</v>
      </c>
    </row>
    <row r="10" spans="2:14" ht="17" customHeight="1">
      <c r="B10" s="44" t="s">
        <v>6</v>
      </c>
      <c r="C10" s="328">
        <v>123</v>
      </c>
      <c r="D10" s="328">
        <v>131</v>
      </c>
      <c r="E10" s="336">
        <v>64.941763727121469</v>
      </c>
      <c r="F10" s="330">
        <v>124.18600000000001</v>
      </c>
      <c r="G10" s="330">
        <v>130.72149999999999</v>
      </c>
      <c r="H10" s="330">
        <v>131.1</v>
      </c>
      <c r="I10" s="331">
        <v>69.414142713909143</v>
      </c>
      <c r="K10" s="352" t="s">
        <v>6</v>
      </c>
      <c r="L10" s="353">
        <v>123</v>
      </c>
      <c r="M10" s="353">
        <v>130.69999999999999</v>
      </c>
      <c r="N10" s="354">
        <v>7</v>
      </c>
    </row>
    <row r="11" spans="2:14" ht="17" customHeight="1">
      <c r="B11" s="44" t="s">
        <v>7</v>
      </c>
      <c r="C11" s="328">
        <v>104</v>
      </c>
      <c r="D11" s="328">
        <v>133</v>
      </c>
      <c r="E11" s="337">
        <v>61.164725457570704</v>
      </c>
      <c r="F11" s="330">
        <v>109.629</v>
      </c>
      <c r="G11" s="330">
        <v>138.3313</v>
      </c>
      <c r="H11" s="330">
        <v>138.6</v>
      </c>
      <c r="I11" s="331">
        <v>55.703705391712589</v>
      </c>
      <c r="K11" s="352" t="s">
        <v>7</v>
      </c>
      <c r="L11" s="353">
        <v>104.2</v>
      </c>
      <c r="M11" s="353">
        <v>132.9</v>
      </c>
      <c r="N11" s="354">
        <v>8</v>
      </c>
    </row>
    <row r="12" spans="2:14" ht="17" customHeight="1">
      <c r="B12" s="44" t="s">
        <v>10</v>
      </c>
      <c r="C12" s="328">
        <v>122</v>
      </c>
      <c r="D12" s="328">
        <v>134</v>
      </c>
      <c r="E12" s="338">
        <v>59.916805324459219</v>
      </c>
      <c r="F12" s="330">
        <v>106.224</v>
      </c>
      <c r="G12" s="330">
        <v>143.7313</v>
      </c>
      <c r="H12" s="330">
        <v>143.9</v>
      </c>
      <c r="I12" s="331">
        <v>45.974624267391142</v>
      </c>
      <c r="K12" s="352" t="s">
        <v>10</v>
      </c>
      <c r="L12" s="353">
        <v>121.9</v>
      </c>
      <c r="M12" s="353">
        <v>133.69999999999999</v>
      </c>
      <c r="N12" s="354">
        <v>9</v>
      </c>
    </row>
    <row r="13" spans="2:14" ht="17" customHeight="1">
      <c r="B13" s="44" t="s">
        <v>14</v>
      </c>
      <c r="C13" s="328">
        <v>149</v>
      </c>
      <c r="D13" s="328">
        <v>134</v>
      </c>
      <c r="E13" s="339">
        <v>59.517470881863531</v>
      </c>
      <c r="F13" s="330">
        <v>151.84800000000001</v>
      </c>
      <c r="G13" s="330">
        <v>135.53630000000001</v>
      </c>
      <c r="H13" s="330">
        <v>136.1</v>
      </c>
      <c r="I13" s="331">
        <v>60.739405714393754</v>
      </c>
      <c r="K13" s="352" t="s">
        <v>14</v>
      </c>
      <c r="L13" s="353">
        <v>149.30000000000001</v>
      </c>
      <c r="M13" s="353">
        <v>133.9</v>
      </c>
      <c r="N13" s="354">
        <v>10</v>
      </c>
    </row>
    <row r="14" spans="2:14" ht="17" customHeight="1">
      <c r="B14" s="44" t="s">
        <v>9</v>
      </c>
      <c r="C14" s="328">
        <v>120</v>
      </c>
      <c r="D14" s="328">
        <v>138</v>
      </c>
      <c r="E14" s="340">
        <v>52.379367720465872</v>
      </c>
      <c r="F14" s="330">
        <v>120.08499999999999</v>
      </c>
      <c r="G14" s="330">
        <v>147.71690000000001</v>
      </c>
      <c r="H14" s="330">
        <v>148.1</v>
      </c>
      <c r="I14" s="331">
        <v>38.793841724966029</v>
      </c>
      <c r="K14" s="97" t="s">
        <v>9</v>
      </c>
      <c r="L14" s="353">
        <v>120.2</v>
      </c>
      <c r="M14" s="353">
        <v>138.19999999999999</v>
      </c>
      <c r="N14" s="354">
        <v>11</v>
      </c>
    </row>
    <row r="15" spans="2:14" ht="17" customHeight="1">
      <c r="B15" s="44" t="s">
        <v>8</v>
      </c>
      <c r="C15" s="328">
        <v>139</v>
      </c>
      <c r="D15" s="328">
        <v>139</v>
      </c>
      <c r="E15" s="341">
        <v>50.582362728785327</v>
      </c>
      <c r="F15" s="330">
        <v>149.226</v>
      </c>
      <c r="G15" s="330">
        <v>148.87260000000001</v>
      </c>
      <c r="H15" s="330">
        <v>149.69999999999999</v>
      </c>
      <c r="I15" s="331">
        <v>36.711638196192276</v>
      </c>
      <c r="K15" s="352" t="s">
        <v>8</v>
      </c>
      <c r="L15" s="353">
        <v>139.19999999999999</v>
      </c>
      <c r="M15" s="353">
        <v>139.30000000000001</v>
      </c>
      <c r="N15" s="354">
        <v>12</v>
      </c>
    </row>
    <row r="16" spans="2:14" ht="17" customHeight="1">
      <c r="B16" s="44" t="s">
        <v>16</v>
      </c>
      <c r="C16" s="328">
        <v>123</v>
      </c>
      <c r="D16" s="328">
        <v>140</v>
      </c>
      <c r="E16" s="342">
        <v>48.785357737104817</v>
      </c>
      <c r="F16" s="330">
        <v>124.006</v>
      </c>
      <c r="G16" s="330">
        <v>146.2193</v>
      </c>
      <c r="H16" s="330">
        <v>146.6</v>
      </c>
      <c r="I16" s="331">
        <v>41.492040223444512</v>
      </c>
      <c r="K16" s="352" t="s">
        <v>16</v>
      </c>
      <c r="L16" s="353">
        <v>123</v>
      </c>
      <c r="M16" s="353">
        <v>140.4</v>
      </c>
      <c r="N16" s="354">
        <v>13</v>
      </c>
    </row>
    <row r="17" spans="2:14" ht="17" customHeight="1">
      <c r="B17" s="44" t="s">
        <v>13</v>
      </c>
      <c r="C17" s="328">
        <v>160</v>
      </c>
      <c r="D17" s="328">
        <v>141</v>
      </c>
      <c r="E17" s="343">
        <v>48.552412645590657</v>
      </c>
      <c r="F17" s="330">
        <v>160.99100000000001</v>
      </c>
      <c r="G17" s="330">
        <v>141.35400000000001</v>
      </c>
      <c r="H17" s="330">
        <v>141.9</v>
      </c>
      <c r="I17" s="331">
        <v>50.257762148289153</v>
      </c>
      <c r="K17" s="352" t="s">
        <v>13</v>
      </c>
      <c r="L17" s="353">
        <v>160.19999999999999</v>
      </c>
      <c r="M17" s="353">
        <v>140.5</v>
      </c>
      <c r="N17" s="354">
        <v>14</v>
      </c>
    </row>
    <row r="18" spans="2:14" ht="17" customHeight="1">
      <c r="B18" s="44" t="s">
        <v>18</v>
      </c>
      <c r="C18" s="328">
        <v>154</v>
      </c>
      <c r="D18" s="328">
        <v>146</v>
      </c>
      <c r="E18" s="344">
        <v>40.183028286189646</v>
      </c>
      <c r="F18" s="330">
        <v>162.62200000000001</v>
      </c>
      <c r="G18" s="330">
        <v>154.57259999999999</v>
      </c>
      <c r="H18" s="330">
        <v>155.1</v>
      </c>
      <c r="I18" s="331">
        <v>26.442052564964108</v>
      </c>
      <c r="K18" s="352" t="s">
        <v>18</v>
      </c>
      <c r="L18" s="353">
        <v>154.19999999999999</v>
      </c>
      <c r="M18" s="353">
        <v>145.6</v>
      </c>
      <c r="N18" s="354">
        <v>15</v>
      </c>
    </row>
    <row r="19" spans="2:14" ht="17" customHeight="1">
      <c r="B19" s="44" t="s">
        <v>11</v>
      </c>
      <c r="C19" s="328">
        <v>137</v>
      </c>
      <c r="D19" s="328">
        <v>147</v>
      </c>
      <c r="E19" s="345">
        <v>38.569051580698805</v>
      </c>
      <c r="F19" s="330">
        <v>136.27199999999999</v>
      </c>
      <c r="G19" s="330">
        <v>143.9691</v>
      </c>
      <c r="H19" s="330">
        <v>144.4</v>
      </c>
      <c r="I19" s="331">
        <v>45.546184361583073</v>
      </c>
      <c r="K19" s="352" t="s">
        <v>11</v>
      </c>
      <c r="L19" s="353">
        <v>137.19999999999999</v>
      </c>
      <c r="M19" s="353">
        <v>146.5</v>
      </c>
      <c r="N19" s="354">
        <v>16</v>
      </c>
    </row>
    <row r="20" spans="2:14" ht="17" customHeight="1">
      <c r="B20" s="44" t="s">
        <v>17</v>
      </c>
      <c r="C20" s="328">
        <v>136</v>
      </c>
      <c r="D20" s="328">
        <v>150</v>
      </c>
      <c r="E20" s="346">
        <v>32.82861896838601</v>
      </c>
      <c r="F20" s="330">
        <v>140.816</v>
      </c>
      <c r="G20" s="330">
        <v>152.01849999999999</v>
      </c>
      <c r="H20" s="330">
        <v>152.6</v>
      </c>
      <c r="I20" s="331">
        <v>31.043727768599194</v>
      </c>
      <c r="K20" s="352" t="s">
        <v>17</v>
      </c>
      <c r="L20" s="353">
        <v>136</v>
      </c>
      <c r="M20" s="353">
        <v>150</v>
      </c>
      <c r="N20" s="354">
        <v>17</v>
      </c>
    </row>
    <row r="21" spans="2:14" ht="17" customHeight="1">
      <c r="B21" s="44" t="s">
        <v>21</v>
      </c>
      <c r="C21" s="328">
        <v>157</v>
      </c>
      <c r="D21" s="328">
        <v>160</v>
      </c>
      <c r="E21" s="347">
        <v>16.256239600665527</v>
      </c>
      <c r="F21" s="330">
        <v>150.92400000000001</v>
      </c>
      <c r="G21" s="330">
        <v>159.23089999999999</v>
      </c>
      <c r="H21" s="330">
        <v>159.69999999999999</v>
      </c>
      <c r="I21" s="331">
        <v>18.049278749885119</v>
      </c>
      <c r="K21" s="352" t="s">
        <v>21</v>
      </c>
      <c r="L21" s="353">
        <v>156.80000000000001</v>
      </c>
      <c r="M21" s="353">
        <v>159.9</v>
      </c>
      <c r="N21" s="354">
        <v>18</v>
      </c>
    </row>
    <row r="22" spans="2:14" ht="17" customHeight="1">
      <c r="B22" s="44" t="s">
        <v>20</v>
      </c>
      <c r="C22" s="328">
        <v>190</v>
      </c>
      <c r="D22" s="328">
        <v>161</v>
      </c>
      <c r="E22" s="348">
        <v>14.525790349417623</v>
      </c>
      <c r="F22" s="330">
        <v>186.11</v>
      </c>
      <c r="G22" s="330">
        <v>156.45099999999999</v>
      </c>
      <c r="H22" s="330">
        <v>157.30000000000001</v>
      </c>
      <c r="I22" s="331">
        <v>23.057773679051998</v>
      </c>
      <c r="K22" s="352" t="s">
        <v>20</v>
      </c>
      <c r="L22" s="353">
        <v>190.1</v>
      </c>
      <c r="M22" s="353">
        <v>160.97</v>
      </c>
      <c r="N22" s="354">
        <v>19</v>
      </c>
    </row>
    <row r="23" spans="2:14" ht="17" customHeight="1">
      <c r="B23" s="44" t="s">
        <v>24</v>
      </c>
      <c r="C23" s="328">
        <v>165</v>
      </c>
      <c r="D23" s="328">
        <v>165</v>
      </c>
      <c r="E23" s="349">
        <v>7.9367720465889882</v>
      </c>
      <c r="F23" s="330">
        <v>168.62899999999999</v>
      </c>
      <c r="G23" s="330">
        <v>169.2483</v>
      </c>
      <c r="H23" s="330">
        <v>169.7</v>
      </c>
      <c r="I23" s="331">
        <v>1.1125915929503785E-3</v>
      </c>
      <c r="K23" s="352" t="s">
        <v>24</v>
      </c>
      <c r="L23" s="353">
        <v>164.6</v>
      </c>
      <c r="M23" s="353">
        <v>164.9</v>
      </c>
      <c r="N23" s="354">
        <v>20</v>
      </c>
    </row>
    <row r="24" spans="2:14" ht="17" customHeight="1">
      <c r="B24" s="44" t="s">
        <v>25</v>
      </c>
      <c r="C24" s="350" t="s">
        <v>95</v>
      </c>
      <c r="D24" s="350" t="s">
        <v>95</v>
      </c>
      <c r="E24" s="350"/>
      <c r="F24" s="350"/>
      <c r="G24" s="350"/>
      <c r="H24" s="350"/>
      <c r="I24" s="350"/>
      <c r="K24" s="97" t="s">
        <v>25</v>
      </c>
    </row>
    <row r="25" spans="2:14" ht="16"/>
    <row r="26" spans="2:14" ht="16"/>
    <row r="27" spans="2:14" ht="16"/>
    <row r="28" spans="2:14" ht="16"/>
    <row r="29" spans="2:14" ht="16"/>
  </sheetData>
  <sheetProtection algorithmName="SHA-512" hashValue="HGweStzr1hPHHSfAV/OzUvwmyBLo1oZDu1bQ/L/X2Q4FObs9tHQqRuozBgtpCpX6wv3lVqG1SwWwNjxm+fXY0w==" saltValue="Pn3CETvL4BdzzL2ajpn8jw==" spinCount="100000" sheet="1" objects="1" scenarios="1"/>
  <mergeCells count="9">
    <mergeCell ref="N2:N3"/>
    <mergeCell ref="K2:K3"/>
    <mergeCell ref="L2:L3"/>
    <mergeCell ref="C2:D2"/>
    <mergeCell ref="B2:B3"/>
    <mergeCell ref="E2:E3"/>
    <mergeCell ref="F2:H2"/>
    <mergeCell ref="I2:I3"/>
    <mergeCell ref="M2:M3"/>
  </mergeCells>
  <phoneticPr fontId="3" type="noConversion"/>
  <conditionalFormatting sqref="K4:K13 K15:K24">
    <cfRule type="containsBlanks" dxfId="3" priority="2">
      <formula>LEN(TRIM(K4))=0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9FD3-B224-5440-8FD5-B2B0ABB68787}">
  <sheetPr>
    <tabColor theme="6"/>
  </sheetPr>
  <dimension ref="B2:S29"/>
  <sheetViews>
    <sheetView zoomScale="90" zoomScaleNormal="90" workbookViewId="0">
      <selection activeCell="J48" sqref="J48"/>
    </sheetView>
  </sheetViews>
  <sheetFormatPr baseColWidth="10" defaultColWidth="11" defaultRowHeight="15.75" customHeight="1"/>
  <cols>
    <col min="1" max="1" width="8" customWidth="1"/>
    <col min="2" max="3" width="15" customWidth="1"/>
    <col min="5" max="5" width="13" customWidth="1"/>
    <col min="7" max="7" width="17.83203125" customWidth="1"/>
    <col min="9" max="9" width="17.1640625" customWidth="1"/>
    <col min="12" max="12" width="14.83203125" customWidth="1"/>
  </cols>
  <sheetData>
    <row r="2" spans="2:19" ht="23" customHeight="1">
      <c r="B2" s="533" t="s">
        <v>3</v>
      </c>
      <c r="C2" s="545" t="s">
        <v>331</v>
      </c>
      <c r="D2" s="546"/>
      <c r="E2" s="545" t="s">
        <v>332</v>
      </c>
      <c r="F2" s="546"/>
      <c r="G2" s="533" t="s">
        <v>390</v>
      </c>
      <c r="H2" s="533" t="s">
        <v>72</v>
      </c>
      <c r="I2" s="533" t="s">
        <v>391</v>
      </c>
      <c r="J2" s="533" t="s">
        <v>358</v>
      </c>
      <c r="L2" s="127" t="s">
        <v>3</v>
      </c>
      <c r="M2" s="127" t="s">
        <v>331</v>
      </c>
      <c r="N2" s="127"/>
      <c r="O2" s="127" t="s">
        <v>332</v>
      </c>
      <c r="P2" s="127"/>
      <c r="Q2" s="127" t="s">
        <v>333</v>
      </c>
      <c r="R2" s="127" t="s">
        <v>4</v>
      </c>
      <c r="S2" s="127" t="s">
        <v>330</v>
      </c>
    </row>
    <row r="3" spans="2:19" ht="35" customHeight="1">
      <c r="B3" s="541"/>
      <c r="C3" s="384" t="s">
        <v>388</v>
      </c>
      <c r="D3" s="384" t="s">
        <v>389</v>
      </c>
      <c r="E3" s="384" t="s">
        <v>388</v>
      </c>
      <c r="F3" s="384" t="s">
        <v>389</v>
      </c>
      <c r="G3" s="547"/>
      <c r="H3" s="547"/>
      <c r="I3" s="541"/>
      <c r="J3" s="541"/>
      <c r="L3" s="127"/>
      <c r="M3" s="325" t="s">
        <v>334</v>
      </c>
      <c r="N3" s="325" t="s">
        <v>335</v>
      </c>
      <c r="O3" s="325" t="s">
        <v>334</v>
      </c>
      <c r="P3" s="325" t="s">
        <v>335</v>
      </c>
      <c r="Q3" s="127"/>
      <c r="R3" s="385"/>
      <c r="S3" s="385"/>
    </row>
    <row r="4" spans="2:19" ht="15" customHeight="1">
      <c r="B4" s="44" t="s">
        <v>5</v>
      </c>
      <c r="C4" s="357" t="s">
        <v>95</v>
      </c>
      <c r="D4" s="351">
        <v>176</v>
      </c>
      <c r="E4" s="358">
        <v>0</v>
      </c>
      <c r="F4" s="358">
        <v>1</v>
      </c>
      <c r="G4" s="351">
        <v>176</v>
      </c>
      <c r="H4" s="317">
        <v>100</v>
      </c>
      <c r="I4" s="331">
        <v>172</v>
      </c>
      <c r="J4" s="331">
        <v>100</v>
      </c>
      <c r="L4" s="352" t="s">
        <v>5</v>
      </c>
      <c r="M4" s="15"/>
      <c r="N4" s="15">
        <v>176</v>
      </c>
      <c r="O4" s="15">
        <v>0</v>
      </c>
      <c r="P4" s="15">
        <v>1</v>
      </c>
      <c r="Q4" s="15">
        <v>176.02</v>
      </c>
      <c r="R4" s="15"/>
      <c r="S4" s="15">
        <v>1</v>
      </c>
    </row>
    <row r="5" spans="2:19" ht="15" customHeight="1">
      <c r="B5" s="44" t="s">
        <v>18</v>
      </c>
      <c r="C5" s="357" t="s">
        <v>95</v>
      </c>
      <c r="D5" s="351">
        <v>138</v>
      </c>
      <c r="E5" s="358">
        <v>0</v>
      </c>
      <c r="F5" s="358">
        <v>1</v>
      </c>
      <c r="G5" s="351">
        <v>138</v>
      </c>
      <c r="H5" s="359">
        <v>76</v>
      </c>
      <c r="I5" s="331">
        <v>139.40600000000001</v>
      </c>
      <c r="J5" s="331">
        <v>78.835064935064935</v>
      </c>
      <c r="L5" s="352" t="s">
        <v>18</v>
      </c>
      <c r="M5" s="15"/>
      <c r="N5" s="15">
        <v>137.9</v>
      </c>
      <c r="O5" s="15">
        <v>0</v>
      </c>
      <c r="P5" s="15">
        <v>1</v>
      </c>
      <c r="Q5" s="15">
        <v>137.85</v>
      </c>
      <c r="R5" s="15"/>
      <c r="S5" s="15">
        <v>2</v>
      </c>
    </row>
    <row r="6" spans="2:19" ht="15" customHeight="1">
      <c r="B6" s="44" t="s">
        <v>12</v>
      </c>
      <c r="C6" s="357" t="s">
        <v>95</v>
      </c>
      <c r="D6" s="351">
        <v>99</v>
      </c>
      <c r="E6" s="358">
        <v>0</v>
      </c>
      <c r="F6" s="358">
        <v>1</v>
      </c>
      <c r="G6" s="351">
        <v>99</v>
      </c>
      <c r="H6" s="360">
        <v>51</v>
      </c>
      <c r="I6" s="331">
        <v>101.58</v>
      </c>
      <c r="J6" s="331">
        <v>54.272727272727273</v>
      </c>
      <c r="L6" s="352" t="s">
        <v>12</v>
      </c>
      <c r="M6" s="15"/>
      <c r="N6" s="15">
        <v>98.6</v>
      </c>
      <c r="O6" s="15">
        <v>0</v>
      </c>
      <c r="P6" s="15">
        <v>1</v>
      </c>
      <c r="Q6" s="15">
        <v>98.58</v>
      </c>
      <c r="R6" s="15"/>
      <c r="S6" s="15">
        <v>3</v>
      </c>
    </row>
    <row r="7" spans="2:19" ht="15" customHeight="1">
      <c r="B7" s="44" t="s">
        <v>19</v>
      </c>
      <c r="C7" s="361" t="s">
        <v>95</v>
      </c>
      <c r="D7" s="351">
        <v>98</v>
      </c>
      <c r="E7" s="358">
        <v>0</v>
      </c>
      <c r="F7" s="358">
        <v>1</v>
      </c>
      <c r="G7" s="351">
        <v>98</v>
      </c>
      <c r="H7" s="362">
        <v>51</v>
      </c>
      <c r="I7" s="331">
        <v>62.670400000000001</v>
      </c>
      <c r="J7" s="331">
        <v>29.006753246753249</v>
      </c>
      <c r="L7" s="352" t="s">
        <v>19</v>
      </c>
      <c r="M7" s="15"/>
      <c r="N7" s="15">
        <v>94.5</v>
      </c>
      <c r="O7" s="15">
        <v>0</v>
      </c>
      <c r="P7" s="15">
        <v>1</v>
      </c>
      <c r="Q7" s="15">
        <v>98.17</v>
      </c>
      <c r="R7" s="15"/>
      <c r="S7" s="15">
        <v>4</v>
      </c>
    </row>
    <row r="8" spans="2:19" ht="15" customHeight="1">
      <c r="B8" s="44" t="s">
        <v>23</v>
      </c>
      <c r="C8" s="357" t="s">
        <v>95</v>
      </c>
      <c r="D8" s="351">
        <v>95</v>
      </c>
      <c r="E8" s="358">
        <v>0</v>
      </c>
      <c r="F8" s="358">
        <v>1</v>
      </c>
      <c r="G8" s="351">
        <v>95</v>
      </c>
      <c r="H8" s="363">
        <v>49</v>
      </c>
      <c r="I8" s="331">
        <v>58.454599999999999</v>
      </c>
      <c r="J8" s="331">
        <v>26.269220779220781</v>
      </c>
      <c r="L8" s="352" t="s">
        <v>23</v>
      </c>
      <c r="M8" s="15"/>
      <c r="N8" s="15">
        <v>93.1</v>
      </c>
      <c r="O8" s="15">
        <v>0</v>
      </c>
      <c r="P8" s="15">
        <v>1</v>
      </c>
      <c r="Q8" s="15">
        <v>95.33</v>
      </c>
      <c r="R8" s="15"/>
      <c r="S8" s="15">
        <v>5</v>
      </c>
    </row>
    <row r="9" spans="2:19" ht="15" customHeight="1">
      <c r="B9" s="44" t="s">
        <v>14</v>
      </c>
      <c r="C9" s="357" t="s">
        <v>95</v>
      </c>
      <c r="D9" s="351">
        <v>94</v>
      </c>
      <c r="E9" s="358">
        <v>0</v>
      </c>
      <c r="F9" s="358">
        <v>1</v>
      </c>
      <c r="G9" s="351">
        <v>94</v>
      </c>
      <c r="H9" s="364">
        <v>48</v>
      </c>
      <c r="I9" s="331">
        <v>94.761700000000005</v>
      </c>
      <c r="J9" s="331">
        <v>49.845259740259742</v>
      </c>
      <c r="L9" s="352" t="s">
        <v>14</v>
      </c>
      <c r="M9" s="15">
        <v>9.6</v>
      </c>
      <c r="N9" s="15">
        <v>90.3</v>
      </c>
      <c r="O9" s="15">
        <v>3.6999999999999998E-2</v>
      </c>
      <c r="P9" s="15">
        <v>0.96299999999999997</v>
      </c>
      <c r="Q9" s="15">
        <v>94.47</v>
      </c>
      <c r="R9" s="15"/>
      <c r="S9" s="15">
        <v>6</v>
      </c>
    </row>
    <row r="10" spans="2:19" ht="15" customHeight="1">
      <c r="B10" s="44" t="s">
        <v>20</v>
      </c>
      <c r="C10" s="357" t="s">
        <v>95</v>
      </c>
      <c r="D10" s="365">
        <v>93</v>
      </c>
      <c r="E10" s="366">
        <v>0</v>
      </c>
      <c r="F10" s="358">
        <v>1</v>
      </c>
      <c r="G10" s="351">
        <v>93</v>
      </c>
      <c r="H10" s="367">
        <v>48</v>
      </c>
      <c r="I10" s="331">
        <v>91.399500000000003</v>
      </c>
      <c r="J10" s="331">
        <v>47.662012987012993</v>
      </c>
      <c r="L10" s="352" t="s">
        <v>20</v>
      </c>
      <c r="M10" s="15">
        <v>13.8</v>
      </c>
      <c r="N10" s="15">
        <v>107.7</v>
      </c>
      <c r="O10" s="15">
        <v>0.16600000000000001</v>
      </c>
      <c r="P10" s="15">
        <v>0.83399999999999996</v>
      </c>
      <c r="Q10" s="15">
        <v>93.14</v>
      </c>
      <c r="R10" s="15"/>
      <c r="S10" s="15">
        <v>7</v>
      </c>
    </row>
    <row r="11" spans="2:19" ht="15" customHeight="1">
      <c r="B11" s="44" t="s">
        <v>8</v>
      </c>
      <c r="C11" s="351">
        <v>14</v>
      </c>
      <c r="D11" s="365">
        <v>108</v>
      </c>
      <c r="E11" s="366">
        <v>0.17</v>
      </c>
      <c r="F11" s="358">
        <v>0.83</v>
      </c>
      <c r="G11" s="351">
        <v>92</v>
      </c>
      <c r="H11" s="368">
        <v>47</v>
      </c>
      <c r="I11" s="331">
        <v>72.342100000000002</v>
      </c>
      <c r="J11" s="331">
        <v>35.287077922077927</v>
      </c>
      <c r="L11" s="352" t="s">
        <v>8</v>
      </c>
      <c r="M11" s="15">
        <v>1.2</v>
      </c>
      <c r="N11" s="15">
        <v>80.099999999999994</v>
      </c>
      <c r="O11" s="15">
        <v>2E-3</v>
      </c>
      <c r="P11" s="15">
        <v>0.998</v>
      </c>
      <c r="Q11" s="15">
        <v>92.12</v>
      </c>
      <c r="R11" s="15"/>
      <c r="S11" s="15">
        <v>8</v>
      </c>
    </row>
    <row r="12" spans="2:19" ht="15" customHeight="1">
      <c r="B12" s="44" t="s">
        <v>13</v>
      </c>
      <c r="C12" s="365">
        <v>10</v>
      </c>
      <c r="D12" s="369">
        <v>90</v>
      </c>
      <c r="E12" s="358">
        <v>0.04</v>
      </c>
      <c r="F12" s="358">
        <v>0.96</v>
      </c>
      <c r="G12" s="351">
        <v>87</v>
      </c>
      <c r="H12" s="370">
        <v>44</v>
      </c>
      <c r="I12" s="331">
        <v>83.997</v>
      </c>
      <c r="J12" s="331">
        <v>42.855194805194806</v>
      </c>
      <c r="L12" s="352" t="s">
        <v>13</v>
      </c>
      <c r="M12" s="15">
        <v>6.1</v>
      </c>
      <c r="N12" s="15">
        <v>71.400000000000006</v>
      </c>
      <c r="O12" s="15">
        <v>0.128</v>
      </c>
      <c r="P12" s="15">
        <v>0.872</v>
      </c>
      <c r="Q12" s="15">
        <v>87.3</v>
      </c>
      <c r="R12" s="15"/>
      <c r="S12" s="15">
        <v>9</v>
      </c>
    </row>
    <row r="13" spans="2:19" ht="15" customHeight="1">
      <c r="B13" s="44" t="s">
        <v>22</v>
      </c>
      <c r="C13" s="371">
        <v>1</v>
      </c>
      <c r="D13" s="67">
        <v>80</v>
      </c>
      <c r="E13" s="358">
        <v>0</v>
      </c>
      <c r="F13" s="358">
        <v>1</v>
      </c>
      <c r="G13" s="351">
        <v>80</v>
      </c>
      <c r="H13" s="372">
        <v>39</v>
      </c>
      <c r="I13" s="331">
        <v>67.6631</v>
      </c>
      <c r="J13" s="331">
        <v>32.248766233766233</v>
      </c>
      <c r="L13" s="352" t="s">
        <v>22</v>
      </c>
      <c r="M13" s="15"/>
      <c r="N13" s="15">
        <v>98.2</v>
      </c>
      <c r="O13" s="15">
        <v>0</v>
      </c>
      <c r="P13" s="15">
        <v>1</v>
      </c>
      <c r="Q13" s="15">
        <v>79.930000000000007</v>
      </c>
      <c r="R13" s="15"/>
      <c r="S13" s="15">
        <v>10</v>
      </c>
    </row>
    <row r="14" spans="2:19" ht="15" customHeight="1">
      <c r="B14" s="44" t="s">
        <v>10</v>
      </c>
      <c r="C14" s="351">
        <v>14</v>
      </c>
      <c r="D14" s="351">
        <v>76</v>
      </c>
      <c r="E14" s="373">
        <v>2E-3</v>
      </c>
      <c r="F14" s="373">
        <v>0.998</v>
      </c>
      <c r="G14" s="351">
        <v>76</v>
      </c>
      <c r="H14" s="374">
        <v>37</v>
      </c>
      <c r="I14" s="331">
        <v>23.8172</v>
      </c>
      <c r="J14" s="331">
        <v>3.7774025974025975</v>
      </c>
      <c r="L14" s="352" t="s">
        <v>10</v>
      </c>
      <c r="M14" s="15"/>
      <c r="N14" s="15">
        <v>95.3</v>
      </c>
      <c r="O14" s="15">
        <v>0</v>
      </c>
      <c r="P14" s="15">
        <v>1</v>
      </c>
      <c r="Q14" s="15">
        <v>76.22</v>
      </c>
      <c r="R14" s="15"/>
      <c r="S14" s="15">
        <v>11</v>
      </c>
    </row>
    <row r="15" spans="2:19" ht="15" customHeight="1">
      <c r="B15" s="44" t="s">
        <v>17</v>
      </c>
      <c r="C15" s="351">
        <v>6</v>
      </c>
      <c r="D15" s="351">
        <v>71</v>
      </c>
      <c r="E15" s="358">
        <v>0.13</v>
      </c>
      <c r="F15" s="358">
        <v>0.87</v>
      </c>
      <c r="G15" s="351">
        <v>63</v>
      </c>
      <c r="H15" s="375">
        <v>29</v>
      </c>
      <c r="I15" s="331">
        <v>65.638999999999996</v>
      </c>
      <c r="J15" s="331">
        <v>30.934415584415582</v>
      </c>
      <c r="L15" s="352" t="s">
        <v>17</v>
      </c>
      <c r="M15" s="15">
        <v>4.8</v>
      </c>
      <c r="N15" s="15">
        <v>57.7</v>
      </c>
      <c r="O15" s="15">
        <v>1E-3</v>
      </c>
      <c r="P15" s="15">
        <v>0.999</v>
      </c>
      <c r="Q15" s="15">
        <v>63.05</v>
      </c>
      <c r="R15" s="15"/>
      <c r="S15" s="15">
        <v>12</v>
      </c>
    </row>
    <row r="16" spans="2:19" ht="15" customHeight="1">
      <c r="B16" s="44" t="s">
        <v>6</v>
      </c>
      <c r="C16" s="351">
        <v>5</v>
      </c>
      <c r="D16" s="351">
        <v>58</v>
      </c>
      <c r="E16" s="358">
        <v>0</v>
      </c>
      <c r="F16" s="358">
        <v>1</v>
      </c>
      <c r="G16" s="351">
        <v>58</v>
      </c>
      <c r="H16" s="376">
        <v>25</v>
      </c>
      <c r="I16" s="331">
        <v>57.092100000000002</v>
      </c>
      <c r="J16" s="331">
        <v>25.384480519480523</v>
      </c>
      <c r="L16" s="352" t="s">
        <v>6</v>
      </c>
      <c r="M16" s="15"/>
      <c r="N16" s="15">
        <v>56</v>
      </c>
      <c r="O16" s="15">
        <v>0</v>
      </c>
      <c r="P16" s="15">
        <v>1</v>
      </c>
      <c r="Q16" s="15">
        <v>57.63</v>
      </c>
      <c r="R16" s="15"/>
      <c r="S16" s="15">
        <v>13</v>
      </c>
    </row>
    <row r="17" spans="2:19" ht="15" customHeight="1">
      <c r="B17" s="44" t="s">
        <v>11</v>
      </c>
      <c r="C17" s="357" t="s">
        <v>95</v>
      </c>
      <c r="D17" s="351">
        <v>57</v>
      </c>
      <c r="E17" s="358">
        <v>0</v>
      </c>
      <c r="F17" s="358">
        <v>1</v>
      </c>
      <c r="G17" s="351">
        <v>57</v>
      </c>
      <c r="H17" s="377">
        <v>25</v>
      </c>
      <c r="I17" s="331">
        <v>45.955399999999997</v>
      </c>
      <c r="J17" s="331">
        <v>18.15285714285714</v>
      </c>
      <c r="L17" s="352" t="s">
        <v>11</v>
      </c>
      <c r="M17" s="15"/>
      <c r="N17" s="15">
        <v>51.2</v>
      </c>
      <c r="O17" s="15">
        <v>0</v>
      </c>
      <c r="P17" s="15">
        <v>1</v>
      </c>
      <c r="Q17" s="15">
        <v>56.86</v>
      </c>
      <c r="R17" s="15"/>
      <c r="S17" s="15">
        <v>14</v>
      </c>
    </row>
    <row r="18" spans="2:19" ht="15" customHeight="1">
      <c r="B18" s="44" t="s">
        <v>21</v>
      </c>
      <c r="C18" s="357" t="s">
        <v>95</v>
      </c>
      <c r="D18" s="351">
        <v>56</v>
      </c>
      <c r="E18" s="358">
        <v>0</v>
      </c>
      <c r="F18" s="358">
        <v>1</v>
      </c>
      <c r="G18" s="351">
        <v>56</v>
      </c>
      <c r="H18" s="378">
        <v>24</v>
      </c>
      <c r="I18" s="331">
        <v>51.499899999999997</v>
      </c>
      <c r="J18" s="331">
        <v>21.753181818181815</v>
      </c>
      <c r="L18" s="352" t="s">
        <v>21</v>
      </c>
      <c r="M18" s="15"/>
      <c r="N18" s="15">
        <v>56.9</v>
      </c>
      <c r="O18" s="15">
        <v>0</v>
      </c>
      <c r="P18" s="15">
        <v>1</v>
      </c>
      <c r="Q18" s="15">
        <v>56</v>
      </c>
      <c r="R18" s="15"/>
      <c r="S18" s="15">
        <v>15</v>
      </c>
    </row>
    <row r="19" spans="2:19" ht="15" customHeight="1">
      <c r="B19" s="44" t="s">
        <v>24</v>
      </c>
      <c r="C19" s="357" t="s">
        <v>95</v>
      </c>
      <c r="D19" s="351">
        <v>51</v>
      </c>
      <c r="E19" s="358">
        <v>0</v>
      </c>
      <c r="F19" s="358">
        <v>1</v>
      </c>
      <c r="G19" s="351">
        <v>51</v>
      </c>
      <c r="H19" s="379">
        <v>21</v>
      </c>
      <c r="I19" s="331">
        <v>46.964599999999997</v>
      </c>
      <c r="J19" s="331">
        <v>18.808181818181815</v>
      </c>
      <c r="L19" s="352" t="s">
        <v>24</v>
      </c>
      <c r="M19" s="15">
        <v>2.2000000000000002</v>
      </c>
      <c r="N19" s="15">
        <v>57.7</v>
      </c>
      <c r="O19" s="15">
        <v>0.11899999999999999</v>
      </c>
      <c r="P19" s="15">
        <v>0.88100000000000001</v>
      </c>
      <c r="Q19" s="15">
        <v>51.24</v>
      </c>
      <c r="R19" s="15"/>
      <c r="S19" s="15">
        <v>16</v>
      </c>
    </row>
    <row r="20" spans="2:19" ht="15" customHeight="1">
      <c r="B20" s="44" t="s">
        <v>16</v>
      </c>
      <c r="C20" s="351">
        <v>2</v>
      </c>
      <c r="D20" s="351">
        <v>58</v>
      </c>
      <c r="E20" s="358">
        <v>0.12</v>
      </c>
      <c r="F20" s="358">
        <v>0.88</v>
      </c>
      <c r="G20" s="351">
        <v>51</v>
      </c>
      <c r="H20" s="379">
        <v>21</v>
      </c>
      <c r="I20" s="331">
        <v>41.526400000000002</v>
      </c>
      <c r="J20" s="331">
        <v>15.27688311688312</v>
      </c>
      <c r="L20" s="352" t="s">
        <v>16</v>
      </c>
      <c r="M20" s="15">
        <v>7.8</v>
      </c>
      <c r="N20" s="15">
        <v>56.9</v>
      </c>
      <c r="O20" s="15">
        <v>0.34399999999999997</v>
      </c>
      <c r="P20" s="15">
        <v>0.65600000000000003</v>
      </c>
      <c r="Q20" s="15">
        <v>51.11</v>
      </c>
      <c r="R20" s="15"/>
      <c r="S20" s="15">
        <v>17</v>
      </c>
    </row>
    <row r="21" spans="2:19" ht="15" customHeight="1">
      <c r="B21" s="44" t="s">
        <v>9</v>
      </c>
      <c r="C21" s="351">
        <v>6</v>
      </c>
      <c r="D21" s="351">
        <v>84</v>
      </c>
      <c r="E21" s="358">
        <v>0.47</v>
      </c>
      <c r="F21" s="358">
        <v>0.53</v>
      </c>
      <c r="G21" s="351">
        <v>47</v>
      </c>
      <c r="H21" s="380">
        <v>18</v>
      </c>
      <c r="I21" s="331">
        <v>26.238600000000002</v>
      </c>
      <c r="J21" s="331">
        <v>5.349740259740261</v>
      </c>
      <c r="L21" s="352" t="s">
        <v>9</v>
      </c>
      <c r="M21" s="15">
        <v>5.8</v>
      </c>
      <c r="N21" s="15">
        <v>83.8</v>
      </c>
      <c r="O21" s="15">
        <v>0.47099999999999997</v>
      </c>
      <c r="P21" s="15">
        <v>0.52900000000000003</v>
      </c>
      <c r="Q21" s="15">
        <v>47.07</v>
      </c>
      <c r="R21" s="15"/>
      <c r="S21" s="15">
        <v>18</v>
      </c>
    </row>
    <row r="22" spans="2:19" ht="15" customHeight="1">
      <c r="B22" s="44" t="s">
        <v>7</v>
      </c>
      <c r="C22" s="351">
        <v>8</v>
      </c>
      <c r="D22" s="351">
        <v>57</v>
      </c>
      <c r="E22" s="358">
        <v>0.34</v>
      </c>
      <c r="F22" s="358">
        <v>0.66</v>
      </c>
      <c r="G22" s="351">
        <v>40</v>
      </c>
      <c r="H22" s="381">
        <v>14</v>
      </c>
      <c r="I22" s="331">
        <v>37.698900000000002</v>
      </c>
      <c r="J22" s="331">
        <v>12.791493506493506</v>
      </c>
      <c r="L22" s="352" t="s">
        <v>7</v>
      </c>
      <c r="M22" s="15">
        <v>8.8000000000000007</v>
      </c>
      <c r="N22" s="15">
        <v>27.9</v>
      </c>
      <c r="O22" s="15">
        <v>9.2999999999999999E-2</v>
      </c>
      <c r="P22" s="15">
        <v>0.90700000000000003</v>
      </c>
      <c r="Q22" s="15">
        <v>40.020000000000003</v>
      </c>
      <c r="R22" s="15"/>
      <c r="S22" s="15">
        <v>19</v>
      </c>
    </row>
    <row r="23" spans="2:19" ht="15" customHeight="1">
      <c r="B23" s="44" t="s">
        <v>15</v>
      </c>
      <c r="C23" s="351">
        <v>9</v>
      </c>
      <c r="D23" s="67">
        <v>28</v>
      </c>
      <c r="E23" s="358">
        <v>0.09</v>
      </c>
      <c r="F23" s="358">
        <v>0.91</v>
      </c>
      <c r="G23" s="351">
        <v>26</v>
      </c>
      <c r="H23" s="382">
        <v>5</v>
      </c>
      <c r="I23" s="331">
        <v>25.9039</v>
      </c>
      <c r="J23" s="331">
        <v>5.1324025974025975</v>
      </c>
      <c r="L23" s="352" t="s">
        <v>15</v>
      </c>
      <c r="M23" s="15">
        <v>13.8</v>
      </c>
      <c r="N23" s="15">
        <v>76.3</v>
      </c>
      <c r="O23" s="15">
        <v>2E-3</v>
      </c>
      <c r="P23" s="15">
        <v>0.998</v>
      </c>
      <c r="Q23" s="15">
        <v>26.13</v>
      </c>
      <c r="R23" s="15"/>
      <c r="S23" s="15">
        <v>20</v>
      </c>
    </row>
    <row r="24" spans="2:19" ht="15" customHeight="1">
      <c r="B24" s="44" t="s">
        <v>25</v>
      </c>
      <c r="C24" s="357" t="s">
        <v>95</v>
      </c>
      <c r="D24" s="357" t="s">
        <v>95</v>
      </c>
      <c r="E24" s="357" t="s">
        <v>95</v>
      </c>
      <c r="F24" s="357" t="s">
        <v>95</v>
      </c>
      <c r="G24" s="357" t="s">
        <v>95</v>
      </c>
      <c r="H24" s="357" t="s">
        <v>95</v>
      </c>
      <c r="I24" s="357" t="s">
        <v>95</v>
      </c>
      <c r="J24" s="383"/>
      <c r="L24" s="352" t="s">
        <v>25</v>
      </c>
      <c r="M24" s="15"/>
      <c r="N24" s="15"/>
      <c r="O24" s="15"/>
      <c r="P24" s="15"/>
      <c r="Q24" s="15"/>
      <c r="R24" s="15"/>
      <c r="S24" s="15"/>
    </row>
    <row r="25" spans="2:19" ht="16"/>
    <row r="26" spans="2:19" ht="16"/>
    <row r="27" spans="2:19" ht="16"/>
    <row r="28" spans="2:19" ht="16"/>
    <row r="29" spans="2:19" ht="16"/>
  </sheetData>
  <sheetProtection algorithmName="SHA-512" hashValue="2qaPYbi6PIjp6/jUCQUzFTYg+m+CT9tN7OER9kzRFhwKMm+fQT6fLpzPRJmVPHGfSC13YQ8njpn1wtA3yS6LpA==" saltValue="pObbG/CPdvFHnuyx9K82nw==" spinCount="100000" sheet="1" objects="1" scenarios="1"/>
  <mergeCells count="7">
    <mergeCell ref="I2:I3"/>
    <mergeCell ref="J2:J3"/>
    <mergeCell ref="B2:B3"/>
    <mergeCell ref="C2:D2"/>
    <mergeCell ref="E2:F2"/>
    <mergeCell ref="G2:G3"/>
    <mergeCell ref="H2:H3"/>
  </mergeCells>
  <phoneticPr fontId="3" type="noConversion"/>
  <conditionalFormatting sqref="L4:L24">
    <cfRule type="containsBlanks" dxfId="2" priority="3">
      <formula>LEN(TRIM(L4))=0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06EC-E792-7E43-B5AE-3128D9F5C23B}">
  <sheetPr>
    <tabColor theme="6"/>
  </sheetPr>
  <dimension ref="B2:J29"/>
  <sheetViews>
    <sheetView zoomScale="90" zoomScaleNormal="90" workbookViewId="0">
      <selection activeCell="I11" sqref="I11"/>
    </sheetView>
  </sheetViews>
  <sheetFormatPr baseColWidth="10" defaultColWidth="11" defaultRowHeight="15.75" customHeight="1"/>
  <cols>
    <col min="1" max="1" width="6.6640625" customWidth="1"/>
    <col min="2" max="2" width="15.1640625" customWidth="1"/>
    <col min="3" max="3" width="13.5" customWidth="1"/>
    <col min="4" max="6" width="12.33203125" customWidth="1"/>
    <col min="8" max="8" width="13.5" customWidth="1"/>
  </cols>
  <sheetData>
    <row r="2" spans="2:10" ht="15.75" customHeight="1">
      <c r="B2" s="533" t="s">
        <v>3</v>
      </c>
      <c r="C2" s="533" t="s">
        <v>392</v>
      </c>
      <c r="D2" s="533" t="s">
        <v>72</v>
      </c>
      <c r="E2" s="533" t="s">
        <v>393</v>
      </c>
      <c r="F2" s="533" t="s">
        <v>71</v>
      </c>
      <c r="G2" s="8"/>
      <c r="H2" s="536" t="s">
        <v>3</v>
      </c>
      <c r="I2" s="536" t="s">
        <v>336</v>
      </c>
      <c r="J2" s="536" t="s">
        <v>330</v>
      </c>
    </row>
    <row r="3" spans="2:10" ht="19" customHeight="1">
      <c r="B3" s="541"/>
      <c r="C3" s="541"/>
      <c r="D3" s="541"/>
      <c r="E3" s="541"/>
      <c r="F3" s="541"/>
      <c r="G3" s="8"/>
      <c r="H3" s="536"/>
      <c r="I3" s="536"/>
      <c r="J3" s="536" t="s">
        <v>330</v>
      </c>
    </row>
    <row r="4" spans="2:10" ht="15" customHeight="1">
      <c r="B4" s="393" t="s">
        <v>5</v>
      </c>
      <c r="C4" s="328">
        <v>537</v>
      </c>
      <c r="D4" s="317">
        <v>100</v>
      </c>
      <c r="E4" s="351">
        <v>527</v>
      </c>
      <c r="F4" s="351">
        <v>100</v>
      </c>
      <c r="G4" s="8"/>
      <c r="H4" s="15" t="s">
        <v>5</v>
      </c>
      <c r="I4" s="353">
        <v>536.77</v>
      </c>
      <c r="J4" s="15">
        <v>1</v>
      </c>
    </row>
    <row r="5" spans="2:10" ht="15" customHeight="1">
      <c r="B5" s="393" t="s">
        <v>19</v>
      </c>
      <c r="C5" s="328">
        <v>517</v>
      </c>
      <c r="D5" s="386">
        <v>94</v>
      </c>
      <c r="E5" s="351">
        <v>445</v>
      </c>
      <c r="F5" s="351">
        <v>75</v>
      </c>
      <c r="G5" s="8"/>
      <c r="H5" s="15" t="s">
        <v>19</v>
      </c>
      <c r="I5" s="353">
        <v>517.47</v>
      </c>
      <c r="J5" s="15">
        <v>2</v>
      </c>
    </row>
    <row r="6" spans="2:10" ht="15" customHeight="1">
      <c r="B6" s="393" t="s">
        <v>23</v>
      </c>
      <c r="C6" s="328">
        <v>500</v>
      </c>
      <c r="D6" s="387">
        <v>89</v>
      </c>
      <c r="E6" s="351">
        <v>376</v>
      </c>
      <c r="F6" s="351">
        <v>54</v>
      </c>
      <c r="G6" s="8"/>
      <c r="H6" s="15" t="s">
        <v>23</v>
      </c>
      <c r="I6" s="353">
        <v>500.34</v>
      </c>
      <c r="J6" s="15">
        <v>3</v>
      </c>
    </row>
    <row r="7" spans="2:10" ht="15" customHeight="1">
      <c r="B7" s="393" t="s">
        <v>14</v>
      </c>
      <c r="C7" s="328">
        <v>496</v>
      </c>
      <c r="D7" s="388">
        <v>88</v>
      </c>
      <c r="E7" s="351">
        <v>483</v>
      </c>
      <c r="F7" s="351">
        <v>87</v>
      </c>
      <c r="G7" s="8"/>
      <c r="H7" s="15" t="s">
        <v>14</v>
      </c>
      <c r="I7" s="353">
        <v>495.74</v>
      </c>
      <c r="J7" s="15">
        <v>4</v>
      </c>
    </row>
    <row r="8" spans="2:10" ht="15" customHeight="1">
      <c r="B8" s="393" t="s">
        <v>12</v>
      </c>
      <c r="C8" s="328">
        <v>493</v>
      </c>
      <c r="D8" s="389">
        <v>87</v>
      </c>
      <c r="E8" s="351">
        <v>495</v>
      </c>
      <c r="F8" s="351">
        <v>90</v>
      </c>
      <c r="G8" s="8"/>
      <c r="H8" s="15" t="s">
        <v>12</v>
      </c>
      <c r="I8" s="353">
        <v>493</v>
      </c>
      <c r="J8" s="15">
        <v>5</v>
      </c>
    </row>
    <row r="9" spans="2:10" ht="15" customHeight="1">
      <c r="B9" s="393" t="s">
        <v>20</v>
      </c>
      <c r="C9" s="328">
        <v>485</v>
      </c>
      <c r="D9" s="390">
        <v>85</v>
      </c>
      <c r="E9" s="351">
        <v>481</v>
      </c>
      <c r="F9" s="351">
        <v>86</v>
      </c>
      <c r="G9" s="8"/>
      <c r="H9" s="15" t="s">
        <v>20</v>
      </c>
      <c r="I9" s="353">
        <v>485.4</v>
      </c>
      <c r="J9" s="15">
        <v>6</v>
      </c>
    </row>
    <row r="10" spans="2:10" ht="15" customHeight="1">
      <c r="B10" s="393" t="s">
        <v>13</v>
      </c>
      <c r="C10" s="328">
        <v>482</v>
      </c>
      <c r="D10" s="391">
        <v>84</v>
      </c>
      <c r="E10" s="351">
        <v>469</v>
      </c>
      <c r="F10" s="351">
        <v>82</v>
      </c>
      <c r="G10" s="8"/>
      <c r="H10" s="15" t="s">
        <v>13</v>
      </c>
      <c r="I10" s="353">
        <v>482.34</v>
      </c>
      <c r="J10" s="15">
        <v>7</v>
      </c>
    </row>
    <row r="11" spans="2:10" ht="15" customHeight="1">
      <c r="B11" s="393" t="s">
        <v>22</v>
      </c>
      <c r="C11" s="328">
        <v>475</v>
      </c>
      <c r="D11" s="392">
        <v>82</v>
      </c>
      <c r="E11" s="351">
        <v>467</v>
      </c>
      <c r="F11" s="351">
        <v>82</v>
      </c>
      <c r="G11" s="8"/>
      <c r="H11" s="15" t="s">
        <v>22</v>
      </c>
      <c r="I11" s="353">
        <v>475.27</v>
      </c>
      <c r="J11" s="15">
        <v>8</v>
      </c>
    </row>
    <row r="12" spans="2:10" ht="15" customHeight="1">
      <c r="B12" s="393" t="s">
        <v>18</v>
      </c>
      <c r="C12" s="328">
        <v>444</v>
      </c>
      <c r="D12" s="394">
        <v>73</v>
      </c>
      <c r="E12" s="351">
        <v>432</v>
      </c>
      <c r="F12" s="351">
        <v>71</v>
      </c>
      <c r="G12" s="8"/>
      <c r="H12" s="15" t="s">
        <v>18</v>
      </c>
      <c r="I12" s="353">
        <v>444.41</v>
      </c>
      <c r="J12" s="15">
        <v>9</v>
      </c>
    </row>
    <row r="13" spans="2:10" ht="15" customHeight="1">
      <c r="B13" s="393" t="s">
        <v>8</v>
      </c>
      <c r="C13" s="328">
        <v>411</v>
      </c>
      <c r="D13" s="395">
        <v>63</v>
      </c>
      <c r="E13" s="351">
        <v>367</v>
      </c>
      <c r="F13" s="351">
        <v>51</v>
      </c>
      <c r="G13" s="8"/>
      <c r="H13" s="15" t="s">
        <v>8</v>
      </c>
      <c r="I13" s="353">
        <v>411.06</v>
      </c>
      <c r="J13" s="15">
        <v>10</v>
      </c>
    </row>
    <row r="14" spans="2:10" ht="15" customHeight="1">
      <c r="B14" s="393" t="s">
        <v>6</v>
      </c>
      <c r="C14" s="328">
        <v>400</v>
      </c>
      <c r="D14" s="396">
        <v>60</v>
      </c>
      <c r="E14" s="351">
        <v>407</v>
      </c>
      <c r="F14" s="351">
        <v>64</v>
      </c>
      <c r="G14" s="8"/>
      <c r="H14" s="15" t="s">
        <v>6</v>
      </c>
      <c r="I14" s="353">
        <v>400.42</v>
      </c>
      <c r="J14" s="15">
        <v>11</v>
      </c>
    </row>
    <row r="15" spans="2:10" ht="15" customHeight="1">
      <c r="B15" s="393" t="s">
        <v>10</v>
      </c>
      <c r="C15" s="328">
        <v>395</v>
      </c>
      <c r="D15" s="397">
        <v>59</v>
      </c>
      <c r="E15" s="351">
        <v>209</v>
      </c>
      <c r="F15" s="351">
        <v>4</v>
      </c>
      <c r="G15" s="8"/>
      <c r="H15" s="15" t="s">
        <v>10</v>
      </c>
      <c r="I15" s="353">
        <v>395.38</v>
      </c>
      <c r="J15" s="15">
        <v>12</v>
      </c>
    </row>
    <row r="16" spans="2:10" ht="15" customHeight="1">
      <c r="B16" s="393" t="s">
        <v>11</v>
      </c>
      <c r="C16" s="328">
        <v>362</v>
      </c>
      <c r="D16" s="398">
        <v>49</v>
      </c>
      <c r="E16" s="351">
        <v>373</v>
      </c>
      <c r="F16" s="351">
        <v>53</v>
      </c>
      <c r="G16" s="8"/>
      <c r="H16" s="15" t="s">
        <v>11</v>
      </c>
      <c r="I16" s="353">
        <v>361.68</v>
      </c>
      <c r="J16" s="15">
        <v>13</v>
      </c>
    </row>
    <row r="17" spans="2:10" ht="15" customHeight="1">
      <c r="B17" s="393" t="s">
        <v>15</v>
      </c>
      <c r="C17" s="328">
        <v>348</v>
      </c>
      <c r="D17" s="399">
        <v>45</v>
      </c>
      <c r="E17" s="351">
        <v>334</v>
      </c>
      <c r="F17" s="351">
        <v>42</v>
      </c>
      <c r="G17" s="8"/>
      <c r="H17" s="15" t="s">
        <v>15</v>
      </c>
      <c r="I17" s="353">
        <v>348.42</v>
      </c>
      <c r="J17" s="15">
        <v>14</v>
      </c>
    </row>
    <row r="18" spans="2:10" ht="15" customHeight="1">
      <c r="B18" s="393" t="s">
        <v>9</v>
      </c>
      <c r="C18" s="328">
        <v>337</v>
      </c>
      <c r="D18" s="400">
        <v>41</v>
      </c>
      <c r="E18" s="351">
        <v>267</v>
      </c>
      <c r="F18" s="351">
        <v>21</v>
      </c>
      <c r="G18" s="8"/>
      <c r="H18" s="15" t="s">
        <v>9</v>
      </c>
      <c r="I18" s="353">
        <v>337.06</v>
      </c>
      <c r="J18" s="15">
        <v>15</v>
      </c>
    </row>
    <row r="19" spans="2:10" ht="15" customHeight="1">
      <c r="B19" s="393" t="s">
        <v>17</v>
      </c>
      <c r="C19" s="328">
        <v>324</v>
      </c>
      <c r="D19" s="401">
        <v>38</v>
      </c>
      <c r="E19" s="351">
        <v>313</v>
      </c>
      <c r="F19" s="351">
        <v>35</v>
      </c>
      <c r="G19" s="8"/>
      <c r="H19" s="15" t="s">
        <v>17</v>
      </c>
      <c r="I19" s="353">
        <v>323.8</v>
      </c>
      <c r="J19" s="15">
        <v>16</v>
      </c>
    </row>
    <row r="20" spans="2:10" ht="15" customHeight="1">
      <c r="B20" s="393" t="s">
        <v>21</v>
      </c>
      <c r="C20" s="328">
        <v>322</v>
      </c>
      <c r="D20" s="402">
        <v>37</v>
      </c>
      <c r="E20" s="351">
        <v>296</v>
      </c>
      <c r="F20" s="351">
        <v>30</v>
      </c>
      <c r="G20" s="8"/>
      <c r="H20" s="15" t="s">
        <v>21</v>
      </c>
      <c r="I20" s="353">
        <v>322</v>
      </c>
      <c r="J20" s="15">
        <v>17</v>
      </c>
    </row>
    <row r="21" spans="2:10" ht="15" customHeight="1">
      <c r="B21" s="393" t="s">
        <v>16</v>
      </c>
      <c r="C21" s="328">
        <v>319</v>
      </c>
      <c r="D21" s="403">
        <v>36</v>
      </c>
      <c r="E21" s="351">
        <v>284</v>
      </c>
      <c r="F21" s="351">
        <v>27</v>
      </c>
      <c r="G21" s="8"/>
      <c r="H21" s="15" t="s">
        <v>16</v>
      </c>
      <c r="I21" s="353">
        <v>319.39999999999998</v>
      </c>
      <c r="J21" s="15">
        <v>18</v>
      </c>
    </row>
    <row r="22" spans="2:10" ht="15" customHeight="1">
      <c r="B22" s="393" t="s">
        <v>7</v>
      </c>
      <c r="C22" s="328">
        <v>295</v>
      </c>
      <c r="D22" s="404">
        <v>29</v>
      </c>
      <c r="E22" s="357">
        <v>281</v>
      </c>
      <c r="F22" s="357">
        <v>26</v>
      </c>
      <c r="G22" s="8"/>
      <c r="H22" s="15" t="s">
        <v>7</v>
      </c>
      <c r="I22" s="353">
        <v>295.29000000000002</v>
      </c>
      <c r="J22" s="15">
        <v>19</v>
      </c>
    </row>
    <row r="23" spans="2:10" ht="15" customHeight="1">
      <c r="B23" s="393" t="s">
        <v>24</v>
      </c>
      <c r="C23" s="328">
        <v>229</v>
      </c>
      <c r="D23" s="405">
        <v>10</v>
      </c>
      <c r="E23" s="351">
        <v>203</v>
      </c>
      <c r="F23" s="351">
        <v>2</v>
      </c>
      <c r="G23" s="8"/>
      <c r="H23" s="15" t="s">
        <v>24</v>
      </c>
      <c r="I23" s="353">
        <v>229.04</v>
      </c>
      <c r="J23" s="15">
        <v>20</v>
      </c>
    </row>
    <row r="24" spans="2:10" ht="15" customHeight="1">
      <c r="B24" s="393" t="s">
        <v>25</v>
      </c>
      <c r="C24" s="357"/>
      <c r="D24" s="357"/>
      <c r="E24" s="357"/>
      <c r="F24" s="357"/>
      <c r="G24" s="8"/>
      <c r="H24" s="15" t="s">
        <v>25</v>
      </c>
      <c r="I24" s="15" t="s">
        <v>95</v>
      </c>
      <c r="J24" s="15">
        <v>21</v>
      </c>
    </row>
    <row r="25" spans="2:10" ht="16"/>
    <row r="26" spans="2:10" ht="16"/>
    <row r="27" spans="2:10" ht="16"/>
    <row r="28" spans="2:10" ht="16"/>
    <row r="29" spans="2:10" ht="16"/>
  </sheetData>
  <sheetProtection algorithmName="SHA-512" hashValue="QipJiLlDWnhWiEjhXx68yi/5Eb02hG0FJJyuJcNA6wv00hVU0LnYNwVuY2hhrf4aPEJ+Zku0oJDsVSJPmFt/Xw==" saltValue="wqjOFvVuHJUqt3cNWdnsqg==" spinCount="100000" sheet="1" objects="1" scenarios="1"/>
  <mergeCells count="8">
    <mergeCell ref="J2:J3"/>
    <mergeCell ref="H2:H3"/>
    <mergeCell ref="I2:I3"/>
    <mergeCell ref="B2:B3"/>
    <mergeCell ref="C2:C3"/>
    <mergeCell ref="D2:D3"/>
    <mergeCell ref="E2:E3"/>
    <mergeCell ref="F2:F3"/>
  </mergeCells>
  <phoneticPr fontId="3" type="noConversion"/>
  <conditionalFormatting sqref="I8">
    <cfRule type="containsBlanks" dxfId="1" priority="2">
      <formula>LEN(TRIM(I8))=0</formula>
    </cfRule>
  </conditionalFormatting>
  <conditionalFormatting sqref="I23">
    <cfRule type="containsBlanks" dxfId="0" priority="1">
      <formula>LEN(TRIM(I23))=0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73100-A367-8740-9257-03B1167CB1CF}">
  <sheetPr>
    <tabColor theme="8" tint="0.39997558519241921"/>
  </sheetPr>
  <dimension ref="A1:K27"/>
  <sheetViews>
    <sheetView zoomScale="80" zoomScaleNormal="80" workbookViewId="0">
      <selection activeCell="E13" sqref="E13"/>
    </sheetView>
  </sheetViews>
  <sheetFormatPr baseColWidth="10" defaultColWidth="11" defaultRowHeight="15.75" customHeight="1"/>
  <cols>
    <col min="1" max="1" width="5.1640625" customWidth="1"/>
    <col min="2" max="2" width="13.33203125" customWidth="1"/>
    <col min="3" max="3" width="90.83203125" customWidth="1"/>
    <col min="4" max="4" width="7.83203125" customWidth="1"/>
    <col min="5" max="5" width="90.33203125" customWidth="1"/>
    <col min="6" max="6" width="7.83203125" customWidth="1"/>
    <col min="7" max="7" width="15.5" customWidth="1"/>
    <col min="8" max="8" width="7.83203125" customWidth="1"/>
    <col min="9" max="9" width="12" customWidth="1"/>
    <col min="10" max="10" width="11" customWidth="1"/>
  </cols>
  <sheetData>
    <row r="1" spans="1:11" ht="59" customHeight="1">
      <c r="A1" s="509"/>
      <c r="B1" s="445" t="s">
        <v>26</v>
      </c>
      <c r="C1" s="548" t="s">
        <v>267</v>
      </c>
      <c r="D1" s="549"/>
      <c r="E1" s="548" t="s">
        <v>268</v>
      </c>
      <c r="F1" s="549"/>
      <c r="G1" s="548" t="s">
        <v>278</v>
      </c>
      <c r="H1" s="549"/>
      <c r="I1" s="445" t="s">
        <v>357</v>
      </c>
      <c r="J1" s="445" t="s">
        <v>57</v>
      </c>
    </row>
    <row r="2" spans="1:11" s="505" customFormat="1" ht="161" customHeight="1">
      <c r="A2" s="497" t="s">
        <v>50</v>
      </c>
      <c r="B2" s="496" t="s">
        <v>13</v>
      </c>
      <c r="C2" s="496" t="s">
        <v>455</v>
      </c>
      <c r="D2" s="500">
        <v>100</v>
      </c>
      <c r="E2" s="503" t="s">
        <v>445</v>
      </c>
      <c r="F2" s="500">
        <v>70.703406985072377</v>
      </c>
      <c r="G2" s="501">
        <v>2.061233190312616</v>
      </c>
      <c r="H2" s="500">
        <v>53.963033977680894</v>
      </c>
      <c r="I2" s="500">
        <f t="shared" ref="I2:I22" si="0">AVERAGE(D2,F2,H2)</f>
        <v>74.888813654251081</v>
      </c>
      <c r="J2" s="508">
        <f t="shared" ref="J2:J22" si="1">(I2-$F$24)/(F$23-$F$24)*100</f>
        <v>100</v>
      </c>
      <c r="K2" s="504"/>
    </row>
    <row r="3" spans="1:11" s="505" customFormat="1" ht="109" customHeight="1">
      <c r="A3" s="499" t="s">
        <v>273</v>
      </c>
      <c r="B3" s="496" t="s">
        <v>12</v>
      </c>
      <c r="C3" s="496" t="s">
        <v>453</v>
      </c>
      <c r="D3" s="500">
        <v>17.958898564659524</v>
      </c>
      <c r="E3" s="496" t="s">
        <v>443</v>
      </c>
      <c r="F3" s="500">
        <v>99.260563219246237</v>
      </c>
      <c r="G3" s="501">
        <v>2.0050422126628011</v>
      </c>
      <c r="H3" s="500">
        <v>57.413231596000493</v>
      </c>
      <c r="I3" s="500">
        <f t="shared" si="0"/>
        <v>58.210897793302081</v>
      </c>
      <c r="J3" s="508">
        <f t="shared" si="1"/>
        <v>77.729763569298754</v>
      </c>
      <c r="K3" s="504"/>
    </row>
    <row r="4" spans="1:11" s="505" customFormat="1" ht="87" customHeight="1">
      <c r="A4" s="499" t="s">
        <v>270</v>
      </c>
      <c r="B4" s="496" t="s">
        <v>20</v>
      </c>
      <c r="C4" s="496" t="s">
        <v>449</v>
      </c>
      <c r="D4" s="500">
        <v>5.9862995215531738</v>
      </c>
      <c r="E4" s="496" t="s">
        <v>447</v>
      </c>
      <c r="F4" s="500">
        <v>100</v>
      </c>
      <c r="G4" s="501">
        <v>2.0380678129589</v>
      </c>
      <c r="H4" s="500">
        <v>55.385417661256632</v>
      </c>
      <c r="I4" s="500">
        <f t="shared" si="0"/>
        <v>53.790572394269937</v>
      </c>
      <c r="J4" s="508">
        <f t="shared" si="1"/>
        <v>71.82724597910159</v>
      </c>
      <c r="K4" s="504"/>
    </row>
    <row r="5" spans="1:11" s="505" customFormat="1" ht="89" customHeight="1">
      <c r="A5" s="497" t="s">
        <v>17</v>
      </c>
      <c r="B5" s="496" t="s">
        <v>14</v>
      </c>
      <c r="C5" s="496" t="s">
        <v>450</v>
      </c>
      <c r="D5" s="500">
        <v>63.055688293693436</v>
      </c>
      <c r="E5" s="496" t="s">
        <v>444</v>
      </c>
      <c r="F5" s="500">
        <v>29.08705216208579</v>
      </c>
      <c r="G5" s="501">
        <v>2.1682551650573281</v>
      </c>
      <c r="H5" s="500">
        <v>47.391748376045129</v>
      </c>
      <c r="I5" s="500">
        <f t="shared" si="0"/>
        <v>46.511496277274794</v>
      </c>
      <c r="J5" s="502">
        <f t="shared" si="1"/>
        <v>62.107401636792467</v>
      </c>
      <c r="K5" s="504"/>
    </row>
    <row r="6" spans="1:11" s="505" customFormat="1" ht="59" customHeight="1">
      <c r="A6" s="497" t="s">
        <v>23</v>
      </c>
      <c r="B6" s="496" t="s">
        <v>19</v>
      </c>
      <c r="C6" s="496" t="s">
        <v>451</v>
      </c>
      <c r="D6" s="500">
        <v>11.972599043106348</v>
      </c>
      <c r="E6" s="496" t="s">
        <v>446</v>
      </c>
      <c r="F6" s="500">
        <v>54.459243740002819</v>
      </c>
      <c r="G6" s="501">
        <v>2.0767557249884714</v>
      </c>
      <c r="H6" s="500">
        <v>53.009930571958321</v>
      </c>
      <c r="I6" s="500">
        <f t="shared" si="0"/>
        <v>39.813924451689161</v>
      </c>
      <c r="J6" s="502">
        <f t="shared" si="1"/>
        <v>53.16404748445246</v>
      </c>
      <c r="K6" s="504"/>
    </row>
    <row r="7" spans="1:11" s="505" customFormat="1" ht="49" customHeight="1">
      <c r="A7" s="497" t="s">
        <v>20</v>
      </c>
      <c r="B7" s="496" t="s">
        <v>24</v>
      </c>
      <c r="C7" s="496"/>
      <c r="D7" s="500">
        <v>0</v>
      </c>
      <c r="E7" s="503"/>
      <c r="F7" s="500">
        <v>0</v>
      </c>
      <c r="G7" s="501">
        <v>1.3114610279617129</v>
      </c>
      <c r="H7" s="500">
        <v>100</v>
      </c>
      <c r="I7" s="500">
        <f t="shared" si="0"/>
        <v>33.333333333333336</v>
      </c>
      <c r="J7" s="502">
        <f t="shared" si="1"/>
        <v>44.510430472603915</v>
      </c>
      <c r="K7" s="504"/>
    </row>
    <row r="8" spans="1:11" s="505" customFormat="1" ht="64" customHeight="1">
      <c r="A8" s="497" t="s">
        <v>25</v>
      </c>
      <c r="B8" s="496" t="s">
        <v>8</v>
      </c>
      <c r="C8" s="496" t="s">
        <v>452</v>
      </c>
      <c r="D8" s="500">
        <v>3.4810671055496019</v>
      </c>
      <c r="E8" s="503" t="s">
        <v>448</v>
      </c>
      <c r="F8" s="500">
        <v>57.499999999999993</v>
      </c>
      <c r="G8" s="501">
        <v>2.332508255299226</v>
      </c>
      <c r="H8" s="500">
        <v>37.306399367064195</v>
      </c>
      <c r="I8" s="500">
        <f t="shared" si="0"/>
        <v>32.762488824204596</v>
      </c>
      <c r="J8" s="502">
        <f t="shared" si="1"/>
        <v>43.748174427576643</v>
      </c>
      <c r="K8" s="504"/>
    </row>
    <row r="9" spans="1:11" s="505" customFormat="1" ht="49" customHeight="1">
      <c r="A9" s="497" t="s">
        <v>21</v>
      </c>
      <c r="B9" s="496" t="s">
        <v>25</v>
      </c>
      <c r="C9" s="496"/>
      <c r="D9" s="500">
        <v>0</v>
      </c>
      <c r="E9" s="496"/>
      <c r="F9" s="500">
        <v>0</v>
      </c>
      <c r="G9" s="501">
        <v>1.9132550606028904</v>
      </c>
      <c r="H9" s="500">
        <v>63.04907967472645</v>
      </c>
      <c r="I9" s="500">
        <f t="shared" si="0"/>
        <v>21.016359891575483</v>
      </c>
      <c r="J9" s="502">
        <f t="shared" si="1"/>
        <v>28.063416772235762</v>
      </c>
      <c r="K9" s="504"/>
    </row>
    <row r="10" spans="1:11" s="505" customFormat="1" ht="49" customHeight="1">
      <c r="A10" s="497" t="s">
        <v>12</v>
      </c>
      <c r="B10" s="496" t="s">
        <v>21</v>
      </c>
      <c r="C10" s="496"/>
      <c r="D10" s="500">
        <v>0</v>
      </c>
      <c r="E10" s="496"/>
      <c r="F10" s="500">
        <v>0</v>
      </c>
      <c r="G10" s="501">
        <v>1.9490102841730803</v>
      </c>
      <c r="H10" s="500">
        <v>60.853663393252297</v>
      </c>
      <c r="I10" s="500">
        <f t="shared" si="0"/>
        <v>20.284554464417432</v>
      </c>
      <c r="J10" s="502">
        <f t="shared" si="1"/>
        <v>27.086227534685985</v>
      </c>
      <c r="K10" s="504"/>
    </row>
    <row r="11" spans="1:11" s="505" customFormat="1" ht="49" customHeight="1">
      <c r="A11" s="497" t="s">
        <v>13</v>
      </c>
      <c r="B11" s="496" t="s">
        <v>16</v>
      </c>
      <c r="C11" s="496"/>
      <c r="D11" s="500">
        <v>0</v>
      </c>
      <c r="E11" s="503"/>
      <c r="F11" s="500">
        <v>0</v>
      </c>
      <c r="G11" s="501">
        <v>2.0137339912112071</v>
      </c>
      <c r="H11" s="500">
        <v>56.879545319289647</v>
      </c>
      <c r="I11" s="500">
        <f t="shared" si="0"/>
        <v>18.959848439763217</v>
      </c>
      <c r="J11" s="502">
        <f t="shared" si="1"/>
        <v>25.317330472475653</v>
      </c>
      <c r="K11" s="504"/>
    </row>
    <row r="12" spans="1:11" s="505" customFormat="1" ht="49" customHeight="1">
      <c r="A12" s="497" t="s">
        <v>47</v>
      </c>
      <c r="B12" s="496" t="s">
        <v>17</v>
      </c>
      <c r="C12" s="496"/>
      <c r="D12" s="500">
        <v>0</v>
      </c>
      <c r="E12" s="496"/>
      <c r="F12" s="500">
        <v>0</v>
      </c>
      <c r="G12" s="501">
        <v>2.0347847095874543</v>
      </c>
      <c r="H12" s="500">
        <v>55.587004391130812</v>
      </c>
      <c r="I12" s="500">
        <f t="shared" si="0"/>
        <v>18.529001463710269</v>
      </c>
      <c r="J12" s="502">
        <f t="shared" si="1"/>
        <v>24.742014941317564</v>
      </c>
      <c r="K12" s="504"/>
    </row>
    <row r="13" spans="1:11" s="505" customFormat="1" ht="49" customHeight="1">
      <c r="A13" s="497" t="s">
        <v>6</v>
      </c>
      <c r="B13" s="507" t="s">
        <v>18</v>
      </c>
      <c r="C13" s="507"/>
      <c r="D13" s="500">
        <v>0</v>
      </c>
      <c r="E13" s="12"/>
      <c r="F13" s="500">
        <v>0</v>
      </c>
      <c r="G13" s="501">
        <v>2.1159076947312947</v>
      </c>
      <c r="H13" s="500">
        <v>50.605949747829428</v>
      </c>
      <c r="I13" s="500">
        <f t="shared" si="0"/>
        <v>16.868649915943141</v>
      </c>
      <c r="J13" s="502">
        <f t="shared" si="1"/>
        <v>22.524926077508493</v>
      </c>
      <c r="K13" s="504"/>
    </row>
    <row r="14" spans="1:11" s="505" customFormat="1" ht="49" customHeight="1">
      <c r="A14" s="497" t="s">
        <v>16</v>
      </c>
      <c r="B14" s="496" t="s">
        <v>5</v>
      </c>
      <c r="C14" s="496"/>
      <c r="D14" s="500">
        <v>0</v>
      </c>
      <c r="E14" s="503"/>
      <c r="F14" s="500">
        <v>0</v>
      </c>
      <c r="G14" s="501">
        <v>2.2260105764527331</v>
      </c>
      <c r="H14" s="500">
        <v>43.845492532565395</v>
      </c>
      <c r="I14" s="500">
        <f t="shared" si="0"/>
        <v>14.615164177521798</v>
      </c>
      <c r="J14" s="502">
        <f t="shared" si="1"/>
        <v>19.515817469078261</v>
      </c>
      <c r="K14" s="504"/>
    </row>
    <row r="15" spans="1:11" s="505" customFormat="1" ht="49" customHeight="1">
      <c r="A15" s="497" t="s">
        <v>5</v>
      </c>
      <c r="B15" s="496" t="s">
        <v>50</v>
      </c>
      <c r="C15" s="496"/>
      <c r="D15" s="500">
        <v>0</v>
      </c>
      <c r="E15" s="503"/>
      <c r="F15" s="500">
        <v>0</v>
      </c>
      <c r="G15" s="501">
        <v>2.2772099772661574</v>
      </c>
      <c r="H15" s="500">
        <v>40.701784091563589</v>
      </c>
      <c r="I15" s="500">
        <f t="shared" si="0"/>
        <v>13.567261363854529</v>
      </c>
      <c r="J15" s="502">
        <f t="shared" si="1"/>
        <v>18.11653930918477</v>
      </c>
      <c r="K15" s="504"/>
    </row>
    <row r="16" spans="1:11" s="505" customFormat="1" ht="49" customHeight="1">
      <c r="A16" s="497" t="s">
        <v>7</v>
      </c>
      <c r="B16" s="422" t="s">
        <v>49</v>
      </c>
      <c r="C16" s="422" t="s">
        <v>454</v>
      </c>
      <c r="D16" s="500">
        <v>0</v>
      </c>
      <c r="E16" s="503"/>
      <c r="F16" s="500">
        <v>0</v>
      </c>
      <c r="G16" s="501">
        <v>2.3449090353406432</v>
      </c>
      <c r="H16" s="500">
        <v>36.544975673195722</v>
      </c>
      <c r="I16" s="500">
        <f t="shared" si="0"/>
        <v>12.181658557731907</v>
      </c>
      <c r="J16" s="502">
        <f t="shared" si="1"/>
        <v>16.266325988247797</v>
      </c>
      <c r="K16" s="504"/>
    </row>
    <row r="17" spans="1:11" s="505" customFormat="1" ht="49" customHeight="1">
      <c r="A17" s="497" t="s">
        <v>11</v>
      </c>
      <c r="B17" s="496" t="s">
        <v>47</v>
      </c>
      <c r="C17" s="496"/>
      <c r="D17" s="500">
        <v>0</v>
      </c>
      <c r="E17" s="503"/>
      <c r="F17" s="500">
        <v>0</v>
      </c>
      <c r="G17" s="501">
        <v>2.3583707430055632</v>
      </c>
      <c r="H17" s="500">
        <v>35.71840967155979</v>
      </c>
      <c r="I17" s="500">
        <f t="shared" si="0"/>
        <v>11.906136557186597</v>
      </c>
      <c r="J17" s="502">
        <f t="shared" si="1"/>
        <v>15.898417902779451</v>
      </c>
      <c r="K17" s="504"/>
    </row>
    <row r="18" spans="1:11" s="505" customFormat="1" ht="49" customHeight="1">
      <c r="A18" s="506" t="s">
        <v>55</v>
      </c>
      <c r="B18" s="496" t="s">
        <v>7</v>
      </c>
      <c r="C18" s="496"/>
      <c r="D18" s="500">
        <v>0</v>
      </c>
      <c r="E18" s="503"/>
      <c r="F18" s="500">
        <v>0</v>
      </c>
      <c r="G18" s="501">
        <v>2.3654784982936508</v>
      </c>
      <c r="H18" s="500">
        <v>35.281984441171602</v>
      </c>
      <c r="I18" s="500">
        <f t="shared" si="0"/>
        <v>11.760661480390533</v>
      </c>
      <c r="J18" s="502">
        <f t="shared" si="1"/>
        <v>15.704163154042616</v>
      </c>
      <c r="K18" s="504"/>
    </row>
    <row r="19" spans="1:11" s="505" customFormat="1" ht="49" customHeight="1">
      <c r="A19" s="499" t="s">
        <v>277</v>
      </c>
      <c r="B19" s="496" t="s">
        <v>11</v>
      </c>
      <c r="C19" s="496"/>
      <c r="D19" s="500">
        <v>0</v>
      </c>
      <c r="E19" s="503"/>
      <c r="F19" s="500">
        <v>0</v>
      </c>
      <c r="G19" s="501">
        <v>2.3687285733534278</v>
      </c>
      <c r="H19" s="500">
        <v>35.082425691713901</v>
      </c>
      <c r="I19" s="500">
        <f t="shared" si="0"/>
        <v>11.694141897237968</v>
      </c>
      <c r="J19" s="502">
        <f t="shared" si="1"/>
        <v>15.615338695613248</v>
      </c>
      <c r="K19" s="504"/>
    </row>
    <row r="20" spans="1:11" s="505" customFormat="1" ht="49" customHeight="1">
      <c r="A20" s="497" t="s">
        <v>15</v>
      </c>
      <c r="B20" s="496" t="s">
        <v>6</v>
      </c>
      <c r="C20" s="496"/>
      <c r="D20" s="500">
        <v>0</v>
      </c>
      <c r="E20" s="503"/>
      <c r="F20" s="500">
        <v>0</v>
      </c>
      <c r="G20" s="501">
        <v>2.3729920327174074</v>
      </c>
      <c r="H20" s="500">
        <v>34.820643854866759</v>
      </c>
      <c r="I20" s="500">
        <f t="shared" si="0"/>
        <v>11.606881284955586</v>
      </c>
      <c r="J20" s="502">
        <f t="shared" si="1"/>
        <v>15.498818473133493</v>
      </c>
      <c r="K20" s="504"/>
    </row>
    <row r="21" spans="1:11" s="505" customFormat="1" ht="49" customHeight="1">
      <c r="A21" s="497" t="s">
        <v>24</v>
      </c>
      <c r="B21" s="496" t="s">
        <v>23</v>
      </c>
      <c r="C21" s="496"/>
      <c r="D21" s="500">
        <v>0</v>
      </c>
      <c r="E21" s="496"/>
      <c r="F21" s="500">
        <v>0</v>
      </c>
      <c r="G21" s="501">
        <v>2.6115649518247559</v>
      </c>
      <c r="H21" s="500">
        <v>20.1719626657001</v>
      </c>
      <c r="I21" s="500">
        <f t="shared" si="0"/>
        <v>6.723987555233367</v>
      </c>
      <c r="J21" s="502">
        <f t="shared" si="1"/>
        <v>8.9786274172760621</v>
      </c>
      <c r="K21" s="504"/>
    </row>
    <row r="22" spans="1:11" s="505" customFormat="1" ht="49" customHeight="1">
      <c r="A22" s="497" t="s">
        <v>49</v>
      </c>
      <c r="B22" s="496" t="s">
        <v>15</v>
      </c>
      <c r="C22" s="496"/>
      <c r="D22" s="500">
        <v>0</v>
      </c>
      <c r="E22" s="503"/>
      <c r="F22" s="500">
        <v>0</v>
      </c>
      <c r="G22" s="501">
        <v>2.9400917287498736</v>
      </c>
      <c r="H22" s="500">
        <v>0</v>
      </c>
      <c r="I22" s="500">
        <f t="shared" si="0"/>
        <v>0</v>
      </c>
      <c r="J22" s="502">
        <f t="shared" si="1"/>
        <v>0</v>
      </c>
      <c r="K22" s="504"/>
    </row>
    <row r="23" spans="1:11" s="59" customFormat="1" ht="15.75" customHeight="1">
      <c r="E23" s="296" t="s">
        <v>73</v>
      </c>
      <c r="F23" s="297">
        <f>MAX(I2:I22)</f>
        <v>74.888813654251081</v>
      </c>
    </row>
    <row r="24" spans="1:11" s="59" customFormat="1" ht="15.75" customHeight="1">
      <c r="E24" s="296"/>
      <c r="F24" s="297">
        <f>MIN(I2:I22)</f>
        <v>0</v>
      </c>
    </row>
    <row r="25" spans="1:11" ht="16"/>
    <row r="26" spans="1:11" ht="16"/>
    <row r="27" spans="1:11" ht="16"/>
  </sheetData>
  <sheetProtection algorithmName="SHA-512" hashValue="a1oTzOwB+IqI18tOxCtAWXG6yBW5o1gvjOzlqw0nDIwmQY0Ocd6y3DnlpoT8H7WChgsr81ial5tsWE23i1pn9Q==" saltValue="ABpdo9THIU0a4vSOo/QNVQ==" spinCount="100000" sheet="1" objects="1" scenarios="1"/>
  <autoFilter ref="B1:J1" xr:uid="{66873100-A367-8740-9257-03B1167CB1CF}">
    <filterColumn colId="1" showButton="0"/>
    <filterColumn colId="3" showButton="0"/>
    <filterColumn colId="5" showButton="0"/>
    <sortState xmlns:xlrd2="http://schemas.microsoft.com/office/spreadsheetml/2017/richdata2" ref="B2:J24">
      <sortCondition descending="1" ref="J1:J24"/>
    </sortState>
  </autoFilter>
  <mergeCells count="3">
    <mergeCell ref="G1:H1"/>
    <mergeCell ref="C1:D1"/>
    <mergeCell ref="E1:F1"/>
  </mergeCells>
  <phoneticPr fontId="3" type="noConversion"/>
  <conditionalFormatting sqref="J2:J22">
    <cfRule type="colorScale" priority="1">
      <colorScale>
        <cfvo type="min"/>
        <cfvo type="max"/>
        <color rgb="FFFCFCFF"/>
        <color theme="5" tint="-0.249977111117893"/>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CDE5-9C3A-3342-870A-9FFE01164197}">
  <sheetPr>
    <tabColor theme="8" tint="0.39997558519241921"/>
  </sheetPr>
  <dimension ref="A1:N29"/>
  <sheetViews>
    <sheetView zoomScale="50" zoomScaleNormal="50" workbookViewId="0">
      <selection activeCell="B1" sqref="B1"/>
    </sheetView>
  </sheetViews>
  <sheetFormatPr baseColWidth="10" defaultColWidth="11" defaultRowHeight="16"/>
  <cols>
    <col min="1" max="1" width="5" customWidth="1"/>
    <col min="2" max="2" width="15.83203125" style="8" customWidth="1"/>
    <col min="3" max="4" width="100.83203125" style="37" customWidth="1"/>
    <col min="5" max="11" width="15" style="8" customWidth="1"/>
    <col min="12" max="12" width="13" style="8" customWidth="1"/>
    <col min="13" max="13" width="13.6640625" style="8" customWidth="1"/>
    <col min="14" max="16384" width="11" style="8"/>
  </cols>
  <sheetData>
    <row r="1" spans="1:14" s="21" customFormat="1" ht="69" customHeight="1">
      <c r="A1"/>
      <c r="B1" s="32" t="s">
        <v>3</v>
      </c>
      <c r="C1" s="32" t="s">
        <v>353</v>
      </c>
      <c r="D1" s="32" t="s">
        <v>354</v>
      </c>
      <c r="E1" s="32" t="s">
        <v>97</v>
      </c>
      <c r="F1" s="32" t="s">
        <v>117</v>
      </c>
      <c r="G1" s="32" t="s">
        <v>442</v>
      </c>
      <c r="H1" s="32" t="s">
        <v>100</v>
      </c>
      <c r="I1" s="32" t="s">
        <v>119</v>
      </c>
      <c r="J1" s="32" t="s">
        <v>120</v>
      </c>
      <c r="K1" s="29" t="s">
        <v>280</v>
      </c>
      <c r="L1" s="22" t="s">
        <v>350</v>
      </c>
      <c r="M1"/>
      <c r="N1" s="69"/>
    </row>
    <row r="2" spans="1:14" ht="229" customHeight="1">
      <c r="B2" s="298" t="s">
        <v>50</v>
      </c>
      <c r="C2" s="38" t="s">
        <v>406</v>
      </c>
      <c r="D2" s="38" t="s">
        <v>407</v>
      </c>
      <c r="E2" s="303">
        <v>0.5</v>
      </c>
      <c r="F2" s="303">
        <v>0</v>
      </c>
      <c r="G2" s="303">
        <v>1</v>
      </c>
      <c r="H2" s="303">
        <v>1</v>
      </c>
      <c r="I2" s="303">
        <v>0</v>
      </c>
      <c r="J2" s="303">
        <v>0</v>
      </c>
      <c r="K2" s="304">
        <f>(SUMPRODUCT(E2:J2,'Global sales'!D29:I29)/'Global sales'!J29)</f>
        <v>0.68483499512152335</v>
      </c>
      <c r="L2" s="186">
        <f t="shared" ref="L2:L19" si="0">K2*100</f>
        <v>68.483499512152335</v>
      </c>
      <c r="M2"/>
      <c r="N2" s="45"/>
    </row>
    <row r="3" spans="1:14" ht="164" customHeight="1">
      <c r="B3" s="298" t="s">
        <v>14</v>
      </c>
      <c r="C3" s="38" t="s">
        <v>408</v>
      </c>
      <c r="D3" s="38" t="s">
        <v>409</v>
      </c>
      <c r="E3" s="303">
        <v>0.5</v>
      </c>
      <c r="F3" s="303">
        <v>1</v>
      </c>
      <c r="G3" s="303">
        <v>1</v>
      </c>
      <c r="H3" s="303">
        <v>0</v>
      </c>
      <c r="I3" s="303">
        <v>0</v>
      </c>
      <c r="J3" s="303">
        <v>0</v>
      </c>
      <c r="K3" s="304">
        <f>(SUMPRODUCT(E3:J3,'Global sales'!D30:I30)/'Global sales'!J30)</f>
        <v>0.77785384243434852</v>
      </c>
      <c r="L3" s="186">
        <f t="shared" si="0"/>
        <v>77.785384243434848</v>
      </c>
      <c r="M3"/>
      <c r="N3" s="45"/>
    </row>
    <row r="4" spans="1:14" ht="194" customHeight="1">
      <c r="B4" s="298" t="s">
        <v>19</v>
      </c>
      <c r="C4" s="38" t="s">
        <v>410</v>
      </c>
      <c r="D4" s="38" t="s">
        <v>56</v>
      </c>
      <c r="E4" s="303">
        <v>0</v>
      </c>
      <c r="F4" s="303">
        <v>0</v>
      </c>
      <c r="G4" s="303">
        <v>1</v>
      </c>
      <c r="H4" s="303">
        <v>0</v>
      </c>
      <c r="I4" s="303">
        <v>0</v>
      </c>
      <c r="J4" s="303">
        <v>0</v>
      </c>
      <c r="K4" s="304">
        <f>(SUMPRODUCT(E4:J4,'Global sales'!D31:I31)/'Global sales'!J31)</f>
        <v>0.819182973269173</v>
      </c>
      <c r="L4" s="186">
        <f t="shared" si="0"/>
        <v>81.918297326917298</v>
      </c>
      <c r="M4"/>
      <c r="N4" s="45"/>
    </row>
    <row r="5" spans="1:14" ht="118" customHeight="1">
      <c r="B5" s="298" t="s">
        <v>17</v>
      </c>
      <c r="C5" s="38" t="s">
        <v>411</v>
      </c>
      <c r="D5" s="38" t="s">
        <v>412</v>
      </c>
      <c r="E5" s="303">
        <v>0</v>
      </c>
      <c r="F5" s="303">
        <v>1</v>
      </c>
      <c r="G5" s="303">
        <v>1</v>
      </c>
      <c r="H5" s="303">
        <v>0</v>
      </c>
      <c r="I5" s="303">
        <v>0</v>
      </c>
      <c r="J5" s="303">
        <v>0</v>
      </c>
      <c r="K5" s="304">
        <f>(SUMPRODUCT(E5:J5,'Global sales'!D32:I32)/'Global sales'!J32)</f>
        <v>0.97273263421272382</v>
      </c>
      <c r="L5" s="186">
        <f t="shared" si="0"/>
        <v>97.273263421272389</v>
      </c>
      <c r="M5"/>
      <c r="N5" s="45"/>
    </row>
    <row r="6" spans="1:14" ht="170" customHeight="1">
      <c r="B6" s="298" t="s">
        <v>23</v>
      </c>
      <c r="C6" s="38" t="s">
        <v>413</v>
      </c>
      <c r="D6" s="38" t="s">
        <v>414</v>
      </c>
      <c r="E6" s="303">
        <v>0</v>
      </c>
      <c r="F6" s="303">
        <v>1</v>
      </c>
      <c r="G6" s="303">
        <v>0.5</v>
      </c>
      <c r="H6" s="303">
        <v>0.5</v>
      </c>
      <c r="I6" s="303">
        <v>0</v>
      </c>
      <c r="J6" s="303">
        <v>0</v>
      </c>
      <c r="K6" s="304">
        <f>(SUMPRODUCT(E6:J6,'Global sales'!D33:I33)/'Global sales'!J33)</f>
        <v>0.3620797758438401</v>
      </c>
      <c r="L6" s="186">
        <f t="shared" si="0"/>
        <v>36.207977584384011</v>
      </c>
      <c r="M6"/>
      <c r="N6" s="45"/>
    </row>
    <row r="7" spans="1:14" ht="168" customHeight="1">
      <c r="B7" s="298" t="s">
        <v>20</v>
      </c>
      <c r="C7" s="38" t="s">
        <v>415</v>
      </c>
      <c r="D7" s="38" t="s">
        <v>56</v>
      </c>
      <c r="E7" s="303">
        <v>0</v>
      </c>
      <c r="F7" s="303">
        <v>0.5</v>
      </c>
      <c r="G7" s="303">
        <v>1</v>
      </c>
      <c r="H7" s="303">
        <v>0</v>
      </c>
      <c r="I7" s="303">
        <v>0</v>
      </c>
      <c r="J7" s="303">
        <v>0</v>
      </c>
      <c r="K7" s="304">
        <f>(SUMPRODUCT(E7:J7,'Global sales'!D34:I34)/'Global sales'!J34)</f>
        <v>0.79115375015841738</v>
      </c>
      <c r="L7" s="186">
        <f t="shared" si="0"/>
        <v>79.115375015841735</v>
      </c>
      <c r="M7"/>
      <c r="N7" s="45"/>
    </row>
    <row r="8" spans="1:14" ht="180" customHeight="1">
      <c r="B8" s="298" t="s">
        <v>25</v>
      </c>
      <c r="C8" s="38" t="s">
        <v>416</v>
      </c>
      <c r="D8" s="38" t="s">
        <v>417</v>
      </c>
      <c r="E8" s="303">
        <v>0</v>
      </c>
      <c r="F8" s="303">
        <v>0</v>
      </c>
      <c r="G8" s="303">
        <v>0</v>
      </c>
      <c r="H8" s="303">
        <v>0</v>
      </c>
      <c r="I8" s="303">
        <v>0</v>
      </c>
      <c r="J8" s="303">
        <v>0</v>
      </c>
      <c r="K8" s="304">
        <f>(SUMPRODUCT(E8:J8,'Global sales'!D35:I35)/'Global sales'!J35)</f>
        <v>0</v>
      </c>
      <c r="L8" s="186">
        <f t="shared" si="0"/>
        <v>0</v>
      </c>
      <c r="M8"/>
      <c r="N8" s="45"/>
    </row>
    <row r="9" spans="1:14" ht="185" customHeight="1">
      <c r="B9" s="298" t="s">
        <v>21</v>
      </c>
      <c r="C9" s="38" t="s">
        <v>439</v>
      </c>
      <c r="D9" s="38" t="s">
        <v>440</v>
      </c>
      <c r="E9" s="303">
        <v>0</v>
      </c>
      <c r="F9" s="303">
        <v>1</v>
      </c>
      <c r="G9" s="303">
        <v>0</v>
      </c>
      <c r="H9" s="303">
        <v>1</v>
      </c>
      <c r="I9" s="303">
        <v>0</v>
      </c>
      <c r="J9" s="303">
        <v>0</v>
      </c>
      <c r="K9" s="304">
        <f>(SUMPRODUCT(E9:J9,'Global sales'!D36:I36)/'Global sales'!J36)</f>
        <v>0.33979078429857823</v>
      </c>
      <c r="L9" s="186">
        <f t="shared" si="0"/>
        <v>33.979078429857822</v>
      </c>
      <c r="M9"/>
      <c r="N9" s="45"/>
    </row>
    <row r="10" spans="1:14" ht="228" customHeight="1">
      <c r="B10" s="308" t="s">
        <v>12</v>
      </c>
      <c r="C10" s="309" t="s">
        <v>419</v>
      </c>
      <c r="D10" s="38" t="s">
        <v>418</v>
      </c>
      <c r="E10" s="310">
        <v>1</v>
      </c>
      <c r="F10" s="310">
        <v>1</v>
      </c>
      <c r="G10" s="310">
        <v>0.5</v>
      </c>
      <c r="H10" s="310">
        <v>0</v>
      </c>
      <c r="I10" s="310">
        <v>0</v>
      </c>
      <c r="J10" s="310">
        <v>0</v>
      </c>
      <c r="K10" s="311">
        <f>(SUMPRODUCT(E10:J10,'Global sales'!D37:I37)/'Global sales'!J37)</f>
        <v>0.83935072233339725</v>
      </c>
      <c r="L10" s="312">
        <f t="shared" si="0"/>
        <v>83.935072233339724</v>
      </c>
      <c r="M10"/>
      <c r="N10" s="45"/>
    </row>
    <row r="11" spans="1:14" ht="214" customHeight="1">
      <c r="B11" s="298" t="s">
        <v>189</v>
      </c>
      <c r="C11" s="313" t="s">
        <v>420</v>
      </c>
      <c r="D11" s="38" t="s">
        <v>441</v>
      </c>
      <c r="E11" s="303">
        <v>1</v>
      </c>
      <c r="F11" s="303">
        <v>1</v>
      </c>
      <c r="G11" s="303">
        <v>1</v>
      </c>
      <c r="H11" s="303">
        <v>0</v>
      </c>
      <c r="I11" s="303">
        <v>0</v>
      </c>
      <c r="J11" s="303">
        <v>0</v>
      </c>
      <c r="K11" s="304">
        <f>(SUMPRODUCT(E11:J11,'Global sales'!D38:I38)/'Global sales'!J38)</f>
        <v>0.90999108481022795</v>
      </c>
      <c r="L11" s="186">
        <f t="shared" si="0"/>
        <v>90.999108481022802</v>
      </c>
      <c r="M11"/>
      <c r="N11" s="45"/>
    </row>
    <row r="12" spans="1:14" ht="90" customHeight="1">
      <c r="B12" s="298" t="s">
        <v>47</v>
      </c>
      <c r="C12" s="313" t="s">
        <v>422</v>
      </c>
      <c r="D12" s="38" t="s">
        <v>421</v>
      </c>
      <c r="E12" s="303">
        <v>0.5</v>
      </c>
      <c r="F12" s="303">
        <v>0</v>
      </c>
      <c r="G12" s="303">
        <v>0</v>
      </c>
      <c r="H12" s="303">
        <v>0</v>
      </c>
      <c r="I12" s="303">
        <v>0</v>
      </c>
      <c r="J12" s="303">
        <v>0</v>
      </c>
      <c r="K12" s="304">
        <f>(SUMPRODUCT(E12:J12,'Global sales'!D39:I39)/'Global sales'!J39)</f>
        <v>0.5</v>
      </c>
      <c r="L12" s="186">
        <f>K12*100</f>
        <v>50</v>
      </c>
      <c r="M12"/>
      <c r="N12" s="45"/>
    </row>
    <row r="13" spans="1:14" ht="164" customHeight="1">
      <c r="B13" s="298" t="s">
        <v>6</v>
      </c>
      <c r="C13" s="313" t="s">
        <v>423</v>
      </c>
      <c r="D13" s="38" t="s">
        <v>424</v>
      </c>
      <c r="E13" s="303">
        <v>1</v>
      </c>
      <c r="F13" s="303">
        <v>0</v>
      </c>
      <c r="G13" s="303">
        <v>0</v>
      </c>
      <c r="H13" s="303">
        <v>0</v>
      </c>
      <c r="I13" s="303">
        <v>0</v>
      </c>
      <c r="J13" s="303">
        <v>0</v>
      </c>
      <c r="K13" s="305">
        <f>(SUMPRODUCT(E13:J13,'Global sales'!D40:I40)/'Global sales'!J40)</f>
        <v>0.98511662040932879</v>
      </c>
      <c r="L13" s="186">
        <f t="shared" si="0"/>
        <v>98.511662040932876</v>
      </c>
      <c r="M13"/>
      <c r="N13" s="45"/>
    </row>
    <row r="14" spans="1:14" ht="146" customHeight="1">
      <c r="B14" s="298" t="s">
        <v>16</v>
      </c>
      <c r="C14" s="313" t="s">
        <v>433</v>
      </c>
      <c r="D14" s="38" t="s">
        <v>434</v>
      </c>
      <c r="E14" s="303">
        <v>0</v>
      </c>
      <c r="F14" s="303">
        <v>1</v>
      </c>
      <c r="G14" s="303">
        <v>0</v>
      </c>
      <c r="H14" s="303">
        <v>0</v>
      </c>
      <c r="I14" s="303">
        <v>0</v>
      </c>
      <c r="J14" s="303">
        <v>0</v>
      </c>
      <c r="K14" s="304">
        <f>(SUMPRODUCT(E14:J14,'Global sales'!D41:I41)/'Global sales'!J41)</f>
        <v>0.93478554689244553</v>
      </c>
      <c r="L14" s="186">
        <f t="shared" si="0"/>
        <v>93.478554689244547</v>
      </c>
      <c r="M14"/>
      <c r="N14" s="45"/>
    </row>
    <row r="15" spans="1:14" ht="201" customHeight="1">
      <c r="B15" s="298" t="s">
        <v>5</v>
      </c>
      <c r="C15" s="313" t="s">
        <v>426</v>
      </c>
      <c r="D15" s="38" t="s">
        <v>56</v>
      </c>
      <c r="E15" s="303">
        <v>1</v>
      </c>
      <c r="F15" s="303">
        <v>1</v>
      </c>
      <c r="G15" s="303">
        <v>1</v>
      </c>
      <c r="H15" s="303">
        <v>1</v>
      </c>
      <c r="I15" s="303">
        <v>1</v>
      </c>
      <c r="J15" s="303">
        <v>1</v>
      </c>
      <c r="K15" s="304">
        <f>(SUMPRODUCT(E15:J15,'Global sales'!D42:I42)/'Global sales'!J42)</f>
        <v>1</v>
      </c>
      <c r="L15" s="186">
        <f t="shared" si="0"/>
        <v>100</v>
      </c>
      <c r="M15"/>
      <c r="N15" s="45"/>
    </row>
    <row r="16" spans="1:14" ht="95" customHeight="1">
      <c r="B16" s="298" t="s">
        <v>7</v>
      </c>
      <c r="C16" s="313" t="s">
        <v>427</v>
      </c>
      <c r="D16" s="38" t="s">
        <v>428</v>
      </c>
      <c r="E16" s="303">
        <v>1</v>
      </c>
      <c r="F16" s="303">
        <v>0</v>
      </c>
      <c r="G16" s="303">
        <v>0</v>
      </c>
      <c r="H16" s="303">
        <v>0</v>
      </c>
      <c r="I16" s="303">
        <v>0</v>
      </c>
      <c r="J16" s="303">
        <v>0</v>
      </c>
      <c r="K16" s="304">
        <f>(SUMPRODUCT(E16:J16,'Global sales'!D43:I43)/'Global sales'!J43)</f>
        <v>0.83640560377246231</v>
      </c>
      <c r="L16" s="186">
        <f t="shared" si="0"/>
        <v>83.640560377246231</v>
      </c>
      <c r="M16"/>
      <c r="N16" s="45"/>
    </row>
    <row r="17" spans="1:14" ht="155" customHeight="1">
      <c r="B17" s="298" t="s">
        <v>11</v>
      </c>
      <c r="C17" s="313" t="s">
        <v>429</v>
      </c>
      <c r="D17" s="38" t="s">
        <v>56</v>
      </c>
      <c r="E17" s="303">
        <v>1</v>
      </c>
      <c r="F17" s="303">
        <v>0</v>
      </c>
      <c r="G17" s="303">
        <v>0</v>
      </c>
      <c r="H17" s="303">
        <v>0</v>
      </c>
      <c r="I17" s="303">
        <v>0</v>
      </c>
      <c r="J17" s="303">
        <v>0</v>
      </c>
      <c r="K17" s="304">
        <f>(SUMPRODUCT(E17:J17,'Global sales'!D44:I44)/'Global sales'!J44)</f>
        <v>0.99343408334653782</v>
      </c>
      <c r="L17" s="186">
        <f t="shared" si="0"/>
        <v>99.343408334653788</v>
      </c>
      <c r="M17"/>
      <c r="N17" s="45"/>
    </row>
    <row r="18" spans="1:14" ht="211" customHeight="1">
      <c r="B18" s="298" t="s">
        <v>52</v>
      </c>
      <c r="C18" s="496" t="s">
        <v>430</v>
      </c>
      <c r="D18" s="496" t="s">
        <v>431</v>
      </c>
      <c r="E18" s="303">
        <v>0</v>
      </c>
      <c r="F18" s="303">
        <v>0</v>
      </c>
      <c r="G18" s="303">
        <v>0</v>
      </c>
      <c r="H18" s="303">
        <v>0</v>
      </c>
      <c r="I18" s="303">
        <v>0</v>
      </c>
      <c r="J18" s="303">
        <v>0</v>
      </c>
      <c r="K18" s="304">
        <f>(J23*'Global sales'!K48)+((J24*'Global sales'!K49))</f>
        <v>0.6068909942657239</v>
      </c>
      <c r="L18" s="186">
        <f t="shared" si="0"/>
        <v>60.68909942657239</v>
      </c>
      <c r="M18"/>
      <c r="N18" s="3"/>
    </row>
    <row r="19" spans="1:14" ht="201" customHeight="1">
      <c r="B19" s="298" t="s">
        <v>8</v>
      </c>
      <c r="C19" s="496" t="s">
        <v>432</v>
      </c>
      <c r="D19" s="38" t="s">
        <v>56</v>
      </c>
      <c r="E19" s="303">
        <v>0</v>
      </c>
      <c r="F19" s="303">
        <v>0</v>
      </c>
      <c r="G19" s="303">
        <v>0</v>
      </c>
      <c r="H19" s="303">
        <v>0</v>
      </c>
      <c r="I19" s="303">
        <v>0</v>
      </c>
      <c r="J19" s="303">
        <v>0</v>
      </c>
      <c r="K19" s="304">
        <f>(J25*'Global sales'!K50)+((J26*'Global sales'!K51))</f>
        <v>0.96838989947943832</v>
      </c>
      <c r="L19" s="186">
        <f t="shared" si="0"/>
        <v>96.83898994794383</v>
      </c>
      <c r="M19"/>
      <c r="N19" s="45"/>
    </row>
    <row r="20" spans="1:14" ht="198" customHeight="1">
      <c r="B20" s="298" t="s">
        <v>15</v>
      </c>
      <c r="C20" s="496" t="s">
        <v>435</v>
      </c>
      <c r="D20" s="38" t="s">
        <v>436</v>
      </c>
      <c r="E20" s="303">
        <v>0</v>
      </c>
      <c r="F20" s="303">
        <v>0</v>
      </c>
      <c r="G20" s="303">
        <v>0</v>
      </c>
      <c r="H20" s="303">
        <v>0</v>
      </c>
      <c r="I20" s="303">
        <v>0</v>
      </c>
      <c r="J20" s="303">
        <v>0</v>
      </c>
      <c r="K20" s="304">
        <f>(J27*'Global sales'!K52)+((J28*'Global sales'!K53))</f>
        <v>0.94311669001224718</v>
      </c>
      <c r="L20" s="186">
        <f>K20*100</f>
        <v>94.311669001224715</v>
      </c>
      <c r="M20"/>
      <c r="N20" s="45"/>
    </row>
    <row r="21" spans="1:14" s="33" customFormat="1" ht="134" customHeight="1">
      <c r="A21" s="59"/>
      <c r="B21" s="294" t="s">
        <v>24</v>
      </c>
      <c r="C21" s="38" t="s">
        <v>425</v>
      </c>
      <c r="D21" s="38" t="s">
        <v>56</v>
      </c>
      <c r="E21" s="314">
        <v>0</v>
      </c>
      <c r="F21" s="314">
        <v>0</v>
      </c>
      <c r="G21" s="314">
        <v>0</v>
      </c>
      <c r="H21" s="314">
        <v>0</v>
      </c>
      <c r="I21" s="314">
        <v>0</v>
      </c>
      <c r="J21" s="314">
        <v>0</v>
      </c>
      <c r="K21" s="305">
        <f>(SUMPRODUCT(E21:J21,'Global sales'!D54:I54)/'Global sales'!J54)</f>
        <v>0</v>
      </c>
      <c r="L21" s="299">
        <f>K21*100</f>
        <v>0</v>
      </c>
      <c r="M21" s="59"/>
      <c r="N21" s="193"/>
    </row>
    <row r="22" spans="1:14" s="33" customFormat="1" ht="93" customHeight="1">
      <c r="A22" s="59"/>
      <c r="B22" s="294" t="s">
        <v>49</v>
      </c>
      <c r="C22" s="40" t="s">
        <v>437</v>
      </c>
      <c r="D22" s="40" t="s">
        <v>438</v>
      </c>
      <c r="E22" s="314">
        <v>0.5</v>
      </c>
      <c r="F22" s="314">
        <v>0</v>
      </c>
      <c r="G22" s="314">
        <v>0</v>
      </c>
      <c r="H22" s="314">
        <v>0</v>
      </c>
      <c r="I22" s="314">
        <v>0</v>
      </c>
      <c r="J22" s="314">
        <v>0</v>
      </c>
      <c r="K22" s="305">
        <f>(SUMPRODUCT(E22:J22,'Global sales'!D55:I55)/'Global sales'!J55)</f>
        <v>0.49368659333699783</v>
      </c>
      <c r="L22" s="299">
        <f>K22*100</f>
        <v>49.368659333699782</v>
      </c>
      <c r="M22" s="59"/>
    </row>
    <row r="23" spans="1:14" s="15" customFormat="1" ht="16" customHeight="1">
      <c r="A23" s="130"/>
      <c r="B23" s="97" t="s">
        <v>153</v>
      </c>
      <c r="C23" s="497"/>
      <c r="D23" s="498">
        <v>0.5</v>
      </c>
      <c r="E23" s="301">
        <v>0.5</v>
      </c>
      <c r="F23" s="301">
        <v>0.5</v>
      </c>
      <c r="G23" s="301">
        <v>0.5</v>
      </c>
      <c r="H23" s="301">
        <v>0.5</v>
      </c>
      <c r="I23" s="301">
        <v>1</v>
      </c>
      <c r="J23" s="302">
        <f>(SUMPRODUCT(D23:I23,'Global sales'!D48:I48)/'Global sales'!J48)</f>
        <v>0.59191432815901657</v>
      </c>
      <c r="K23" s="306"/>
      <c r="L23" s="59"/>
      <c r="M23" s="59"/>
    </row>
    <row r="24" spans="1:14" s="15" customFormat="1">
      <c r="A24" s="130"/>
      <c r="B24" s="97" t="s">
        <v>154</v>
      </c>
      <c r="C24" s="497"/>
      <c r="D24" s="498">
        <v>0.5</v>
      </c>
      <c r="E24" s="301">
        <v>1</v>
      </c>
      <c r="F24" s="301">
        <v>0.5</v>
      </c>
      <c r="G24" s="301">
        <v>0.5</v>
      </c>
      <c r="H24" s="301">
        <v>0.5</v>
      </c>
      <c r="I24" s="301">
        <v>0.5</v>
      </c>
      <c r="J24" s="302">
        <f>(SUMPRODUCT(D24:I24,'Global sales'!D49:I49)/'Global sales'!J49)</f>
        <v>0.62517825211604028</v>
      </c>
      <c r="K24" s="306"/>
      <c r="L24" s="59"/>
      <c r="M24" s="59"/>
    </row>
    <row r="25" spans="1:14" s="15" customFormat="1">
      <c r="A25" s="130"/>
      <c r="B25" s="97" t="s">
        <v>232</v>
      </c>
      <c r="C25" s="497"/>
      <c r="D25" s="498">
        <v>1</v>
      </c>
      <c r="E25" s="301">
        <v>0</v>
      </c>
      <c r="F25" s="301">
        <v>0</v>
      </c>
      <c r="G25" s="301">
        <v>0</v>
      </c>
      <c r="H25" s="301">
        <v>0</v>
      </c>
      <c r="I25" s="301">
        <v>0</v>
      </c>
      <c r="J25" s="302">
        <f>(SUMPRODUCT(D25:I25,'Global sales'!D50:I50)/'Global sales'!J50)</f>
        <v>0.97247681564960586</v>
      </c>
      <c r="K25" s="306"/>
      <c r="L25" s="59"/>
      <c r="M25" s="59"/>
    </row>
    <row r="26" spans="1:14" s="15" customFormat="1">
      <c r="A26" s="130"/>
      <c r="B26" s="97" t="s">
        <v>266</v>
      </c>
      <c r="C26" s="497"/>
      <c r="D26" s="498">
        <v>1</v>
      </c>
      <c r="E26" s="301">
        <v>1</v>
      </c>
      <c r="F26" s="301">
        <v>1</v>
      </c>
      <c r="G26" s="301">
        <v>0</v>
      </c>
      <c r="H26" s="301">
        <v>0</v>
      </c>
      <c r="I26" s="301">
        <v>0</v>
      </c>
      <c r="J26" s="302">
        <f>(SUMPRODUCT(D26:I26,'Global sales'!D51:I51)/'Global sales'!J51)</f>
        <v>0.95635744821657009</v>
      </c>
      <c r="K26" s="306"/>
      <c r="L26" s="59"/>
      <c r="M26" s="59"/>
    </row>
    <row r="27" spans="1:14" s="15" customFormat="1">
      <c r="A27" s="130"/>
      <c r="B27" s="97" t="s">
        <v>250</v>
      </c>
      <c r="C27" s="497"/>
      <c r="D27" s="498">
        <v>0</v>
      </c>
      <c r="E27" s="301">
        <v>0</v>
      </c>
      <c r="F27" s="301">
        <v>0</v>
      </c>
      <c r="G27" s="301">
        <v>0</v>
      </c>
      <c r="H27" s="301">
        <v>1</v>
      </c>
      <c r="I27" s="301">
        <v>0</v>
      </c>
      <c r="J27" s="302">
        <f>(SUMPRODUCT(D27:I27,'Global sales'!D52:I52)/'Global sales'!J52)</f>
        <v>1</v>
      </c>
      <c r="K27" s="306"/>
      <c r="L27" s="59"/>
      <c r="M27" s="59"/>
    </row>
    <row r="28" spans="1:14" s="15" customFormat="1">
      <c r="A28" s="130"/>
      <c r="B28" s="97" t="s">
        <v>276</v>
      </c>
      <c r="C28" s="497"/>
      <c r="D28" s="498">
        <v>0.5</v>
      </c>
      <c r="E28" s="301">
        <v>1</v>
      </c>
      <c r="F28" s="301">
        <v>1</v>
      </c>
      <c r="G28" s="301">
        <v>0</v>
      </c>
      <c r="H28" s="301">
        <v>0</v>
      </c>
      <c r="I28" s="301">
        <v>0</v>
      </c>
      <c r="J28" s="302">
        <f>(SUMPRODUCT(D28:I28,'Global sales'!D53:I53)/'Global sales'!J53)</f>
        <v>0.82892821499660896</v>
      </c>
      <c r="K28" s="306"/>
      <c r="L28" s="59"/>
      <c r="M28" s="59"/>
    </row>
    <row r="29" spans="1:14">
      <c r="B29" s="33"/>
      <c r="C29" s="307"/>
      <c r="D29" s="307"/>
      <c r="E29" s="33"/>
      <c r="F29" s="33"/>
      <c r="G29" s="33"/>
      <c r="H29" s="33"/>
      <c r="I29" s="33"/>
      <c r="J29" s="33"/>
      <c r="K29" s="33"/>
      <c r="L29" s="33"/>
      <c r="M29" s="33"/>
    </row>
  </sheetData>
  <sheetProtection algorithmName="SHA-512" hashValue="quwyrF7/Ti0IT/ufedUVJ/2k+BV33HfOdCeHCYmTQwC0xmcnBOT+DytbwvZlyt1PDPf1Sh+V832mO8lFyQegRw==" saltValue="ircO1qISHAIKhJu3Xj0BJg==" spinCount="100000" sheet="1" objects="1" scenarios="1"/>
  <phoneticPr fontId="3"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3144-DB88-3348-858E-BBB947B178F8}">
  <sheetPr>
    <tabColor theme="8" tint="0.39997558519241921"/>
  </sheetPr>
  <dimension ref="B2:L134"/>
  <sheetViews>
    <sheetView zoomScale="80" zoomScaleNormal="80" workbookViewId="0">
      <selection activeCell="W72" sqref="W72"/>
    </sheetView>
  </sheetViews>
  <sheetFormatPr baseColWidth="10" defaultColWidth="11" defaultRowHeight="16"/>
  <cols>
    <col min="1" max="1" width="11" style="8"/>
    <col min="2" max="2" width="17.5" style="8" customWidth="1"/>
    <col min="3" max="3" width="14.33203125" style="8" customWidth="1"/>
    <col min="4" max="4" width="19" style="8" customWidth="1"/>
    <col min="5" max="8" width="11" style="8"/>
    <col min="9" max="9" width="15.5" style="8" bestFit="1" customWidth="1"/>
    <col min="10" max="11" width="10.33203125" style="8" customWidth="1"/>
    <col min="12" max="13" width="11" style="8"/>
    <col min="14" max="14" width="15.33203125" style="8" customWidth="1"/>
    <col min="15" max="16384" width="11" style="8"/>
  </cols>
  <sheetData>
    <row r="2" spans="2:12">
      <c r="B2" s="550" t="s">
        <v>3</v>
      </c>
      <c r="C2" s="553" t="s">
        <v>355</v>
      </c>
      <c r="D2" s="550" t="s">
        <v>356</v>
      </c>
      <c r="E2" s="550"/>
      <c r="F2" s="550"/>
      <c r="G2" s="550"/>
      <c r="H2" s="550"/>
      <c r="I2" s="553" t="s">
        <v>394</v>
      </c>
      <c r="J2" s="553" t="s">
        <v>357</v>
      </c>
      <c r="K2" s="553" t="s">
        <v>358</v>
      </c>
      <c r="L2" s="554" t="s">
        <v>282</v>
      </c>
    </row>
    <row r="3" spans="2:12" ht="34">
      <c r="B3" s="550"/>
      <c r="C3" s="553"/>
      <c r="D3" s="406" t="s">
        <v>271</v>
      </c>
      <c r="E3" s="407" t="s">
        <v>359</v>
      </c>
      <c r="F3" s="407" t="s">
        <v>360</v>
      </c>
      <c r="G3" s="407" t="s">
        <v>291</v>
      </c>
      <c r="H3" s="407" t="s">
        <v>361</v>
      </c>
      <c r="I3" s="553"/>
      <c r="J3" s="553"/>
      <c r="K3" s="553"/>
      <c r="L3" s="554"/>
    </row>
    <row r="4" spans="2:12" ht="17">
      <c r="B4" s="409" t="s">
        <v>5</v>
      </c>
      <c r="C4" s="409" t="s">
        <v>362</v>
      </c>
      <c r="D4" s="409" t="s">
        <v>265</v>
      </c>
      <c r="E4" s="410">
        <v>1</v>
      </c>
      <c r="F4" s="411" t="s">
        <v>363</v>
      </c>
      <c r="G4" s="411" t="s">
        <v>269</v>
      </c>
      <c r="H4" s="412" t="s">
        <v>298</v>
      </c>
      <c r="I4" s="408">
        <v>1625010</v>
      </c>
      <c r="J4" s="300">
        <v>100</v>
      </c>
      <c r="K4" s="186">
        <v>100</v>
      </c>
      <c r="L4" s="413">
        <v>0</v>
      </c>
    </row>
    <row r="5" spans="2:12" ht="17">
      <c r="B5" s="551" t="s">
        <v>17</v>
      </c>
      <c r="C5" s="551" t="s">
        <v>362</v>
      </c>
      <c r="D5" s="409" t="s">
        <v>98</v>
      </c>
      <c r="E5" s="410">
        <v>1</v>
      </c>
      <c r="F5" s="411" t="s">
        <v>296</v>
      </c>
      <c r="G5" s="411">
        <v>2030</v>
      </c>
      <c r="H5" s="412" t="s">
        <v>298</v>
      </c>
      <c r="I5" s="408">
        <v>1990249</v>
      </c>
      <c r="J5" s="555">
        <v>100</v>
      </c>
      <c r="K5" s="556">
        <v>100</v>
      </c>
      <c r="L5" s="557">
        <v>0</v>
      </c>
    </row>
    <row r="6" spans="2:12" ht="17">
      <c r="B6" s="551"/>
      <c r="C6" s="551"/>
      <c r="D6" s="414" t="s">
        <v>364</v>
      </c>
      <c r="E6" s="410">
        <v>0.5</v>
      </c>
      <c r="F6" s="411" t="s">
        <v>363</v>
      </c>
      <c r="G6" s="411">
        <v>2030</v>
      </c>
      <c r="H6" s="412" t="s">
        <v>298</v>
      </c>
      <c r="I6" s="408">
        <v>1308273</v>
      </c>
      <c r="J6" s="555"/>
      <c r="K6" s="556"/>
      <c r="L6" s="557"/>
    </row>
    <row r="7" spans="2:12" ht="17">
      <c r="B7" s="409" t="s">
        <v>9</v>
      </c>
      <c r="C7" s="409" t="s">
        <v>362</v>
      </c>
      <c r="D7" s="409" t="s">
        <v>265</v>
      </c>
      <c r="E7" s="410">
        <v>0.75</v>
      </c>
      <c r="F7" s="411" t="s">
        <v>363</v>
      </c>
      <c r="G7" s="411">
        <v>2030</v>
      </c>
      <c r="H7" s="412" t="s">
        <v>365</v>
      </c>
      <c r="I7" s="408">
        <v>3184204</v>
      </c>
      <c r="J7" s="300">
        <v>93.554000000000002</v>
      </c>
      <c r="K7" s="186">
        <v>72.907928613462857</v>
      </c>
      <c r="L7" s="415">
        <v>21</v>
      </c>
    </row>
    <row r="8" spans="2:12">
      <c r="B8" s="551" t="s">
        <v>19</v>
      </c>
      <c r="C8" s="551" t="s">
        <v>362</v>
      </c>
      <c r="D8" s="414" t="s">
        <v>364</v>
      </c>
      <c r="E8" s="416">
        <v>0.5</v>
      </c>
      <c r="F8" s="411" t="s">
        <v>363</v>
      </c>
      <c r="G8" s="417">
        <v>2030</v>
      </c>
      <c r="H8" s="417" t="s">
        <v>293</v>
      </c>
      <c r="I8" s="408">
        <v>3283026</v>
      </c>
      <c r="J8" s="555">
        <v>89.3188952</v>
      </c>
      <c r="K8" s="556">
        <v>86.572968002796983</v>
      </c>
      <c r="L8" s="557">
        <v>2</v>
      </c>
    </row>
    <row r="9" spans="2:12" ht="17" customHeight="1">
      <c r="B9" s="551"/>
      <c r="C9" s="551"/>
      <c r="D9" s="409" t="s">
        <v>366</v>
      </c>
      <c r="E9" s="410">
        <v>1</v>
      </c>
      <c r="F9" s="411" t="s">
        <v>363</v>
      </c>
      <c r="G9" s="411">
        <v>2035</v>
      </c>
      <c r="H9" s="412" t="s">
        <v>298</v>
      </c>
      <c r="I9" s="408">
        <v>2689399</v>
      </c>
      <c r="J9" s="555"/>
      <c r="K9" s="556"/>
      <c r="L9" s="557"/>
    </row>
    <row r="10" spans="2:12" ht="17" customHeight="1">
      <c r="B10" s="551" t="s">
        <v>13</v>
      </c>
      <c r="C10" s="551" t="s">
        <v>362</v>
      </c>
      <c r="D10" s="409" t="s">
        <v>366</v>
      </c>
      <c r="E10" s="416">
        <v>0.5</v>
      </c>
      <c r="F10" s="411" t="s">
        <v>363</v>
      </c>
      <c r="G10" s="417">
        <v>2030</v>
      </c>
      <c r="H10" s="417" t="s">
        <v>367</v>
      </c>
      <c r="I10" s="408">
        <v>2173818</v>
      </c>
      <c r="J10" s="555">
        <v>89</v>
      </c>
      <c r="K10" s="556">
        <v>90.26</v>
      </c>
      <c r="L10" s="557">
        <f>J10-K10</f>
        <v>-1.2600000000000051</v>
      </c>
    </row>
    <row r="11" spans="2:12" ht="17">
      <c r="B11" s="551"/>
      <c r="C11" s="551"/>
      <c r="D11" s="409" t="s">
        <v>366</v>
      </c>
      <c r="E11" s="410">
        <v>1</v>
      </c>
      <c r="F11" s="411" t="s">
        <v>363</v>
      </c>
      <c r="G11" s="411">
        <v>2035</v>
      </c>
      <c r="H11" s="412" t="s">
        <v>298</v>
      </c>
      <c r="I11" s="408">
        <v>2173818</v>
      </c>
      <c r="J11" s="555"/>
      <c r="K11" s="556"/>
      <c r="L11" s="557"/>
    </row>
    <row r="12" spans="2:12" ht="17">
      <c r="B12" s="409" t="s">
        <v>11</v>
      </c>
      <c r="C12" s="409" t="s">
        <v>362</v>
      </c>
      <c r="D12" s="409" t="s">
        <v>265</v>
      </c>
      <c r="E12" s="410">
        <v>0.8</v>
      </c>
      <c r="F12" s="411" t="s">
        <v>363</v>
      </c>
      <c r="G12" s="411">
        <v>2025</v>
      </c>
      <c r="H12" s="412" t="s">
        <v>365</v>
      </c>
      <c r="I12" s="408">
        <v>807808</v>
      </c>
      <c r="J12" s="300">
        <v>88.438625147423906</v>
      </c>
      <c r="K12" s="186">
        <v>88.76</v>
      </c>
      <c r="L12" s="413">
        <v>-1</v>
      </c>
    </row>
    <row r="13" spans="2:12" ht="17" customHeight="1">
      <c r="B13" s="551" t="s">
        <v>14</v>
      </c>
      <c r="C13" s="409" t="s">
        <v>14</v>
      </c>
      <c r="D13" s="409" t="s">
        <v>98</v>
      </c>
      <c r="E13" s="410">
        <v>0.8</v>
      </c>
      <c r="F13" s="411" t="s">
        <v>296</v>
      </c>
      <c r="G13" s="411">
        <v>2030</v>
      </c>
      <c r="H13" s="412" t="s">
        <v>298</v>
      </c>
      <c r="I13" s="408">
        <v>1363535</v>
      </c>
      <c r="J13" s="556">
        <v>78.818061274574603</v>
      </c>
      <c r="K13" s="556">
        <v>79.452751817345131</v>
      </c>
      <c r="L13" s="557">
        <v>0</v>
      </c>
    </row>
    <row r="14" spans="2:12" ht="16" customHeight="1">
      <c r="B14" s="551"/>
      <c r="C14" s="409" t="s">
        <v>14</v>
      </c>
      <c r="D14" s="414" t="s">
        <v>364</v>
      </c>
      <c r="E14" s="410">
        <v>0.55000000000000004</v>
      </c>
      <c r="F14" s="411" t="s">
        <v>363</v>
      </c>
      <c r="G14" s="411">
        <v>2030</v>
      </c>
      <c r="H14" s="412" t="s">
        <v>298</v>
      </c>
      <c r="I14" s="408">
        <v>379178</v>
      </c>
      <c r="J14" s="556"/>
      <c r="K14" s="556"/>
      <c r="L14" s="557"/>
    </row>
    <row r="15" spans="2:12" ht="17">
      <c r="B15" s="551"/>
      <c r="C15" s="409" t="s">
        <v>14</v>
      </c>
      <c r="D15" s="409" t="s">
        <v>97</v>
      </c>
      <c r="E15" s="410">
        <v>0.5</v>
      </c>
      <c r="F15" s="411" t="s">
        <v>363</v>
      </c>
      <c r="G15" s="411">
        <v>2030</v>
      </c>
      <c r="H15" s="412" t="s">
        <v>298</v>
      </c>
      <c r="I15" s="408">
        <v>2127908</v>
      </c>
      <c r="J15" s="556"/>
      <c r="K15" s="556"/>
      <c r="L15" s="557"/>
    </row>
    <row r="16" spans="2:12" ht="17">
      <c r="B16" s="551"/>
      <c r="C16" s="409" t="s">
        <v>132</v>
      </c>
      <c r="D16" s="409" t="s">
        <v>368</v>
      </c>
      <c r="E16" s="410">
        <v>1</v>
      </c>
      <c r="F16" s="411" t="s">
        <v>363</v>
      </c>
      <c r="G16" s="411">
        <v>2033</v>
      </c>
      <c r="H16" s="412" t="s">
        <v>298</v>
      </c>
      <c r="I16" s="408">
        <v>896871</v>
      </c>
      <c r="J16" s="556"/>
      <c r="K16" s="556"/>
      <c r="L16" s="557"/>
    </row>
    <row r="17" spans="2:12" ht="18" customHeight="1">
      <c r="B17" s="551"/>
      <c r="C17" s="409" t="s">
        <v>369</v>
      </c>
      <c r="D17" s="409" t="s">
        <v>98</v>
      </c>
      <c r="E17" s="410">
        <v>0.7</v>
      </c>
      <c r="F17" s="411" t="s">
        <v>363</v>
      </c>
      <c r="G17" s="411">
        <v>2030</v>
      </c>
      <c r="H17" s="412" t="s">
        <v>298</v>
      </c>
      <c r="I17" s="408">
        <v>768372</v>
      </c>
      <c r="J17" s="556"/>
      <c r="K17" s="556"/>
      <c r="L17" s="557"/>
    </row>
    <row r="18" spans="2:12" ht="17">
      <c r="B18" s="551"/>
      <c r="C18" s="409" t="s">
        <v>133</v>
      </c>
      <c r="D18" s="409" t="s">
        <v>265</v>
      </c>
      <c r="E18" s="410">
        <v>1</v>
      </c>
      <c r="F18" s="411" t="s">
        <v>363</v>
      </c>
      <c r="G18" s="411">
        <v>2030</v>
      </c>
      <c r="H18" s="412" t="s">
        <v>298</v>
      </c>
      <c r="I18" s="408">
        <v>9183</v>
      </c>
      <c r="J18" s="556"/>
      <c r="K18" s="556"/>
      <c r="L18" s="557"/>
    </row>
    <row r="19" spans="2:12" ht="17">
      <c r="B19" s="551"/>
      <c r="C19" s="409" t="s">
        <v>140</v>
      </c>
      <c r="D19" s="409" t="s">
        <v>265</v>
      </c>
      <c r="E19" s="410">
        <v>0.8</v>
      </c>
      <c r="F19" s="411" t="s">
        <v>363</v>
      </c>
      <c r="G19" s="411">
        <v>2030</v>
      </c>
      <c r="H19" s="412" t="s">
        <v>298</v>
      </c>
      <c r="I19" s="408">
        <v>255497</v>
      </c>
      <c r="J19" s="556"/>
      <c r="K19" s="556"/>
      <c r="L19" s="557"/>
    </row>
    <row r="20" spans="2:12" ht="15" customHeight="1">
      <c r="B20" s="551"/>
      <c r="C20" s="409" t="s">
        <v>370</v>
      </c>
      <c r="D20" s="409" t="s">
        <v>371</v>
      </c>
      <c r="E20" s="411" t="s">
        <v>371</v>
      </c>
      <c r="F20" s="411" t="s">
        <v>371</v>
      </c>
      <c r="G20" s="411" t="s">
        <v>371</v>
      </c>
      <c r="H20" s="412" t="s">
        <v>371</v>
      </c>
      <c r="I20" s="408" t="s">
        <v>294</v>
      </c>
      <c r="J20" s="556"/>
      <c r="K20" s="556"/>
      <c r="L20" s="557"/>
    </row>
    <row r="21" spans="2:12" ht="17">
      <c r="B21" s="551" t="s">
        <v>123</v>
      </c>
      <c r="C21" s="409" t="s">
        <v>272</v>
      </c>
      <c r="D21" s="409" t="s">
        <v>265</v>
      </c>
      <c r="E21" s="410">
        <v>0.9</v>
      </c>
      <c r="F21" s="411" t="s">
        <v>363</v>
      </c>
      <c r="G21" s="411">
        <v>2030</v>
      </c>
      <c r="H21" s="412" t="s">
        <v>365</v>
      </c>
      <c r="I21" s="408">
        <v>676954</v>
      </c>
      <c r="J21" s="555">
        <v>75.709999999999994</v>
      </c>
      <c r="K21" s="556">
        <v>87.2</v>
      </c>
      <c r="L21" s="557">
        <v>-11</v>
      </c>
    </row>
    <row r="22" spans="2:12" ht="17">
      <c r="B22" s="551"/>
      <c r="C22" s="409" t="s">
        <v>370</v>
      </c>
      <c r="D22" s="409" t="s">
        <v>265</v>
      </c>
      <c r="E22" s="410">
        <v>0.5</v>
      </c>
      <c r="F22" s="411" t="s">
        <v>363</v>
      </c>
      <c r="G22" s="411">
        <v>2025</v>
      </c>
      <c r="H22" s="412" t="s">
        <v>365</v>
      </c>
      <c r="I22" s="408">
        <v>1993047</v>
      </c>
      <c r="J22" s="555"/>
      <c r="K22" s="556"/>
      <c r="L22" s="557"/>
    </row>
    <row r="23" spans="2:12" ht="17">
      <c r="B23" s="409" t="s">
        <v>6</v>
      </c>
      <c r="C23" s="409" t="s">
        <v>6</v>
      </c>
      <c r="D23" s="409" t="s">
        <v>97</v>
      </c>
      <c r="E23" s="410">
        <v>1</v>
      </c>
      <c r="F23" s="411" t="s">
        <v>363</v>
      </c>
      <c r="G23" s="411" t="s">
        <v>269</v>
      </c>
      <c r="H23" s="412" t="s">
        <v>365</v>
      </c>
      <c r="I23" s="408">
        <v>3698152</v>
      </c>
      <c r="J23" s="300">
        <v>75.043000000000006</v>
      </c>
      <c r="K23" s="186">
        <v>75.929554695537163</v>
      </c>
      <c r="L23" s="413">
        <v>-1</v>
      </c>
    </row>
    <row r="24" spans="2:12" ht="17">
      <c r="B24" s="409" t="s">
        <v>7</v>
      </c>
      <c r="C24" s="409" t="s">
        <v>362</v>
      </c>
      <c r="D24" s="409" t="s">
        <v>265</v>
      </c>
      <c r="E24" s="410">
        <v>0.5</v>
      </c>
      <c r="F24" s="411" t="s">
        <v>363</v>
      </c>
      <c r="G24" s="411">
        <v>2025</v>
      </c>
      <c r="H24" s="412" t="s">
        <v>365</v>
      </c>
      <c r="I24" s="408">
        <v>1966461</v>
      </c>
      <c r="J24" s="300">
        <v>70.914000000000001</v>
      </c>
      <c r="K24" s="186">
        <v>72.902199478111669</v>
      </c>
      <c r="L24" s="415">
        <v>-2</v>
      </c>
    </row>
    <row r="25" spans="2:12" ht="17" customHeight="1">
      <c r="B25" s="551" t="s">
        <v>12</v>
      </c>
      <c r="C25" s="409" t="s">
        <v>12</v>
      </c>
      <c r="D25" s="409" t="s">
        <v>265</v>
      </c>
      <c r="E25" s="410">
        <v>0.5</v>
      </c>
      <c r="F25" s="411" t="s">
        <v>363</v>
      </c>
      <c r="G25" s="411">
        <v>2030</v>
      </c>
      <c r="H25" s="412" t="s">
        <v>298</v>
      </c>
      <c r="I25" s="408">
        <v>1964489</v>
      </c>
      <c r="J25" s="555">
        <v>67.659000000000006</v>
      </c>
      <c r="K25" s="556">
        <v>84.093613190204309</v>
      </c>
      <c r="L25" s="557">
        <v>-16</v>
      </c>
    </row>
    <row r="26" spans="2:12" ht="17">
      <c r="B26" s="551"/>
      <c r="C26" s="409" t="s">
        <v>372</v>
      </c>
      <c r="D26" s="409" t="s">
        <v>265</v>
      </c>
      <c r="E26" s="410">
        <v>1</v>
      </c>
      <c r="F26" s="411" t="s">
        <v>363</v>
      </c>
      <c r="G26" s="411">
        <v>2030</v>
      </c>
      <c r="H26" s="412" t="s">
        <v>298</v>
      </c>
      <c r="I26" s="408">
        <v>3885</v>
      </c>
      <c r="J26" s="555"/>
      <c r="K26" s="556"/>
      <c r="L26" s="557"/>
    </row>
    <row r="27" spans="2:12" ht="17">
      <c r="B27" s="551" t="s">
        <v>16</v>
      </c>
      <c r="C27" s="409" t="s">
        <v>16</v>
      </c>
      <c r="D27" s="409" t="s">
        <v>98</v>
      </c>
      <c r="E27" s="410">
        <v>1</v>
      </c>
      <c r="F27" s="411" t="s">
        <v>296</v>
      </c>
      <c r="G27" s="411">
        <v>2030</v>
      </c>
      <c r="H27" s="412" t="s">
        <v>298</v>
      </c>
      <c r="I27" s="408">
        <v>1282833</v>
      </c>
      <c r="J27" s="555">
        <v>66.022591978637067</v>
      </c>
      <c r="K27" s="556">
        <v>84.251026161067131</v>
      </c>
      <c r="L27" s="557">
        <v>-18</v>
      </c>
    </row>
    <row r="28" spans="2:12" ht="17">
      <c r="B28" s="551"/>
      <c r="C28" s="409" t="s">
        <v>370</v>
      </c>
      <c r="D28" s="409" t="s">
        <v>371</v>
      </c>
      <c r="E28" s="411" t="s">
        <v>371</v>
      </c>
      <c r="F28" s="411" t="s">
        <v>371</v>
      </c>
      <c r="G28" s="411" t="s">
        <v>371</v>
      </c>
      <c r="H28" s="412" t="s">
        <v>371</v>
      </c>
      <c r="I28" s="408" t="s">
        <v>294</v>
      </c>
      <c r="J28" s="555"/>
      <c r="K28" s="556"/>
      <c r="L28" s="557"/>
    </row>
    <row r="29" spans="2:12" ht="17">
      <c r="B29" s="551" t="s">
        <v>15</v>
      </c>
      <c r="C29" s="409" t="s">
        <v>15</v>
      </c>
      <c r="D29" s="409" t="s">
        <v>265</v>
      </c>
      <c r="E29" s="410">
        <v>0.3</v>
      </c>
      <c r="F29" s="411" t="s">
        <v>113</v>
      </c>
      <c r="G29" s="411">
        <v>2030</v>
      </c>
      <c r="H29" s="412" t="s">
        <v>298</v>
      </c>
      <c r="I29" s="408">
        <v>562473</v>
      </c>
      <c r="J29" s="555">
        <v>63.239299011083503</v>
      </c>
      <c r="K29" s="556">
        <v>70.843402220310338</v>
      </c>
      <c r="L29" s="557">
        <v>-8</v>
      </c>
    </row>
    <row r="30" spans="2:12" ht="17">
      <c r="B30" s="551"/>
      <c r="C30" s="409" t="s">
        <v>248</v>
      </c>
      <c r="D30" s="409" t="s">
        <v>366</v>
      </c>
      <c r="E30" s="410">
        <v>1</v>
      </c>
      <c r="F30" s="411" t="s">
        <v>363</v>
      </c>
      <c r="G30" s="411">
        <v>2025</v>
      </c>
      <c r="H30" s="412" t="s">
        <v>298</v>
      </c>
      <c r="I30" s="408">
        <v>53369</v>
      </c>
      <c r="J30" s="555"/>
      <c r="K30" s="556"/>
      <c r="L30" s="557"/>
    </row>
    <row r="31" spans="2:12" ht="17">
      <c r="B31" s="551"/>
      <c r="C31" s="409" t="s">
        <v>249</v>
      </c>
      <c r="D31" s="409" t="s">
        <v>366</v>
      </c>
      <c r="E31" s="410">
        <v>0.6</v>
      </c>
      <c r="F31" s="411" t="s">
        <v>363</v>
      </c>
      <c r="G31" s="411">
        <v>2030</v>
      </c>
      <c r="H31" s="412" t="s">
        <v>298</v>
      </c>
      <c r="I31" s="408">
        <v>309353</v>
      </c>
      <c r="J31" s="555"/>
      <c r="K31" s="556"/>
      <c r="L31" s="557"/>
    </row>
    <row r="32" spans="2:12" ht="17">
      <c r="B32" s="551"/>
      <c r="C32" s="409" t="s">
        <v>249</v>
      </c>
      <c r="D32" s="409" t="s">
        <v>366</v>
      </c>
      <c r="E32" s="410">
        <v>1</v>
      </c>
      <c r="F32" s="411" t="s">
        <v>363</v>
      </c>
      <c r="G32" s="411">
        <v>2035</v>
      </c>
      <c r="H32" s="412" t="s">
        <v>298</v>
      </c>
      <c r="I32" s="408">
        <v>309353</v>
      </c>
      <c r="J32" s="555"/>
      <c r="K32" s="556"/>
      <c r="L32" s="557"/>
    </row>
    <row r="33" spans="2:12" ht="17">
      <c r="B33" s="418" t="s">
        <v>23</v>
      </c>
      <c r="C33" s="418" t="s">
        <v>362</v>
      </c>
      <c r="D33" s="409" t="s">
        <v>292</v>
      </c>
      <c r="E33" s="410">
        <v>0.4</v>
      </c>
      <c r="F33" s="411" t="s">
        <v>363</v>
      </c>
      <c r="G33" s="411">
        <v>2030</v>
      </c>
      <c r="H33" s="412" t="s">
        <v>298</v>
      </c>
      <c r="I33" s="408">
        <v>12948531</v>
      </c>
      <c r="J33" s="300">
        <v>60.068155720865967</v>
      </c>
      <c r="K33" s="186">
        <v>67.204814828850928</v>
      </c>
      <c r="L33" s="415">
        <v>-7</v>
      </c>
    </row>
    <row r="34" spans="2:12" ht="17" customHeight="1">
      <c r="B34" s="294" t="s">
        <v>21</v>
      </c>
      <c r="C34" s="294" t="s">
        <v>362</v>
      </c>
      <c r="D34" s="294" t="s">
        <v>265</v>
      </c>
      <c r="E34" s="419">
        <v>0.4</v>
      </c>
      <c r="F34" s="201" t="s">
        <v>363</v>
      </c>
      <c r="G34" s="201">
        <v>2030</v>
      </c>
      <c r="H34" s="420" t="s">
        <v>293</v>
      </c>
      <c r="I34" s="408">
        <v>4763696</v>
      </c>
      <c r="J34" s="300">
        <v>60.068155720865967</v>
      </c>
      <c r="K34" s="186">
        <v>0</v>
      </c>
      <c r="L34" s="421">
        <v>60</v>
      </c>
    </row>
    <row r="35" spans="2:12" ht="17">
      <c r="B35" s="418" t="s">
        <v>20</v>
      </c>
      <c r="C35" s="418" t="s">
        <v>362</v>
      </c>
      <c r="D35" s="409" t="s">
        <v>366</v>
      </c>
      <c r="E35" s="410">
        <v>1</v>
      </c>
      <c r="F35" s="411" t="s">
        <v>363</v>
      </c>
      <c r="G35" s="411">
        <v>2035</v>
      </c>
      <c r="H35" s="412" t="s">
        <v>298</v>
      </c>
      <c r="I35" s="408">
        <v>12768845</v>
      </c>
      <c r="J35" s="300">
        <v>59.603999999999999</v>
      </c>
      <c r="K35" s="186">
        <v>78.951181467448762</v>
      </c>
      <c r="L35" s="413">
        <v>-19</v>
      </c>
    </row>
    <row r="36" spans="2:12" ht="17">
      <c r="B36" s="552" t="s">
        <v>18</v>
      </c>
      <c r="C36" s="409" t="s">
        <v>274</v>
      </c>
      <c r="D36" s="422" t="s">
        <v>265</v>
      </c>
      <c r="E36" s="410">
        <v>0.36</v>
      </c>
      <c r="F36" s="411" t="s">
        <v>363</v>
      </c>
      <c r="G36" s="411">
        <v>2030</v>
      </c>
      <c r="H36" s="412" t="s">
        <v>298</v>
      </c>
      <c r="I36" s="408">
        <v>2603049</v>
      </c>
      <c r="J36" s="555">
        <v>53.067036087999575</v>
      </c>
      <c r="K36" s="558">
        <v>53.808176661977356</v>
      </c>
      <c r="L36" s="559">
        <v>-1</v>
      </c>
    </row>
    <row r="37" spans="2:12" ht="17">
      <c r="B37" s="552"/>
      <c r="C37" s="409" t="s">
        <v>275</v>
      </c>
      <c r="D37" s="422" t="s">
        <v>265</v>
      </c>
      <c r="E37" s="410">
        <v>0.38</v>
      </c>
      <c r="F37" s="411" t="s">
        <v>363</v>
      </c>
      <c r="G37" s="411">
        <v>2030</v>
      </c>
      <c r="H37" s="412" t="s">
        <v>298</v>
      </c>
      <c r="I37" s="408">
        <v>2131812</v>
      </c>
      <c r="J37" s="555"/>
      <c r="K37" s="558"/>
      <c r="L37" s="559"/>
    </row>
    <row r="38" spans="2:12" ht="17" customHeight="1">
      <c r="B38" s="422" t="s">
        <v>10</v>
      </c>
      <c r="C38" s="422" t="s">
        <v>362</v>
      </c>
      <c r="D38" s="422" t="s">
        <v>265</v>
      </c>
      <c r="E38" s="424">
        <v>0.4</v>
      </c>
      <c r="F38" s="411" t="s">
        <v>363</v>
      </c>
      <c r="G38" s="412">
        <v>2030</v>
      </c>
      <c r="H38" s="412" t="s">
        <v>365</v>
      </c>
      <c r="I38" s="408">
        <v>1338976</v>
      </c>
      <c r="J38" s="300">
        <v>50.527999999999999</v>
      </c>
      <c r="K38" s="423">
        <v>57.649606063229378</v>
      </c>
      <c r="L38" s="300">
        <v>-7</v>
      </c>
    </row>
    <row r="39" spans="2:12" ht="17">
      <c r="B39" s="422" t="s">
        <v>22</v>
      </c>
      <c r="C39" s="422" t="s">
        <v>362</v>
      </c>
      <c r="D39" s="422" t="s">
        <v>265</v>
      </c>
      <c r="E39" s="424">
        <v>0.32</v>
      </c>
      <c r="F39" s="411" t="s">
        <v>363</v>
      </c>
      <c r="G39" s="412">
        <v>2030</v>
      </c>
      <c r="H39" s="412" t="s">
        <v>298</v>
      </c>
      <c r="I39" s="408">
        <v>15182520</v>
      </c>
      <c r="J39" s="300">
        <v>48.054524576692764</v>
      </c>
      <c r="K39" s="423">
        <v>48.167659388243564</v>
      </c>
      <c r="L39" s="415">
        <v>0</v>
      </c>
    </row>
    <row r="40" spans="2:12" ht="17">
      <c r="B40" s="409" t="s">
        <v>24</v>
      </c>
      <c r="C40" s="409" t="s">
        <v>362</v>
      </c>
      <c r="D40" s="409" t="s">
        <v>265</v>
      </c>
      <c r="E40" s="410">
        <v>0.25</v>
      </c>
      <c r="F40" s="411" t="s">
        <v>363</v>
      </c>
      <c r="G40" s="411">
        <v>2030</v>
      </c>
      <c r="H40" s="412" t="s">
        <v>298</v>
      </c>
      <c r="I40" s="408">
        <v>817671</v>
      </c>
      <c r="J40" s="300">
        <v>37.54259732554123</v>
      </c>
      <c r="K40" s="186">
        <v>37.630983897065292</v>
      </c>
      <c r="L40" s="415">
        <v>0</v>
      </c>
    </row>
    <row r="41" spans="2:12" ht="17">
      <c r="B41" s="551" t="s">
        <v>25</v>
      </c>
      <c r="C41" s="409" t="s">
        <v>362</v>
      </c>
      <c r="D41" s="409" t="s">
        <v>100</v>
      </c>
      <c r="E41" s="410">
        <v>0.2</v>
      </c>
      <c r="F41" s="411" t="s">
        <v>363</v>
      </c>
      <c r="G41" s="411">
        <v>2030</v>
      </c>
      <c r="H41" s="412" t="s">
        <v>298</v>
      </c>
      <c r="I41" s="408">
        <v>721785</v>
      </c>
      <c r="J41" s="555">
        <v>32.233971254022684</v>
      </c>
      <c r="K41" s="556">
        <v>32.055107731927649</v>
      </c>
      <c r="L41" s="559">
        <v>0</v>
      </c>
    </row>
    <row r="42" spans="2:12" ht="17">
      <c r="B42" s="551"/>
      <c r="C42" s="409" t="s">
        <v>362</v>
      </c>
      <c r="D42" s="409" t="s">
        <v>101</v>
      </c>
      <c r="E42" s="410">
        <v>0.15</v>
      </c>
      <c r="F42" s="411" t="s">
        <v>363</v>
      </c>
      <c r="G42" s="411">
        <v>2030</v>
      </c>
      <c r="H42" s="412" t="s">
        <v>298</v>
      </c>
      <c r="I42" s="408">
        <v>1790877</v>
      </c>
      <c r="J42" s="555"/>
      <c r="K42" s="556"/>
      <c r="L42" s="559"/>
    </row>
    <row r="43" spans="2:12" ht="17">
      <c r="B43" s="551"/>
      <c r="C43" s="409" t="s">
        <v>362</v>
      </c>
      <c r="D43" s="409" t="s">
        <v>98</v>
      </c>
      <c r="E43" s="410">
        <v>0.8</v>
      </c>
      <c r="F43" s="411" t="s">
        <v>363</v>
      </c>
      <c r="G43" s="411">
        <v>2030</v>
      </c>
      <c r="H43" s="412" t="s">
        <v>298</v>
      </c>
      <c r="I43" s="408">
        <v>215858</v>
      </c>
      <c r="J43" s="555"/>
      <c r="K43" s="556"/>
      <c r="L43" s="559"/>
    </row>
    <row r="46" spans="2:12" ht="21" customHeight="1">
      <c r="B46" s="98" t="s">
        <v>26</v>
      </c>
      <c r="C46" s="98" t="s">
        <v>283</v>
      </c>
      <c r="D46" s="98" t="s">
        <v>284</v>
      </c>
      <c r="E46" s="98" t="s">
        <v>285</v>
      </c>
      <c r="F46" s="98" t="s">
        <v>286</v>
      </c>
      <c r="G46" s="98" t="s">
        <v>57</v>
      </c>
      <c r="H46" s="98" t="s">
        <v>287</v>
      </c>
      <c r="I46" s="98" t="s">
        <v>281</v>
      </c>
      <c r="J46" s="98" t="s">
        <v>288</v>
      </c>
      <c r="K46" s="98" t="s">
        <v>289</v>
      </c>
      <c r="L46" s="98" t="s">
        <v>290</v>
      </c>
    </row>
    <row r="47" spans="2:12">
      <c r="B47" s="429" t="s">
        <v>22</v>
      </c>
      <c r="C47" s="430">
        <v>0.41558441558441556</v>
      </c>
      <c r="D47" s="430"/>
      <c r="E47" s="430">
        <v>0</v>
      </c>
      <c r="F47" s="430">
        <v>0.41558441558441556</v>
      </c>
      <c r="G47" s="430">
        <v>48.054524576692764</v>
      </c>
      <c r="H47" s="430">
        <v>0.415584415584416</v>
      </c>
      <c r="I47" s="430">
        <v>48.054524576692813</v>
      </c>
      <c r="J47" s="430">
        <v>0.41558441558441556</v>
      </c>
      <c r="K47" s="430">
        <v>43.856082122949161</v>
      </c>
      <c r="L47" s="430">
        <v>0</v>
      </c>
    </row>
    <row r="48" spans="2:12">
      <c r="B48" s="429" t="s">
        <v>14</v>
      </c>
      <c r="C48" s="430">
        <v>0.66788615934195328</v>
      </c>
      <c r="D48" s="430">
        <v>0.68163317025464298</v>
      </c>
      <c r="E48" s="430">
        <v>-1.3747010912689706E-2</v>
      </c>
      <c r="F48" s="430">
        <v>0.68163317025464298</v>
      </c>
      <c r="G48" s="430">
        <v>78.818061274574603</v>
      </c>
      <c r="H48" s="430">
        <v>0.68550819886100012</v>
      </c>
      <c r="I48" s="430">
        <v>79.266135481442333</v>
      </c>
      <c r="J48" s="430">
        <v>0.64873780966832717</v>
      </c>
      <c r="K48" s="430">
        <v>68.46045614358988</v>
      </c>
      <c r="L48" s="430">
        <v>-0.44807420686773014</v>
      </c>
    </row>
    <row r="49" spans="2:12">
      <c r="B49" s="429" t="s">
        <v>19</v>
      </c>
      <c r="C49" s="430">
        <v>1.0309278350515465</v>
      </c>
      <c r="D49" s="430">
        <v>0.7724463240609607</v>
      </c>
      <c r="E49" s="430">
        <v>0.25848151099058581</v>
      </c>
      <c r="F49" s="430">
        <v>0.7724463240609607</v>
      </c>
      <c r="G49" s="430">
        <v>89.318895203430742</v>
      </c>
      <c r="H49" s="430">
        <v>0.74694051506335069</v>
      </c>
      <c r="I49" s="430">
        <v>86.369627908119668</v>
      </c>
      <c r="J49" s="430">
        <v>0.73531817849400738</v>
      </c>
      <c r="K49" s="430">
        <v>77.597169704214195</v>
      </c>
      <c r="L49" s="430">
        <v>2.9492672953110741</v>
      </c>
    </row>
    <row r="50" spans="2:12">
      <c r="B50" s="429" t="s">
        <v>17</v>
      </c>
      <c r="C50" s="430">
        <v>0.864818493669961</v>
      </c>
      <c r="D50" s="430"/>
      <c r="E50" s="430">
        <v>0</v>
      </c>
      <c r="F50" s="430">
        <v>0.864818493669961</v>
      </c>
      <c r="G50" s="430">
        <v>100</v>
      </c>
      <c r="H50" s="430">
        <v>0.86278723289147108</v>
      </c>
      <c r="I50" s="430">
        <v>99.765122879152358</v>
      </c>
      <c r="J50" s="430">
        <v>0.86939872640195137</v>
      </c>
      <c r="K50" s="430">
        <v>91.746515299553039</v>
      </c>
      <c r="L50" s="430">
        <v>0.23487712084764212</v>
      </c>
    </row>
    <row r="51" spans="2:12">
      <c r="B51" s="429" t="s">
        <v>23</v>
      </c>
      <c r="C51" s="430">
        <v>0.51948051948051954</v>
      </c>
      <c r="D51" s="430"/>
      <c r="E51" s="430">
        <v>0</v>
      </c>
      <c r="F51" s="430">
        <v>0.51948051948051954</v>
      </c>
      <c r="G51" s="430">
        <v>60.068155720865967</v>
      </c>
      <c r="H51" s="430">
        <v>0.57983456223167995</v>
      </c>
      <c r="I51" s="430">
        <v>67.04696609470993</v>
      </c>
      <c r="J51" s="430">
        <v>0.63575812511050644</v>
      </c>
      <c r="K51" s="430">
        <v>67.090726936835907</v>
      </c>
      <c r="L51" s="430">
        <v>-6.9788103738439631</v>
      </c>
    </row>
    <row r="52" spans="2:12">
      <c r="B52" s="429" t="s">
        <v>20</v>
      </c>
      <c r="C52" s="430">
        <v>1.0995679256308204</v>
      </c>
      <c r="D52" s="430">
        <v>0.51546391752577325</v>
      </c>
      <c r="E52" s="430">
        <v>0.58410400810504715</v>
      </c>
      <c r="F52" s="430">
        <v>0.51546391752577325</v>
      </c>
      <c r="G52" s="430">
        <v>59.603711217869581</v>
      </c>
      <c r="H52" s="430">
        <v>0.68118071391812507</v>
      </c>
      <c r="I52" s="430">
        <v>78.765743205542819</v>
      </c>
      <c r="J52" s="430">
        <v>0.84013924220109792</v>
      </c>
      <c r="K52" s="430">
        <v>88.658800039144978</v>
      </c>
      <c r="L52" s="430">
        <v>-19.162031987673238</v>
      </c>
    </row>
    <row r="53" spans="2:12">
      <c r="B53" s="429" t="s">
        <v>25</v>
      </c>
      <c r="C53" s="430">
        <v>0.28164036314059043</v>
      </c>
      <c r="D53" s="430"/>
      <c r="E53" s="430">
        <v>0</v>
      </c>
      <c r="F53" s="430">
        <v>0.28164036314059043</v>
      </c>
      <c r="G53" s="430">
        <v>32.56641309153968</v>
      </c>
      <c r="H53" s="430">
        <v>0.27656737700067857</v>
      </c>
      <c r="I53" s="430">
        <v>31.979817617802293</v>
      </c>
      <c r="J53" s="430">
        <v>0</v>
      </c>
      <c r="K53" s="430">
        <v>0</v>
      </c>
      <c r="L53" s="430">
        <v>0.58659547373738619</v>
      </c>
    </row>
    <row r="54" spans="2:12" ht="17" customHeight="1">
      <c r="B54" s="429" t="s">
        <v>21</v>
      </c>
      <c r="C54" s="430">
        <v>0.51948051948051954</v>
      </c>
      <c r="D54" s="430"/>
      <c r="E54" s="430">
        <v>0</v>
      </c>
      <c r="F54" s="430">
        <v>0.51948051948051954</v>
      </c>
      <c r="G54" s="430">
        <v>60.068155720865967</v>
      </c>
      <c r="H54" s="430">
        <v>0</v>
      </c>
      <c r="I54" s="430">
        <v>0</v>
      </c>
      <c r="J54" s="430">
        <v>0.64935064935064934</v>
      </c>
      <c r="K54" s="430">
        <v>68.52512831710807</v>
      </c>
      <c r="L54" s="430">
        <v>60.068155720865967</v>
      </c>
    </row>
    <row r="55" spans="2:12">
      <c r="B55" s="429" t="s">
        <v>12</v>
      </c>
      <c r="C55" s="430">
        <v>0.58512553447995763</v>
      </c>
      <c r="D55" s="430"/>
      <c r="E55" s="430">
        <v>0</v>
      </c>
      <c r="F55" s="430">
        <v>0.58512553447995763</v>
      </c>
      <c r="G55" s="430">
        <v>67.658767563689253</v>
      </c>
      <c r="H55" s="430">
        <v>0.72554895828222088</v>
      </c>
      <c r="I55" s="430">
        <v>83.896096532726403</v>
      </c>
      <c r="J55" s="430">
        <v>0.76989430605639042</v>
      </c>
      <c r="K55" s="430">
        <v>81.245943414212533</v>
      </c>
      <c r="L55" s="430">
        <v>-16.237328969037151</v>
      </c>
    </row>
    <row r="56" spans="2:12">
      <c r="B56" s="429" t="s">
        <v>13</v>
      </c>
      <c r="C56" s="430">
        <v>1.0309278350515465</v>
      </c>
      <c r="D56" s="430">
        <v>0.7663943008502877</v>
      </c>
      <c r="E56" s="430">
        <v>0.2645335342012588</v>
      </c>
      <c r="F56" s="430">
        <v>0.7663943008502877</v>
      </c>
      <c r="G56" s="430">
        <v>88.619092498589097</v>
      </c>
      <c r="H56" s="430">
        <v>0.77874468738262292</v>
      </c>
      <c r="I56" s="430">
        <v>90.04718251085572</v>
      </c>
      <c r="J56" s="430">
        <v>0.84013924220109792</v>
      </c>
      <c r="K56" s="430">
        <v>88.658800039144978</v>
      </c>
      <c r="L56" s="430">
        <v>-1.4280900122666225</v>
      </c>
    </row>
    <row r="57" spans="2:12" ht="19" customHeight="1">
      <c r="B57" s="429" t="s">
        <v>47</v>
      </c>
      <c r="C57" s="430">
        <v>0.80907612848826616</v>
      </c>
      <c r="D57" s="430"/>
      <c r="E57" s="430">
        <v>0</v>
      </c>
      <c r="F57" s="430">
        <v>0.80907612848826616</v>
      </c>
      <c r="G57" s="430">
        <v>93.55444343643191</v>
      </c>
      <c r="H57" s="430">
        <v>0.62904029984258525</v>
      </c>
      <c r="I57" s="430">
        <v>72.736684569865901</v>
      </c>
      <c r="J57" s="430">
        <v>0.62904029984258525</v>
      </c>
      <c r="K57" s="430">
        <v>66.381803585551737</v>
      </c>
      <c r="L57" s="430">
        <v>20.81775886656601</v>
      </c>
    </row>
    <row r="58" spans="2:12">
      <c r="B58" s="429" t="s">
        <v>6</v>
      </c>
      <c r="C58" s="430">
        <v>0.864818493669961</v>
      </c>
      <c r="D58" s="430"/>
      <c r="E58" s="430">
        <v>0</v>
      </c>
      <c r="F58" s="430">
        <v>0.864818493669961</v>
      </c>
      <c r="G58" s="430">
        <v>75.042534930425774</v>
      </c>
      <c r="H58" s="430">
        <v>0.86278723289147108</v>
      </c>
      <c r="I58" s="430">
        <v>75.929554695537163</v>
      </c>
      <c r="J58" s="430">
        <v>0.94760953433856132</v>
      </c>
      <c r="K58" s="430">
        <v>69.561791887532436</v>
      </c>
      <c r="L58" s="430">
        <v>-0.8870197651113898</v>
      </c>
    </row>
    <row r="59" spans="2:12">
      <c r="B59" s="429" t="s">
        <v>205</v>
      </c>
      <c r="C59" s="430">
        <v>0.53561266989531497</v>
      </c>
      <c r="D59" s="430">
        <v>0.57097558543151361</v>
      </c>
      <c r="E59" s="430">
        <v>-3.5362915536198636E-2</v>
      </c>
      <c r="F59" s="430">
        <v>0.57097558543151361</v>
      </c>
      <c r="G59" s="430">
        <v>66.022591978637067</v>
      </c>
      <c r="H59" s="430">
        <v>0.7269070972977405</v>
      </c>
      <c r="I59" s="430">
        <v>84.053139776535417</v>
      </c>
      <c r="J59" s="430">
        <v>0.94760953433856132</v>
      </c>
      <c r="K59" s="430">
        <v>100</v>
      </c>
      <c r="L59" s="430">
        <v>-18.03054779789835</v>
      </c>
    </row>
    <row r="60" spans="2:12">
      <c r="B60" s="429" t="s">
        <v>5</v>
      </c>
      <c r="C60" s="430">
        <v>0.864818493669961</v>
      </c>
      <c r="D60" s="430"/>
      <c r="E60" s="430">
        <v>0</v>
      </c>
      <c r="F60" s="430">
        <v>0.864818493669961</v>
      </c>
      <c r="G60" s="430">
        <v>100</v>
      </c>
      <c r="H60" s="430">
        <v>0.86278723289147108</v>
      </c>
      <c r="I60" s="430">
        <v>100</v>
      </c>
      <c r="J60" s="430">
        <v>0.94760953433856132</v>
      </c>
      <c r="K60" s="430">
        <v>100</v>
      </c>
      <c r="L60" s="430">
        <v>0</v>
      </c>
    </row>
    <row r="61" spans="2:12">
      <c r="B61" s="429" t="s">
        <v>7</v>
      </c>
      <c r="C61" s="430">
        <v>0.61327633311958618</v>
      </c>
      <c r="D61" s="430"/>
      <c r="E61" s="430">
        <v>0</v>
      </c>
      <c r="F61" s="430">
        <v>0.61327633311958618</v>
      </c>
      <c r="G61" s="430">
        <v>70.913878184666771</v>
      </c>
      <c r="H61" s="430">
        <v>0.62899086959422013</v>
      </c>
      <c r="I61" s="430">
        <v>72.730968890942876</v>
      </c>
      <c r="J61" s="430">
        <v>0.40255415654030091</v>
      </c>
      <c r="K61" s="430">
        <v>42.481015856524365</v>
      </c>
      <c r="L61" s="430">
        <v>-1.8170907062761046</v>
      </c>
    </row>
    <row r="62" spans="2:12">
      <c r="B62" s="429" t="s">
        <v>11</v>
      </c>
      <c r="C62" s="430">
        <v>0.76483358582237482</v>
      </c>
      <c r="D62" s="430"/>
      <c r="E62" s="430">
        <v>0</v>
      </c>
      <c r="F62" s="430">
        <v>0.76483358582237482</v>
      </c>
      <c r="G62" s="430">
        <v>88.438625147423906</v>
      </c>
      <c r="H62" s="430">
        <v>0.76585042226033295</v>
      </c>
      <c r="I62" s="430">
        <v>88.556203164707412</v>
      </c>
      <c r="J62" s="430">
        <v>0.76585042226033295</v>
      </c>
      <c r="K62" s="430">
        <v>80.819197623935096</v>
      </c>
      <c r="L62" s="430">
        <v>-0.11757801728350614</v>
      </c>
    </row>
    <row r="63" spans="2:12">
      <c r="B63" s="429" t="s">
        <v>52</v>
      </c>
      <c r="C63" s="430">
        <v>0.45893354213153253</v>
      </c>
      <c r="D63" s="430"/>
      <c r="E63" s="430">
        <v>0</v>
      </c>
      <c r="F63" s="430">
        <v>0.45893354213153253</v>
      </c>
      <c r="G63" s="430">
        <v>53.067036087999575</v>
      </c>
      <c r="H63" s="430">
        <v>0.46425007849122873</v>
      </c>
      <c r="I63" s="430">
        <v>53.681793565853084</v>
      </c>
      <c r="J63" s="430">
        <v>0.4154641323724837</v>
      </c>
      <c r="K63" s="430">
        <v>43.84338879224984</v>
      </c>
      <c r="L63" s="430">
        <v>-0.61475747785350876</v>
      </c>
    </row>
    <row r="64" spans="2:12">
      <c r="B64" s="429" t="s">
        <v>8</v>
      </c>
      <c r="C64" s="430">
        <v>0.65475775685560023</v>
      </c>
      <c r="D64" s="430"/>
      <c r="E64" s="430">
        <v>0</v>
      </c>
      <c r="F64" s="430">
        <v>0.65475775685560023</v>
      </c>
      <c r="G64" s="430">
        <v>75.710424979125634</v>
      </c>
      <c r="H64" s="430">
        <v>0.74783642117696203</v>
      </c>
      <c r="I64" s="430">
        <v>86.47322260691125</v>
      </c>
      <c r="J64" s="430">
        <v>0.79017192180614604</v>
      </c>
      <c r="K64" s="430">
        <v>83.38581379488673</v>
      </c>
      <c r="L64" s="430">
        <v>-10.762797627785616</v>
      </c>
    </row>
    <row r="65" spans="2:12">
      <c r="B65" s="429" t="s">
        <v>15</v>
      </c>
      <c r="C65" s="430">
        <v>0.69071739620930572</v>
      </c>
      <c r="D65" s="430">
        <v>0.54690515311509524</v>
      </c>
      <c r="E65" s="430">
        <v>0.14381224309421048</v>
      </c>
      <c r="F65" s="430">
        <v>0.54690515311509524</v>
      </c>
      <c r="G65" s="430">
        <v>63.239299011083538</v>
      </c>
      <c r="H65" s="430">
        <v>0.61122782970279055</v>
      </c>
      <c r="I65" s="430">
        <v>70.677007276864757</v>
      </c>
      <c r="J65" s="430">
        <v>0.55891618516414299</v>
      </c>
      <c r="K65" s="430">
        <v>58.981697092597393</v>
      </c>
      <c r="L65" s="430">
        <v>-7.4377082657812181</v>
      </c>
    </row>
    <row r="66" spans="2:12">
      <c r="B66" s="429" t="s">
        <v>24</v>
      </c>
      <c r="C66" s="430">
        <v>0.32467532467532473</v>
      </c>
      <c r="D66" s="430"/>
      <c r="E66" s="430">
        <v>0</v>
      </c>
      <c r="F66" s="430">
        <v>0.32467532467532473</v>
      </c>
      <c r="G66" s="430">
        <v>37.54259732554123</v>
      </c>
      <c r="H66" s="430">
        <v>0.32467532467532467</v>
      </c>
      <c r="I66" s="430">
        <v>37.542597325541223</v>
      </c>
      <c r="J66" s="430">
        <v>0.32467532467532467</v>
      </c>
      <c r="K66" s="430">
        <v>34.262564158554035</v>
      </c>
      <c r="L66" s="430">
        <v>0</v>
      </c>
    </row>
    <row r="67" spans="2:12">
      <c r="B67" s="429" t="s">
        <v>49</v>
      </c>
      <c r="C67" s="430">
        <v>0.43697448466281513</v>
      </c>
      <c r="D67" s="430"/>
      <c r="E67" s="430">
        <v>0</v>
      </c>
      <c r="F67" s="430">
        <v>0.43697448466281513</v>
      </c>
      <c r="G67" s="430">
        <v>50.527883927234427</v>
      </c>
      <c r="H67" s="430">
        <v>0.49739344092577048</v>
      </c>
      <c r="I67" s="430">
        <v>57.514200328328059</v>
      </c>
      <c r="J67" s="430">
        <v>0</v>
      </c>
      <c r="K67" s="430">
        <v>0</v>
      </c>
      <c r="L67" s="430">
        <v>-6.9863164010936316</v>
      </c>
    </row>
    <row r="68" spans="2:12">
      <c r="B68" s="428"/>
      <c r="C68" s="428"/>
      <c r="D68" s="428"/>
      <c r="E68" s="428" t="s">
        <v>73</v>
      </c>
      <c r="F68" s="427">
        <f>MAX(F47:F57,H47:H57,F59:F67,H59:H67)</f>
        <v>0.864818493669961</v>
      </c>
      <c r="G68" s="426"/>
      <c r="H68" s="427">
        <f>MAX(H47:H57,H59:H67)</f>
        <v>0.86278723289147108</v>
      </c>
      <c r="I68" s="426"/>
      <c r="J68" s="427">
        <v>0.94760953433856132</v>
      </c>
      <c r="K68" s="427"/>
      <c r="L68" s="123"/>
    </row>
    <row r="69" spans="2:12">
      <c r="B69" s="428"/>
      <c r="C69" s="428"/>
      <c r="D69" s="428"/>
      <c r="E69" s="428" t="s">
        <v>74</v>
      </c>
      <c r="F69" s="427">
        <f>MIN(F47:F57,H47:H57,F59:F67,H59:H67)</f>
        <v>0</v>
      </c>
      <c r="G69" s="426"/>
      <c r="H69" s="427">
        <f>MIN(H47:H57,H59:H67)</f>
        <v>0</v>
      </c>
      <c r="I69" s="426"/>
      <c r="J69" s="427">
        <v>0</v>
      </c>
      <c r="K69" s="428"/>
      <c r="L69" s="15"/>
    </row>
    <row r="70" spans="2:12">
      <c r="B70" s="4"/>
      <c r="C70" s="4"/>
      <c r="D70" s="4"/>
      <c r="E70" s="4"/>
      <c r="F70" s="4"/>
      <c r="G70" s="4"/>
      <c r="H70" s="5"/>
      <c r="I70" s="5"/>
      <c r="J70" s="70"/>
      <c r="K70" s="42"/>
      <c r="L70" s="47"/>
    </row>
    <row r="74" spans="2:12" s="10" customFormat="1"/>
    <row r="75" spans="2:12" s="10" customFormat="1"/>
    <row r="76" spans="2:12" s="10" customFormat="1"/>
    <row r="77" spans="2:12" s="10" customFormat="1"/>
    <row r="78" spans="2:12" s="10" customFormat="1"/>
    <row r="79" spans="2:12" s="10" customFormat="1"/>
    <row r="98" ht="17" customHeight="1"/>
    <row r="99" s="36" customFormat="1" ht="17" customHeight="1"/>
    <row r="134" ht="16" customHeight="1"/>
  </sheetData>
  <sheetProtection algorithmName="SHA-512" hashValue="1pkV9fVZpT3fWIUhEJ4TVBrw1P2Q1DPWeEzNMQ4pWrF6BE3OANqpk1ZacBxX5aQm8gwSHrLAjigmmUvMBaEhjw==" saltValue="1bwsgjrwq4BsrNzuF0mrHg==" spinCount="100000" sheet="1" objects="1" scenarios="1"/>
  <mergeCells count="50">
    <mergeCell ref="L36:L37"/>
    <mergeCell ref="B41:B43"/>
    <mergeCell ref="J41:J43"/>
    <mergeCell ref="K41:K43"/>
    <mergeCell ref="L41:L43"/>
    <mergeCell ref="L27:L28"/>
    <mergeCell ref="B29:B32"/>
    <mergeCell ref="J29:J32"/>
    <mergeCell ref="K29:K32"/>
    <mergeCell ref="L29:L32"/>
    <mergeCell ref="L13:L20"/>
    <mergeCell ref="J21:J22"/>
    <mergeCell ref="K21:K22"/>
    <mergeCell ref="L21:L22"/>
    <mergeCell ref="B25:B26"/>
    <mergeCell ref="J25:J26"/>
    <mergeCell ref="K25:K26"/>
    <mergeCell ref="L25:L26"/>
    <mergeCell ref="L8:L9"/>
    <mergeCell ref="C10:C11"/>
    <mergeCell ref="J10:J11"/>
    <mergeCell ref="K10:K11"/>
    <mergeCell ref="L10:L11"/>
    <mergeCell ref="L2:L3"/>
    <mergeCell ref="I2:I3"/>
    <mergeCell ref="C5:C6"/>
    <mergeCell ref="J5:J6"/>
    <mergeCell ref="K5:K6"/>
    <mergeCell ref="L5:L6"/>
    <mergeCell ref="B36:B37"/>
    <mergeCell ref="C2:C3"/>
    <mergeCell ref="D2:H2"/>
    <mergeCell ref="J2:J3"/>
    <mergeCell ref="K2:K3"/>
    <mergeCell ref="B8:B9"/>
    <mergeCell ref="C8:C9"/>
    <mergeCell ref="J8:J9"/>
    <mergeCell ref="K8:K9"/>
    <mergeCell ref="B13:B20"/>
    <mergeCell ref="J13:J20"/>
    <mergeCell ref="K13:K20"/>
    <mergeCell ref="J27:J28"/>
    <mergeCell ref="K27:K28"/>
    <mergeCell ref="J36:J37"/>
    <mergeCell ref="K36:K37"/>
    <mergeCell ref="B2:B3"/>
    <mergeCell ref="B5:B6"/>
    <mergeCell ref="B10:B11"/>
    <mergeCell ref="B21:B22"/>
    <mergeCell ref="B27:B28"/>
  </mergeCells>
  <phoneticPr fontId="3" type="noConversion"/>
  <conditionalFormatting sqref="J27:J41 J4:J13 J21:J25">
    <cfRule type="colorScale" priority="2">
      <colorScale>
        <cfvo type="min"/>
        <cfvo type="max"/>
        <color rgb="FFFCFCFF"/>
        <color theme="5"/>
      </colorScale>
    </cfRule>
  </conditionalFormatting>
  <conditionalFormatting sqref="L39:L41 L29 L27 L33:L36 L21:L25 L4:L13">
    <cfRule type="colorScale" priority="1">
      <colorScale>
        <cfvo type="min"/>
        <cfvo type="num" val="0"/>
        <cfvo type="max"/>
        <color rgb="FFF8696B"/>
        <color rgb="FFFCFCFF"/>
        <color rgb="FF63BE7B"/>
      </colorScale>
    </cfRule>
  </conditionalFormatting>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4C91-6505-C845-AB9A-10C83E457AB7}">
  <sheetPr>
    <tabColor theme="8" tint="0.39997558519241921"/>
  </sheetPr>
  <dimension ref="A2:I1048224"/>
  <sheetViews>
    <sheetView zoomScale="90" zoomScaleNormal="90" workbookViewId="0">
      <selection activeCell="Q69" sqref="Q69"/>
    </sheetView>
  </sheetViews>
  <sheetFormatPr baseColWidth="10" defaultColWidth="10.83203125" defaultRowHeight="15"/>
  <cols>
    <col min="1" max="1" width="8.5" style="25" customWidth="1"/>
    <col min="2" max="2" width="14.1640625" style="14" customWidth="1"/>
    <col min="3" max="3" width="18.5" style="14" customWidth="1"/>
    <col min="4" max="4" width="15.83203125" style="14" customWidth="1"/>
    <col min="5" max="5" width="17.6640625" style="14" customWidth="1"/>
    <col min="6" max="6" width="15.83203125" style="14" customWidth="1"/>
    <col min="7" max="7" width="18.5" style="14" customWidth="1"/>
    <col min="8" max="9" width="15.83203125" style="14" customWidth="1"/>
    <col min="10" max="13" width="16.33203125" style="14" customWidth="1"/>
    <col min="14" max="14" width="11.1640625" style="14" customWidth="1"/>
    <col min="15" max="16" width="17.1640625" style="14" customWidth="1"/>
    <col min="17" max="17" width="17" style="14" customWidth="1"/>
    <col min="18" max="18" width="14.33203125" style="14" customWidth="1"/>
    <col min="19" max="22" width="15.5" style="14" customWidth="1"/>
    <col min="23" max="23" width="15" style="14" customWidth="1"/>
    <col min="24" max="24" width="18.83203125" style="14" customWidth="1"/>
    <col min="25" max="32" width="14.33203125" style="14" customWidth="1"/>
    <col min="33" max="33" width="5" style="14" customWidth="1"/>
    <col min="34" max="35" width="16.6640625" style="14" customWidth="1"/>
    <col min="36" max="36" width="18.83203125" style="14" customWidth="1"/>
    <col min="37" max="37" width="15" style="14" customWidth="1"/>
    <col min="38" max="43" width="10.5" style="14" customWidth="1"/>
    <col min="44" max="44" width="12.1640625" style="14" bestFit="1" customWidth="1"/>
    <col min="45" max="16384" width="10.83203125" style="14"/>
  </cols>
  <sheetData>
    <row r="2" spans="1:9" s="433" customFormat="1" ht="59" customHeight="1">
      <c r="A2" s="432"/>
      <c r="B2" s="488" t="s">
        <v>3</v>
      </c>
      <c r="C2" s="488" t="s">
        <v>373</v>
      </c>
      <c r="D2" s="488" t="s">
        <v>374</v>
      </c>
      <c r="E2" s="488" t="s">
        <v>375</v>
      </c>
      <c r="F2" s="488" t="s">
        <v>376</v>
      </c>
      <c r="G2" s="488" t="s">
        <v>377</v>
      </c>
      <c r="H2" s="488" t="s">
        <v>72</v>
      </c>
      <c r="I2" s="488" t="s">
        <v>71</v>
      </c>
    </row>
    <row r="3" spans="1:9" ht="16">
      <c r="B3" s="485" t="s">
        <v>5</v>
      </c>
      <c r="C3" s="486">
        <v>53584.540112303366</v>
      </c>
      <c r="D3" s="486">
        <v>1419057.5</v>
      </c>
      <c r="E3" s="486">
        <v>3776.0654598071865</v>
      </c>
      <c r="F3" s="487">
        <v>1</v>
      </c>
      <c r="G3" s="486">
        <v>3740.0293468068444</v>
      </c>
      <c r="H3" s="486">
        <v>100</v>
      </c>
      <c r="I3" s="486">
        <v>100</v>
      </c>
    </row>
    <row r="4" spans="1:9" ht="16">
      <c r="B4" s="485" t="s">
        <v>6</v>
      </c>
      <c r="C4" s="486">
        <v>70812.596357725459</v>
      </c>
      <c r="D4" s="486">
        <v>1931847.5</v>
      </c>
      <c r="E4" s="486">
        <v>2750.7123288400117</v>
      </c>
      <c r="F4" s="487">
        <v>0.75042534930425775</v>
      </c>
      <c r="G4" s="486">
        <v>2535.3191777495585</v>
      </c>
      <c r="H4" s="486">
        <v>72.752662788302132</v>
      </c>
      <c r="I4" s="486">
        <v>67.676969804740764</v>
      </c>
    </row>
    <row r="5" spans="1:9" ht="16">
      <c r="B5" s="485" t="s">
        <v>7</v>
      </c>
      <c r="C5" s="486">
        <v>42699.080511988432</v>
      </c>
      <c r="D5" s="486">
        <v>1704031</v>
      </c>
      <c r="E5" s="486">
        <v>2366.5623868881603</v>
      </c>
      <c r="F5" s="487">
        <v>0.94444555300416277</v>
      </c>
      <c r="G5" s="486">
        <v>2427.2029642916236</v>
      </c>
      <c r="H5" s="486">
        <v>62.544410926484439</v>
      </c>
      <c r="I5" s="486">
        <v>64.776152892958095</v>
      </c>
    </row>
    <row r="6" spans="1:9" ht="16">
      <c r="B6" s="485" t="s">
        <v>8</v>
      </c>
      <c r="C6" s="486">
        <v>40431.024048712417</v>
      </c>
      <c r="D6" s="486">
        <v>1928348</v>
      </c>
      <c r="E6" s="486">
        <v>1757.6221563317538</v>
      </c>
      <c r="F6" s="487">
        <v>0.83829367414352252</v>
      </c>
      <c r="G6" s="486">
        <v>1676.6995551001821</v>
      </c>
      <c r="H6" s="486">
        <v>46.362668946442028</v>
      </c>
      <c r="I6" s="486">
        <v>44.639737529316854</v>
      </c>
    </row>
    <row r="7" spans="1:9" ht="16">
      <c r="B7" s="485" t="s">
        <v>13</v>
      </c>
      <c r="C7" s="486">
        <v>44110.718947388887</v>
      </c>
      <c r="D7" s="486">
        <v>2069915</v>
      </c>
      <c r="E7" s="486">
        <v>1586.3039835628967</v>
      </c>
      <c r="F7" s="487">
        <v>0.74438016166838272</v>
      </c>
      <c r="G7" s="486">
        <v>1567.2866211847247</v>
      </c>
      <c r="H7" s="486">
        <v>41.810126136608453</v>
      </c>
      <c r="I7" s="486">
        <v>41.704128901169653</v>
      </c>
    </row>
    <row r="8" spans="1:9" ht="16">
      <c r="B8" s="485" t="s">
        <v>9</v>
      </c>
      <c r="C8" s="486">
        <v>24322.789732118421</v>
      </c>
      <c r="D8" s="486">
        <v>1470563</v>
      </c>
      <c r="E8" s="486">
        <v>1373.879363108535</v>
      </c>
      <c r="F8" s="487">
        <v>0.83065149191461995</v>
      </c>
      <c r="G8" s="486">
        <v>1348.4146411987003</v>
      </c>
      <c r="H8" s="486">
        <v>36.16523649734112</v>
      </c>
      <c r="I8" s="486">
        <v>35.8316744306305</v>
      </c>
    </row>
    <row r="9" spans="1:9" ht="16">
      <c r="B9" s="485" t="s">
        <v>18</v>
      </c>
      <c r="C9" s="486">
        <v>54950.33870435696</v>
      </c>
      <c r="D9" s="486">
        <v>4981896.5</v>
      </c>
      <c r="E9" s="486">
        <v>925.58343951182292</v>
      </c>
      <c r="F9" s="487">
        <v>0.83915058696377032</v>
      </c>
      <c r="G9" s="486">
        <v>809.51708920824615</v>
      </c>
      <c r="H9" s="486">
        <v>24.252394148727667</v>
      </c>
      <c r="I9" s="486">
        <v>21.372759504421023</v>
      </c>
    </row>
    <row r="10" spans="1:9" ht="16">
      <c r="B10" s="485" t="s">
        <v>14</v>
      </c>
      <c r="C10" s="486">
        <v>75396.475804700938</v>
      </c>
      <c r="D10" s="486">
        <v>6791309.5</v>
      </c>
      <c r="E10" s="486">
        <v>891.78455868106721</v>
      </c>
      <c r="F10" s="487">
        <v>0.80327162253735285</v>
      </c>
      <c r="G10" s="486">
        <v>841.62245122783816</v>
      </c>
      <c r="H10" s="486">
        <v>23.354235772300886</v>
      </c>
      <c r="I10" s="486">
        <v>22.234163859296732</v>
      </c>
    </row>
    <row r="11" spans="1:9" ht="16">
      <c r="B11" s="485" t="s">
        <v>15</v>
      </c>
      <c r="C11" s="486">
        <v>12256.502580759799</v>
      </c>
      <c r="D11" s="486">
        <v>1013954.5</v>
      </c>
      <c r="E11" s="486">
        <v>828.30473948167412</v>
      </c>
      <c r="F11" s="487">
        <v>0.68523896799661643</v>
      </c>
      <c r="G11" s="486">
        <v>756.35582077007814</v>
      </c>
      <c r="H11" s="486">
        <v>21.667347628474808</v>
      </c>
      <c r="I11" s="486">
        <v>19.946413708494166</v>
      </c>
    </row>
    <row r="12" spans="1:9" ht="16">
      <c r="B12" s="485" t="s">
        <v>23</v>
      </c>
      <c r="C12" s="486">
        <v>27078.102205228446</v>
      </c>
      <c r="D12" s="486">
        <v>3152406</v>
      </c>
      <c r="E12" s="486">
        <v>760.33453462295211</v>
      </c>
      <c r="F12" s="487">
        <v>0.88517397961877609</v>
      </c>
      <c r="G12" s="486">
        <v>733.69454969058609</v>
      </c>
      <c r="H12" s="486">
        <v>19.861133714262774</v>
      </c>
      <c r="I12" s="486">
        <v>19.338399458943538</v>
      </c>
    </row>
    <row r="13" spans="1:9" ht="16">
      <c r="B13" s="485" t="s">
        <v>17</v>
      </c>
      <c r="C13" s="486">
        <v>44926.50964531974</v>
      </c>
      <c r="D13" s="486">
        <v>4304432.5</v>
      </c>
      <c r="E13" s="486">
        <v>723.00122638895709</v>
      </c>
      <c r="F13" s="487">
        <v>0.69271127469674054</v>
      </c>
      <c r="G13" s="486">
        <v>263.55109088639023</v>
      </c>
      <c r="H13" s="486">
        <v>18.869052832117905</v>
      </c>
      <c r="I13" s="486">
        <v>6.7241943120547782</v>
      </c>
    </row>
    <row r="14" spans="1:9" ht="16">
      <c r="B14" s="485" t="s">
        <v>12</v>
      </c>
      <c r="C14" s="486">
        <v>18166.001044750981</v>
      </c>
      <c r="D14" s="486">
        <v>2139960</v>
      </c>
      <c r="E14" s="486">
        <v>687.94005398910076</v>
      </c>
      <c r="F14" s="487">
        <v>0.81039530621401901</v>
      </c>
      <c r="G14" s="486">
        <v>658.30179371299187</v>
      </c>
      <c r="H14" s="486">
        <v>17.937350808137893</v>
      </c>
      <c r="I14" s="486">
        <v>17.315570740003995</v>
      </c>
    </row>
    <row r="15" spans="1:9" ht="16">
      <c r="B15" s="485" t="s">
        <v>10</v>
      </c>
      <c r="C15" s="486">
        <v>4597.2308906102962</v>
      </c>
      <c r="D15" s="486">
        <v>670012</v>
      </c>
      <c r="E15" s="486">
        <v>577.16574533788742</v>
      </c>
      <c r="F15" s="487">
        <v>0.84117588297591905</v>
      </c>
      <c r="G15" s="486">
        <v>656.96846414183346</v>
      </c>
      <c r="H15" s="486">
        <v>14.993677208228695</v>
      </c>
      <c r="I15" s="486">
        <v>17.279796781174952</v>
      </c>
    </row>
    <row r="16" spans="1:9" ht="16">
      <c r="B16" s="485" t="s">
        <v>24</v>
      </c>
      <c r="C16" s="486">
        <v>9518.2566206933825</v>
      </c>
      <c r="D16" s="486">
        <v>738988.5</v>
      </c>
      <c r="E16" s="486">
        <v>484.29117907019179</v>
      </c>
      <c r="F16" s="487">
        <v>0.375999120685865</v>
      </c>
      <c r="G16" s="486">
        <v>558.6449342119364</v>
      </c>
      <c r="H16" s="486">
        <v>12.525664433840339</v>
      </c>
      <c r="I16" s="486">
        <v>14.641722903774642</v>
      </c>
    </row>
    <row r="17" spans="2:9" ht="16">
      <c r="B17" s="485" t="s">
        <v>21</v>
      </c>
      <c r="C17" s="486">
        <v>11373.269501699273</v>
      </c>
      <c r="D17" s="486">
        <v>2352817.5</v>
      </c>
      <c r="E17" s="486">
        <v>483.3893619755579</v>
      </c>
      <c r="F17" s="487">
        <v>1</v>
      </c>
      <c r="G17" s="486">
        <v>361.312977836014</v>
      </c>
      <c r="H17" s="486">
        <v>12.501699895440202</v>
      </c>
      <c r="I17" s="486">
        <v>9.3471990022957119</v>
      </c>
    </row>
    <row r="18" spans="2:9" ht="16">
      <c r="B18" s="485" t="s">
        <v>20</v>
      </c>
      <c r="C18" s="486">
        <v>17354.115588152337</v>
      </c>
      <c r="D18" s="486">
        <v>3065611</v>
      </c>
      <c r="E18" s="486">
        <v>440.813156244298</v>
      </c>
      <c r="F18" s="487">
        <v>0.77869808683872888</v>
      </c>
      <c r="G18" s="486">
        <v>412.93150060633775</v>
      </c>
      <c r="H18" s="486">
        <v>11.370296284608102</v>
      </c>
      <c r="I18" s="486">
        <v>10.732152091423753</v>
      </c>
    </row>
    <row r="19" spans="2:9" ht="16">
      <c r="B19" s="485" t="s">
        <v>16</v>
      </c>
      <c r="C19" s="486">
        <v>6835.8786403002368</v>
      </c>
      <c r="D19" s="486">
        <v>1529990.5</v>
      </c>
      <c r="E19" s="486">
        <v>440.57333575632038</v>
      </c>
      <c r="F19" s="487">
        <v>0.98608102005578424</v>
      </c>
      <c r="G19" s="486">
        <v>426.3352722739711</v>
      </c>
      <c r="H19" s="486">
        <v>11.36392338778958</v>
      </c>
      <c r="I19" s="486">
        <v>11.09178258801224</v>
      </c>
    </row>
    <row r="20" spans="2:9" ht="16">
      <c r="B20" s="485" t="s">
        <v>22</v>
      </c>
      <c r="C20" s="486">
        <v>38819.098826282614</v>
      </c>
      <c r="D20" s="486">
        <v>7238099.5</v>
      </c>
      <c r="E20" s="486">
        <v>376.68183421049463</v>
      </c>
      <c r="F20" s="487">
        <v>0.70235030649709562</v>
      </c>
      <c r="G20" s="486">
        <v>359.23597103480796</v>
      </c>
      <c r="H20" s="486">
        <v>9.6660953566421721</v>
      </c>
      <c r="I20" s="486">
        <v>9.2914717782085479</v>
      </c>
    </row>
    <row r="21" spans="2:9" ht="16">
      <c r="B21" s="485" t="s">
        <v>19</v>
      </c>
      <c r="C21" s="486">
        <v>12222.98477042696</v>
      </c>
      <c r="D21" s="486">
        <v>3216428</v>
      </c>
      <c r="E21" s="486">
        <v>366.02163805725564</v>
      </c>
      <c r="F21" s="487">
        <v>0.96317083540970416</v>
      </c>
      <c r="G21" s="486">
        <v>368.30367990125933</v>
      </c>
      <c r="H21" s="486">
        <v>9.3828154303828484</v>
      </c>
      <c r="I21" s="486">
        <v>9.5347633474342661</v>
      </c>
    </row>
    <row r="22" spans="2:9" ht="16">
      <c r="B22" s="485" t="s">
        <v>11</v>
      </c>
      <c r="C22" s="486">
        <v>3125.8494937370838</v>
      </c>
      <c r="D22" s="486">
        <v>913423.5</v>
      </c>
      <c r="E22" s="486">
        <v>251.92053594495204</v>
      </c>
      <c r="F22" s="487">
        <v>0.73615232635403571</v>
      </c>
      <c r="G22" s="486">
        <v>122.75691650095828</v>
      </c>
      <c r="H22" s="486">
        <v>6.3507369087639027</v>
      </c>
      <c r="I22" s="486">
        <v>2.9466099047295753</v>
      </c>
    </row>
    <row r="23" spans="2:9" ht="16">
      <c r="B23" s="485" t="s">
        <v>25</v>
      </c>
      <c r="C23" s="486">
        <v>13100.376893248818</v>
      </c>
      <c r="D23" s="486">
        <v>2481829</v>
      </c>
      <c r="E23" s="486">
        <v>159.51599194899782</v>
      </c>
      <c r="F23" s="487">
        <v>0.30219849246231156</v>
      </c>
      <c r="G23" s="486">
        <v>160.01597881933594</v>
      </c>
      <c r="H23" s="486">
        <v>3.8952143242899897</v>
      </c>
      <c r="I23" s="486">
        <v>3.9462908465003084</v>
      </c>
    </row>
    <row r="1048224" spans="6:6">
      <c r="F1048224" s="14" t="s">
        <v>301</v>
      </c>
    </row>
  </sheetData>
  <sheetProtection algorithmName="SHA-512" hashValue="m97S+H6L3H3GHH4h79847zjrgba0QWz1Xxa2lmtpYJQsFclBAMQ1F4ocQihqfD7OCT76IaMaEw8NFYMyLZs1gg==" saltValue="dlXGawiaPexzfQppqVFOdw==" spinCount="100000" sheet="1" objects="1" scenarios="1"/>
  <autoFilter ref="B2:I2" xr:uid="{00404C91-6505-C845-AB9A-10C83E457AB7}">
    <sortState xmlns:xlrd2="http://schemas.microsoft.com/office/spreadsheetml/2017/richdata2" ref="B3:I23">
      <sortCondition descending="1" ref="E2:E23"/>
    </sortState>
  </autoFilter>
  <phoneticPr fontId="3" type="noConversion"/>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420-EE10-F542-9796-723DE9BED446}">
  <sheetPr>
    <tabColor theme="8" tint="0.39997558519241921"/>
  </sheetPr>
  <dimension ref="A1:AA70"/>
  <sheetViews>
    <sheetView zoomScale="90" zoomScaleNormal="90" workbookViewId="0">
      <selection activeCell="O29" sqref="O29"/>
    </sheetView>
  </sheetViews>
  <sheetFormatPr baseColWidth="10" defaultColWidth="11" defaultRowHeight="16"/>
  <cols>
    <col min="1" max="6" width="17.6640625" customWidth="1"/>
    <col min="7" max="11" width="17.6640625" style="31" customWidth="1"/>
    <col min="12" max="12" width="17.83203125" customWidth="1"/>
    <col min="23" max="23" width="17.5" customWidth="1"/>
  </cols>
  <sheetData>
    <row r="1" spans="1:27" s="31" customFormat="1" ht="49" customHeight="1">
      <c r="A1" s="435" t="s">
        <v>26</v>
      </c>
      <c r="B1" s="435" t="s">
        <v>115</v>
      </c>
      <c r="C1" s="435" t="s">
        <v>400</v>
      </c>
      <c r="D1" s="435" t="s">
        <v>302</v>
      </c>
      <c r="E1" s="435" t="s">
        <v>303</v>
      </c>
      <c r="F1" s="435" t="s">
        <v>404</v>
      </c>
      <c r="G1" s="435" t="s">
        <v>304</v>
      </c>
      <c r="H1" s="435" t="s">
        <v>305</v>
      </c>
      <c r="I1" s="435" t="s">
        <v>306</v>
      </c>
      <c r="J1" s="435" t="s">
        <v>395</v>
      </c>
      <c r="K1" s="435" t="s">
        <v>350</v>
      </c>
      <c r="L1" s="446" t="s">
        <v>57</v>
      </c>
      <c r="M1" s="12"/>
      <c r="N1" s="12"/>
    </row>
    <row r="2" spans="1:27" ht="17" customHeight="1">
      <c r="A2" s="436" t="s">
        <v>6</v>
      </c>
      <c r="B2" s="148"/>
      <c r="C2" s="305"/>
      <c r="D2" s="305"/>
      <c r="E2" s="305"/>
      <c r="F2" s="305"/>
      <c r="G2" s="305"/>
      <c r="H2" s="305"/>
      <c r="I2" s="305">
        <f t="shared" ref="I2:I22" si="0">SUMPRODUCT(G2:H2,$G$24:$H$24)</f>
        <v>0</v>
      </c>
      <c r="J2" s="437">
        <f>_xlfn.XLOOKUP(A2,Summary!$C$75:$C$95,Summary!$D$75:$D$95)</f>
        <v>75</v>
      </c>
      <c r="K2" s="457">
        <f t="shared" ref="K2:K12" si="1">IF(J2&gt;=$J$2,(MAX($I$4:$I$15,$I$6,$I$20:$I$23))*100,I2*100)</f>
        <v>27.999999999999996</v>
      </c>
      <c r="L2" s="186" cm="1">
        <f t="array" ref="L2">(K2-MIN($K$2:$K$22))/(MAX($K$2:$K$22-MIN($K$2:$K$22)*100))*100</f>
        <v>100</v>
      </c>
      <c r="M2" s="8"/>
      <c r="N2" s="8"/>
    </row>
    <row r="3" spans="1:27" ht="17" customHeight="1">
      <c r="A3" s="436" t="s">
        <v>5</v>
      </c>
      <c r="B3" s="148"/>
      <c r="C3" s="305"/>
      <c r="D3" s="305"/>
      <c r="E3" s="305"/>
      <c r="F3" s="305"/>
      <c r="G3" s="305"/>
      <c r="H3" s="305"/>
      <c r="I3" s="305">
        <f t="shared" si="0"/>
        <v>0</v>
      </c>
      <c r="J3" s="437">
        <f>_xlfn.XLOOKUP(A3,Summary!$C$75:$C$95,Summary!$D$75:$D$95)</f>
        <v>100</v>
      </c>
      <c r="K3" s="457">
        <f t="shared" si="1"/>
        <v>27.999999999999996</v>
      </c>
      <c r="L3" s="186" cm="1">
        <f t="array" ref="L3">(K3-MIN($K$2:$K$22))/(MAX($K$2:$K$22-MIN($K$2:$K$22)*100))*100</f>
        <v>100</v>
      </c>
      <c r="M3" s="8"/>
      <c r="N3" s="8"/>
    </row>
    <row r="4" spans="1:27" ht="17" customHeight="1">
      <c r="A4" s="436" t="s">
        <v>17</v>
      </c>
      <c r="B4" s="148"/>
      <c r="C4" s="305">
        <f t="shared" ref="C4:E14" si="2">B27/$G27</f>
        <v>8.5106382978723402E-2</v>
      </c>
      <c r="D4" s="305">
        <f t="shared" si="2"/>
        <v>0.1702127659574468</v>
      </c>
      <c r="E4" s="305">
        <f t="shared" si="2"/>
        <v>0.51063829787234039</v>
      </c>
      <c r="F4" s="305">
        <f>F27/$G27</f>
        <v>0.21276595744680851</v>
      </c>
      <c r="G4" s="305">
        <f>(0.12*D4)+(0.3*E4)+(0.5*F4)</f>
        <v>0.27999999999999997</v>
      </c>
      <c r="H4" s="305"/>
      <c r="I4" s="305">
        <f t="shared" si="0"/>
        <v>0.27999999999999997</v>
      </c>
      <c r="J4" s="437">
        <f>_xlfn.XLOOKUP(A4,Summary!$C$75:$C$95,Summary!$D$75:$D$95)</f>
        <v>8</v>
      </c>
      <c r="K4" s="457">
        <f t="shared" si="1"/>
        <v>27.999999999999996</v>
      </c>
      <c r="L4" s="186" cm="1">
        <f t="array" ref="L4">(K4-MIN($K$2:$K$22))/(MAX($K$2:$K$22-MIN($K$2:$K$22)*100))*100</f>
        <v>100</v>
      </c>
      <c r="M4" s="8"/>
      <c r="N4" s="8"/>
    </row>
    <row r="5" spans="1:27" ht="17" customHeight="1">
      <c r="A5" s="436" t="s">
        <v>12</v>
      </c>
      <c r="B5" s="148"/>
      <c r="C5" s="305">
        <f t="shared" si="2"/>
        <v>0.27357044361762262</v>
      </c>
      <c r="D5" s="305">
        <f t="shared" si="2"/>
        <v>0.29461432389590125</v>
      </c>
      <c r="E5" s="305">
        <f t="shared" si="2"/>
        <v>0.32968745769303237</v>
      </c>
      <c r="F5" s="305">
        <f t="shared" ref="F5:F14" si="3">E28/$G28</f>
        <v>0.10212777479344379</v>
      </c>
      <c r="G5" s="305">
        <f>0.25*E5+(0.5*0.9*0.5*(1/3))*D5</f>
        <v>0.10451793871545069</v>
      </c>
      <c r="H5" s="305">
        <f>0.25*E5</f>
        <v>8.2421864423258093E-2</v>
      </c>
      <c r="I5" s="305">
        <f t="shared" si="0"/>
        <v>0.14572887092707973</v>
      </c>
      <c r="J5" s="437">
        <f>_xlfn.XLOOKUP(A5,Summary!$C$75:$C$95,Summary!$D$75:$D$95)</f>
        <v>19</v>
      </c>
      <c r="K5" s="457">
        <f t="shared" si="1"/>
        <v>14.572887092707973</v>
      </c>
      <c r="L5" s="186" cm="1">
        <f t="array" ref="L5">(K5-MIN($K$2:$K$22))/(MAX($K$2:$K$22-MIN($K$2:$K$22)*100))*100</f>
        <v>52.046025331099912</v>
      </c>
      <c r="M5" s="8"/>
      <c r="N5" s="8"/>
      <c r="P5" s="61"/>
    </row>
    <row r="6" spans="1:27" ht="17" customHeight="1">
      <c r="A6" s="436" t="s">
        <v>16</v>
      </c>
      <c r="B6" s="148"/>
      <c r="C6" s="305">
        <f t="shared" si="2"/>
        <v>0.20073445193590667</v>
      </c>
      <c r="D6" s="305">
        <f t="shared" si="2"/>
        <v>0.42434082348356927</v>
      </c>
      <c r="E6" s="305">
        <f t="shared" si="2"/>
        <v>0.37492472458052406</v>
      </c>
      <c r="F6" s="305">
        <f t="shared" si="3"/>
        <v>0</v>
      </c>
      <c r="G6" s="305"/>
      <c r="H6" s="305">
        <f>(0.25*E6)</f>
        <v>9.3731181145131015E-2</v>
      </c>
      <c r="I6" s="305">
        <f t="shared" si="0"/>
        <v>4.6865590572565508E-2</v>
      </c>
      <c r="J6" s="437">
        <f>_xlfn.XLOOKUP(A6,Summary!$C$75:$C$95,Summary!$D$75:$D$95)</f>
        <v>9</v>
      </c>
      <c r="K6" s="457">
        <f t="shared" si="1"/>
        <v>4.6865590572565505</v>
      </c>
      <c r="L6" s="186" cm="1">
        <f t="array" ref="L6">(K6-MIN($K$2:$K$22))/(MAX($K$2:$K$22-MIN($K$2:$K$22)*100))*100</f>
        <v>16.737710918773395</v>
      </c>
      <c r="M6" s="8"/>
      <c r="N6" s="8"/>
    </row>
    <row r="7" spans="1:27" ht="17" customHeight="1">
      <c r="A7" s="436" t="s">
        <v>19</v>
      </c>
      <c r="B7" s="148"/>
      <c r="C7" s="305">
        <f t="shared" si="2"/>
        <v>8.1395348837209308E-2</v>
      </c>
      <c r="D7" s="305">
        <f t="shared" si="2"/>
        <v>0.16279069767441862</v>
      </c>
      <c r="E7" s="305">
        <f t="shared" si="2"/>
        <v>0.7558139534883721</v>
      </c>
      <c r="F7" s="305">
        <f t="shared" si="3"/>
        <v>0</v>
      </c>
      <c r="G7" s="305">
        <f>((5/5)*0.25*D7)</f>
        <v>4.0697674418604654E-2</v>
      </c>
      <c r="H7" s="305"/>
      <c r="I7" s="305">
        <f t="shared" si="0"/>
        <v>4.0697674418604654E-2</v>
      </c>
      <c r="J7" s="437">
        <f>_xlfn.XLOOKUP(A7,Summary!$C$75:$C$95,Summary!$D$75:$D$95)</f>
        <v>6</v>
      </c>
      <c r="K7" s="457">
        <f t="shared" si="1"/>
        <v>4.0697674418604652</v>
      </c>
      <c r="L7" s="186" cm="1">
        <f t="array" ref="L7">(K7-MIN($K$2:$K$22))/(MAX($K$2:$K$22-MIN($K$2:$K$22)*100))*100</f>
        <v>14.534883720930235</v>
      </c>
      <c r="M7" s="8"/>
      <c r="N7" s="8"/>
    </row>
    <row r="8" spans="1:27" ht="17" customHeight="1">
      <c r="A8" s="436" t="s">
        <v>13</v>
      </c>
      <c r="B8" s="148"/>
      <c r="C8" s="305">
        <f t="shared" si="2"/>
        <v>0.2486744432661718</v>
      </c>
      <c r="D8" s="305">
        <f t="shared" si="2"/>
        <v>0.2486744432661718</v>
      </c>
      <c r="E8" s="305">
        <f t="shared" si="2"/>
        <v>0.36015376458112408</v>
      </c>
      <c r="F8" s="305">
        <f t="shared" si="3"/>
        <v>0.14249734888653234</v>
      </c>
      <c r="G8" s="439">
        <f>0.2*E8*(1/3)</f>
        <v>2.4010250972074938E-2</v>
      </c>
      <c r="H8" s="305">
        <f>(1/3)*0.25*D8</f>
        <v>2.0722870272180983E-2</v>
      </c>
      <c r="I8" s="305">
        <f t="shared" si="0"/>
        <v>3.4371686108165433E-2</v>
      </c>
      <c r="J8" s="437">
        <f>_xlfn.XLOOKUP(A8,Summary!$C$75:$C$95,Summary!$D$75:$D$95)</f>
        <v>14.000000000000002</v>
      </c>
      <c r="K8" s="457">
        <f t="shared" si="1"/>
        <v>3.4371686108165433</v>
      </c>
      <c r="L8" s="186" cm="1">
        <f t="array" ref="L8">(K8-MIN($K$2:$K$22))/(MAX($K$2:$K$22-MIN($K$2:$K$22)*100))*100</f>
        <v>12.275602181487656</v>
      </c>
      <c r="M8" s="8"/>
      <c r="N8" s="8"/>
    </row>
    <row r="9" spans="1:27" ht="17" customHeight="1">
      <c r="A9" s="436" t="s">
        <v>54</v>
      </c>
      <c r="B9" s="148"/>
      <c r="C9" s="305">
        <f t="shared" si="2"/>
        <v>7.9662605435801309E-2</v>
      </c>
      <c r="D9" s="305">
        <f t="shared" si="2"/>
        <v>0.15932521087160262</v>
      </c>
      <c r="E9" s="305">
        <f t="shared" si="2"/>
        <v>0.76101218369259604</v>
      </c>
      <c r="F9" s="305">
        <f t="shared" si="3"/>
        <v>0</v>
      </c>
      <c r="G9" s="305">
        <f>0.2*D9</f>
        <v>3.1865042174320526E-2</v>
      </c>
      <c r="H9" s="305"/>
      <c r="I9" s="305">
        <f t="shared" si="0"/>
        <v>3.1865042174320526E-2</v>
      </c>
      <c r="J9" s="437">
        <f>_xlfn.XLOOKUP(A9,Summary!$C$75:$C$95,Summary!$D$75:$D$95)</f>
        <v>5</v>
      </c>
      <c r="K9" s="457">
        <f t="shared" si="1"/>
        <v>3.1865042174320526</v>
      </c>
      <c r="L9" s="186" cm="1">
        <f t="array" ref="L9">(K9-MIN($K$2:$K$22))/(MAX($K$2:$K$22-MIN($K$2:$K$22)*100))*100</f>
        <v>11.380372205114476</v>
      </c>
      <c r="M9" s="8"/>
      <c r="N9" s="8"/>
      <c r="AA9" s="31"/>
    </row>
    <row r="10" spans="1:27" ht="17" customHeight="1">
      <c r="A10" s="436" t="s">
        <v>14</v>
      </c>
      <c r="B10" s="148"/>
      <c r="C10" s="305">
        <f t="shared" si="2"/>
        <v>0.19047619047619047</v>
      </c>
      <c r="D10" s="305">
        <f t="shared" si="2"/>
        <v>0.25641025641025639</v>
      </c>
      <c r="E10" s="305">
        <f t="shared" si="2"/>
        <v>0.43223443223443225</v>
      </c>
      <c r="F10" s="305">
        <f t="shared" si="3"/>
        <v>0.12087912087912088</v>
      </c>
      <c r="G10" s="201"/>
      <c r="H10" s="305">
        <f>D10*(1/3)*0.5</f>
        <v>4.2735042735042729E-2</v>
      </c>
      <c r="I10" s="305">
        <f t="shared" si="0"/>
        <v>2.1367521367521364E-2</v>
      </c>
      <c r="J10" s="437">
        <f>_xlfn.XLOOKUP(A10,Summary!$C$75:$C$95,Summary!$D$75:$D$95)</f>
        <v>10</v>
      </c>
      <c r="K10" s="457">
        <f t="shared" si="1"/>
        <v>2.1367521367521363</v>
      </c>
      <c r="L10" s="186" cm="1">
        <f t="array" ref="L10">(K10-MIN($K$2:$K$22))/(MAX($K$2:$K$22-MIN($K$2:$K$22)*100))*100</f>
        <v>7.6312576312576308</v>
      </c>
      <c r="M10" s="8"/>
      <c r="N10" s="8"/>
    </row>
    <row r="11" spans="1:27" ht="17" customHeight="1">
      <c r="A11" s="436" t="s">
        <v>23</v>
      </c>
      <c r="B11" s="148"/>
      <c r="C11" s="305">
        <f t="shared" si="2"/>
        <v>0.21559633027522937</v>
      </c>
      <c r="D11" s="305">
        <f t="shared" si="2"/>
        <v>0.33486238532110091</v>
      </c>
      <c r="E11" s="305">
        <f t="shared" si="2"/>
        <v>0.44954128440366975</v>
      </c>
      <c r="F11" s="305">
        <f t="shared" si="3"/>
        <v>0</v>
      </c>
      <c r="G11" s="305"/>
      <c r="H11" s="305">
        <f>E11*0.2*(1/3)</f>
        <v>2.9969418960244649E-2</v>
      </c>
      <c r="I11" s="305">
        <f t="shared" si="0"/>
        <v>1.4984709480122324E-2</v>
      </c>
      <c r="J11" s="437">
        <f>_xlfn.XLOOKUP(A11,Summary!$C$75:$C$95,Summary!$D$75:$D$95)</f>
        <v>2</v>
      </c>
      <c r="K11" s="457">
        <f t="shared" si="1"/>
        <v>1.4984709480122325</v>
      </c>
      <c r="L11" s="186" cm="1">
        <f t="array" ref="L11">(K11-MIN($K$2:$K$22))/(MAX($K$2:$K$22-MIN($K$2:$K$22)*100))*100</f>
        <v>5.3516819571865453</v>
      </c>
      <c r="M11" s="8"/>
      <c r="N11" s="8"/>
    </row>
    <row r="12" spans="1:27" ht="18" customHeight="1">
      <c r="A12" s="436" t="s">
        <v>21</v>
      </c>
      <c r="B12" s="148"/>
      <c r="C12" s="305">
        <f t="shared" si="2"/>
        <v>0.22288261515601784</v>
      </c>
      <c r="D12" s="305">
        <f t="shared" si="2"/>
        <v>0.27934621099554235</v>
      </c>
      <c r="E12" s="305">
        <f t="shared" si="2"/>
        <v>0.4739970282317979</v>
      </c>
      <c r="F12" s="305">
        <f t="shared" si="3"/>
        <v>2.3774145616641901E-2</v>
      </c>
      <c r="G12" s="305">
        <f>0.05*0.6*E12</f>
        <v>1.4219910846953936E-2</v>
      </c>
      <c r="H12" s="305"/>
      <c r="I12" s="305">
        <f t="shared" si="0"/>
        <v>1.4219910846953936E-2</v>
      </c>
      <c r="J12" s="437">
        <f>_xlfn.XLOOKUP(A12,Summary!$C$75:$C$95,Summary!$D$75:$D$95)</f>
        <v>4</v>
      </c>
      <c r="K12" s="457">
        <f t="shared" si="1"/>
        <v>1.4219910846953936</v>
      </c>
      <c r="L12" s="186" cm="1">
        <f t="array" ref="L12">(K12-MIN($K$2:$K$22))/(MAX($K$2:$K$22-MIN($K$2:$K$22)*100))*100</f>
        <v>5.0785395881978346</v>
      </c>
      <c r="M12" s="8"/>
      <c r="N12" s="8"/>
    </row>
    <row r="13" spans="1:27" ht="17" customHeight="1">
      <c r="A13" s="436" t="s">
        <v>105</v>
      </c>
      <c r="B13" s="148" t="s">
        <v>295</v>
      </c>
      <c r="C13" s="305">
        <f t="shared" si="2"/>
        <v>0.32999999999999996</v>
      </c>
      <c r="D13" s="305">
        <f t="shared" si="2"/>
        <v>0.25999999999999995</v>
      </c>
      <c r="E13" s="305">
        <f t="shared" si="2"/>
        <v>0.32999999999999996</v>
      </c>
      <c r="F13" s="305">
        <f t="shared" si="3"/>
        <v>7.9999999999999988E-2</v>
      </c>
      <c r="G13" s="305"/>
      <c r="H13" s="305">
        <f>0.25*E13</f>
        <v>8.249999999999999E-2</v>
      </c>
      <c r="I13" s="305">
        <f t="shared" si="0"/>
        <v>4.1249999999999995E-2</v>
      </c>
      <c r="J13" s="437">
        <f>_xlfn.XLOOKUP(A13,Summary!$C$75:$C$95,Summary!$D$75:$D$95)</f>
        <v>9</v>
      </c>
      <c r="K13" s="300">
        <v>1.3612499999999998</v>
      </c>
      <c r="L13" s="186" cm="1">
        <f t="array" ref="L13">(K13-MIN($K$2:$K$22))/(MAX($K$2:$K$22-MIN($K$2:$K$22)*100))*100</f>
        <v>4.8616071428571432</v>
      </c>
      <c r="M13" s="8"/>
      <c r="N13" s="8"/>
    </row>
    <row r="14" spans="1:27" ht="17" customHeight="1">
      <c r="A14" s="436" t="s">
        <v>8</v>
      </c>
      <c r="B14" s="148" t="s">
        <v>399</v>
      </c>
      <c r="C14" s="305">
        <f t="shared" si="2"/>
        <v>0.31714616721374783</v>
      </c>
      <c r="D14" s="305">
        <f t="shared" si="2"/>
        <v>0.32027418420544507</v>
      </c>
      <c r="E14" s="305">
        <f t="shared" si="2"/>
        <v>5.1554354122417455E-2</v>
      </c>
      <c r="F14" s="305">
        <f t="shared" si="3"/>
        <v>0.10055995365900754</v>
      </c>
      <c r="G14" s="305"/>
      <c r="H14" s="305">
        <f>0.3*E14</f>
        <v>1.5466306236725236E-2</v>
      </c>
      <c r="I14" s="305">
        <f t="shared" si="0"/>
        <v>7.7331531183626179E-3</v>
      </c>
      <c r="J14" s="437">
        <f>_xlfn.XLOOKUP(A14,Summary!$C$75:$C$95,Summary!$D$75:$D$95)</f>
        <v>42</v>
      </c>
      <c r="K14" s="457">
        <v>0.19332882795906545</v>
      </c>
      <c r="L14" s="186" cm="1">
        <f t="array" ref="L14">(K14-MIN($K$2:$K$22))/(MAX($K$2:$K$22-MIN($K$2:$K$22)*100))*100</f>
        <v>0.6904600998538053</v>
      </c>
      <c r="M14" s="8"/>
      <c r="N14" s="8"/>
    </row>
    <row r="15" spans="1:27" ht="17" customHeight="1">
      <c r="A15" s="436" t="s">
        <v>47</v>
      </c>
      <c r="B15" s="148"/>
      <c r="C15" s="305"/>
      <c r="D15" s="305"/>
      <c r="E15" s="305"/>
      <c r="F15" s="305"/>
      <c r="G15" s="305"/>
      <c r="H15" s="305"/>
      <c r="I15" s="305">
        <f t="shared" si="0"/>
        <v>0</v>
      </c>
      <c r="J15" s="437">
        <f>_xlfn.XLOOKUP(A15,Summary!$C$75:$C$95,Summary!$D$75:$D$95)</f>
        <v>34</v>
      </c>
      <c r="K15" s="457">
        <f t="shared" ref="K15:K22" si="4">IF(J15&gt;=$J$2,(MAX($I$4:$I$15,$I$6,$I$20:$I$23))*100,I15*100)</f>
        <v>0</v>
      </c>
      <c r="L15" s="186" cm="1">
        <f t="array" ref="L15">(K15-MIN($K$2:$K$22))/(MAX($K$2:$K$22-MIN($K$2:$K$22)*100))*100</f>
        <v>0</v>
      </c>
      <c r="M15" s="8"/>
      <c r="N15" s="8"/>
    </row>
    <row r="16" spans="1:27" ht="17" customHeight="1">
      <c r="A16" s="436" t="s">
        <v>49</v>
      </c>
      <c r="B16" s="148"/>
      <c r="C16" s="305"/>
      <c r="D16" s="305"/>
      <c r="E16" s="305"/>
      <c r="F16" s="305"/>
      <c r="G16" s="201"/>
      <c r="H16" s="201"/>
      <c r="I16" s="305">
        <f t="shared" si="0"/>
        <v>0</v>
      </c>
      <c r="J16" s="437">
        <f>_xlfn.XLOOKUP(A16,Summary!$C$75:$C$95,Summary!$D$75:$D$95)</f>
        <v>27</v>
      </c>
      <c r="K16" s="457">
        <f t="shared" si="4"/>
        <v>0</v>
      </c>
      <c r="L16" s="186" cm="1">
        <f t="array" ref="L16">(K16-MIN($K$2:$K$22))/(MAX($K$2:$K$22-MIN($K$2:$K$22)*100))*100</f>
        <v>0</v>
      </c>
      <c r="M16" s="8"/>
      <c r="N16" s="8"/>
    </row>
    <row r="17" spans="1:14" ht="17" customHeight="1">
      <c r="A17" s="436" t="s">
        <v>11</v>
      </c>
      <c r="B17" s="148"/>
      <c r="C17" s="305"/>
      <c r="D17" s="305"/>
      <c r="E17" s="305"/>
      <c r="F17" s="305"/>
      <c r="G17" s="305"/>
      <c r="H17" s="305"/>
      <c r="I17" s="305">
        <f t="shared" si="0"/>
        <v>0</v>
      </c>
      <c r="J17" s="437">
        <f>_xlfn.XLOOKUP(A17,Summary!$C$75:$C$95,Summary!$D$75:$D$95)</f>
        <v>26</v>
      </c>
      <c r="K17" s="457">
        <f t="shared" si="4"/>
        <v>0</v>
      </c>
      <c r="L17" s="186" cm="1">
        <f t="array" ref="L17">(K17-MIN($K$2:$K$22))/(MAX($K$2:$K$22-MIN($K$2:$K$22)*100))*100</f>
        <v>0</v>
      </c>
      <c r="M17" s="8"/>
      <c r="N17" s="8"/>
    </row>
    <row r="18" spans="1:14" ht="17" customHeight="1">
      <c r="A18" s="436" t="s">
        <v>52</v>
      </c>
      <c r="B18" s="148"/>
      <c r="C18" s="305"/>
      <c r="D18" s="305"/>
      <c r="E18" s="305"/>
      <c r="F18" s="305"/>
      <c r="G18" s="305"/>
      <c r="H18" s="305"/>
      <c r="I18" s="305">
        <f t="shared" si="0"/>
        <v>0</v>
      </c>
      <c r="J18" s="437">
        <f>_xlfn.XLOOKUP(A18,Summary!$C$75:$C$95,Summary!$D$75:$D$95)</f>
        <v>7.0000000000000009</v>
      </c>
      <c r="K18" s="457">
        <f t="shared" si="4"/>
        <v>0</v>
      </c>
      <c r="L18" s="186" cm="1">
        <f t="array" ref="L18">(K18-MIN($K$2:$K$22))/(MAX($K$2:$K$22-MIN($K$2:$K$22)*100))*100</f>
        <v>0</v>
      </c>
      <c r="M18" s="8"/>
      <c r="N18" s="8"/>
    </row>
    <row r="19" spans="1:14" ht="17" customHeight="1">
      <c r="A19" s="436" t="s">
        <v>111</v>
      </c>
      <c r="B19" s="148"/>
      <c r="C19" s="305"/>
      <c r="D19" s="305"/>
      <c r="E19" s="305"/>
      <c r="F19" s="305"/>
      <c r="G19" s="305"/>
      <c r="H19" s="305"/>
      <c r="I19" s="305">
        <f t="shared" si="0"/>
        <v>0</v>
      </c>
      <c r="J19" s="437">
        <f>_xlfn.XLOOKUP(A19,Summary!$C$75:$C$95,Summary!$D$75:$D$95)</f>
        <v>2</v>
      </c>
      <c r="K19" s="457">
        <f t="shared" si="4"/>
        <v>0</v>
      </c>
      <c r="L19" s="186" cm="1">
        <f t="array" ref="L19">(K19-MIN($K$2:$K$22))/(MAX($K$2:$K$22-MIN($K$2:$K$22)*100))*100</f>
        <v>0</v>
      </c>
      <c r="M19" s="8"/>
      <c r="N19" s="8"/>
    </row>
    <row r="20" spans="1:14" ht="17" customHeight="1">
      <c r="A20" s="436" t="s">
        <v>7</v>
      </c>
      <c r="B20" s="148"/>
      <c r="C20" s="305"/>
      <c r="D20" s="305"/>
      <c r="E20" s="305"/>
      <c r="F20" s="305"/>
      <c r="G20" s="305"/>
      <c r="H20" s="305"/>
      <c r="I20" s="305">
        <f t="shared" si="0"/>
        <v>0</v>
      </c>
      <c r="J20" s="437">
        <f>_xlfn.XLOOKUP(A20,Summary!$C$75:$C$95,Summary!$D$75:$D$95)</f>
        <v>47</v>
      </c>
      <c r="K20" s="457">
        <f t="shared" si="4"/>
        <v>0</v>
      </c>
      <c r="L20" s="186" cm="1">
        <f t="array" ref="L20">(K20-MIN($K$2:$K$22))/(MAX($K$2:$K$22-MIN($K$2:$K$22)*100))*100</f>
        <v>0</v>
      </c>
      <c r="M20" s="8"/>
      <c r="N20" s="8"/>
    </row>
    <row r="21" spans="1:14" ht="17" customHeight="1">
      <c r="A21" s="436" t="s">
        <v>25</v>
      </c>
      <c r="B21" s="148"/>
      <c r="C21" s="305"/>
      <c r="D21" s="305"/>
      <c r="E21" s="305"/>
      <c r="F21" s="305"/>
      <c r="G21" s="305"/>
      <c r="H21" s="305"/>
      <c r="I21" s="305">
        <f t="shared" si="0"/>
        <v>0</v>
      </c>
      <c r="J21" s="437">
        <f>_xlfn.XLOOKUP(A21,Summary!$C$75:$C$95,Summary!$D$75:$D$95)</f>
        <v>0.02</v>
      </c>
      <c r="K21" s="457">
        <f t="shared" si="4"/>
        <v>0</v>
      </c>
      <c r="L21" s="186" cm="1">
        <f t="array" ref="L21">(K21-MIN($K$2:$K$22))/(MAX($K$2:$K$22-MIN($K$2:$K$22)*100))*100</f>
        <v>0</v>
      </c>
      <c r="M21" s="8"/>
      <c r="N21" s="8"/>
    </row>
    <row r="22" spans="1:14">
      <c r="A22" s="436" t="s">
        <v>22</v>
      </c>
      <c r="B22" s="148"/>
      <c r="C22" s="305"/>
      <c r="D22" s="305"/>
      <c r="E22" s="305"/>
      <c r="F22" s="305"/>
      <c r="G22" s="305"/>
      <c r="H22" s="305"/>
      <c r="I22" s="305">
        <f t="shared" si="0"/>
        <v>0</v>
      </c>
      <c r="J22" s="437">
        <f>_xlfn.XLOOKUP(A22,Summary!$C$75:$C$95,Summary!$D$75:$D$95)</f>
        <v>2</v>
      </c>
      <c r="K22" s="457">
        <f t="shared" si="4"/>
        <v>0</v>
      </c>
      <c r="L22" s="186" cm="1">
        <f t="array" ref="L22">(K22-MIN($K$2:$K$22))/(MAX($K$2:$K$22-MIN($K$2:$K$22)*100))*100</f>
        <v>0</v>
      </c>
      <c r="M22" s="8"/>
      <c r="N22" s="8"/>
    </row>
    <row r="23" spans="1:14" ht="17" thickBot="1">
      <c r="I23" s="12"/>
      <c r="J23" s="12"/>
      <c r="K23" s="12"/>
      <c r="L23" s="8"/>
      <c r="M23" s="8"/>
      <c r="N23" s="8"/>
    </row>
    <row r="24" spans="1:14" ht="17" thickBot="1">
      <c r="A24" s="440" t="s">
        <v>315</v>
      </c>
      <c r="B24" s="441"/>
      <c r="C24" s="441"/>
      <c r="D24" s="441"/>
      <c r="E24" s="441"/>
      <c r="F24" s="441"/>
      <c r="G24" s="442">
        <v>1</v>
      </c>
      <c r="H24" s="443">
        <v>0.5</v>
      </c>
    </row>
    <row r="25" spans="1:14" ht="17" customHeight="1">
      <c r="A25" s="434"/>
    </row>
    <row r="26" spans="1:14" ht="50" customHeight="1">
      <c r="A26" s="435" t="s">
        <v>26</v>
      </c>
      <c r="B26" s="435" t="s">
        <v>316</v>
      </c>
      <c r="C26" s="435" t="s">
        <v>402</v>
      </c>
      <c r="D26" s="435" t="s">
        <v>401</v>
      </c>
      <c r="E26" s="435" t="s">
        <v>317</v>
      </c>
      <c r="F26" s="435" t="s">
        <v>403</v>
      </c>
      <c r="G26" s="435" t="s">
        <v>121</v>
      </c>
      <c r="H26" s="435" t="s">
        <v>318</v>
      </c>
      <c r="I26" s="435" t="s">
        <v>319</v>
      </c>
      <c r="J26" s="438" t="s">
        <v>264</v>
      </c>
      <c r="K26" s="444"/>
    </row>
    <row r="27" spans="1:14" ht="55" customHeight="1">
      <c r="A27" s="436" t="s">
        <v>17</v>
      </c>
      <c r="B27" s="447">
        <v>2000000</v>
      </c>
      <c r="C27" s="447">
        <v>4000000</v>
      </c>
      <c r="D27" s="451">
        <v>12000000</v>
      </c>
      <c r="E27" s="451">
        <f>500000</f>
        <v>500000</v>
      </c>
      <c r="F27" s="447">
        <v>5000000</v>
      </c>
      <c r="G27" s="452">
        <f>SUM(B27:F27)</f>
        <v>23500000</v>
      </c>
      <c r="H27" s="453" t="s">
        <v>323</v>
      </c>
      <c r="I27" s="453" t="s">
        <v>397</v>
      </c>
      <c r="J27" s="449" t="s">
        <v>309</v>
      </c>
    </row>
    <row r="28" spans="1:14" ht="55" customHeight="1">
      <c r="A28" s="436" t="s">
        <v>12</v>
      </c>
      <c r="B28" s="447">
        <v>1950000</v>
      </c>
      <c r="C28" s="447">
        <f>1050000+1050000</f>
        <v>2100000</v>
      </c>
      <c r="D28" s="447">
        <f>1175000+587500+587500</f>
        <v>2350000</v>
      </c>
      <c r="E28" s="454">
        <f>27963+700000</f>
        <v>727963</v>
      </c>
      <c r="F28" s="454"/>
      <c r="G28" s="452">
        <f>SUM(B28:F28)</f>
        <v>7127963</v>
      </c>
      <c r="H28" s="453" t="s">
        <v>321</v>
      </c>
      <c r="I28" s="453" t="s">
        <v>397</v>
      </c>
      <c r="J28" s="449" t="s">
        <v>312</v>
      </c>
    </row>
    <row r="29" spans="1:14" ht="55" customHeight="1">
      <c r="A29" s="436" t="s">
        <v>16</v>
      </c>
      <c r="B29" s="447">
        <v>1700000</v>
      </c>
      <c r="C29" s="448">
        <v>3593700</v>
      </c>
      <c r="D29" s="447">
        <v>3175200</v>
      </c>
      <c r="E29" s="454"/>
      <c r="F29" s="454"/>
      <c r="G29" s="452">
        <f>SUM(B29:F29)</f>
        <v>8468900</v>
      </c>
      <c r="H29" s="453" t="s">
        <v>338</v>
      </c>
      <c r="I29" s="453" t="s">
        <v>397</v>
      </c>
      <c r="J29" s="449" t="s">
        <v>337</v>
      </c>
    </row>
    <row r="30" spans="1:14" ht="55" customHeight="1">
      <c r="A30" s="436" t="s">
        <v>19</v>
      </c>
      <c r="B30" s="447">
        <v>2100000</v>
      </c>
      <c r="C30" s="447">
        <v>4200000</v>
      </c>
      <c r="D30" s="447">
        <f>4875000+14625000</f>
        <v>19500000</v>
      </c>
      <c r="E30" s="454"/>
      <c r="F30" s="454"/>
      <c r="G30" s="452">
        <f>SUM(B30:F30)</f>
        <v>25800000</v>
      </c>
      <c r="H30" s="453" t="s">
        <v>322</v>
      </c>
      <c r="I30" s="453" t="s">
        <v>398</v>
      </c>
      <c r="J30" s="449" t="s">
        <v>308</v>
      </c>
    </row>
    <row r="31" spans="1:14" ht="55" customHeight="1">
      <c r="A31" s="436" t="s">
        <v>13</v>
      </c>
      <c r="B31" s="447">
        <v>1876000</v>
      </c>
      <c r="C31" s="447">
        <v>1876000</v>
      </c>
      <c r="D31" s="447">
        <v>2717000</v>
      </c>
      <c r="E31" s="454">
        <f>570000+505000</f>
        <v>1075000</v>
      </c>
      <c r="F31" s="454"/>
      <c r="G31" s="452">
        <f>SUM(B31:F31)</f>
        <v>7544000</v>
      </c>
      <c r="H31" s="453" t="s">
        <v>321</v>
      </c>
      <c r="I31" s="453" t="s">
        <v>397</v>
      </c>
      <c r="J31" s="449" t="s">
        <v>313</v>
      </c>
    </row>
    <row r="32" spans="1:14" ht="55" customHeight="1">
      <c r="A32" s="436" t="s">
        <v>54</v>
      </c>
      <c r="B32" s="447">
        <v>1700000</v>
      </c>
      <c r="C32" s="447">
        <f>B32*200%</f>
        <v>3400000</v>
      </c>
      <c r="D32" s="447">
        <f>9744000+6496000</f>
        <v>16240000</v>
      </c>
      <c r="E32" s="454"/>
      <c r="F32" s="454"/>
      <c r="G32" s="452">
        <f t="shared" ref="G32" si="5">SUM(B32:F32)</f>
        <v>21340000</v>
      </c>
      <c r="H32" s="453" t="s">
        <v>325</v>
      </c>
      <c r="I32" s="453" t="s">
        <v>398</v>
      </c>
      <c r="J32" s="450" t="s">
        <v>311</v>
      </c>
    </row>
    <row r="33" spans="1:10" ht="55" customHeight="1">
      <c r="A33" s="436" t="s">
        <v>14</v>
      </c>
      <c r="B33" s="447">
        <v>2600000</v>
      </c>
      <c r="C33" s="448">
        <v>3500000</v>
      </c>
      <c r="D33" s="447">
        <v>5900000</v>
      </c>
      <c r="E33" s="454">
        <f>350000+(0.5*2600000)</f>
        <v>1650000</v>
      </c>
      <c r="F33" s="454"/>
      <c r="G33" s="452">
        <f>SUM(B33:F33)</f>
        <v>13650000</v>
      </c>
      <c r="H33" s="453" t="s">
        <v>321</v>
      </c>
      <c r="I33" s="453" t="s">
        <v>397</v>
      </c>
      <c r="J33" s="450" t="s">
        <v>307</v>
      </c>
    </row>
    <row r="34" spans="1:10" ht="55" customHeight="1">
      <c r="A34" s="436" t="s">
        <v>23</v>
      </c>
      <c r="B34" s="447">
        <v>94000000</v>
      </c>
      <c r="C34" s="447">
        <v>146000000</v>
      </c>
      <c r="D34" s="447">
        <v>196000000</v>
      </c>
      <c r="E34" s="454"/>
      <c r="F34" s="454"/>
      <c r="G34" s="452">
        <f>SUM(B34:F34)</f>
        <v>436000000</v>
      </c>
      <c r="H34" s="453" t="s">
        <v>405</v>
      </c>
      <c r="I34" s="453" t="s">
        <v>324</v>
      </c>
      <c r="J34" s="449" t="s">
        <v>310</v>
      </c>
    </row>
    <row r="35" spans="1:10" ht="55" customHeight="1">
      <c r="A35" s="436" t="s">
        <v>21</v>
      </c>
      <c r="B35" s="447">
        <v>150000000</v>
      </c>
      <c r="C35" s="447">
        <v>188000000</v>
      </c>
      <c r="D35" s="447">
        <f>224000000+95000000</f>
        <v>319000000</v>
      </c>
      <c r="E35" s="454">
        <v>16000000</v>
      </c>
      <c r="F35" s="454"/>
      <c r="G35" s="452">
        <f>SUM(B35:F35)</f>
        <v>673000000</v>
      </c>
      <c r="H35" s="453" t="s">
        <v>320</v>
      </c>
      <c r="I35" s="453" t="s">
        <v>324</v>
      </c>
      <c r="J35" s="449" t="s">
        <v>262</v>
      </c>
    </row>
    <row r="36" spans="1:10" ht="55" customHeight="1">
      <c r="A36" s="436" t="s">
        <v>295</v>
      </c>
      <c r="B36" s="455">
        <v>0.33</v>
      </c>
      <c r="C36" s="455">
        <v>0.26</v>
      </c>
      <c r="D36" s="455">
        <v>0.33</v>
      </c>
      <c r="E36" s="455">
        <v>0.08</v>
      </c>
      <c r="F36" s="455"/>
      <c r="G36" s="456">
        <f>SUM(B36:F36)</f>
        <v>1.0000000000000002</v>
      </c>
      <c r="H36" s="453" t="s">
        <v>327</v>
      </c>
      <c r="I36" s="453" t="s">
        <v>56</v>
      </c>
      <c r="J36" s="449" t="s">
        <v>263</v>
      </c>
    </row>
    <row r="37" spans="1:10" ht="55" customHeight="1">
      <c r="A37" s="436" t="s">
        <v>108</v>
      </c>
      <c r="B37" s="447">
        <v>16425000</v>
      </c>
      <c r="C37" s="447">
        <v>16587000</v>
      </c>
      <c r="D37" s="447">
        <v>2670000</v>
      </c>
      <c r="E37" s="447">
        <f>320000+4888000</f>
        <v>5208000</v>
      </c>
      <c r="F37" s="447">
        <v>10900000</v>
      </c>
      <c r="G37" s="448">
        <f>SUM(B37:F37)</f>
        <v>51790000</v>
      </c>
      <c r="H37" s="453" t="s">
        <v>326</v>
      </c>
      <c r="I37" s="453" t="s">
        <v>396</v>
      </c>
      <c r="J37" s="449" t="s">
        <v>314</v>
      </c>
    </row>
    <row r="38" spans="1:10" ht="26" customHeight="1"/>
    <row r="40" spans="1:10" ht="26" customHeight="1"/>
    <row r="41" spans="1:10" ht="26" customHeight="1"/>
    <row r="42" spans="1:10" ht="26" customHeight="1"/>
    <row r="43" spans="1:10" ht="26" customHeight="1"/>
    <row r="44" spans="1:10" ht="26" customHeight="1"/>
    <row r="45" spans="1:10" ht="26" customHeight="1"/>
    <row r="46" spans="1:10" ht="26" customHeight="1"/>
    <row r="47" spans="1:10" ht="26" customHeight="1"/>
    <row r="48" spans="1:10" ht="26" customHeight="1"/>
    <row r="50" ht="26" customHeight="1"/>
    <row r="52" ht="26" customHeight="1"/>
    <row r="53" ht="26" customHeight="1"/>
    <row r="54" ht="26" customHeight="1"/>
    <row r="55" ht="15" customHeight="1"/>
    <row r="56" ht="15" customHeight="1"/>
    <row r="57" ht="15" customHeight="1"/>
    <row r="58" ht="26" customHeight="1"/>
    <row r="59" ht="15" customHeight="1"/>
    <row r="60" ht="15" customHeight="1"/>
    <row r="61" ht="15" customHeight="1"/>
    <row r="62" ht="15" customHeight="1"/>
    <row r="70" ht="17" customHeight="1"/>
  </sheetData>
  <sheetProtection algorithmName="SHA-512" hashValue="3uMA6GeH0MEje59gaE4GtAznTeHGh/Oj/A48BP0cGoC+IAlzqVy6hsw0cQKMWoJQthiBZeIN5RsWnI6tktXA6A==" saltValue="e535Sue5wZNNp4wegbflBw==" spinCount="100000" sheet="1" objects="1" scenarios="1"/>
  <autoFilter ref="A1:K1" xr:uid="{01BEC420-EE10-F542-9796-723DE9BED446}"/>
  <phoneticPr fontId="3" type="noConversion"/>
  <conditionalFormatting sqref="L2:L22">
    <cfRule type="colorScale" priority="1">
      <colorScale>
        <cfvo type="min"/>
        <cfvo type="max"/>
        <color rgb="FFFCFCFF"/>
        <color theme="5"/>
      </colorScale>
    </cfRule>
  </conditionalFormatting>
  <hyperlinks>
    <hyperlink ref="J27" r:id="rId1" xr:uid="{F9B53208-2B9F-C54C-A9C2-443EE67BC896}"/>
    <hyperlink ref="J35" r:id="rId2" xr:uid="{90F091FB-FC08-3B44-9CBB-566873113994}"/>
    <hyperlink ref="J37" r:id="rId3" xr:uid="{31ACE982-1D69-334C-AF30-E87D370E4B86}"/>
    <hyperlink ref="J36" r:id="rId4" xr:uid="{D72DDB4A-A445-2E4B-A386-3EFB39F8E22D}"/>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4C8ED5D9DD33418B12AEB09345B8E3" ma:contentTypeVersion="17" ma:contentTypeDescription="Create a new document." ma:contentTypeScope="" ma:versionID="3b935f84421f2edc780b22205a12c74f">
  <xsd:schema xmlns:xsd="http://www.w3.org/2001/XMLSchema" xmlns:xs="http://www.w3.org/2001/XMLSchema" xmlns:p="http://schemas.microsoft.com/office/2006/metadata/properties" xmlns:ns2="2e31f57a-30ba-4a37-a044-8a86c97b54eb" xmlns:ns3="6c4ea20b-9ca4-4186-956d-2b4103157f1e" targetNamespace="http://schemas.microsoft.com/office/2006/metadata/properties" ma:root="true" ma:fieldsID="6febc75b729a192782a0963941792b02" ns2:_="" ns3:_="">
    <xsd:import namespace="2e31f57a-30ba-4a37-a044-8a86c97b54eb"/>
    <xsd:import namespace="6c4ea20b-9ca4-4186-956d-2b4103157f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1f57a-30ba-4a37-a044-8a86c97b54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3d0c42d-6e87-4daf-ac4d-d5283275e25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4ea20b-9ca4-4186-956d-2b4103157f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0bd8b0e-a019-4fd8-aae2-455aafe8e135}" ma:internalName="TaxCatchAll" ma:showField="CatchAllData" ma:web="6c4ea20b-9ca4-4186-956d-2b4103157f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31f57a-30ba-4a37-a044-8a86c97b54eb">
      <Terms xmlns="http://schemas.microsoft.com/office/infopath/2007/PartnerControls"/>
    </lcf76f155ced4ddcb4097134ff3c332f>
    <TaxCatchAll xmlns="6c4ea20b-9ca4-4186-956d-2b4103157f1e" xsi:nil="true"/>
  </documentManagement>
</p:properties>
</file>

<file path=customXml/itemProps1.xml><?xml version="1.0" encoding="utf-8"?>
<ds:datastoreItem xmlns:ds="http://schemas.openxmlformats.org/officeDocument/2006/customXml" ds:itemID="{852D489B-7949-4D02-8770-278EC4E2AAB9}">
  <ds:schemaRefs>
    <ds:schemaRef ds:uri="http://schemas.microsoft.com/sharepoint/v3/contenttype/forms"/>
  </ds:schemaRefs>
</ds:datastoreItem>
</file>

<file path=customXml/itemProps2.xml><?xml version="1.0" encoding="utf-8"?>
<ds:datastoreItem xmlns:ds="http://schemas.openxmlformats.org/officeDocument/2006/customXml" ds:itemID="{DB250A1D-DC4A-4597-98B4-5C4252F7D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1f57a-30ba-4a37-a044-8a86c97b54eb"/>
    <ds:schemaRef ds:uri="6c4ea20b-9ca4-4186-956d-2b4103157f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02A37D-402B-4A5A-A8A5-2564C35A7373}">
  <ds:schemaRefs>
    <ds:schemaRef ds:uri="http://www.w3.org/XML/1998/namespace"/>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6c4ea20b-9ca4-4186-956d-2b4103157f1e"/>
    <ds:schemaRef ds:uri="2e31f57a-30ba-4a37-a044-8a86c97b54eb"/>
    <ds:schemaRef ds:uri="http://purl.org/dc/elements/1.1/"/>
  </ds:schemaRefs>
</ds:datastoreItem>
</file>

<file path=docMetadata/LabelInfo.xml><?xml version="1.0" encoding="utf-8"?>
<clbl:labelList xmlns:clbl="http://schemas.microsoft.com/office/2020/mipLabelMetadata">
  <clbl:label id="{edb26152-23a6-4a6e-8fcb-d99d6e3b8e71}" enabled="1" method="Standard" siteId="{7fbdd19f-c389-4ced-8a04-0b5090b80cfe}"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Summary</vt:lpstr>
      <vt:lpstr>Previous GAR scores</vt:lpstr>
      <vt:lpstr>Global sales</vt:lpstr>
      <vt:lpstr>ZEV market share</vt:lpstr>
      <vt:lpstr>Class coverage</vt:lpstr>
      <vt:lpstr>Energy consumption</vt:lpstr>
      <vt:lpstr>Charging speed</vt:lpstr>
      <vt:lpstr>Driving range</vt:lpstr>
      <vt:lpstr>Green Steel</vt:lpstr>
      <vt:lpstr>Battery recycling</vt:lpstr>
      <vt:lpstr>ZEV target</vt:lpstr>
      <vt:lpstr>ZEV investment</vt:lpstr>
      <vt:lpstr>ZEV exec compensation</vt:lpstr>
      <vt:lpstr>Ratingscore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Ilma Fadhil</cp:lastModifiedBy>
  <cp:revision/>
  <dcterms:created xsi:type="dcterms:W3CDTF">2022-11-09T03:00:18Z</dcterms:created>
  <dcterms:modified xsi:type="dcterms:W3CDTF">2025-06-16T20:50:08Z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b26152-23a6-4a6e-8fcb-d99d6e3b8e71_Enabled">
    <vt:lpwstr>true</vt:lpwstr>
  </property>
  <property fmtid="{D5CDD505-2E9C-101B-9397-08002B2CF9AE}" pid="3" name="MSIP_Label_edb26152-23a6-4a6e-8fcb-d99d6e3b8e71_SetDate">
    <vt:lpwstr>2022-11-09T03:50:09Z</vt:lpwstr>
  </property>
  <property fmtid="{D5CDD505-2E9C-101B-9397-08002B2CF9AE}" pid="4" name="MSIP_Label_edb26152-23a6-4a6e-8fcb-d99d6e3b8e71_Method">
    <vt:lpwstr>Standard</vt:lpwstr>
  </property>
  <property fmtid="{D5CDD505-2E9C-101B-9397-08002B2CF9AE}" pid="5" name="MSIP_Label_edb26152-23a6-4a6e-8fcb-d99d6e3b8e71_Name">
    <vt:lpwstr>defa4170-0d19-0005-0004-bc88714345d2</vt:lpwstr>
  </property>
  <property fmtid="{D5CDD505-2E9C-101B-9397-08002B2CF9AE}" pid="6" name="MSIP_Label_edb26152-23a6-4a6e-8fcb-d99d6e3b8e71_SiteId">
    <vt:lpwstr>7fbdd19f-c389-4ced-8a04-0b5090b80cfe</vt:lpwstr>
  </property>
  <property fmtid="{D5CDD505-2E9C-101B-9397-08002B2CF9AE}" pid="7" name="MSIP_Label_edb26152-23a6-4a6e-8fcb-d99d6e3b8e71_ActionId">
    <vt:lpwstr>1301632b-39b0-4207-8e27-5f572f403f03</vt:lpwstr>
  </property>
  <property fmtid="{D5CDD505-2E9C-101B-9397-08002B2CF9AE}" pid="8" name="MSIP_Label_edb26152-23a6-4a6e-8fcb-d99d6e3b8e71_ContentBits">
    <vt:lpwstr>0</vt:lpwstr>
  </property>
  <property fmtid="{D5CDD505-2E9C-101B-9397-08002B2CF9AE}" pid="9" name="ContentTypeId">
    <vt:lpwstr>0x0101001F4C8ED5D9DD33418B12AEB09345B8E3</vt:lpwstr>
  </property>
  <property fmtid="{D5CDD505-2E9C-101B-9397-08002B2CF9AE}" pid="10" name="MediaServiceImageTags">
    <vt:lpwstr/>
  </property>
</Properties>
</file>